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Personal\apollo\"/>
    </mc:Choice>
  </mc:AlternateContent>
  <xr:revisionPtr revIDLastSave="0" documentId="8_{0C21BBA1-44F9-4AC5-BF89-92B646C4B042}" xr6:coauthVersionLast="33" xr6:coauthVersionMax="33" xr10:uidLastSave="{00000000-0000-0000-0000-000000000000}"/>
  <bookViews>
    <workbookView xWindow="0" yWindow="0" windowWidth="19200" windowHeight="6650" tabRatio="765" xr2:uid="{422D364D-3CF6-4756-AF7C-438ACFD4A36E}"/>
  </bookViews>
  <sheets>
    <sheet name="Hospital Valuation" sheetId="5" r:id="rId1"/>
    <sheet name="Sheet1" sheetId="6" r:id="rId2"/>
    <sheet name="Sheet1 (3)" sheetId="3" r:id="rId3"/>
    <sheet name="Revenue" sheetId="2" r:id="rId4"/>
    <sheet name="Sheet4" sheetId="4" r:id="rId5"/>
    <sheet name="Capacity" sheetId="1" r:id="rId6"/>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 i="6" l="1"/>
  <c r="K5" i="6"/>
  <c r="K3" i="6"/>
  <c r="I4" i="6"/>
  <c r="I5" i="6"/>
  <c r="I3" i="6"/>
  <c r="H6" i="6"/>
  <c r="F6" i="6"/>
  <c r="C3" i="6"/>
  <c r="O6" i="5" l="1"/>
  <c r="N6" i="5"/>
  <c r="M6" i="5"/>
  <c r="M5" i="5"/>
  <c r="O5" i="5"/>
  <c r="N5" i="5"/>
  <c r="M51" i="5"/>
  <c r="N51" i="5"/>
  <c r="O51" i="5"/>
  <c r="L51" i="5"/>
  <c r="M47" i="5"/>
  <c r="N47" i="5"/>
  <c r="L47" i="5"/>
  <c r="O50" i="5"/>
  <c r="N50" i="5"/>
  <c r="M50" i="5"/>
  <c r="L50" i="5"/>
  <c r="L31" i="5"/>
  <c r="M31" i="5" s="1"/>
  <c r="N31" i="5" s="1"/>
  <c r="O31" i="5" s="1"/>
  <c r="M30" i="5"/>
  <c r="N30" i="5"/>
  <c r="O30" i="5"/>
  <c r="L30" i="5"/>
  <c r="N27" i="5"/>
  <c r="M27" i="5"/>
  <c r="L27" i="5"/>
  <c r="I26" i="5"/>
  <c r="L26" i="5" s="1"/>
  <c r="M26" i="5" s="1"/>
  <c r="N26" i="5" s="1"/>
  <c r="O26" i="5" s="1"/>
  <c r="D27" i="5"/>
  <c r="E27" i="5"/>
  <c r="F27" i="5"/>
  <c r="G27" i="5"/>
  <c r="C27" i="5"/>
  <c r="C29" i="5"/>
  <c r="D29" i="5"/>
  <c r="E29" i="5"/>
  <c r="F29" i="5"/>
  <c r="G29" i="5"/>
  <c r="O53" i="5" s="1"/>
  <c r="B29" i="5"/>
  <c r="C9" i="5"/>
  <c r="D9" i="5"/>
  <c r="E9" i="5"/>
  <c r="F9" i="5"/>
  <c r="G9" i="5"/>
  <c r="B9" i="5"/>
  <c r="C8" i="5"/>
  <c r="D8" i="5"/>
  <c r="E8" i="5"/>
  <c r="F8" i="5"/>
  <c r="G8" i="5"/>
  <c r="B8" i="5"/>
  <c r="E16" i="2"/>
  <c r="D16" i="2"/>
  <c r="E16" i="1"/>
  <c r="D16" i="1"/>
  <c r="E8" i="1"/>
  <c r="F8" i="1" s="1"/>
  <c r="G8" i="1" s="1"/>
  <c r="H8" i="1" s="1"/>
  <c r="J15" i="3"/>
  <c r="K15" i="3" s="1"/>
  <c r="L15" i="3" s="1"/>
  <c r="M15" i="3" s="1"/>
  <c r="N15" i="3" s="1"/>
  <c r="K11" i="3"/>
  <c r="L11" i="3" s="1"/>
  <c r="M11" i="3" s="1"/>
  <c r="N11" i="3" s="1"/>
  <c r="J11" i="3"/>
  <c r="J10" i="3"/>
  <c r="K10" i="3" s="1"/>
  <c r="L10" i="3" s="1"/>
  <c r="M10" i="3" s="1"/>
  <c r="N10" i="3" s="1"/>
  <c r="J9" i="3"/>
  <c r="K9" i="3" s="1"/>
  <c r="L9" i="3" s="1"/>
  <c r="M9" i="3" s="1"/>
  <c r="N9" i="3" s="1"/>
  <c r="F15" i="1"/>
  <c r="G15" i="1" s="1"/>
  <c r="H15" i="1" s="1"/>
  <c r="I15" i="1" s="1"/>
  <c r="J15" i="1" s="1"/>
  <c r="F10" i="1"/>
  <c r="G10" i="1" s="1"/>
  <c r="H10" i="1" s="1"/>
  <c r="I10" i="1" s="1"/>
  <c r="J10" i="1" s="1"/>
  <c r="F11" i="1"/>
  <c r="G11" i="1" s="1"/>
  <c r="H11" i="1" s="1"/>
  <c r="I11" i="1" s="1"/>
  <c r="J11" i="1" s="1"/>
  <c r="F9" i="1"/>
  <c r="G9" i="1" s="1"/>
  <c r="H9" i="1" s="1"/>
  <c r="I9" i="1" s="1"/>
  <c r="J9" i="1" s="1"/>
  <c r="J16" i="1" s="1"/>
  <c r="O33" i="5" l="1"/>
  <c r="L53" i="5"/>
  <c r="I8" i="1"/>
  <c r="M7" i="5"/>
  <c r="M9" i="5" s="1"/>
  <c r="M65" i="5"/>
  <c r="M66" i="5" s="1"/>
  <c r="B78" i="5" s="1"/>
  <c r="M68" i="5"/>
  <c r="M69" i="5" s="1"/>
  <c r="B87" i="5" s="1"/>
  <c r="G16" i="1"/>
  <c r="L68" i="5"/>
  <c r="L69" i="5" s="1"/>
  <c r="O65" i="5"/>
  <c r="O66" i="5" s="1"/>
  <c r="D78" i="5" s="1"/>
  <c r="F16" i="1"/>
  <c r="O68" i="5"/>
  <c r="O69" i="5" s="1"/>
  <c r="D87" i="5" s="1"/>
  <c r="I16" i="1"/>
  <c r="N65" i="5" s="1"/>
  <c r="N66" i="5" s="1"/>
  <c r="C78" i="5" s="1"/>
  <c r="N68" i="5"/>
  <c r="N69" i="5" s="1"/>
  <c r="C87" i="5" s="1"/>
  <c r="H16" i="1"/>
  <c r="H9" i="5"/>
  <c r="L65" i="5"/>
  <c r="L66" i="5" s="1"/>
  <c r="L33" i="5"/>
  <c r="M53" i="5"/>
  <c r="M54" i="5" s="1"/>
  <c r="N28" i="5"/>
  <c r="L46" i="5"/>
  <c r="M33" i="5"/>
  <c r="N53" i="5"/>
  <c r="N54" i="5" s="1"/>
  <c r="N33" i="5"/>
  <c r="O47" i="5"/>
  <c r="L54" i="5"/>
  <c r="O54" i="5"/>
  <c r="O27" i="5"/>
  <c r="O28" i="5" s="1"/>
  <c r="O35" i="5" s="1"/>
  <c r="O38" i="5" s="1"/>
  <c r="M28" i="5"/>
  <c r="L28" i="5"/>
  <c r="M17" i="5" l="1"/>
  <c r="J8" i="1"/>
  <c r="O7" i="5" s="1"/>
  <c r="N7" i="5"/>
  <c r="N35" i="5"/>
  <c r="N38" i="5" s="1"/>
  <c r="N34" i="5"/>
  <c r="L48" i="5"/>
  <c r="L55" i="5" s="1"/>
  <c r="L58" i="5" s="1"/>
  <c r="M46" i="5"/>
  <c r="N46" i="5" s="1"/>
  <c r="O46" i="5" s="1"/>
  <c r="L35" i="5"/>
  <c r="L38" i="5" s="1"/>
  <c r="L34" i="5"/>
  <c r="M35" i="5"/>
  <c r="M38" i="5" s="1"/>
  <c r="M34" i="5"/>
  <c r="O34" i="5"/>
  <c r="N57" i="5"/>
  <c r="L57" i="5"/>
  <c r="M57" i="5"/>
  <c r="O57" i="5"/>
  <c r="M10" i="5"/>
  <c r="M12" i="5" s="1"/>
  <c r="M11" i="5"/>
  <c r="M13" i="5" s="1"/>
  <c r="L56" i="5" l="1"/>
  <c r="L59" i="5"/>
  <c r="L60" i="5" s="1"/>
  <c r="N17" i="5"/>
  <c r="N9" i="5"/>
  <c r="B76" i="5"/>
  <c r="O17" i="5"/>
  <c r="O9" i="5"/>
  <c r="M37" i="5"/>
  <c r="M39" i="5" s="1"/>
  <c r="M40" i="5" s="1"/>
  <c r="B77" i="5" s="1"/>
  <c r="B79" i="5" s="1"/>
  <c r="B81" i="5" s="1"/>
  <c r="M36" i="5"/>
  <c r="M48" i="5"/>
  <c r="M55" i="5" s="1"/>
  <c r="M58" i="5" s="1"/>
  <c r="M59" i="5" s="1"/>
  <c r="M60" i="5" s="1"/>
  <c r="B86" i="5" s="1"/>
  <c r="L37" i="5"/>
  <c r="L39" i="5" s="1"/>
  <c r="L40" i="5" s="1"/>
  <c r="L36" i="5"/>
  <c r="N37" i="5"/>
  <c r="N39" i="5" s="1"/>
  <c r="N40" i="5" s="1"/>
  <c r="C77" i="5" s="1"/>
  <c r="N36" i="5"/>
  <c r="O36" i="5"/>
  <c r="O37" i="5"/>
  <c r="O39" i="5" s="1"/>
  <c r="O40" i="5" s="1"/>
  <c r="D77" i="5" s="1"/>
  <c r="O48" i="5"/>
  <c r="O55" i="5" s="1"/>
  <c r="N48" i="5"/>
  <c r="N55" i="5" s="1"/>
  <c r="M19" i="5"/>
  <c r="M21" i="5" s="1"/>
  <c r="M18" i="5"/>
  <c r="M20" i="5" s="1"/>
  <c r="B85" i="5" s="1"/>
  <c r="B88" i="5" l="1"/>
  <c r="B90" i="5" s="1"/>
  <c r="O19" i="5"/>
  <c r="O21" i="5" s="1"/>
  <c r="O18" i="5"/>
  <c r="O20" i="5" s="1"/>
  <c r="D85" i="5" s="1"/>
  <c r="N11" i="5"/>
  <c r="N13" i="5" s="1"/>
  <c r="N10" i="5"/>
  <c r="N12" i="5" s="1"/>
  <c r="O11" i="5"/>
  <c r="O13" i="5" s="1"/>
  <c r="O10" i="5"/>
  <c r="O12" i="5" s="1"/>
  <c r="D76" i="5" s="1"/>
  <c r="D79" i="5" s="1"/>
  <c r="D81" i="5" s="1"/>
  <c r="N19" i="5"/>
  <c r="N21" i="5" s="1"/>
  <c r="N18" i="5"/>
  <c r="N20" i="5" s="1"/>
  <c r="M56" i="5"/>
  <c r="N58" i="5"/>
  <c r="N59" i="5" s="1"/>
  <c r="N60" i="5" s="1"/>
  <c r="C86" i="5" s="1"/>
  <c r="N56" i="5"/>
  <c r="O58" i="5"/>
  <c r="O59" i="5" s="1"/>
  <c r="O60" i="5" s="1"/>
  <c r="D86" i="5" s="1"/>
  <c r="O56" i="5"/>
  <c r="D88" i="5" l="1"/>
  <c r="D90" i="5" s="1"/>
  <c r="C85" i="5"/>
  <c r="C88" i="5" s="1"/>
  <c r="C90" i="5" s="1"/>
  <c r="C76" i="5"/>
  <c r="C79" i="5" s="1"/>
  <c r="C81" i="5" s="1"/>
</calcChain>
</file>

<file path=xl/sharedStrings.xml><?xml version="1.0" encoding="utf-8"?>
<sst xmlns="http://schemas.openxmlformats.org/spreadsheetml/2006/main" count="321" uniqueCount="121">
  <si>
    <t>2019E</t>
  </si>
  <si>
    <t>2020E</t>
  </si>
  <si>
    <t>2021E</t>
  </si>
  <si>
    <t>2022E</t>
  </si>
  <si>
    <t>Apollo Hospital - Operational Beds &gt; 5 Years Old as on 2018</t>
  </si>
  <si>
    <t>Apollo Hospital - Operational Beds  0-3 Years Old as on 2018</t>
  </si>
  <si>
    <t>Apollo Hospital - Operational Beds  3-5 Years Old as on 2018</t>
  </si>
  <si>
    <t>Apollo Hospital - Non Operatinal Beds</t>
  </si>
  <si>
    <t>New Beds to be added</t>
  </si>
  <si>
    <t>Hospital</t>
  </si>
  <si>
    <t>Apollo Clinic</t>
  </si>
  <si>
    <t>Apollo Sugar</t>
  </si>
  <si>
    <t>Apollo Diagnostic</t>
  </si>
  <si>
    <t>Apollo Dental</t>
  </si>
  <si>
    <t>Apollo Dialysis</t>
  </si>
  <si>
    <t>Apollo Spectra</t>
  </si>
  <si>
    <t>Apollo Craddle</t>
  </si>
  <si>
    <t>AHLL</t>
  </si>
  <si>
    <t>Apollo Pharmacy</t>
  </si>
  <si>
    <t>SAP</t>
  </si>
  <si>
    <t>Apollo Health Insurance</t>
  </si>
  <si>
    <t>Operations</t>
  </si>
  <si>
    <t>SBU</t>
  </si>
  <si>
    <t>Segment</t>
  </si>
  <si>
    <t>Unit</t>
  </si>
  <si>
    <t>Beds</t>
  </si>
  <si>
    <t>Netwrok Units</t>
  </si>
  <si>
    <t>Revenue</t>
  </si>
  <si>
    <t>EBITDA</t>
  </si>
  <si>
    <t>AHLL Total</t>
  </si>
  <si>
    <t>Hospital Total</t>
  </si>
  <si>
    <t>Asset Turns</t>
  </si>
  <si>
    <t>Capacity</t>
  </si>
  <si>
    <t>Total Revenue</t>
  </si>
  <si>
    <t>Revenue per Operating Bed</t>
  </si>
  <si>
    <t>Metric</t>
  </si>
  <si>
    <t>Revenue per Store</t>
  </si>
  <si>
    <t>Capacity Utilization</t>
  </si>
  <si>
    <t>Share of operational Hospital</t>
  </si>
  <si>
    <t>Share of &gt; 5 Year operational Hospital</t>
  </si>
  <si>
    <t>Share of &lt; 5 year operational hospital</t>
  </si>
  <si>
    <t>Share of matured Stores</t>
  </si>
  <si>
    <t>EBITDA %</t>
  </si>
  <si>
    <t>PAT %</t>
  </si>
  <si>
    <t>Occupancy</t>
  </si>
  <si>
    <t>ARPOB</t>
  </si>
  <si>
    <t>Operating Beds</t>
  </si>
  <si>
    <t>Annual Revenue/Bed</t>
  </si>
  <si>
    <t>CAGR</t>
  </si>
  <si>
    <t>CAGR 10 Years</t>
  </si>
  <si>
    <t>Validation</t>
  </si>
  <si>
    <t>Revenue Projection</t>
  </si>
  <si>
    <t>EBITDA Projection</t>
  </si>
  <si>
    <t>PAT Projection</t>
  </si>
  <si>
    <t>EBITDA Margin</t>
  </si>
  <si>
    <t>PAT Margin</t>
  </si>
  <si>
    <t>EBITDA Multiple</t>
  </si>
  <si>
    <t>PAT Multiple</t>
  </si>
  <si>
    <t>PAT Valuation</t>
  </si>
  <si>
    <t>Average</t>
  </si>
  <si>
    <t>Conservative</t>
  </si>
  <si>
    <t>EBITDA Valuation</t>
  </si>
  <si>
    <t>Store Valuation</t>
  </si>
  <si>
    <t>Store Count</t>
  </si>
  <si>
    <t>Store Revenue</t>
  </si>
  <si>
    <t>Revenue/Store</t>
  </si>
  <si>
    <t>Hetero Stores</t>
  </si>
  <si>
    <t>Q1'17</t>
  </si>
  <si>
    <t>Q1'18</t>
  </si>
  <si>
    <t>Q1'18 Count</t>
  </si>
  <si>
    <t>New Stores</t>
  </si>
  <si>
    <t>EBITDA Margin (Upto 2008 ): &gt; 10 Year old</t>
  </si>
  <si>
    <t>EBITDA Margin (Upto 2010 ): &gt; 8 Year old</t>
  </si>
  <si>
    <t>EBITDA Margin (Batch 2011 ): 7 Year Old</t>
  </si>
  <si>
    <t>EBITDA Margin (Batch 2012 ): 6 Year Old</t>
  </si>
  <si>
    <t>Store Growth Rate</t>
  </si>
  <si>
    <t>Total Stores</t>
  </si>
  <si>
    <t>EBITDA Margin (Pre 2014 ): &gt; 4 Year Old</t>
  </si>
  <si>
    <t>&gt; 4 Year Stores</t>
  </si>
  <si>
    <t>&lt;4 Year Store</t>
  </si>
  <si>
    <t>Hetero Store</t>
  </si>
  <si>
    <t>EBITDA Margin &gt; 4 Year Store</t>
  </si>
  <si>
    <t>EBITDA Margin &lt; 4 Year Store</t>
  </si>
  <si>
    <t>Same Store Revenue Growth Rate</t>
  </si>
  <si>
    <t>Revenue/Store (Rs Cr)</t>
  </si>
  <si>
    <t>Total EBITDA</t>
  </si>
  <si>
    <t>Total Revenue (&gt;4 Year Old)</t>
  </si>
  <si>
    <t>Total Revenue (&lt;4 Year Old)</t>
  </si>
  <si>
    <t>EBITDA (&gt;4 Year Old)</t>
  </si>
  <si>
    <t>EBITDA (&lt;4 Year Old)</t>
  </si>
  <si>
    <t>EBITDA based Valuation</t>
  </si>
  <si>
    <t>Per bed Revenue GAGR</t>
  </si>
  <si>
    <t>ARPOB Average</t>
  </si>
  <si>
    <t>ARPOB Conservative</t>
  </si>
  <si>
    <t>Nerwork Unit Revenue Growth</t>
  </si>
  <si>
    <t>AHLL Valuation</t>
  </si>
  <si>
    <t>P/S Ratio</t>
  </si>
  <si>
    <t>P/S based Valuation</t>
  </si>
  <si>
    <t>Overall Valuation</t>
  </si>
  <si>
    <t>Pharmacy</t>
  </si>
  <si>
    <t>Others</t>
  </si>
  <si>
    <t>Total</t>
  </si>
  <si>
    <t>Current Market cap</t>
  </si>
  <si>
    <t>Historical EBITDA margin of matured hospital is &gt;16%</t>
  </si>
  <si>
    <t>Historical PAT margin of matured hospital is 8%</t>
  </si>
  <si>
    <t>Historical 10 year value is 9%</t>
  </si>
  <si>
    <t>Based on historical ramp up</t>
  </si>
  <si>
    <t>Historical growth rate is 14%</t>
  </si>
  <si>
    <t>Historical growth rate is 12.5%</t>
  </si>
  <si>
    <t>Historical growth rate is 20%+</t>
  </si>
  <si>
    <t>As no major growth capex is envisaged post 2018, this would lead to reduction interest cost by debt repayment as well as reduction in depreciation rates which means additional scope for margin improvement and hence ROE and ROCE. All this has not been considered in any of the scenarios</t>
  </si>
  <si>
    <t>The demand opportunity is humongous, disruption is low, terminal value has low probability risk, return on capital is okaish, industry is non-cylcical and developed nations hospitals trade at double digit multiple despite lower single digit growth</t>
  </si>
  <si>
    <t>High ROCE, asset light retail-FMCG kind of business with tremendous market size opportunity</t>
  </si>
  <si>
    <t>What may work for valuations</t>
  </si>
  <si>
    <t xml:space="preserve">Operating leverage/Margin Improvement due to:
1. Increase in capacity utilization
2. Reduction in ALOS
3. Improvement in Case Mix
4. Post Capex expense reduction
5. Possible reduction in debt if no further expansion
6. Slowness in accelerated depreciation
7. Better Asset Turns
</t>
  </si>
  <si>
    <t>What May not work/Risks</t>
  </si>
  <si>
    <t>1. More regulatory cuts
2. More debt
3. Historical political risk
4. Too many loss making current ventures continue to bleed</t>
  </si>
  <si>
    <t>FY 17</t>
  </si>
  <si>
    <t>FY 18</t>
  </si>
  <si>
    <t>FY15</t>
  </si>
  <si>
    <t>Business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</si>
</sst>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b/>
      <i/>
      <u/>
      <sz val="13"/>
      <color theme="1"/>
      <name val="Calibri"/>
      <family val="2"/>
      <scheme val="minor"/>
    </font>
    <font>
      <b/>
      <u/>
      <sz val="13"/>
      <color theme="1"/>
      <name val="Calibri"/>
      <family val="2"/>
      <scheme val="minor"/>
    </font>
    <font>
      <b/>
      <i/>
      <sz val="13"/>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0" fillId="0" borderId="0" xfId="0" applyAlignment="1">
      <alignment horizontal="center"/>
    </xf>
    <xf numFmtId="0" fontId="0" fillId="0" borderId="0" xfId="0" applyAlignment="1">
      <alignment horizontal="center" vertical="center"/>
    </xf>
    <xf numFmtId="1" fontId="0" fillId="0" borderId="0" xfId="0" applyNumberFormat="1"/>
    <xf numFmtId="0" fontId="0" fillId="0" borderId="0" xfId="0" applyAlignment="1"/>
    <xf numFmtId="0" fontId="2" fillId="0" borderId="0" xfId="0" applyFont="1"/>
    <xf numFmtId="0" fontId="2" fillId="0" borderId="1" xfId="0" applyFont="1" applyBorder="1" applyAlignment="1">
      <alignment horizontal="center" vertical="center"/>
    </xf>
    <xf numFmtId="0" fontId="0" fillId="0" borderId="1" xfId="0" applyBorder="1"/>
    <xf numFmtId="0" fontId="0" fillId="0" borderId="1" xfId="0" applyBorder="1" applyAlignment="1"/>
    <xf numFmtId="0" fontId="0" fillId="0" borderId="1" xfId="0" applyBorder="1" applyAlignment="1">
      <alignment horizontal="center" vertical="center"/>
    </xf>
    <xf numFmtId="1" fontId="0" fillId="0" borderId="1" xfId="0" applyNumberFormat="1" applyBorder="1"/>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9" fontId="0" fillId="0" borderId="0" xfId="1" applyFont="1"/>
    <xf numFmtId="0" fontId="3" fillId="0" borderId="0" xfId="0" applyFont="1"/>
    <xf numFmtId="0" fontId="3" fillId="0" borderId="0" xfId="0" applyFont="1" applyAlignment="1">
      <alignment horizontal="center" vertical="center"/>
    </xf>
    <xf numFmtId="0" fontId="4" fillId="0" borderId="0" xfId="0" applyFont="1"/>
    <xf numFmtId="0" fontId="4" fillId="0" borderId="0" xfId="0" applyFont="1" applyAlignment="1"/>
    <xf numFmtId="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9" fontId="4" fillId="0" borderId="0" xfId="0" applyNumberFormat="1" applyFont="1"/>
    <xf numFmtId="1" fontId="4" fillId="0" borderId="0" xfId="0" applyNumberFormat="1" applyFont="1" applyAlignment="1">
      <alignment horizontal="center" vertical="center"/>
    </xf>
    <xf numFmtId="9" fontId="4" fillId="0" borderId="0" xfId="1" applyFont="1" applyAlignment="1">
      <alignment horizontal="center" vertical="center"/>
    </xf>
    <xf numFmtId="1" fontId="4" fillId="0" borderId="0" xfId="0" applyNumberFormat="1" applyFont="1"/>
    <xf numFmtId="2" fontId="4" fillId="0" borderId="0" xfId="0" applyNumberFormat="1" applyFont="1" applyAlignment="1">
      <alignment horizontal="center" vertical="center"/>
    </xf>
    <xf numFmtId="0" fontId="5" fillId="0" borderId="0" xfId="0" applyFont="1"/>
    <xf numFmtId="9" fontId="4" fillId="0" borderId="0" xfId="1" applyFont="1"/>
    <xf numFmtId="0" fontId="4" fillId="0" borderId="0" xfId="0" applyFont="1" applyAlignment="1">
      <alignment horizontal="left" vertical="center"/>
    </xf>
    <xf numFmtId="0" fontId="4" fillId="0" borderId="0" xfId="0" applyFont="1" applyAlignment="1">
      <alignment horizontal="left" vertical="center" wrapText="1"/>
    </xf>
    <xf numFmtId="164" fontId="4" fillId="0" borderId="0" xfId="0" applyNumberFormat="1" applyFont="1" applyAlignment="1">
      <alignment horizontal="center" vertical="center"/>
    </xf>
    <xf numFmtId="10" fontId="4" fillId="0" borderId="0" xfId="0" applyNumberFormat="1" applyFont="1" applyAlignment="1">
      <alignment horizontal="center" vertical="center"/>
    </xf>
    <xf numFmtId="164" fontId="4" fillId="0" borderId="0" xfId="1" applyNumberFormat="1" applyFont="1" applyAlignment="1">
      <alignment horizontal="center" vertical="center"/>
    </xf>
    <xf numFmtId="1" fontId="4" fillId="0" borderId="0" xfId="0" applyNumberFormat="1" applyFont="1" applyAlignment="1">
      <alignment horizontal="center"/>
    </xf>
    <xf numFmtId="0" fontId="6" fillId="0" borderId="0" xfId="0" applyFont="1"/>
    <xf numFmtId="0" fontId="7" fillId="0" borderId="0" xfId="0" applyFont="1" applyAlignment="1">
      <alignment horizontal="left" vertical="center" wrapText="1"/>
    </xf>
    <xf numFmtId="0" fontId="4"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550334</xdr:colOff>
      <xdr:row>72</xdr:row>
      <xdr:rowOff>40576</xdr:rowOff>
    </xdr:from>
    <xdr:to>
      <xdr:col>14</xdr:col>
      <xdr:colOff>1054560</xdr:colOff>
      <xdr:row>79</xdr:row>
      <xdr:rowOff>178606</xdr:rowOff>
    </xdr:to>
    <xdr:pic>
      <xdr:nvPicPr>
        <xdr:cNvPr id="3" name="Picture 2">
          <a:extLst>
            <a:ext uri="{FF2B5EF4-FFF2-40B4-BE49-F238E27FC236}">
              <a16:creationId xmlns:a16="http://schemas.microsoft.com/office/drawing/2014/main" id="{8E91C741-E865-4347-A3D9-21F4666D5479}"/>
            </a:ext>
          </a:extLst>
        </xdr:cNvPr>
        <xdr:cNvPicPr>
          <a:picLocks noChangeAspect="1"/>
        </xdr:cNvPicPr>
      </xdr:nvPicPr>
      <xdr:blipFill>
        <a:blip xmlns:r="http://schemas.openxmlformats.org/officeDocument/2006/relationships" r:embed="rId1"/>
        <a:stretch>
          <a:fillRect/>
        </a:stretch>
      </xdr:blipFill>
      <xdr:spPr>
        <a:xfrm>
          <a:off x="7323667" y="16201326"/>
          <a:ext cx="10685393" cy="1619697"/>
        </a:xfrm>
        <a:prstGeom prst="rect">
          <a:avLst/>
        </a:prstGeom>
      </xdr:spPr>
    </xdr:pic>
    <xdr:clientData/>
  </xdr:twoCellAnchor>
  <xdr:twoCellAnchor editAs="oneCell">
    <xdr:from>
      <xdr:col>5</xdr:col>
      <xdr:colOff>444501</xdr:colOff>
      <xdr:row>80</xdr:row>
      <xdr:rowOff>104077</xdr:rowOff>
    </xdr:from>
    <xdr:to>
      <xdr:col>16</xdr:col>
      <xdr:colOff>132965</xdr:colOff>
      <xdr:row>89</xdr:row>
      <xdr:rowOff>8601</xdr:rowOff>
    </xdr:to>
    <xdr:pic>
      <xdr:nvPicPr>
        <xdr:cNvPr id="4" name="Picture 3">
          <a:extLst>
            <a:ext uri="{FF2B5EF4-FFF2-40B4-BE49-F238E27FC236}">
              <a16:creationId xmlns:a16="http://schemas.microsoft.com/office/drawing/2014/main" id="{F2BDF0A7-0E00-431A-B81E-DE67A2D5154E}"/>
            </a:ext>
          </a:extLst>
        </xdr:cNvPr>
        <xdr:cNvPicPr>
          <a:picLocks noChangeAspect="1"/>
        </xdr:cNvPicPr>
      </xdr:nvPicPr>
      <xdr:blipFill>
        <a:blip xmlns:r="http://schemas.openxmlformats.org/officeDocument/2006/relationships" r:embed="rId2"/>
        <a:stretch>
          <a:fillRect/>
        </a:stretch>
      </xdr:blipFill>
      <xdr:spPr>
        <a:xfrm>
          <a:off x="7217834" y="17958160"/>
          <a:ext cx="11552381" cy="18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C9D64-E169-4BAA-9EA1-931E69D9C097}">
  <dimension ref="A1:O102"/>
  <sheetViews>
    <sheetView tabSelected="1" zoomScale="60" zoomScaleNormal="60" workbookViewId="0">
      <pane xSplit="1" ySplit="1" topLeftCell="B28" activePane="bottomRight" state="frozen"/>
      <selection pane="topRight" activeCell="D1" sqref="D1"/>
      <selection pane="bottomLeft" activeCell="A3" sqref="A3"/>
      <selection pane="bottomRight" activeCell="A50" sqref="A50"/>
    </sheetView>
  </sheetViews>
  <sheetFormatPr defaultRowHeight="17" x14ac:dyDescent="0.4"/>
  <cols>
    <col min="1" max="1" width="43.6328125" style="18" customWidth="1"/>
    <col min="2" max="7" width="13.26953125" style="21" customWidth="1"/>
    <col min="8" max="8" width="19.1796875" style="21" customWidth="1"/>
    <col min="9" max="9" width="13.26953125" style="21" customWidth="1"/>
    <col min="10" max="10" width="8.90625" style="21" customWidth="1"/>
    <col min="11" max="11" width="31.6328125" style="18" customWidth="1"/>
    <col min="12" max="15" width="15.26953125" style="21" customWidth="1"/>
    <col min="16" max="16384" width="8.7265625" style="18"/>
  </cols>
  <sheetData>
    <row r="1" spans="1:15" x14ac:dyDescent="0.4">
      <c r="A1" s="16" t="s">
        <v>9</v>
      </c>
      <c r="B1" s="17">
        <v>2012</v>
      </c>
      <c r="C1" s="17">
        <v>2013</v>
      </c>
      <c r="D1" s="17">
        <v>2014</v>
      </c>
      <c r="E1" s="17">
        <v>2015</v>
      </c>
      <c r="F1" s="17">
        <v>2016</v>
      </c>
      <c r="G1" s="17">
        <v>2017</v>
      </c>
      <c r="H1" s="17" t="s">
        <v>49</v>
      </c>
      <c r="I1" s="17">
        <v>2018</v>
      </c>
      <c r="J1" s="17"/>
      <c r="L1" s="17" t="s">
        <v>0</v>
      </c>
      <c r="M1" s="17" t="s">
        <v>1</v>
      </c>
      <c r="N1" s="17" t="s">
        <v>2</v>
      </c>
      <c r="O1" s="17" t="s">
        <v>3</v>
      </c>
    </row>
    <row r="2" spans="1:15" x14ac:dyDescent="0.4">
      <c r="A2" s="19" t="s">
        <v>42</v>
      </c>
      <c r="B2" s="20">
        <v>0.16</v>
      </c>
      <c r="C2" s="20">
        <v>0.16</v>
      </c>
      <c r="D2" s="20">
        <v>0.15</v>
      </c>
      <c r="E2" s="20">
        <v>0.14000000000000001</v>
      </c>
      <c r="F2" s="20">
        <v>0.11</v>
      </c>
      <c r="G2" s="20">
        <v>0.1</v>
      </c>
      <c r="H2" s="20"/>
      <c r="I2" s="20"/>
      <c r="J2" s="20"/>
    </row>
    <row r="3" spans="1:15" x14ac:dyDescent="0.4">
      <c r="A3" s="22" t="s">
        <v>43</v>
      </c>
      <c r="B3" s="20">
        <v>7.0000000000000007E-2</v>
      </c>
      <c r="C3" s="20">
        <v>0.08</v>
      </c>
      <c r="D3" s="20">
        <v>7.0000000000000007E-2</v>
      </c>
      <c r="E3" s="20">
        <v>7.0000000000000007E-2</v>
      </c>
      <c r="F3" s="20">
        <v>0.04</v>
      </c>
      <c r="G3" s="20">
        <v>0.03</v>
      </c>
      <c r="H3" s="20"/>
      <c r="I3" s="20"/>
      <c r="J3" s="20"/>
    </row>
    <row r="4" spans="1:15" x14ac:dyDescent="0.4">
      <c r="A4" s="19" t="s">
        <v>44</v>
      </c>
      <c r="B4" s="20">
        <v>0.71</v>
      </c>
      <c r="C4" s="20">
        <v>0.72</v>
      </c>
      <c r="D4" s="20">
        <v>0.71</v>
      </c>
      <c r="E4" s="20">
        <v>0.68</v>
      </c>
      <c r="F4" s="20">
        <v>0.63</v>
      </c>
      <c r="G4" s="20">
        <v>0.64</v>
      </c>
      <c r="H4" s="20"/>
      <c r="I4" s="20"/>
      <c r="J4" s="20"/>
      <c r="K4" s="23" t="s">
        <v>106</v>
      </c>
      <c r="L4" s="20"/>
      <c r="M4" s="20">
        <v>0.68</v>
      </c>
      <c r="N4" s="20">
        <v>0.7</v>
      </c>
      <c r="O4" s="20">
        <v>0.72</v>
      </c>
    </row>
    <row r="5" spans="1:15" x14ac:dyDescent="0.4">
      <c r="A5" s="19" t="s">
        <v>45</v>
      </c>
      <c r="B5" s="24">
        <v>20455</v>
      </c>
      <c r="C5" s="24">
        <v>21724</v>
      </c>
      <c r="D5" s="24">
        <v>23684</v>
      </c>
      <c r="E5" s="24">
        <v>25381</v>
      </c>
      <c r="F5" s="24">
        <v>29867</v>
      </c>
      <c r="G5" s="24">
        <v>31529</v>
      </c>
      <c r="H5" s="25">
        <v>0.09</v>
      </c>
      <c r="I5" s="25"/>
      <c r="J5" s="25"/>
      <c r="K5" s="26" t="s">
        <v>92</v>
      </c>
      <c r="L5" s="24"/>
      <c r="M5" s="24">
        <f>$G$5*POWER((1+$B$16),3)</f>
        <v>37551.543464000009</v>
      </c>
      <c r="N5" s="24">
        <f>$G$5*POWER((1+$B$16),4)</f>
        <v>39804.63607184001</v>
      </c>
      <c r="O5" s="24">
        <f>$G$5*POWER((1+$B$16),5)</f>
        <v>42192.914236150413</v>
      </c>
    </row>
    <row r="6" spans="1:15" x14ac:dyDescent="0.4">
      <c r="A6" s="19" t="s">
        <v>27</v>
      </c>
      <c r="B6" s="24">
        <v>2222</v>
      </c>
      <c r="C6" s="24">
        <v>2617</v>
      </c>
      <c r="D6" s="24">
        <v>2959</v>
      </c>
      <c r="E6" s="24">
        <v>3333</v>
      </c>
      <c r="F6" s="24">
        <v>3696</v>
      </c>
      <c r="G6" s="24">
        <v>4141</v>
      </c>
      <c r="H6" s="24"/>
      <c r="I6" s="24"/>
      <c r="J6" s="24"/>
      <c r="K6" s="26" t="s">
        <v>93</v>
      </c>
      <c r="M6" s="24">
        <f>$G$5*POWER((1+$B$22),3)</f>
        <v>34452.589583000001</v>
      </c>
      <c r="N6" s="24">
        <f>$G$5*POWER((1+$B$22),4)</f>
        <v>35486.167270489997</v>
      </c>
      <c r="O6" s="24">
        <f>$G$5*POWER((1+$B$22),5)</f>
        <v>36550.752288604694</v>
      </c>
    </row>
    <row r="7" spans="1:15" x14ac:dyDescent="0.4">
      <c r="A7" s="19" t="s">
        <v>46</v>
      </c>
      <c r="B7" s="24">
        <v>5153</v>
      </c>
      <c r="C7" s="24">
        <v>5549</v>
      </c>
      <c r="D7" s="24">
        <v>5811</v>
      </c>
      <c r="E7" s="24">
        <v>6321</v>
      </c>
      <c r="F7" s="24">
        <v>6724</v>
      </c>
      <c r="G7" s="24">
        <v>6997</v>
      </c>
      <c r="H7" s="24"/>
      <c r="I7" s="24"/>
      <c r="J7" s="24"/>
      <c r="M7" s="21">
        <f>Capacity!H8</f>
        <v>10783</v>
      </c>
      <c r="N7" s="21">
        <f>Capacity!I8</f>
        <v>10783</v>
      </c>
      <c r="O7" s="21">
        <f>Capacity!J8</f>
        <v>10783</v>
      </c>
    </row>
    <row r="8" spans="1:15" x14ac:dyDescent="0.4">
      <c r="A8" s="19" t="s">
        <v>47</v>
      </c>
      <c r="B8" s="27">
        <f>B6/B7</f>
        <v>0.43120512322918686</v>
      </c>
      <c r="C8" s="27">
        <f t="shared" ref="C8:G8" si="0">C6/C7</f>
        <v>0.471616507478825</v>
      </c>
      <c r="D8" s="27">
        <f t="shared" si="0"/>
        <v>0.50920667699191191</v>
      </c>
      <c r="E8" s="27">
        <f t="shared" si="0"/>
        <v>0.52728998576174657</v>
      </c>
      <c r="F8" s="27">
        <f t="shared" si="0"/>
        <v>0.54967281380130872</v>
      </c>
      <c r="G8" s="27">
        <f t="shared" si="0"/>
        <v>0.59182506788623701</v>
      </c>
      <c r="H8" s="27"/>
      <c r="I8" s="27"/>
      <c r="J8" s="27"/>
      <c r="K8" s="28" t="s">
        <v>59</v>
      </c>
    </row>
    <row r="9" spans="1:15" x14ac:dyDescent="0.4">
      <c r="A9" s="19" t="s">
        <v>50</v>
      </c>
      <c r="B9" s="24">
        <f>(B5*B7/10000000)*365*B4</f>
        <v>2731.5605977249998</v>
      </c>
      <c r="C9" s="24">
        <f t="shared" ref="C9:G9" si="1">(C5*C7/10000000)*365*C4</f>
        <v>3167.9613892799998</v>
      </c>
      <c r="D9" s="24">
        <f t="shared" si="1"/>
        <v>3566.6224674599998</v>
      </c>
      <c r="E9" s="24">
        <f t="shared" si="1"/>
        <v>3981.9545308199999</v>
      </c>
      <c r="F9" s="24">
        <f t="shared" si="1"/>
        <v>4617.9871554599995</v>
      </c>
      <c r="G9" s="24">
        <f t="shared" si="1"/>
        <v>5153.4125276800005</v>
      </c>
      <c r="H9" s="25">
        <f>(SUM(B9:G9)-SUM(B6:G6))/SUM(B9:G9)</f>
        <v>0.18310036444526659</v>
      </c>
      <c r="K9" s="29" t="s">
        <v>51</v>
      </c>
      <c r="L9" s="24"/>
      <c r="M9" s="24">
        <f>(M5*M7/10000000)*365*M4*(1-$H$9)</f>
        <v>8209.9001839457196</v>
      </c>
      <c r="N9" s="24">
        <f t="shared" ref="N9:O9" si="2">(N5*N7/10000000)*365*N4*(1-$H$9)</f>
        <v>8958.4499065995915</v>
      </c>
      <c r="O9" s="24">
        <f t="shared" si="2"/>
        <v>9767.2699553097282</v>
      </c>
    </row>
    <row r="10" spans="1:15" x14ac:dyDescent="0.4">
      <c r="K10" s="18" t="s">
        <v>52</v>
      </c>
      <c r="M10" s="24">
        <f>M9*$B$12</f>
        <v>1149.3860257524009</v>
      </c>
      <c r="N10" s="24">
        <f t="shared" ref="N10:O10" si="3">N9*$B$12</f>
        <v>1254.182986923943</v>
      </c>
      <c r="O10" s="24">
        <f t="shared" si="3"/>
        <v>1367.4177937433622</v>
      </c>
    </row>
    <row r="11" spans="1:15" x14ac:dyDescent="0.4">
      <c r="A11" s="28" t="s">
        <v>59</v>
      </c>
      <c r="K11" s="18" t="s">
        <v>53</v>
      </c>
      <c r="M11" s="24">
        <f>M9*$B$13</f>
        <v>492.59401103674315</v>
      </c>
      <c r="N11" s="24">
        <f t="shared" ref="N11:O11" si="4">N9*$B$13</f>
        <v>537.50699439597543</v>
      </c>
      <c r="O11" s="24">
        <f t="shared" si="4"/>
        <v>586.03619731858362</v>
      </c>
    </row>
    <row r="12" spans="1:15" x14ac:dyDescent="0.4">
      <c r="A12" s="18" t="s">
        <v>54</v>
      </c>
      <c r="B12" s="20">
        <v>0.14000000000000001</v>
      </c>
      <c r="C12" s="30" t="s">
        <v>103</v>
      </c>
      <c r="D12" s="30"/>
      <c r="E12" s="30"/>
      <c r="F12" s="30"/>
      <c r="G12" s="30"/>
      <c r="H12" s="30"/>
      <c r="K12" s="18" t="s">
        <v>61</v>
      </c>
      <c r="M12" s="24">
        <f>M10*$B$14</f>
        <v>17240.790386286015</v>
      </c>
      <c r="N12" s="24">
        <f t="shared" ref="N12:O12" si="5">N10*$B$14</f>
        <v>18812.744803859143</v>
      </c>
      <c r="O12" s="24">
        <f t="shared" si="5"/>
        <v>20511.266906150431</v>
      </c>
    </row>
    <row r="13" spans="1:15" x14ac:dyDescent="0.4">
      <c r="A13" s="18" t="s">
        <v>55</v>
      </c>
      <c r="B13" s="20">
        <v>0.06</v>
      </c>
      <c r="C13" s="30" t="s">
        <v>104</v>
      </c>
      <c r="D13" s="30"/>
      <c r="E13" s="30"/>
      <c r="F13" s="30"/>
      <c r="G13" s="30"/>
      <c r="H13" s="30"/>
      <c r="K13" s="18" t="s">
        <v>58</v>
      </c>
      <c r="M13" s="24">
        <f>M11*$B$15</f>
        <v>12314.850275918579</v>
      </c>
      <c r="N13" s="24">
        <f t="shared" ref="N13:O13" si="6">N11*$B$15</f>
        <v>13437.674859899385</v>
      </c>
      <c r="O13" s="24">
        <f t="shared" si="6"/>
        <v>14650.90493296459</v>
      </c>
    </row>
    <row r="14" spans="1:15" ht="15.5" customHeight="1" x14ac:dyDescent="0.4">
      <c r="A14" s="18" t="s">
        <v>56</v>
      </c>
      <c r="B14" s="21">
        <v>15</v>
      </c>
      <c r="C14" s="31" t="s">
        <v>111</v>
      </c>
      <c r="D14" s="31"/>
      <c r="E14" s="31"/>
      <c r="F14" s="31"/>
      <c r="G14" s="31"/>
      <c r="H14" s="31"/>
    </row>
    <row r="15" spans="1:15" ht="18.5" customHeight="1" x14ac:dyDescent="0.4">
      <c r="A15" s="18" t="s">
        <v>57</v>
      </c>
      <c r="B15" s="21">
        <v>25</v>
      </c>
      <c r="C15" s="31"/>
      <c r="D15" s="31"/>
      <c r="E15" s="31"/>
      <c r="F15" s="31"/>
      <c r="G15" s="31"/>
      <c r="H15" s="31"/>
    </row>
    <row r="16" spans="1:15" x14ac:dyDescent="0.4">
      <c r="A16" s="18" t="s">
        <v>91</v>
      </c>
      <c r="B16" s="20">
        <v>0.06</v>
      </c>
      <c r="C16" s="30" t="s">
        <v>105</v>
      </c>
      <c r="D16" s="30"/>
      <c r="E16" s="30"/>
      <c r="F16" s="30"/>
      <c r="G16" s="30"/>
      <c r="H16" s="30"/>
      <c r="K16" s="28" t="s">
        <v>60</v>
      </c>
    </row>
    <row r="17" spans="1:15" x14ac:dyDescent="0.4">
      <c r="A17" s="28" t="s">
        <v>60</v>
      </c>
      <c r="C17" s="30"/>
      <c r="D17" s="30"/>
      <c r="E17" s="30"/>
      <c r="F17" s="30"/>
      <c r="G17" s="30"/>
      <c r="H17" s="30"/>
      <c r="K17" s="29" t="s">
        <v>51</v>
      </c>
      <c r="M17" s="24">
        <f>(M6*M7/10000000)*365*M4*(1-$H$9)</f>
        <v>7532.3753822807166</v>
      </c>
      <c r="N17" s="24">
        <f t="shared" ref="N17:O17" si="7">(N6*N7/10000000)*365*N4*(1-$H$9)</f>
        <v>7986.5333097417597</v>
      </c>
      <c r="O17" s="24">
        <f t="shared" si="7"/>
        <v>8461.1615750064138</v>
      </c>
    </row>
    <row r="18" spans="1:15" ht="20" customHeight="1" x14ac:dyDescent="0.4">
      <c r="A18" s="18" t="s">
        <v>54</v>
      </c>
      <c r="B18" s="20">
        <v>0.12</v>
      </c>
      <c r="C18" s="30" t="s">
        <v>103</v>
      </c>
      <c r="D18" s="30"/>
      <c r="E18" s="30"/>
      <c r="F18" s="30"/>
      <c r="G18" s="30"/>
      <c r="H18" s="30"/>
      <c r="K18" s="18" t="s">
        <v>52</v>
      </c>
      <c r="M18" s="24">
        <f>M17*$B$18</f>
        <v>903.88504587368595</v>
      </c>
      <c r="N18" s="24">
        <f t="shared" ref="N18:O18" si="8">N17*$B$18</f>
        <v>958.38399716901108</v>
      </c>
      <c r="O18" s="24">
        <f t="shared" si="8"/>
        <v>1015.3393890007696</v>
      </c>
    </row>
    <row r="19" spans="1:15" ht="25" customHeight="1" x14ac:dyDescent="0.4">
      <c r="A19" s="18" t="s">
        <v>55</v>
      </c>
      <c r="B19" s="32">
        <v>4.4999999999999998E-2</v>
      </c>
      <c r="C19" s="30" t="s">
        <v>104</v>
      </c>
      <c r="D19" s="30"/>
      <c r="E19" s="30"/>
      <c r="F19" s="30"/>
      <c r="G19" s="30"/>
      <c r="H19" s="30"/>
      <c r="K19" s="18" t="s">
        <v>53</v>
      </c>
      <c r="M19" s="24">
        <f>M17*$B$19</f>
        <v>338.95689220263222</v>
      </c>
      <c r="N19" s="24">
        <f t="shared" ref="N19:O19" si="9">N17*$B$19</f>
        <v>359.39399893837918</v>
      </c>
      <c r="O19" s="24">
        <f t="shared" si="9"/>
        <v>380.75227087528862</v>
      </c>
    </row>
    <row r="20" spans="1:15" ht="36" customHeight="1" x14ac:dyDescent="0.4">
      <c r="A20" s="18" t="s">
        <v>56</v>
      </c>
      <c r="B20" s="21">
        <v>10</v>
      </c>
      <c r="C20" s="31" t="s">
        <v>111</v>
      </c>
      <c r="D20" s="31"/>
      <c r="E20" s="31"/>
      <c r="F20" s="31"/>
      <c r="G20" s="31"/>
      <c r="H20" s="31"/>
      <c r="K20" s="18" t="s">
        <v>61</v>
      </c>
      <c r="M20" s="24">
        <f>M18*$B$20</f>
        <v>9038.8504587368589</v>
      </c>
      <c r="N20" s="24">
        <f t="shared" ref="N20:O20" si="10">N18*$B$20</f>
        <v>9583.8399716901113</v>
      </c>
      <c r="O20" s="24">
        <f t="shared" si="10"/>
        <v>10153.393890007697</v>
      </c>
    </row>
    <row r="21" spans="1:15" ht="36" customHeight="1" x14ac:dyDescent="0.4">
      <c r="A21" s="18" t="s">
        <v>57</v>
      </c>
      <c r="B21" s="21">
        <v>20</v>
      </c>
      <c r="C21" s="31"/>
      <c r="D21" s="31"/>
      <c r="E21" s="31"/>
      <c r="F21" s="31"/>
      <c r="G21" s="31"/>
      <c r="H21" s="31"/>
      <c r="K21" s="18" t="s">
        <v>58</v>
      </c>
      <c r="M21" s="24">
        <f>M19*$B$21</f>
        <v>6779.1378440526441</v>
      </c>
      <c r="N21" s="24">
        <f t="shared" ref="N21:O21" si="11">N19*$B$21</f>
        <v>7187.8799787675835</v>
      </c>
      <c r="O21" s="24">
        <f t="shared" si="11"/>
        <v>7615.0454175057721</v>
      </c>
    </row>
    <row r="22" spans="1:15" ht="22" customHeight="1" x14ac:dyDescent="0.4">
      <c r="A22" s="18" t="s">
        <v>91</v>
      </c>
      <c r="B22" s="20">
        <v>0.03</v>
      </c>
      <c r="C22" s="30" t="s">
        <v>105</v>
      </c>
      <c r="D22" s="30"/>
      <c r="E22" s="30"/>
      <c r="F22" s="30"/>
      <c r="G22" s="30"/>
      <c r="H22" s="30"/>
    </row>
    <row r="25" spans="1:15" x14ac:dyDescent="0.4">
      <c r="A25" s="16" t="s">
        <v>62</v>
      </c>
      <c r="B25" s="17">
        <v>2012</v>
      </c>
      <c r="C25" s="17">
        <v>2013</v>
      </c>
      <c r="D25" s="17">
        <v>2014</v>
      </c>
      <c r="E25" s="17">
        <v>2015</v>
      </c>
      <c r="F25" s="17">
        <v>2016</v>
      </c>
      <c r="G25" s="17">
        <v>2017</v>
      </c>
      <c r="H25" s="17" t="s">
        <v>49</v>
      </c>
      <c r="I25" s="17">
        <v>2018</v>
      </c>
      <c r="J25" s="17"/>
      <c r="K25" s="28" t="s">
        <v>59</v>
      </c>
      <c r="L25" s="17" t="s">
        <v>0</v>
      </c>
      <c r="M25" s="17" t="s">
        <v>1</v>
      </c>
      <c r="N25" s="17" t="s">
        <v>2</v>
      </c>
      <c r="O25" s="17" t="s">
        <v>3</v>
      </c>
    </row>
    <row r="26" spans="1:15" x14ac:dyDescent="0.4">
      <c r="A26" s="18" t="s">
        <v>63</v>
      </c>
      <c r="B26" s="21">
        <v>1364</v>
      </c>
      <c r="C26" s="21">
        <v>1503</v>
      </c>
      <c r="D26" s="21">
        <v>1632</v>
      </c>
      <c r="E26" s="21">
        <v>1822</v>
      </c>
      <c r="F26" s="21">
        <v>2326</v>
      </c>
      <c r="G26" s="21">
        <v>2556</v>
      </c>
      <c r="H26" s="20">
        <v>0.14000000000000001</v>
      </c>
      <c r="I26" s="24">
        <f>G26*(1+$B$42)</f>
        <v>2760.48</v>
      </c>
      <c r="K26" s="18" t="s">
        <v>76</v>
      </c>
      <c r="L26" s="24">
        <f>I26*(1+$B$42)</f>
        <v>2981.3184000000001</v>
      </c>
      <c r="M26" s="24">
        <f>L26*(1+$B$42)</f>
        <v>3219.8238720000004</v>
      </c>
      <c r="N26" s="24">
        <f>M26*(1+$B$42)</f>
        <v>3477.4097817600004</v>
      </c>
      <c r="O26" s="24">
        <f>N26*(1+$B$42)</f>
        <v>3755.6025643008006</v>
      </c>
    </row>
    <row r="27" spans="1:15" x14ac:dyDescent="0.4">
      <c r="A27" s="18" t="s">
        <v>70</v>
      </c>
      <c r="C27" s="21">
        <f>C26-B26</f>
        <v>139</v>
      </c>
      <c r="D27" s="21">
        <f t="shared" ref="D27:G27" si="12">D26-C26</f>
        <v>129</v>
      </c>
      <c r="E27" s="21">
        <f t="shared" si="12"/>
        <v>190</v>
      </c>
      <c r="F27" s="21">
        <f t="shared" si="12"/>
        <v>504</v>
      </c>
      <c r="G27" s="21">
        <f t="shared" si="12"/>
        <v>230</v>
      </c>
      <c r="K27" s="18" t="s">
        <v>78</v>
      </c>
      <c r="L27" s="21">
        <f>E26</f>
        <v>1822</v>
      </c>
      <c r="M27" s="21">
        <f>F26</f>
        <v>2326</v>
      </c>
      <c r="N27" s="21">
        <f>G26</f>
        <v>2556</v>
      </c>
      <c r="O27" s="24">
        <f>I26</f>
        <v>2760.48</v>
      </c>
    </row>
    <row r="28" spans="1:15" x14ac:dyDescent="0.4">
      <c r="A28" s="18" t="s">
        <v>64</v>
      </c>
      <c r="B28" s="21">
        <v>860</v>
      </c>
      <c r="C28" s="21">
        <v>1101</v>
      </c>
      <c r="D28" s="21">
        <v>1364</v>
      </c>
      <c r="E28" s="21">
        <v>1772</v>
      </c>
      <c r="F28" s="21">
        <v>2323</v>
      </c>
      <c r="G28" s="21">
        <v>2874</v>
      </c>
      <c r="K28" s="18" t="s">
        <v>79</v>
      </c>
      <c r="L28" s="24">
        <f>L26-L27</f>
        <v>1159.3184000000001</v>
      </c>
      <c r="M28" s="24">
        <f t="shared" ref="M28:O28" si="13">M26-M27</f>
        <v>893.82387200000039</v>
      </c>
      <c r="N28" s="24">
        <f t="shared" si="13"/>
        <v>921.40978176000044</v>
      </c>
      <c r="O28" s="24">
        <f t="shared" si="13"/>
        <v>995.1225643008006</v>
      </c>
    </row>
    <row r="29" spans="1:15" x14ac:dyDescent="0.4">
      <c r="A29" s="18" t="s">
        <v>84</v>
      </c>
      <c r="B29" s="27">
        <f>B28/B26</f>
        <v>0.63049853372434017</v>
      </c>
      <c r="C29" s="27">
        <f t="shared" ref="C29:G29" si="14">C28/C26</f>
        <v>0.7325349301397206</v>
      </c>
      <c r="D29" s="27">
        <f t="shared" si="14"/>
        <v>0.83578431372549022</v>
      </c>
      <c r="E29" s="27">
        <f t="shared" si="14"/>
        <v>0.97255762897914377</v>
      </c>
      <c r="F29" s="27">
        <f t="shared" si="14"/>
        <v>0.99871023215821153</v>
      </c>
      <c r="G29" s="27">
        <f t="shared" si="14"/>
        <v>1.124413145539906</v>
      </c>
      <c r="H29" s="33">
        <v>0.125</v>
      </c>
      <c r="K29" s="18" t="s">
        <v>80</v>
      </c>
    </row>
    <row r="30" spans="1:15" x14ac:dyDescent="0.4">
      <c r="B30" s="27"/>
      <c r="C30" s="27"/>
      <c r="D30" s="27"/>
      <c r="E30" s="27"/>
      <c r="F30" s="27"/>
      <c r="G30" s="27"/>
      <c r="K30" s="18" t="s">
        <v>81</v>
      </c>
      <c r="L30" s="33">
        <f>$C$39</f>
        <v>6.0999999999999999E-2</v>
      </c>
      <c r="M30" s="33">
        <f t="shared" ref="M30:O30" si="15">$C$39</f>
        <v>6.0999999999999999E-2</v>
      </c>
      <c r="N30" s="33">
        <f t="shared" si="15"/>
        <v>6.0999999999999999E-2</v>
      </c>
      <c r="O30" s="33">
        <f t="shared" si="15"/>
        <v>6.0999999999999999E-2</v>
      </c>
    </row>
    <row r="31" spans="1:15" x14ac:dyDescent="0.4">
      <c r="B31" s="27"/>
      <c r="C31" s="27"/>
      <c r="D31" s="27"/>
      <c r="E31" s="27"/>
      <c r="F31" s="27"/>
      <c r="G31" s="27"/>
      <c r="K31" s="18" t="s">
        <v>82</v>
      </c>
      <c r="L31" s="34">
        <f>B38*0.8</f>
        <v>3.3600000000000005E-2</v>
      </c>
      <c r="M31" s="32">
        <f>L31</f>
        <v>3.3600000000000005E-2</v>
      </c>
      <c r="N31" s="32">
        <f t="shared" ref="N31:O31" si="16">M31</f>
        <v>3.3600000000000005E-2</v>
      </c>
      <c r="O31" s="32">
        <f t="shared" si="16"/>
        <v>3.3600000000000005E-2</v>
      </c>
    </row>
    <row r="32" spans="1:15" x14ac:dyDescent="0.4">
      <c r="B32" s="27"/>
      <c r="C32" s="27"/>
      <c r="D32" s="27"/>
      <c r="E32" s="27"/>
      <c r="F32" s="27"/>
      <c r="G32" s="27"/>
      <c r="K32" s="18" t="s">
        <v>80</v>
      </c>
      <c r="L32" s="20">
        <v>0.03</v>
      </c>
      <c r="M32" s="20">
        <v>0.03</v>
      </c>
      <c r="N32" s="20">
        <v>0.03</v>
      </c>
      <c r="O32" s="20">
        <v>0.03</v>
      </c>
    </row>
    <row r="33" spans="1:15" x14ac:dyDescent="0.4">
      <c r="K33" s="18" t="s">
        <v>65</v>
      </c>
      <c r="L33" s="27">
        <f>$G$29*POWER((1+$B$43),2)</f>
        <v>1.3115154929577464</v>
      </c>
      <c r="M33" s="27">
        <f>$G$29*POWER((1+$B$43),3)</f>
        <v>1.4164367323943663</v>
      </c>
      <c r="N33" s="27">
        <f>$G$29*POWER((1+$B$43),4)</f>
        <v>1.5297516709859158</v>
      </c>
      <c r="O33" s="27">
        <f>$G$29*POWER((1+$B$43),5)</f>
        <v>1.652131804664789</v>
      </c>
    </row>
    <row r="34" spans="1:15" x14ac:dyDescent="0.4">
      <c r="B34" s="17" t="s">
        <v>67</v>
      </c>
      <c r="C34" s="17" t="s">
        <v>68</v>
      </c>
      <c r="D34" s="17" t="s">
        <v>69</v>
      </c>
      <c r="K34" s="18" t="s">
        <v>86</v>
      </c>
      <c r="L34" s="24">
        <f>L33*L27</f>
        <v>2389.5812281690141</v>
      </c>
      <c r="M34" s="24">
        <f t="shared" ref="M34:O34" si="17">M33*M27</f>
        <v>3294.6318395492958</v>
      </c>
      <c r="N34" s="24">
        <f t="shared" si="17"/>
        <v>3910.0452710400009</v>
      </c>
      <c r="O34" s="24">
        <f t="shared" si="17"/>
        <v>4560.6768041410569</v>
      </c>
    </row>
    <row r="35" spans="1:15" x14ac:dyDescent="0.4">
      <c r="A35" s="18" t="s">
        <v>71</v>
      </c>
      <c r="C35" s="33">
        <v>7.2999999999999995E-2</v>
      </c>
      <c r="K35" s="18" t="s">
        <v>87</v>
      </c>
      <c r="L35" s="24">
        <f>L33*L28</f>
        <v>1520.4640428709858</v>
      </c>
      <c r="M35" s="24">
        <f t="shared" ref="M35:O35" si="18">M33*M28</f>
        <v>1266.0449645917608</v>
      </c>
      <c r="N35" s="24">
        <f t="shared" si="18"/>
        <v>1409.5281533101286</v>
      </c>
      <c r="O35" s="24">
        <f t="shared" si="18"/>
        <v>1644.0736380209344</v>
      </c>
    </row>
    <row r="36" spans="1:15" x14ac:dyDescent="0.4">
      <c r="A36" s="18" t="s">
        <v>72</v>
      </c>
      <c r="B36" s="33">
        <v>6.0999999999999999E-2</v>
      </c>
      <c r="C36" s="33">
        <v>6.7000000000000004E-2</v>
      </c>
      <c r="D36" s="21">
        <v>766</v>
      </c>
      <c r="K36" s="18" t="s">
        <v>33</v>
      </c>
      <c r="L36" s="35">
        <f>L34+L35</f>
        <v>3910.04527104</v>
      </c>
      <c r="M36" s="35">
        <f t="shared" ref="M36:O36" si="19">M34+M35</f>
        <v>4560.6768041410569</v>
      </c>
      <c r="N36" s="35">
        <f t="shared" si="19"/>
        <v>5319.5734243501292</v>
      </c>
      <c r="O36" s="35">
        <f t="shared" si="19"/>
        <v>6204.7504421619915</v>
      </c>
    </row>
    <row r="37" spans="1:15" x14ac:dyDescent="0.4">
      <c r="A37" s="18" t="s">
        <v>73</v>
      </c>
      <c r="B37" s="33">
        <v>5.5E-2</v>
      </c>
      <c r="C37" s="33">
        <v>6.5000000000000002E-2</v>
      </c>
      <c r="D37" s="21">
        <v>154</v>
      </c>
      <c r="K37" s="18" t="s">
        <v>88</v>
      </c>
      <c r="L37" s="24">
        <f>L34*L30</f>
        <v>145.76445491830987</v>
      </c>
      <c r="M37" s="24">
        <f t="shared" ref="M37:O37" si="20">M34*M30</f>
        <v>200.97254221250705</v>
      </c>
      <c r="N37" s="24">
        <f t="shared" si="20"/>
        <v>238.51276153344006</v>
      </c>
      <c r="O37" s="24">
        <f t="shared" si="20"/>
        <v>278.20128505260448</v>
      </c>
    </row>
    <row r="38" spans="1:15" x14ac:dyDescent="0.4">
      <c r="A38" s="18" t="s">
        <v>74</v>
      </c>
      <c r="B38" s="33">
        <v>4.2000000000000003E-2</v>
      </c>
      <c r="C38" s="33">
        <v>5.2999999999999999E-2</v>
      </c>
      <c r="K38" s="18" t="s">
        <v>89</v>
      </c>
      <c r="L38" s="24">
        <f>L35*L31</f>
        <v>51.08759184046513</v>
      </c>
      <c r="M38" s="24">
        <f t="shared" ref="M38:O38" si="21">M35*M31</f>
        <v>42.539110810283169</v>
      </c>
      <c r="N38" s="24">
        <f t="shared" si="21"/>
        <v>47.360145951220325</v>
      </c>
      <c r="O38" s="24">
        <f t="shared" si="21"/>
        <v>55.240874237503405</v>
      </c>
    </row>
    <row r="39" spans="1:15" x14ac:dyDescent="0.4">
      <c r="A39" s="18" t="s">
        <v>77</v>
      </c>
      <c r="C39" s="33">
        <v>6.0999999999999999E-2</v>
      </c>
      <c r="K39" s="18" t="s">
        <v>85</v>
      </c>
      <c r="L39" s="24">
        <f>L37+L38</f>
        <v>196.852046758775</v>
      </c>
      <c r="M39" s="24">
        <f t="shared" ref="M39:O39" si="22">M37+M38</f>
        <v>243.51165302279023</v>
      </c>
      <c r="N39" s="24">
        <f t="shared" si="22"/>
        <v>285.8729074846604</v>
      </c>
      <c r="O39" s="24">
        <f t="shared" si="22"/>
        <v>333.4421592901079</v>
      </c>
    </row>
    <row r="40" spans="1:15" x14ac:dyDescent="0.4">
      <c r="A40" s="18" t="s">
        <v>66</v>
      </c>
      <c r="B40" s="33">
        <v>-3.6999999999999998E-2</v>
      </c>
      <c r="C40" s="33">
        <v>1.6E-2</v>
      </c>
      <c r="K40" s="18" t="s">
        <v>90</v>
      </c>
      <c r="L40" s="24">
        <f>L39*$B$44</f>
        <v>3937.0409351755002</v>
      </c>
      <c r="M40" s="24">
        <f>M39*$B$44</f>
        <v>4870.2330604558047</v>
      </c>
      <c r="N40" s="24">
        <f>N39*$B$44</f>
        <v>5717.4581496932078</v>
      </c>
      <c r="O40" s="24">
        <f>O39*$B$44</f>
        <v>6668.8431858021577</v>
      </c>
    </row>
    <row r="41" spans="1:15" x14ac:dyDescent="0.4">
      <c r="A41" s="28" t="s">
        <v>59</v>
      </c>
    </row>
    <row r="42" spans="1:15" x14ac:dyDescent="0.4">
      <c r="A42" s="18" t="s">
        <v>75</v>
      </c>
      <c r="B42" s="20">
        <v>0.08</v>
      </c>
      <c r="C42" s="30" t="s">
        <v>107</v>
      </c>
      <c r="D42" s="30"/>
      <c r="E42" s="30"/>
      <c r="F42" s="30"/>
      <c r="G42" s="30"/>
      <c r="H42" s="30"/>
    </row>
    <row r="43" spans="1:15" x14ac:dyDescent="0.4">
      <c r="A43" s="18" t="s">
        <v>83</v>
      </c>
      <c r="B43" s="20">
        <v>0.08</v>
      </c>
      <c r="C43" s="30" t="s">
        <v>108</v>
      </c>
      <c r="D43" s="30"/>
      <c r="E43" s="30"/>
      <c r="F43" s="30"/>
      <c r="G43" s="30"/>
      <c r="H43" s="30"/>
    </row>
    <row r="44" spans="1:15" ht="33.5" customHeight="1" x14ac:dyDescent="0.4">
      <c r="A44" s="18" t="s">
        <v>56</v>
      </c>
      <c r="B44" s="21">
        <v>20</v>
      </c>
      <c r="C44" s="31" t="s">
        <v>112</v>
      </c>
      <c r="D44" s="31"/>
      <c r="E44" s="31"/>
      <c r="F44" s="31"/>
      <c r="G44" s="31"/>
      <c r="H44" s="31"/>
    </row>
    <row r="45" spans="1:15" x14ac:dyDescent="0.4">
      <c r="C45" s="22"/>
      <c r="D45" s="22"/>
      <c r="E45" s="22"/>
      <c r="F45" s="22"/>
      <c r="G45" s="22"/>
      <c r="H45" s="22"/>
      <c r="K45" s="28" t="s">
        <v>60</v>
      </c>
      <c r="L45" s="17" t="s">
        <v>0</v>
      </c>
      <c r="M45" s="17" t="s">
        <v>1</v>
      </c>
      <c r="N45" s="17" t="s">
        <v>2</v>
      </c>
      <c r="O45" s="17" t="s">
        <v>3</v>
      </c>
    </row>
    <row r="46" spans="1:15" x14ac:dyDescent="0.4">
      <c r="A46" s="28" t="s">
        <v>60</v>
      </c>
      <c r="C46" s="22"/>
      <c r="D46" s="22"/>
      <c r="E46" s="22"/>
      <c r="F46" s="22"/>
      <c r="G46" s="22"/>
      <c r="H46" s="22"/>
      <c r="K46" s="18" t="s">
        <v>76</v>
      </c>
      <c r="L46" s="24">
        <f>I26*(1+$B$47)</f>
        <v>2898.5040000000004</v>
      </c>
      <c r="M46" s="24">
        <f>L46*(1+$B$47)</f>
        <v>3043.4292000000005</v>
      </c>
      <c r="N46" s="24">
        <f>M46*(1+$B$47)</f>
        <v>3195.6006600000005</v>
      </c>
      <c r="O46" s="24">
        <f>N46*(1+$B$47)</f>
        <v>3355.3806930000005</v>
      </c>
    </row>
    <row r="47" spans="1:15" x14ac:dyDescent="0.4">
      <c r="A47" s="18" t="s">
        <v>75</v>
      </c>
      <c r="B47" s="20">
        <v>0.05</v>
      </c>
      <c r="C47" s="30" t="s">
        <v>107</v>
      </c>
      <c r="D47" s="30"/>
      <c r="E47" s="30"/>
      <c r="F47" s="30"/>
      <c r="G47" s="30"/>
      <c r="H47" s="30"/>
      <c r="K47" s="18" t="s">
        <v>78</v>
      </c>
      <c r="L47" s="21">
        <f>E26</f>
        <v>1822</v>
      </c>
      <c r="M47" s="21">
        <f>F26</f>
        <v>2326</v>
      </c>
      <c r="N47" s="21">
        <f>G26</f>
        <v>2556</v>
      </c>
      <c r="O47" s="24">
        <f>I26</f>
        <v>2760.48</v>
      </c>
    </row>
    <row r="48" spans="1:15" x14ac:dyDescent="0.4">
      <c r="A48" s="18" t="s">
        <v>83</v>
      </c>
      <c r="B48" s="20">
        <v>0.05</v>
      </c>
      <c r="C48" s="30" t="s">
        <v>108</v>
      </c>
      <c r="D48" s="30"/>
      <c r="E48" s="30"/>
      <c r="F48" s="30"/>
      <c r="G48" s="30"/>
      <c r="H48" s="30"/>
      <c r="K48" s="18" t="s">
        <v>79</v>
      </c>
      <c r="L48" s="24">
        <f>L46-L47</f>
        <v>1076.5040000000004</v>
      </c>
      <c r="M48" s="24">
        <f t="shared" ref="M48" si="23">M46-M47</f>
        <v>717.42920000000049</v>
      </c>
      <c r="N48" s="24">
        <f t="shared" ref="N48" si="24">N46-N47</f>
        <v>639.60066000000052</v>
      </c>
      <c r="O48" s="24">
        <f t="shared" ref="O48" si="25">O46-O47</f>
        <v>594.9006930000005</v>
      </c>
    </row>
    <row r="49" spans="1:15" x14ac:dyDescent="0.4">
      <c r="A49" s="18" t="s">
        <v>56</v>
      </c>
      <c r="B49" s="21">
        <v>15</v>
      </c>
      <c r="C49" s="30" t="s">
        <v>112</v>
      </c>
      <c r="D49" s="30"/>
      <c r="E49" s="30"/>
      <c r="F49" s="30"/>
      <c r="G49" s="30"/>
      <c r="H49" s="30"/>
      <c r="K49" s="18" t="s">
        <v>80</v>
      </c>
    </row>
    <row r="50" spans="1:15" x14ac:dyDescent="0.4">
      <c r="K50" s="18" t="s">
        <v>81</v>
      </c>
      <c r="L50" s="33">
        <f>$C$39</f>
        <v>6.0999999999999999E-2</v>
      </c>
      <c r="M50" s="33">
        <f t="shared" ref="M50:O50" si="26">$C$39</f>
        <v>6.0999999999999999E-2</v>
      </c>
      <c r="N50" s="33">
        <f t="shared" si="26"/>
        <v>6.0999999999999999E-2</v>
      </c>
      <c r="O50" s="33">
        <f t="shared" si="26"/>
        <v>6.0999999999999999E-2</v>
      </c>
    </row>
    <row r="51" spans="1:15" x14ac:dyDescent="0.4">
      <c r="K51" s="18" t="s">
        <v>82</v>
      </c>
      <c r="L51" s="34">
        <f>$B$38*0.8</f>
        <v>3.3600000000000005E-2</v>
      </c>
      <c r="M51" s="34">
        <f t="shared" ref="M51:O51" si="27">$B$38*0.8</f>
        <v>3.3600000000000005E-2</v>
      </c>
      <c r="N51" s="34">
        <f t="shared" si="27"/>
        <v>3.3600000000000005E-2</v>
      </c>
      <c r="O51" s="34">
        <f t="shared" si="27"/>
        <v>3.3600000000000005E-2</v>
      </c>
    </row>
    <row r="52" spans="1:15" x14ac:dyDescent="0.4">
      <c r="K52" s="18" t="s">
        <v>80</v>
      </c>
      <c r="L52" s="20">
        <v>0.03</v>
      </c>
      <c r="M52" s="20">
        <v>0.03</v>
      </c>
      <c r="N52" s="20">
        <v>0.03</v>
      </c>
      <c r="O52" s="20">
        <v>0.03</v>
      </c>
    </row>
    <row r="53" spans="1:15" x14ac:dyDescent="0.4">
      <c r="K53" s="18" t="s">
        <v>65</v>
      </c>
      <c r="L53" s="27">
        <f>$G$29*POWER((1+$B$48),2)</f>
        <v>1.2396654929577464</v>
      </c>
      <c r="M53" s="27">
        <f>$G$29*POWER((1+$B$48),3)</f>
        <v>1.3016487676056339</v>
      </c>
      <c r="N53" s="27">
        <f>$G$29*POWER((1+$B$48),4)</f>
        <v>1.3667312059859154</v>
      </c>
      <c r="O53" s="27">
        <f>$G$29*POWER((1+$B$48),5)</f>
        <v>1.4350677662852114</v>
      </c>
    </row>
    <row r="54" spans="1:15" x14ac:dyDescent="0.4">
      <c r="K54" s="18" t="s">
        <v>86</v>
      </c>
      <c r="L54" s="24">
        <f>L53*L47</f>
        <v>2258.6705281690138</v>
      </c>
      <c r="M54" s="24">
        <f t="shared" ref="M54" si="28">M53*M47</f>
        <v>3027.6350334507042</v>
      </c>
      <c r="N54" s="24">
        <f t="shared" ref="N54" si="29">N53*N47</f>
        <v>3493.3649624999998</v>
      </c>
      <c r="O54" s="24">
        <f t="shared" ref="O54" si="30">O53*O47</f>
        <v>3961.4758674750005</v>
      </c>
    </row>
    <row r="55" spans="1:15" x14ac:dyDescent="0.4">
      <c r="K55" s="18" t="s">
        <v>87</v>
      </c>
      <c r="L55" s="24">
        <f>L53*L48</f>
        <v>1334.5048618309863</v>
      </c>
      <c r="M55" s="24">
        <f t="shared" ref="M55:O55" si="31">M53*M48</f>
        <v>933.84083402429644</v>
      </c>
      <c r="N55" s="24">
        <f t="shared" si="31"/>
        <v>874.16218139118814</v>
      </c>
      <c r="O55" s="24">
        <f t="shared" si="31"/>
        <v>853.72280866503502</v>
      </c>
    </row>
    <row r="56" spans="1:15" x14ac:dyDescent="0.4">
      <c r="K56" s="18" t="s">
        <v>33</v>
      </c>
      <c r="L56" s="35">
        <f>L54+L55</f>
        <v>3593.1753900000003</v>
      </c>
      <c r="M56" s="35">
        <f t="shared" ref="M56" si="32">M54+M55</f>
        <v>3961.4758674750005</v>
      </c>
      <c r="N56" s="35">
        <f t="shared" ref="N56" si="33">N54+N55</f>
        <v>4367.5271438911877</v>
      </c>
      <c r="O56" s="35">
        <f t="shared" ref="O56" si="34">O54+O55</f>
        <v>4815.1986761400358</v>
      </c>
    </row>
    <row r="57" spans="1:15" x14ac:dyDescent="0.4">
      <c r="K57" s="18" t="s">
        <v>88</v>
      </c>
      <c r="L57" s="24">
        <f>L54*L50</f>
        <v>137.77890221830984</v>
      </c>
      <c r="M57" s="24">
        <f t="shared" ref="M57:O57" si="35">M54*M50</f>
        <v>184.68573704049297</v>
      </c>
      <c r="N57" s="24">
        <f t="shared" si="35"/>
        <v>213.09526271249999</v>
      </c>
      <c r="O57" s="24">
        <f t="shared" si="35"/>
        <v>241.65002791597502</v>
      </c>
    </row>
    <row r="58" spans="1:15" x14ac:dyDescent="0.4">
      <c r="K58" s="18" t="s">
        <v>89</v>
      </c>
      <c r="L58" s="24">
        <f>L55*L51</f>
        <v>44.839363357521144</v>
      </c>
      <c r="M58" s="24">
        <f t="shared" ref="M58:O58" si="36">M55*M51</f>
        <v>31.377052023216365</v>
      </c>
      <c r="N58" s="24">
        <f t="shared" si="36"/>
        <v>29.371849294743924</v>
      </c>
      <c r="O58" s="24">
        <f t="shared" si="36"/>
        <v>28.685086371145182</v>
      </c>
    </row>
    <row r="59" spans="1:15" x14ac:dyDescent="0.4">
      <c r="K59" s="18" t="s">
        <v>85</v>
      </c>
      <c r="L59" s="24">
        <f>L57+L58</f>
        <v>182.61826557583097</v>
      </c>
      <c r="M59" s="24">
        <f t="shared" ref="M59" si="37">M57+M58</f>
        <v>216.06278906370932</v>
      </c>
      <c r="N59" s="24">
        <f t="shared" ref="N59" si="38">N57+N58</f>
        <v>242.46711200724391</v>
      </c>
      <c r="O59" s="24">
        <f t="shared" ref="O59" si="39">O57+O58</f>
        <v>270.33511428712018</v>
      </c>
    </row>
    <row r="60" spans="1:15" x14ac:dyDescent="0.4">
      <c r="K60" s="18" t="s">
        <v>90</v>
      </c>
      <c r="L60" s="24">
        <f>L59*$B$44</f>
        <v>3652.3653115166194</v>
      </c>
      <c r="M60" s="24">
        <f t="shared" ref="M60" si="40">M59*$B$44</f>
        <v>4321.2557812741861</v>
      </c>
      <c r="N60" s="24">
        <f t="shared" ref="N60" si="41">N59*$B$44</f>
        <v>4849.3422401448779</v>
      </c>
      <c r="O60" s="24">
        <f t="shared" ref="O60" si="42">O59*$B$44</f>
        <v>5406.7022857424035</v>
      </c>
    </row>
    <row r="61" spans="1:15" x14ac:dyDescent="0.4">
      <c r="L61" s="24"/>
      <c r="M61" s="24"/>
      <c r="N61" s="24"/>
      <c r="O61" s="24"/>
    </row>
    <row r="62" spans="1:15" x14ac:dyDescent="0.4">
      <c r="L62" s="24"/>
      <c r="M62" s="24"/>
      <c r="N62" s="24"/>
      <c r="O62" s="24"/>
    </row>
    <row r="63" spans="1:15" x14ac:dyDescent="0.4">
      <c r="A63" s="16" t="s">
        <v>95</v>
      </c>
    </row>
    <row r="64" spans="1:15" x14ac:dyDescent="0.4">
      <c r="A64" s="28" t="s">
        <v>59</v>
      </c>
      <c r="K64" s="28" t="s">
        <v>59</v>
      </c>
      <c r="L64" s="17" t="s">
        <v>0</v>
      </c>
      <c r="M64" s="17" t="s">
        <v>1</v>
      </c>
      <c r="N64" s="17" t="s">
        <v>2</v>
      </c>
      <c r="O64" s="17" t="s">
        <v>3</v>
      </c>
    </row>
    <row r="65" spans="1:15" x14ac:dyDescent="0.4">
      <c r="A65" s="18" t="s">
        <v>94</v>
      </c>
      <c r="B65" s="20">
        <v>0.1</v>
      </c>
      <c r="C65" s="30" t="s">
        <v>109</v>
      </c>
      <c r="D65" s="30"/>
      <c r="E65" s="30"/>
      <c r="F65" s="30"/>
      <c r="G65" s="30"/>
      <c r="H65" s="30"/>
      <c r="J65" s="21" t="s">
        <v>17</v>
      </c>
      <c r="K65" s="18" t="s">
        <v>27</v>
      </c>
      <c r="L65" s="24">
        <f>(Revenue!$D$16/Capacity!$D$16)*Capacity!G16*POWER((1+$B$65),2)</f>
        <v>450.82048916666673</v>
      </c>
      <c r="M65" s="24">
        <f>(Revenue!$D$16/Capacity!$D$16)*Capacity!H16*POWER((1+$B$65),2)</f>
        <v>545.30670195833341</v>
      </c>
      <c r="N65" s="24">
        <f>(Revenue!$D$16/Capacity!$D$16)*Capacity!I16*POWER((1+$B$65),2)</f>
        <v>660.23570215625</v>
      </c>
      <c r="O65" s="24">
        <f>(Revenue!$D$16/Capacity!$D$16)*Capacity!J16*POWER((1+$B$65),2)</f>
        <v>800.58123170322926</v>
      </c>
    </row>
    <row r="66" spans="1:15" x14ac:dyDescent="0.4">
      <c r="A66" s="18" t="s">
        <v>96</v>
      </c>
      <c r="B66" s="21">
        <v>2</v>
      </c>
      <c r="C66" s="22"/>
      <c r="D66" s="22"/>
      <c r="E66" s="22"/>
      <c r="F66" s="22"/>
      <c r="G66" s="22"/>
      <c r="H66" s="22"/>
      <c r="K66" s="18" t="s">
        <v>97</v>
      </c>
      <c r="L66" s="24">
        <f>L65*$B$66</f>
        <v>901.64097833333346</v>
      </c>
      <c r="M66" s="24">
        <f t="shared" ref="M66:O66" si="43">M65*$B$66</f>
        <v>1090.6134039166668</v>
      </c>
      <c r="N66" s="24">
        <f t="shared" si="43"/>
        <v>1320.4714043125</v>
      </c>
      <c r="O66" s="24">
        <f t="shared" si="43"/>
        <v>1601.1624634064585</v>
      </c>
    </row>
    <row r="67" spans="1:15" x14ac:dyDescent="0.4">
      <c r="A67" s="28" t="s">
        <v>60</v>
      </c>
      <c r="C67" s="22"/>
      <c r="D67" s="22"/>
      <c r="E67" s="22"/>
      <c r="F67" s="22"/>
      <c r="G67" s="22"/>
      <c r="H67" s="22"/>
      <c r="K67" s="28" t="s">
        <v>60</v>
      </c>
    </row>
    <row r="68" spans="1:15" x14ac:dyDescent="0.4">
      <c r="A68" s="18" t="s">
        <v>94</v>
      </c>
      <c r="B68" s="20">
        <v>0.05</v>
      </c>
      <c r="C68" s="30" t="s">
        <v>109</v>
      </c>
      <c r="D68" s="30"/>
      <c r="E68" s="30"/>
      <c r="F68" s="30"/>
      <c r="G68" s="30"/>
      <c r="H68" s="30"/>
      <c r="J68" s="21" t="s">
        <v>17</v>
      </c>
      <c r="K68" s="18" t="s">
        <v>27</v>
      </c>
      <c r="L68" s="24">
        <f>(Revenue!$D$16/Capacity!$D$16)*Capacity!G16*POWER((1+$B$68),2)</f>
        <v>410.76825562499999</v>
      </c>
      <c r="M68" s="24">
        <f>(Revenue!$D$16/Capacity!$D$16)*Capacity!H16*POWER((1+$B$68),2)</f>
        <v>496.86003215625004</v>
      </c>
      <c r="N68" s="24">
        <f>(Revenue!$D$16/Capacity!$D$16)*Capacity!I16*POWER((1+$B$68),2)</f>
        <v>601.57839803906245</v>
      </c>
      <c r="O68" s="24">
        <f>(Revenue!$D$16/Capacity!$D$16)*Capacity!J16*POWER((1+$B$68),2)</f>
        <v>729.45521318414058</v>
      </c>
    </row>
    <row r="69" spans="1:15" x14ac:dyDescent="0.4">
      <c r="A69" s="18" t="s">
        <v>96</v>
      </c>
      <c r="B69" s="21">
        <v>1</v>
      </c>
      <c r="K69" s="18" t="s">
        <v>97</v>
      </c>
      <c r="L69" s="24">
        <f>L68*$B$69</f>
        <v>410.76825562499999</v>
      </c>
      <c r="M69" s="24">
        <f t="shared" ref="M69:O69" si="44">M68*$B$69</f>
        <v>496.86003215625004</v>
      </c>
      <c r="N69" s="24">
        <f t="shared" si="44"/>
        <v>601.57839803906245</v>
      </c>
      <c r="O69" s="24">
        <f t="shared" si="44"/>
        <v>729.45521318414058</v>
      </c>
    </row>
    <row r="71" spans="1:15" x14ac:dyDescent="0.4">
      <c r="A71" s="18" t="s">
        <v>102</v>
      </c>
      <c r="B71" s="21">
        <v>13000</v>
      </c>
    </row>
    <row r="73" spans="1:15" x14ac:dyDescent="0.4">
      <c r="A73" s="36" t="s">
        <v>98</v>
      </c>
    </row>
    <row r="74" spans="1:15" x14ac:dyDescent="0.4">
      <c r="B74" s="21">
        <v>2</v>
      </c>
      <c r="C74" s="21">
        <v>3</v>
      </c>
      <c r="D74" s="21">
        <v>4</v>
      </c>
    </row>
    <row r="75" spans="1:15" x14ac:dyDescent="0.4">
      <c r="A75" s="28" t="s">
        <v>59</v>
      </c>
      <c r="B75" s="17" t="s">
        <v>1</v>
      </c>
      <c r="C75" s="17" t="s">
        <v>2</v>
      </c>
      <c r="D75" s="17" t="s">
        <v>3</v>
      </c>
    </row>
    <row r="76" spans="1:15" x14ac:dyDescent="0.4">
      <c r="A76" s="18" t="s">
        <v>9</v>
      </c>
      <c r="B76" s="24">
        <f>AVERAGE(M12:M13)</f>
        <v>14777.820331102297</v>
      </c>
      <c r="C76" s="24">
        <f>AVERAGE(N12:N13)</f>
        <v>16125.209831879263</v>
      </c>
      <c r="D76" s="24">
        <f>AVERAGE(O12:O13)</f>
        <v>17581.08591955751</v>
      </c>
    </row>
    <row r="77" spans="1:15" x14ac:dyDescent="0.4">
      <c r="A77" s="18" t="s">
        <v>99</v>
      </c>
      <c r="B77" s="24">
        <f>M40</f>
        <v>4870.2330604558047</v>
      </c>
      <c r="C77" s="24">
        <f>N40</f>
        <v>5717.4581496932078</v>
      </c>
      <c r="D77" s="24">
        <f>O40</f>
        <v>6668.8431858021577</v>
      </c>
    </row>
    <row r="78" spans="1:15" x14ac:dyDescent="0.4">
      <c r="A78" s="18" t="s">
        <v>100</v>
      </c>
      <c r="B78" s="24">
        <f>M66</f>
        <v>1090.6134039166668</v>
      </c>
      <c r="C78" s="24">
        <f t="shared" ref="C78:D78" si="45">N66</f>
        <v>1320.4714043125</v>
      </c>
      <c r="D78" s="24">
        <f t="shared" si="45"/>
        <v>1601.1624634064585</v>
      </c>
    </row>
    <row r="79" spans="1:15" x14ac:dyDescent="0.4">
      <c r="A79" s="18" t="s">
        <v>101</v>
      </c>
      <c r="B79" s="24">
        <f>SUM(B76:B78)</f>
        <v>20738.666795474772</v>
      </c>
      <c r="C79" s="24">
        <f t="shared" ref="C79:D79" si="46">SUM(C76:C78)</f>
        <v>23163.13938588497</v>
      </c>
      <c r="D79" s="24">
        <f t="shared" si="46"/>
        <v>25851.091568766125</v>
      </c>
    </row>
    <row r="81" spans="1:8" x14ac:dyDescent="0.4">
      <c r="A81" s="18" t="s">
        <v>48</v>
      </c>
      <c r="B81" s="25">
        <f>(B79/$B$71)^(1/(B$74))-1</f>
        <v>0.26304475818965622</v>
      </c>
      <c r="C81" s="25">
        <f t="shared" ref="C81:D81" si="47">(C79/$B$71)^(1/(C$74))-1</f>
        <v>0.21232210156731068</v>
      </c>
      <c r="D81" s="25">
        <f t="shared" si="47"/>
        <v>0.18750072494709169</v>
      </c>
    </row>
    <row r="84" spans="1:8" x14ac:dyDescent="0.4">
      <c r="A84" s="28" t="s">
        <v>60</v>
      </c>
    </row>
    <row r="85" spans="1:8" x14ac:dyDescent="0.4">
      <c r="A85" s="18" t="s">
        <v>9</v>
      </c>
      <c r="B85" s="24">
        <f>AVERAGE(M20:M21)</f>
        <v>7908.9941513947515</v>
      </c>
      <c r="C85" s="24">
        <f>AVERAGE(N20:N21)</f>
        <v>8385.8599752288465</v>
      </c>
      <c r="D85" s="24">
        <f>AVERAGE(O20:O21)</f>
        <v>8884.2196537567343</v>
      </c>
    </row>
    <row r="86" spans="1:8" x14ac:dyDescent="0.4">
      <c r="A86" s="18" t="s">
        <v>99</v>
      </c>
      <c r="B86" s="24">
        <f>M60</f>
        <v>4321.2557812741861</v>
      </c>
      <c r="C86" s="24">
        <f t="shared" ref="C86:D86" si="48">N60</f>
        <v>4849.3422401448779</v>
      </c>
      <c r="D86" s="24">
        <f t="shared" si="48"/>
        <v>5406.7022857424035</v>
      </c>
    </row>
    <row r="87" spans="1:8" x14ac:dyDescent="0.4">
      <c r="A87" s="18" t="s">
        <v>100</v>
      </c>
      <c r="B87" s="24">
        <f>M69</f>
        <v>496.86003215625004</v>
      </c>
      <c r="C87" s="24">
        <f t="shared" ref="C87:D87" si="49">N69</f>
        <v>601.57839803906245</v>
      </c>
      <c r="D87" s="24">
        <f t="shared" si="49"/>
        <v>729.45521318414058</v>
      </c>
    </row>
    <row r="88" spans="1:8" x14ac:dyDescent="0.4">
      <c r="A88" s="18" t="s">
        <v>101</v>
      </c>
      <c r="B88" s="24">
        <f>SUM(B85:B87)</f>
        <v>12727.109964825187</v>
      </c>
      <c r="C88" s="24">
        <f t="shared" ref="C88:D88" si="50">SUM(C85:C87)</f>
        <v>13836.780613412786</v>
      </c>
      <c r="D88" s="24">
        <f t="shared" si="50"/>
        <v>15020.377152683279</v>
      </c>
    </row>
    <row r="90" spans="1:8" x14ac:dyDescent="0.4">
      <c r="A90" s="18" t="s">
        <v>48</v>
      </c>
      <c r="B90" s="25">
        <f>(B88/$B$71)^(1/(B$74))-1</f>
        <v>-1.0551436994976071E-2</v>
      </c>
      <c r="C90" s="25">
        <f t="shared" ref="C90:D90" si="51">(C88/$B$71)^(1/(C$74))-1</f>
        <v>2.1011344558615974E-2</v>
      </c>
      <c r="D90" s="25">
        <f t="shared" si="51"/>
        <v>3.6774653693368853E-2</v>
      </c>
    </row>
    <row r="92" spans="1:8" ht="50" customHeight="1" x14ac:dyDescent="0.4">
      <c r="B92" s="37" t="s">
        <v>110</v>
      </c>
      <c r="C92" s="37"/>
      <c r="D92" s="37"/>
      <c r="E92" s="37"/>
      <c r="F92" s="37"/>
      <c r="G92" s="37"/>
      <c r="H92" s="37"/>
    </row>
    <row r="93" spans="1:8" ht="29" customHeight="1" x14ac:dyDescent="0.4">
      <c r="A93" s="30" t="s">
        <v>113</v>
      </c>
      <c r="B93" s="31" t="s">
        <v>114</v>
      </c>
      <c r="C93" s="31"/>
      <c r="D93" s="31"/>
      <c r="E93" s="31"/>
      <c r="F93" s="31"/>
      <c r="G93" s="31"/>
      <c r="H93" s="31"/>
    </row>
    <row r="94" spans="1:8" ht="29" customHeight="1" x14ac:dyDescent="0.4">
      <c r="A94" s="30"/>
      <c r="B94" s="31"/>
      <c r="C94" s="31"/>
      <c r="D94" s="31"/>
      <c r="E94" s="31"/>
      <c r="F94" s="31"/>
      <c r="G94" s="31"/>
      <c r="H94" s="31"/>
    </row>
    <row r="95" spans="1:8" ht="29" customHeight="1" x14ac:dyDescent="0.4">
      <c r="A95" s="30"/>
      <c r="B95" s="31"/>
      <c r="C95" s="31"/>
      <c r="D95" s="31"/>
      <c r="E95" s="31"/>
      <c r="F95" s="31"/>
      <c r="G95" s="31"/>
      <c r="H95" s="31"/>
    </row>
    <row r="96" spans="1:8" ht="29" customHeight="1" x14ac:dyDescent="0.4">
      <c r="A96" s="30"/>
      <c r="B96" s="31"/>
      <c r="C96" s="31"/>
      <c r="D96" s="31"/>
      <c r="E96" s="31"/>
      <c r="F96" s="31"/>
      <c r="G96" s="31"/>
      <c r="H96" s="31"/>
    </row>
    <row r="97" spans="1:8" ht="10.5" customHeight="1" x14ac:dyDescent="0.4">
      <c r="A97" s="38" t="s">
        <v>115</v>
      </c>
      <c r="B97" s="31" t="s">
        <v>116</v>
      </c>
      <c r="C97" s="31"/>
      <c r="D97" s="31"/>
      <c r="E97" s="31"/>
      <c r="F97" s="31"/>
      <c r="G97" s="31"/>
      <c r="H97" s="31"/>
    </row>
    <row r="98" spans="1:8" x14ac:dyDescent="0.4">
      <c r="A98" s="38"/>
      <c r="B98" s="31"/>
      <c r="C98" s="31"/>
      <c r="D98" s="31"/>
      <c r="E98" s="31"/>
      <c r="F98" s="31"/>
      <c r="G98" s="31"/>
      <c r="H98" s="31"/>
    </row>
    <row r="99" spans="1:8" x14ac:dyDescent="0.4">
      <c r="A99" s="38"/>
      <c r="B99" s="31"/>
      <c r="C99" s="31"/>
      <c r="D99" s="31"/>
      <c r="E99" s="31"/>
      <c r="F99" s="31"/>
      <c r="G99" s="31"/>
      <c r="H99" s="31"/>
    </row>
    <row r="100" spans="1:8" x14ac:dyDescent="0.4">
      <c r="A100" s="38"/>
      <c r="B100" s="31"/>
      <c r="C100" s="31"/>
      <c r="D100" s="31"/>
      <c r="E100" s="31"/>
      <c r="F100" s="31"/>
      <c r="G100" s="31"/>
      <c r="H100" s="31"/>
    </row>
    <row r="101" spans="1:8" x14ac:dyDescent="0.4">
      <c r="A101" s="38"/>
      <c r="B101" s="31"/>
      <c r="C101" s="31"/>
      <c r="D101" s="31"/>
      <c r="E101" s="31"/>
      <c r="F101" s="31"/>
      <c r="G101" s="31"/>
      <c r="H101" s="31"/>
    </row>
    <row r="102" spans="1:8" x14ac:dyDescent="0.4">
      <c r="A102" s="38"/>
      <c r="B102" s="31"/>
      <c r="C102" s="31"/>
      <c r="D102" s="31"/>
      <c r="E102" s="31"/>
      <c r="F102" s="31"/>
      <c r="G102" s="31"/>
      <c r="H102" s="31"/>
    </row>
  </sheetData>
  <mergeCells count="22">
    <mergeCell ref="A97:A102"/>
    <mergeCell ref="B97:H102"/>
    <mergeCell ref="B92:H92"/>
    <mergeCell ref="C14:H15"/>
    <mergeCell ref="C20:H21"/>
    <mergeCell ref="A93:A96"/>
    <mergeCell ref="B93:H96"/>
    <mergeCell ref="C48:H48"/>
    <mergeCell ref="C49:H49"/>
    <mergeCell ref="C65:H65"/>
    <mergeCell ref="C68:H68"/>
    <mergeCell ref="C22:H22"/>
    <mergeCell ref="C42:H42"/>
    <mergeCell ref="C43:H43"/>
    <mergeCell ref="C44:H44"/>
    <mergeCell ref="C47:H47"/>
    <mergeCell ref="C16:H16"/>
    <mergeCell ref="C17:H17"/>
    <mergeCell ref="C18:H18"/>
    <mergeCell ref="C19:H19"/>
    <mergeCell ref="C12:H12"/>
    <mergeCell ref="C13:H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D1F47-8001-424F-AAB8-1C870ABFA348}">
  <dimension ref="B1:K6"/>
  <sheetViews>
    <sheetView workbookViewId="0">
      <selection activeCell="K3" sqref="K3:K5"/>
    </sheetView>
  </sheetViews>
  <sheetFormatPr defaultRowHeight="14.5" x14ac:dyDescent="0.35"/>
  <cols>
    <col min="2" max="2" width="27.54296875" customWidth="1"/>
    <col min="3" max="3" width="13.7265625" customWidth="1"/>
  </cols>
  <sheetData>
    <row r="1" spans="2:11" x14ac:dyDescent="0.35">
      <c r="C1" s="12" t="s">
        <v>27</v>
      </c>
      <c r="D1" s="12"/>
      <c r="E1" s="12"/>
      <c r="F1" s="12" t="s">
        <v>28</v>
      </c>
      <c r="G1" s="12"/>
      <c r="H1" s="12"/>
    </row>
    <row r="2" spans="2:11" x14ac:dyDescent="0.35">
      <c r="B2" t="s">
        <v>120</v>
      </c>
      <c r="C2" t="s">
        <v>119</v>
      </c>
      <c r="D2" t="s">
        <v>117</v>
      </c>
      <c r="E2" t="s">
        <v>118</v>
      </c>
      <c r="F2" t="s">
        <v>119</v>
      </c>
      <c r="G2" t="s">
        <v>117</v>
      </c>
      <c r="H2" t="s">
        <v>118</v>
      </c>
    </row>
    <row r="3" spans="2:11" x14ac:dyDescent="0.35">
      <c r="B3" t="s">
        <v>9</v>
      </c>
      <c r="C3">
        <f>3030+191</f>
        <v>3221</v>
      </c>
      <c r="D3">
        <v>4085</v>
      </c>
      <c r="E3">
        <v>4515</v>
      </c>
      <c r="F3">
        <v>705</v>
      </c>
      <c r="G3">
        <v>712</v>
      </c>
      <c r="H3">
        <v>760</v>
      </c>
      <c r="I3" s="15">
        <f>F3/F$6</f>
        <v>0.96049046321525888</v>
      </c>
      <c r="K3" s="15">
        <f>H3/H$6</f>
        <v>0.95838587641866335</v>
      </c>
    </row>
    <row r="4" spans="2:11" x14ac:dyDescent="0.35">
      <c r="B4" t="s">
        <v>99</v>
      </c>
      <c r="C4">
        <v>1772</v>
      </c>
      <c r="D4">
        <v>2785</v>
      </c>
      <c r="E4">
        <v>3269</v>
      </c>
      <c r="F4">
        <v>58</v>
      </c>
      <c r="G4">
        <v>123</v>
      </c>
      <c r="H4">
        <v>148</v>
      </c>
      <c r="I4" s="15">
        <f t="shared" ref="I4:I5" si="0">F4/F$6</f>
        <v>7.901907356948229E-2</v>
      </c>
      <c r="K4" s="15">
        <f t="shared" ref="K4:K5" si="1">H4/H$6</f>
        <v>0.18663303909205547</v>
      </c>
    </row>
    <row r="5" spans="2:11" x14ac:dyDescent="0.35">
      <c r="B5" t="s">
        <v>100</v>
      </c>
      <c r="C5">
        <v>111</v>
      </c>
      <c r="D5">
        <v>385</v>
      </c>
      <c r="E5">
        <v>459</v>
      </c>
      <c r="F5">
        <v>-29</v>
      </c>
      <c r="G5">
        <v>-107</v>
      </c>
      <c r="H5">
        <v>-115</v>
      </c>
      <c r="I5" s="15">
        <f t="shared" si="0"/>
        <v>-3.9509536784741145E-2</v>
      </c>
      <c r="K5" s="15">
        <f t="shared" si="1"/>
        <v>-0.1450189155107188</v>
      </c>
    </row>
    <row r="6" spans="2:11" x14ac:dyDescent="0.35">
      <c r="F6">
        <f>SUM(F3:F5)</f>
        <v>734</v>
      </c>
      <c r="H6">
        <f>SUM(H3:H5)</f>
        <v>793</v>
      </c>
    </row>
  </sheetData>
  <mergeCells count="2">
    <mergeCell ref="C1:E1"/>
    <mergeCell ref="F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ED667-1526-4153-8881-F14D58EF0225}">
  <dimension ref="A1:AI18"/>
  <sheetViews>
    <sheetView workbookViewId="0">
      <pane xSplit="3" ySplit="2" topLeftCell="D3" activePane="bottomRight" state="frozen"/>
      <selection pane="topRight" activeCell="D1" sqref="D1"/>
      <selection pane="bottomLeft" activeCell="A3" sqref="A3"/>
      <selection pane="bottomRight" activeCell="B3" sqref="B3"/>
    </sheetView>
  </sheetViews>
  <sheetFormatPr defaultRowHeight="14.5" x14ac:dyDescent="0.35"/>
  <cols>
    <col min="1" max="1" width="23.08984375" customWidth="1"/>
    <col min="2" max="2" width="51.54296875" bestFit="1" customWidth="1"/>
    <col min="3" max="7" width="15" customWidth="1"/>
  </cols>
  <sheetData>
    <row r="1" spans="1:35" x14ac:dyDescent="0.35">
      <c r="D1" s="12" t="s">
        <v>31</v>
      </c>
      <c r="E1" s="12"/>
      <c r="F1" s="12"/>
      <c r="G1" s="12"/>
      <c r="H1" s="12" t="s">
        <v>21</v>
      </c>
      <c r="I1" s="12"/>
      <c r="J1" s="12"/>
      <c r="K1" s="12"/>
      <c r="L1" s="12"/>
      <c r="M1" s="12"/>
      <c r="N1" s="12"/>
      <c r="O1" s="12" t="s">
        <v>27</v>
      </c>
      <c r="P1" s="12"/>
      <c r="Q1" s="12"/>
      <c r="R1" s="12"/>
      <c r="S1" s="12"/>
      <c r="T1" s="12"/>
      <c r="U1" s="12"/>
      <c r="V1" s="12" t="s">
        <v>27</v>
      </c>
      <c r="W1" s="12"/>
      <c r="X1" s="12"/>
      <c r="Y1" s="12"/>
      <c r="Z1" s="12"/>
      <c r="AA1" s="12"/>
      <c r="AB1" s="12"/>
      <c r="AC1" s="12" t="s">
        <v>28</v>
      </c>
      <c r="AD1" s="12"/>
      <c r="AE1" s="12"/>
      <c r="AF1" s="12"/>
      <c r="AG1" s="12"/>
      <c r="AH1" s="12"/>
      <c r="AI1" s="12"/>
    </row>
    <row r="2" spans="1:35" x14ac:dyDescent="0.35">
      <c r="A2" t="s">
        <v>22</v>
      </c>
      <c r="B2" t="s">
        <v>23</v>
      </c>
      <c r="C2" t="s">
        <v>24</v>
      </c>
      <c r="D2">
        <v>2014</v>
      </c>
      <c r="E2">
        <v>2015</v>
      </c>
      <c r="F2">
        <v>2016</v>
      </c>
      <c r="G2">
        <v>2017</v>
      </c>
      <c r="H2">
        <v>2016</v>
      </c>
      <c r="I2">
        <v>2017</v>
      </c>
      <c r="J2">
        <v>2018</v>
      </c>
      <c r="K2" t="s">
        <v>0</v>
      </c>
      <c r="L2" t="s">
        <v>1</v>
      </c>
      <c r="M2" t="s">
        <v>2</v>
      </c>
      <c r="N2" t="s">
        <v>3</v>
      </c>
      <c r="O2">
        <v>2016</v>
      </c>
      <c r="P2">
        <v>2017</v>
      </c>
      <c r="Q2">
        <v>2018</v>
      </c>
      <c r="R2" t="s">
        <v>0</v>
      </c>
      <c r="S2" t="s">
        <v>1</v>
      </c>
      <c r="T2" t="s">
        <v>2</v>
      </c>
      <c r="U2" t="s">
        <v>3</v>
      </c>
      <c r="V2">
        <v>2016</v>
      </c>
      <c r="W2">
        <v>2017</v>
      </c>
      <c r="X2">
        <v>2018</v>
      </c>
      <c r="Y2" t="s">
        <v>0</v>
      </c>
      <c r="Z2" t="s">
        <v>1</v>
      </c>
      <c r="AA2" t="s">
        <v>2</v>
      </c>
      <c r="AB2" t="s">
        <v>3</v>
      </c>
      <c r="AC2">
        <v>2016</v>
      </c>
      <c r="AD2">
        <v>2017</v>
      </c>
      <c r="AE2">
        <v>2018</v>
      </c>
      <c r="AF2" t="s">
        <v>0</v>
      </c>
      <c r="AG2" t="s">
        <v>1</v>
      </c>
      <c r="AH2" t="s">
        <v>2</v>
      </c>
      <c r="AI2" t="s">
        <v>3</v>
      </c>
    </row>
    <row r="3" spans="1:35" x14ac:dyDescent="0.35">
      <c r="A3" s="12" t="s">
        <v>9</v>
      </c>
      <c r="B3" t="s">
        <v>4</v>
      </c>
      <c r="C3" t="s">
        <v>25</v>
      </c>
      <c r="I3">
        <v>4883</v>
      </c>
    </row>
    <row r="4" spans="1:35" x14ac:dyDescent="0.35">
      <c r="A4" s="12"/>
      <c r="B4" t="s">
        <v>6</v>
      </c>
      <c r="C4" t="s">
        <v>25</v>
      </c>
      <c r="I4">
        <v>198</v>
      </c>
    </row>
    <row r="5" spans="1:35" x14ac:dyDescent="0.35">
      <c r="A5" s="12"/>
      <c r="B5" t="s">
        <v>5</v>
      </c>
      <c r="C5" t="s">
        <v>25</v>
      </c>
      <c r="I5">
        <v>1874</v>
      </c>
    </row>
    <row r="6" spans="1:35" x14ac:dyDescent="0.35">
      <c r="A6" s="12"/>
      <c r="B6" t="s">
        <v>7</v>
      </c>
      <c r="C6" t="s">
        <v>25</v>
      </c>
      <c r="I6">
        <v>1378</v>
      </c>
    </row>
    <row r="7" spans="1:35" x14ac:dyDescent="0.35">
      <c r="A7" s="12"/>
      <c r="B7" t="s">
        <v>8</v>
      </c>
      <c r="C7" t="s">
        <v>25</v>
      </c>
      <c r="I7">
        <v>1700</v>
      </c>
    </row>
    <row r="8" spans="1:35" x14ac:dyDescent="0.35">
      <c r="A8" s="4" t="s">
        <v>30</v>
      </c>
    </row>
    <row r="9" spans="1:35" x14ac:dyDescent="0.35">
      <c r="A9" s="12" t="s">
        <v>17</v>
      </c>
      <c r="B9" t="s">
        <v>10</v>
      </c>
      <c r="C9" t="s">
        <v>26</v>
      </c>
      <c r="H9">
        <v>69</v>
      </c>
      <c r="I9">
        <v>75</v>
      </c>
      <c r="J9" s="2">
        <f>I9+10</f>
        <v>85</v>
      </c>
      <c r="K9" s="2">
        <f t="shared" ref="K9:N9" si="0">J9+10</f>
        <v>95</v>
      </c>
      <c r="L9" s="2">
        <f t="shared" si="0"/>
        <v>105</v>
      </c>
      <c r="M9" s="2">
        <f t="shared" si="0"/>
        <v>115</v>
      </c>
      <c r="N9" s="2">
        <f t="shared" si="0"/>
        <v>125</v>
      </c>
      <c r="O9">
        <v>111</v>
      </c>
      <c r="P9">
        <v>117</v>
      </c>
    </row>
    <row r="10" spans="1:35" x14ac:dyDescent="0.35">
      <c r="A10" s="12"/>
      <c r="B10" t="s">
        <v>11</v>
      </c>
      <c r="C10" t="s">
        <v>26</v>
      </c>
      <c r="H10">
        <v>39</v>
      </c>
      <c r="I10">
        <v>38</v>
      </c>
      <c r="J10" s="3">
        <f>I10*1.15</f>
        <v>43.699999999999996</v>
      </c>
      <c r="K10" s="3">
        <f t="shared" ref="K10:N10" si="1">J10*1.15</f>
        <v>50.254999999999988</v>
      </c>
      <c r="L10" s="3">
        <f t="shared" si="1"/>
        <v>57.793249999999979</v>
      </c>
      <c r="M10" s="3">
        <f t="shared" si="1"/>
        <v>66.462237499999972</v>
      </c>
      <c r="N10" s="3">
        <f t="shared" si="1"/>
        <v>76.431573124999957</v>
      </c>
      <c r="O10">
        <v>19</v>
      </c>
      <c r="P10">
        <v>28</v>
      </c>
    </row>
    <row r="11" spans="1:35" x14ac:dyDescent="0.35">
      <c r="A11" s="12"/>
      <c r="B11" t="s">
        <v>12</v>
      </c>
      <c r="C11" t="s">
        <v>26</v>
      </c>
      <c r="H11">
        <v>103</v>
      </c>
      <c r="I11">
        <v>207</v>
      </c>
      <c r="J11" s="3">
        <f>I11*1.25</f>
        <v>258.75</v>
      </c>
      <c r="K11" s="3">
        <f t="shared" ref="K11:N11" si="2">J11*1.25</f>
        <v>323.4375</v>
      </c>
      <c r="L11" s="3">
        <f t="shared" si="2"/>
        <v>404.296875</v>
      </c>
      <c r="M11" s="3">
        <f t="shared" si="2"/>
        <v>505.37109375</v>
      </c>
      <c r="N11" s="3">
        <f t="shared" si="2"/>
        <v>631.7138671875</v>
      </c>
      <c r="P11">
        <v>54</v>
      </c>
    </row>
    <row r="12" spans="1:35" x14ac:dyDescent="0.35">
      <c r="A12" s="12"/>
      <c r="B12" t="s">
        <v>13</v>
      </c>
      <c r="C12" t="s">
        <v>26</v>
      </c>
      <c r="H12">
        <v>70</v>
      </c>
      <c r="I12">
        <v>73</v>
      </c>
      <c r="O12">
        <v>38</v>
      </c>
      <c r="P12">
        <v>34</v>
      </c>
    </row>
    <row r="13" spans="1:35" x14ac:dyDescent="0.35">
      <c r="A13" s="12"/>
      <c r="B13" t="s">
        <v>14</v>
      </c>
      <c r="C13" t="s">
        <v>26</v>
      </c>
      <c r="I13">
        <v>5</v>
      </c>
      <c r="O13">
        <v>5</v>
      </c>
      <c r="P13">
        <v>6</v>
      </c>
    </row>
    <row r="14" spans="1:35" x14ac:dyDescent="0.35">
      <c r="A14" s="12"/>
      <c r="B14" t="s">
        <v>15</v>
      </c>
      <c r="C14" t="s">
        <v>26</v>
      </c>
      <c r="H14">
        <v>11</v>
      </c>
      <c r="I14">
        <v>12</v>
      </c>
      <c r="O14">
        <v>11</v>
      </c>
      <c r="P14">
        <v>14</v>
      </c>
    </row>
    <row r="15" spans="1:35" x14ac:dyDescent="0.35">
      <c r="A15" s="12"/>
      <c r="B15" t="s">
        <v>16</v>
      </c>
      <c r="C15" t="s">
        <v>26</v>
      </c>
      <c r="H15">
        <v>8</v>
      </c>
      <c r="I15">
        <v>12</v>
      </c>
      <c r="J15" s="3">
        <f>I15*1.2</f>
        <v>14.399999999999999</v>
      </c>
      <c r="K15" s="3">
        <f t="shared" ref="K15:N15" si="3">J15*1.2</f>
        <v>17.279999999999998</v>
      </c>
      <c r="L15" s="3">
        <f t="shared" si="3"/>
        <v>20.735999999999997</v>
      </c>
      <c r="M15" s="3">
        <f t="shared" si="3"/>
        <v>24.883199999999995</v>
      </c>
      <c r="N15" s="3">
        <f t="shared" si="3"/>
        <v>29.859839999999991</v>
      </c>
      <c r="O15">
        <v>46</v>
      </c>
      <c r="P15">
        <v>91</v>
      </c>
    </row>
    <row r="16" spans="1:35" x14ac:dyDescent="0.35">
      <c r="A16" s="1" t="s">
        <v>29</v>
      </c>
      <c r="C16" t="s">
        <v>31</v>
      </c>
      <c r="D16">
        <v>1.29</v>
      </c>
      <c r="E16">
        <v>0.83</v>
      </c>
      <c r="F16">
        <v>0.87</v>
      </c>
      <c r="G16">
        <v>1.07</v>
      </c>
      <c r="J16" s="3"/>
      <c r="K16" s="3"/>
      <c r="L16" s="3"/>
      <c r="M16" s="3"/>
      <c r="N16" s="3"/>
    </row>
    <row r="17" spans="1:3" x14ac:dyDescent="0.35">
      <c r="A17" t="s">
        <v>19</v>
      </c>
      <c r="B17" t="s">
        <v>18</v>
      </c>
      <c r="C17" t="s">
        <v>26</v>
      </c>
    </row>
    <row r="18" spans="1:3" x14ac:dyDescent="0.35">
      <c r="B18" t="s">
        <v>20</v>
      </c>
    </row>
  </sheetData>
  <mergeCells count="7">
    <mergeCell ref="AC1:AI1"/>
    <mergeCell ref="A3:A7"/>
    <mergeCell ref="A9:A15"/>
    <mergeCell ref="D1:G1"/>
    <mergeCell ref="H1:N1"/>
    <mergeCell ref="O1:U1"/>
    <mergeCell ref="V1:A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8E818-D61D-49DF-A162-775121F0B5DD}">
  <dimension ref="A1:J18"/>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RowHeight="14.5" x14ac:dyDescent="0.35"/>
  <cols>
    <col min="1" max="1" width="23.08984375" customWidth="1"/>
    <col min="2" max="2" width="51.54296875" bestFit="1" customWidth="1"/>
    <col min="3" max="3" width="15" customWidth="1"/>
  </cols>
  <sheetData>
    <row r="1" spans="1:10" x14ac:dyDescent="0.35">
      <c r="D1" s="12" t="s">
        <v>27</v>
      </c>
      <c r="E1" s="12"/>
      <c r="F1" s="12"/>
      <c r="G1" s="12"/>
      <c r="H1" s="12"/>
      <c r="I1" s="12"/>
      <c r="J1" s="12"/>
    </row>
    <row r="2" spans="1:10" x14ac:dyDescent="0.35">
      <c r="A2" t="s">
        <v>22</v>
      </c>
      <c r="B2" t="s">
        <v>23</v>
      </c>
      <c r="C2" t="s">
        <v>24</v>
      </c>
      <c r="D2">
        <v>2016</v>
      </c>
      <c r="E2">
        <v>2017</v>
      </c>
      <c r="F2">
        <v>2018</v>
      </c>
      <c r="G2" t="s">
        <v>0</v>
      </c>
      <c r="H2" t="s">
        <v>1</v>
      </c>
      <c r="I2" t="s">
        <v>2</v>
      </c>
      <c r="J2" t="s">
        <v>3</v>
      </c>
    </row>
    <row r="3" spans="1:10" x14ac:dyDescent="0.35">
      <c r="A3" s="12" t="s">
        <v>9</v>
      </c>
      <c r="B3" t="s">
        <v>4</v>
      </c>
      <c r="C3" t="s">
        <v>25</v>
      </c>
    </row>
    <row r="4" spans="1:10" x14ac:dyDescent="0.35">
      <c r="A4" s="12"/>
      <c r="B4" t="s">
        <v>6</v>
      </c>
      <c r="C4" t="s">
        <v>25</v>
      </c>
    </row>
    <row r="5" spans="1:10" x14ac:dyDescent="0.35">
      <c r="A5" s="12"/>
      <c r="B5" t="s">
        <v>5</v>
      </c>
      <c r="C5" t="s">
        <v>25</v>
      </c>
    </row>
    <row r="6" spans="1:10" x14ac:dyDescent="0.35">
      <c r="A6" s="12"/>
      <c r="B6" t="s">
        <v>7</v>
      </c>
      <c r="C6" t="s">
        <v>25</v>
      </c>
    </row>
    <row r="7" spans="1:10" x14ac:dyDescent="0.35">
      <c r="A7" s="12"/>
      <c r="B7" t="s">
        <v>8</v>
      </c>
      <c r="C7" t="s">
        <v>25</v>
      </c>
    </row>
    <row r="8" spans="1:10" x14ac:dyDescent="0.35">
      <c r="A8" s="4" t="s">
        <v>30</v>
      </c>
      <c r="C8" t="s">
        <v>33</v>
      </c>
      <c r="D8">
        <v>3696</v>
      </c>
      <c r="E8">
        <v>4141</v>
      </c>
    </row>
    <row r="9" spans="1:10" x14ac:dyDescent="0.35">
      <c r="A9" s="12" t="s">
        <v>17</v>
      </c>
      <c r="B9" t="s">
        <v>10</v>
      </c>
      <c r="C9" t="s">
        <v>27</v>
      </c>
      <c r="D9">
        <v>111</v>
      </c>
      <c r="E9">
        <v>117</v>
      </c>
    </row>
    <row r="10" spans="1:10" x14ac:dyDescent="0.35">
      <c r="A10" s="12"/>
      <c r="B10" t="s">
        <v>11</v>
      </c>
      <c r="C10" t="s">
        <v>27</v>
      </c>
      <c r="D10">
        <v>19</v>
      </c>
      <c r="E10">
        <v>28</v>
      </c>
    </row>
    <row r="11" spans="1:10" x14ac:dyDescent="0.35">
      <c r="A11" s="12"/>
      <c r="B11" t="s">
        <v>12</v>
      </c>
      <c r="C11" t="s">
        <v>27</v>
      </c>
      <c r="D11">
        <v>0</v>
      </c>
      <c r="E11">
        <v>54</v>
      </c>
    </row>
    <row r="12" spans="1:10" x14ac:dyDescent="0.35">
      <c r="A12" s="12"/>
      <c r="B12" t="s">
        <v>13</v>
      </c>
      <c r="C12" t="s">
        <v>27</v>
      </c>
      <c r="D12">
        <v>38</v>
      </c>
      <c r="E12">
        <v>34</v>
      </c>
    </row>
    <row r="13" spans="1:10" x14ac:dyDescent="0.35">
      <c r="A13" s="12"/>
      <c r="B13" t="s">
        <v>14</v>
      </c>
      <c r="C13" t="s">
        <v>27</v>
      </c>
      <c r="D13">
        <v>5</v>
      </c>
      <c r="E13">
        <v>6</v>
      </c>
    </row>
    <row r="14" spans="1:10" x14ac:dyDescent="0.35">
      <c r="A14" s="12"/>
      <c r="B14" t="s">
        <v>15</v>
      </c>
      <c r="C14" t="s">
        <v>27</v>
      </c>
      <c r="D14">
        <v>11</v>
      </c>
      <c r="E14">
        <v>14</v>
      </c>
    </row>
    <row r="15" spans="1:10" x14ac:dyDescent="0.35">
      <c r="A15" s="12"/>
      <c r="B15" t="s">
        <v>16</v>
      </c>
      <c r="C15" t="s">
        <v>27</v>
      </c>
      <c r="D15">
        <v>46</v>
      </c>
      <c r="E15">
        <v>91</v>
      </c>
    </row>
    <row r="16" spans="1:10" x14ac:dyDescent="0.35">
      <c r="A16" s="1" t="s">
        <v>29</v>
      </c>
      <c r="C16" t="s">
        <v>33</v>
      </c>
      <c r="D16">
        <f>SUM(D9:D15)</f>
        <v>230</v>
      </c>
      <c r="E16">
        <f>SUM(E9:E15)</f>
        <v>344</v>
      </c>
    </row>
    <row r="17" spans="1:5" x14ac:dyDescent="0.35">
      <c r="A17" t="s">
        <v>19</v>
      </c>
      <c r="B17" t="s">
        <v>18</v>
      </c>
      <c r="C17" t="s">
        <v>33</v>
      </c>
      <c r="D17">
        <v>2322</v>
      </c>
      <c r="E17">
        <v>2875</v>
      </c>
    </row>
    <row r="18" spans="1:5" x14ac:dyDescent="0.35">
      <c r="B18" t="s">
        <v>20</v>
      </c>
      <c r="C18" t="s">
        <v>33</v>
      </c>
    </row>
  </sheetData>
  <mergeCells count="3">
    <mergeCell ref="A9:A15"/>
    <mergeCell ref="D1:J1"/>
    <mergeCell ref="A3:A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190C9-C3C0-4997-9670-784B83645563}">
  <dimension ref="B1:D8"/>
  <sheetViews>
    <sheetView workbookViewId="0">
      <selection activeCell="C2" sqref="C2"/>
    </sheetView>
  </sheetViews>
  <sheetFormatPr defaultRowHeight="14.5" x14ac:dyDescent="0.35"/>
  <cols>
    <col min="2" max="2" width="32.6328125" bestFit="1" customWidth="1"/>
  </cols>
  <sheetData>
    <row r="1" spans="2:4" x14ac:dyDescent="0.35">
      <c r="B1" s="5" t="s">
        <v>35</v>
      </c>
      <c r="C1">
        <v>2016</v>
      </c>
      <c r="D1">
        <v>2017</v>
      </c>
    </row>
    <row r="2" spans="2:4" x14ac:dyDescent="0.35">
      <c r="B2" t="s">
        <v>34</v>
      </c>
    </row>
    <row r="3" spans="2:4" x14ac:dyDescent="0.35">
      <c r="B3" t="s">
        <v>36</v>
      </c>
    </row>
    <row r="4" spans="2:4" x14ac:dyDescent="0.35">
      <c r="B4" t="s">
        <v>37</v>
      </c>
    </row>
    <row r="5" spans="2:4" x14ac:dyDescent="0.35">
      <c r="B5" t="s">
        <v>38</v>
      </c>
    </row>
    <row r="6" spans="2:4" x14ac:dyDescent="0.35">
      <c r="B6" t="s">
        <v>39</v>
      </c>
    </row>
    <row r="7" spans="2:4" x14ac:dyDescent="0.35">
      <c r="B7" t="s">
        <v>40</v>
      </c>
    </row>
    <row r="8" spans="2:4" x14ac:dyDescent="0.35">
      <c r="B8" t="s">
        <v>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86BFA-F213-4306-9F6C-22A88BC91BFF}">
  <dimension ref="A1:J18"/>
  <sheetViews>
    <sheetView zoomScale="70" zoomScaleNormal="70" workbookViewId="0">
      <pane xSplit="3" ySplit="2" topLeftCell="D3" activePane="bottomRight" state="frozen"/>
      <selection pane="topRight" activeCell="D1" sqref="D1"/>
      <selection pane="bottomLeft" activeCell="A3" sqref="A3"/>
      <selection pane="bottomRight" activeCell="A8" sqref="A8"/>
    </sheetView>
  </sheetViews>
  <sheetFormatPr defaultRowHeight="14.5" x14ac:dyDescent="0.35"/>
  <cols>
    <col min="1" max="1" width="23.08984375" customWidth="1"/>
    <col min="2" max="2" width="51.54296875" bestFit="1" customWidth="1"/>
    <col min="3" max="3" width="15" customWidth="1"/>
  </cols>
  <sheetData>
    <row r="1" spans="1:10" x14ac:dyDescent="0.35">
      <c r="D1" s="12" t="s">
        <v>32</v>
      </c>
      <c r="E1" s="12"/>
      <c r="F1" s="12"/>
      <c r="G1" s="12"/>
      <c r="H1" s="12"/>
      <c r="I1" s="12"/>
      <c r="J1" s="12"/>
    </row>
    <row r="2" spans="1:10" x14ac:dyDescent="0.35">
      <c r="A2" s="6" t="s">
        <v>22</v>
      </c>
      <c r="B2" s="6" t="s">
        <v>23</v>
      </c>
      <c r="C2" s="6" t="s">
        <v>24</v>
      </c>
      <c r="D2" s="6">
        <v>2016</v>
      </c>
      <c r="E2" s="6">
        <v>2017</v>
      </c>
      <c r="F2" s="6">
        <v>2018</v>
      </c>
      <c r="G2" s="6" t="s">
        <v>0</v>
      </c>
      <c r="H2" s="6" t="s">
        <v>1</v>
      </c>
      <c r="I2" s="6" t="s">
        <v>2</v>
      </c>
      <c r="J2" s="6" t="s">
        <v>3</v>
      </c>
    </row>
    <row r="3" spans="1:10" x14ac:dyDescent="0.35">
      <c r="A3" s="14" t="s">
        <v>9</v>
      </c>
      <c r="B3" s="7" t="s">
        <v>4</v>
      </c>
      <c r="C3" s="7" t="s">
        <v>25</v>
      </c>
      <c r="D3" s="7"/>
      <c r="E3" s="7">
        <v>4883</v>
      </c>
      <c r="F3" s="7"/>
      <c r="G3" s="7"/>
      <c r="H3" s="7"/>
      <c r="I3" s="7"/>
      <c r="J3" s="7"/>
    </row>
    <row r="4" spans="1:10" x14ac:dyDescent="0.35">
      <c r="A4" s="14"/>
      <c r="B4" s="7" t="s">
        <v>6</v>
      </c>
      <c r="C4" s="7" t="s">
        <v>25</v>
      </c>
      <c r="D4" s="7"/>
      <c r="E4" s="7">
        <v>198</v>
      </c>
      <c r="F4" s="7"/>
      <c r="G4" s="7"/>
      <c r="H4" s="7"/>
      <c r="I4" s="7"/>
      <c r="J4" s="7"/>
    </row>
    <row r="5" spans="1:10" x14ac:dyDescent="0.35">
      <c r="A5" s="14"/>
      <c r="B5" s="7" t="s">
        <v>5</v>
      </c>
      <c r="C5" s="7" t="s">
        <v>25</v>
      </c>
      <c r="D5" s="7"/>
      <c r="E5" s="7">
        <v>1874</v>
      </c>
      <c r="F5" s="7"/>
      <c r="G5" s="7"/>
      <c r="H5" s="7"/>
      <c r="I5" s="7"/>
      <c r="J5" s="7"/>
    </row>
    <row r="6" spans="1:10" x14ac:dyDescent="0.35">
      <c r="A6" s="14"/>
      <c r="B6" s="7" t="s">
        <v>7</v>
      </c>
      <c r="C6" s="7" t="s">
        <v>25</v>
      </c>
      <c r="D6" s="7"/>
      <c r="E6" s="7">
        <v>1378</v>
      </c>
      <c r="F6" s="7"/>
      <c r="G6" s="7"/>
      <c r="H6" s="7"/>
      <c r="I6" s="7"/>
      <c r="J6" s="7"/>
    </row>
    <row r="7" spans="1:10" x14ac:dyDescent="0.35">
      <c r="A7" s="14"/>
      <c r="B7" s="7" t="s">
        <v>8</v>
      </c>
      <c r="C7" s="7" t="s">
        <v>25</v>
      </c>
      <c r="D7" s="7"/>
      <c r="E7" s="7">
        <v>1700</v>
      </c>
      <c r="F7" s="7"/>
      <c r="G7" s="7">
        <v>750</v>
      </c>
      <c r="H7" s="7"/>
      <c r="I7" s="7"/>
      <c r="J7" s="7"/>
    </row>
    <row r="8" spans="1:10" x14ac:dyDescent="0.35">
      <c r="A8" s="8" t="s">
        <v>30</v>
      </c>
      <c r="B8" s="7"/>
      <c r="C8" s="7"/>
      <c r="D8" s="7"/>
      <c r="E8" s="7">
        <f>SUM(E3:E7)</f>
        <v>10033</v>
      </c>
      <c r="F8" s="7">
        <f>E8+SUM(F3:F7)</f>
        <v>10033</v>
      </c>
      <c r="G8" s="7">
        <f>F8+SUM(G3:G7)</f>
        <v>10783</v>
      </c>
      <c r="H8" s="7">
        <f t="shared" ref="H8:J8" si="0">G8+SUM(H3:H7)</f>
        <v>10783</v>
      </c>
      <c r="I8" s="7">
        <f t="shared" si="0"/>
        <v>10783</v>
      </c>
      <c r="J8" s="7">
        <f t="shared" si="0"/>
        <v>10783</v>
      </c>
    </row>
    <row r="9" spans="1:10" x14ac:dyDescent="0.35">
      <c r="A9" s="13" t="s">
        <v>17</v>
      </c>
      <c r="B9" s="7" t="s">
        <v>10</v>
      </c>
      <c r="C9" s="7" t="s">
        <v>26</v>
      </c>
      <c r="D9" s="7">
        <v>69</v>
      </c>
      <c r="E9" s="7">
        <v>75</v>
      </c>
      <c r="F9" s="9">
        <f>E9+10</f>
        <v>85</v>
      </c>
      <c r="G9" s="9">
        <f t="shared" ref="G9:J9" si="1">F9+10</f>
        <v>95</v>
      </c>
      <c r="H9" s="9">
        <f t="shared" si="1"/>
        <v>105</v>
      </c>
      <c r="I9" s="9">
        <f t="shared" si="1"/>
        <v>115</v>
      </c>
      <c r="J9" s="9">
        <f t="shared" si="1"/>
        <v>125</v>
      </c>
    </row>
    <row r="10" spans="1:10" x14ac:dyDescent="0.35">
      <c r="A10" s="13"/>
      <c r="B10" s="7" t="s">
        <v>11</v>
      </c>
      <c r="C10" s="7" t="s">
        <v>26</v>
      </c>
      <c r="D10" s="7">
        <v>39</v>
      </c>
      <c r="E10" s="7">
        <v>38</v>
      </c>
      <c r="F10" s="10">
        <f>E10*1.15</f>
        <v>43.699999999999996</v>
      </c>
      <c r="G10" s="10">
        <f t="shared" ref="G10:J10" si="2">F10*1.15</f>
        <v>50.254999999999988</v>
      </c>
      <c r="H10" s="10">
        <f t="shared" si="2"/>
        <v>57.793249999999979</v>
      </c>
      <c r="I10" s="10">
        <f t="shared" si="2"/>
        <v>66.462237499999972</v>
      </c>
      <c r="J10" s="10">
        <f t="shared" si="2"/>
        <v>76.431573124999957</v>
      </c>
    </row>
    <row r="11" spans="1:10" x14ac:dyDescent="0.35">
      <c r="A11" s="13"/>
      <c r="B11" s="7" t="s">
        <v>12</v>
      </c>
      <c r="C11" s="7" t="s">
        <v>26</v>
      </c>
      <c r="D11" s="7">
        <v>103</v>
      </c>
      <c r="E11" s="7">
        <v>207</v>
      </c>
      <c r="F11" s="10">
        <f>E11*1.25</f>
        <v>258.75</v>
      </c>
      <c r="G11" s="10">
        <f t="shared" ref="G11:J11" si="3">F11*1.25</f>
        <v>323.4375</v>
      </c>
      <c r="H11" s="10">
        <f t="shared" si="3"/>
        <v>404.296875</v>
      </c>
      <c r="I11" s="10">
        <f t="shared" si="3"/>
        <v>505.37109375</v>
      </c>
      <c r="J11" s="10">
        <f t="shared" si="3"/>
        <v>631.7138671875</v>
      </c>
    </row>
    <row r="12" spans="1:10" x14ac:dyDescent="0.35">
      <c r="A12" s="13"/>
      <c r="B12" s="7" t="s">
        <v>13</v>
      </c>
      <c r="C12" s="7" t="s">
        <v>26</v>
      </c>
      <c r="D12" s="7">
        <v>70</v>
      </c>
      <c r="E12" s="7">
        <v>73</v>
      </c>
      <c r="F12" s="7"/>
      <c r="G12" s="7"/>
      <c r="H12" s="7"/>
      <c r="I12" s="7"/>
      <c r="J12" s="7"/>
    </row>
    <row r="13" spans="1:10" x14ac:dyDescent="0.35">
      <c r="A13" s="13"/>
      <c r="B13" s="7" t="s">
        <v>14</v>
      </c>
      <c r="C13" s="7" t="s">
        <v>26</v>
      </c>
      <c r="D13" s="7"/>
      <c r="E13" s="7">
        <v>5</v>
      </c>
      <c r="F13" s="7"/>
      <c r="G13" s="7"/>
      <c r="H13" s="7"/>
      <c r="I13" s="7"/>
      <c r="J13" s="7"/>
    </row>
    <row r="14" spans="1:10" x14ac:dyDescent="0.35">
      <c r="A14" s="13"/>
      <c r="B14" s="7" t="s">
        <v>15</v>
      </c>
      <c r="C14" s="7" t="s">
        <v>26</v>
      </c>
      <c r="D14" s="7">
        <v>11</v>
      </c>
      <c r="E14" s="7">
        <v>12</v>
      </c>
      <c r="F14" s="7"/>
      <c r="G14" s="7"/>
      <c r="H14" s="7"/>
      <c r="I14" s="7"/>
      <c r="J14" s="7"/>
    </row>
    <row r="15" spans="1:10" x14ac:dyDescent="0.35">
      <c r="A15" s="13"/>
      <c r="B15" s="7" t="s">
        <v>16</v>
      </c>
      <c r="C15" s="7" t="s">
        <v>26</v>
      </c>
      <c r="D15" s="7">
        <v>8</v>
      </c>
      <c r="E15" s="7">
        <v>12</v>
      </c>
      <c r="F15" s="10">
        <f>E15*1.2</f>
        <v>14.399999999999999</v>
      </c>
      <c r="G15" s="10">
        <f t="shared" ref="G15:J15" si="4">F15*1.2</f>
        <v>17.279999999999998</v>
      </c>
      <c r="H15" s="10">
        <f t="shared" si="4"/>
        <v>20.735999999999997</v>
      </c>
      <c r="I15" s="10">
        <f t="shared" si="4"/>
        <v>24.883199999999995</v>
      </c>
      <c r="J15" s="10">
        <f t="shared" si="4"/>
        <v>29.859839999999991</v>
      </c>
    </row>
    <row r="16" spans="1:10" x14ac:dyDescent="0.35">
      <c r="A16" s="11" t="s">
        <v>29</v>
      </c>
      <c r="B16" s="7"/>
      <c r="C16" s="7"/>
      <c r="D16" s="10">
        <f>SUM(D9:D15)</f>
        <v>300</v>
      </c>
      <c r="E16" s="10">
        <f t="shared" ref="E16:J16" si="5">SUM(E9:E15)</f>
        <v>422</v>
      </c>
      <c r="F16" s="10">
        <f t="shared" si="5"/>
        <v>401.84999999999997</v>
      </c>
      <c r="G16" s="10">
        <f t="shared" si="5"/>
        <v>485.97249999999997</v>
      </c>
      <c r="H16" s="10">
        <f t="shared" si="5"/>
        <v>587.82612499999993</v>
      </c>
      <c r="I16" s="10">
        <f t="shared" si="5"/>
        <v>711.71653124999989</v>
      </c>
      <c r="J16" s="10">
        <f t="shared" si="5"/>
        <v>863.00528031249985</v>
      </c>
    </row>
    <row r="17" spans="1:10" x14ac:dyDescent="0.35">
      <c r="A17" s="7" t="s">
        <v>19</v>
      </c>
      <c r="B17" s="7" t="s">
        <v>18</v>
      </c>
      <c r="C17" s="7" t="s">
        <v>26</v>
      </c>
      <c r="D17" s="7">
        <v>2326</v>
      </c>
      <c r="E17" s="7">
        <v>2556</v>
      </c>
      <c r="F17" s="7"/>
      <c r="G17" s="7"/>
      <c r="H17" s="7"/>
      <c r="I17" s="7"/>
      <c r="J17" s="7"/>
    </row>
    <row r="18" spans="1:10" x14ac:dyDescent="0.35">
      <c r="B18" t="s">
        <v>20</v>
      </c>
    </row>
  </sheetData>
  <mergeCells count="3">
    <mergeCell ref="A9:A15"/>
    <mergeCell ref="D1:J1"/>
    <mergeCell ref="A3:A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Hospital Valuation</vt:lpstr>
      <vt:lpstr>Sheet1</vt:lpstr>
      <vt:lpstr>Sheet1 (3)</vt:lpstr>
      <vt:lpstr>Revenue</vt:lpstr>
      <vt:lpstr>Sheet4</vt:lpstr>
      <vt:lpstr>Capacity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Kumar Saurabh</dc:creator>
  <cp:lastModifiedBy>Kumar Saurabh</cp:lastModifiedBy>
  <dcterms:created xsi:type="dcterms:W3CDTF">2018-06-04T13:28:31Z</dcterms:created>
  <dcterms:modified xsi:type="dcterms:W3CDTF">2018-07-14T19:51:30Z</dcterms:modified>
</cp:coreProperties>
</file>