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theme/themeOverride4.xml" ContentType="application/vnd.openxmlformats-officedocument.themeOverride+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theme/themeOverride6.xml" ContentType="application/vnd.openxmlformats-officedocument.themeOverride+xml"/>
  <Override PartName="/xl/charts/chart9.xml" ContentType="application/vnd.openxmlformats-officedocument.drawingml.chart+xml"/>
  <Override PartName="/xl/theme/themeOverride7.xml" ContentType="application/vnd.openxmlformats-officedocument.themeOverride+xml"/>
  <Override PartName="/xl/charts/chart10.xml" ContentType="application/vnd.openxmlformats-officedocument.drawingml.chart+xml"/>
  <Override PartName="/xl/theme/themeOverride8.xml" ContentType="application/vnd.openxmlformats-officedocument.themeOverride+xml"/>
  <Override PartName="/xl/charts/chart11.xml" ContentType="application/vnd.openxmlformats-officedocument.drawingml.chart+xml"/>
  <Override PartName="/xl/theme/themeOverride9.xml" ContentType="application/vnd.openxmlformats-officedocument.themeOverride+xml"/>
  <Override PartName="/xl/charts/chart12.xml" ContentType="application/vnd.openxmlformats-officedocument.drawingml.chart+xml"/>
  <Override PartName="/xl/theme/themeOverride10.xml" ContentType="application/vnd.openxmlformats-officedocument.themeOverride+xml"/>
  <Override PartName="/xl/charts/chart13.xml" ContentType="application/vnd.openxmlformats-officedocument.drawingml.chart+xml"/>
  <Override PartName="/xl/theme/themeOverride11.xml" ContentType="application/vnd.openxmlformats-officedocument.themeOverride+xml"/>
  <Override PartName="/xl/charts/chart14.xml" ContentType="application/vnd.openxmlformats-officedocument.drawingml.chart+xml"/>
  <Override PartName="/xl/theme/themeOverride12.xml" ContentType="application/vnd.openxmlformats-officedocument.themeOverride+xml"/>
  <Override PartName="/xl/charts/chart15.xml" ContentType="application/vnd.openxmlformats-officedocument.drawingml.chart+xml"/>
  <Override PartName="/xl/theme/themeOverride13.xml" ContentType="application/vnd.openxmlformats-officedocument.themeOverride+xml"/>
  <Override PartName="/xl/charts/chart16.xml" ContentType="application/vnd.openxmlformats-officedocument.drawingml.chart+xml"/>
  <Override PartName="/xl/theme/themeOverride14.xml" ContentType="application/vnd.openxmlformats-officedocument.themeOverride+xml"/>
  <Override PartName="/xl/charts/chart17.xml" ContentType="application/vnd.openxmlformats-officedocument.drawingml.chart+xml"/>
  <Override PartName="/xl/theme/themeOverride15.xml" ContentType="application/vnd.openxmlformats-officedocument.themeOverride+xml"/>
  <Override PartName="/xl/charts/chart18.xml" ContentType="application/vnd.openxmlformats-officedocument.drawingml.chart+xml"/>
  <Override PartName="/xl/theme/themeOverride16.xml" ContentType="application/vnd.openxmlformats-officedocument.themeOverride+xml"/>
  <Override PartName="/xl/charts/chart19.xml" ContentType="application/vnd.openxmlformats-officedocument.drawingml.chart+xml"/>
  <Override PartName="/xl/theme/themeOverride17.xml" ContentType="application/vnd.openxmlformats-officedocument.themeOverride+xml"/>
  <Override PartName="/xl/charts/chart20.xml" ContentType="application/vnd.openxmlformats-officedocument.drawingml.chart+xml"/>
  <Override PartName="/xl/theme/themeOverride18.xml" ContentType="application/vnd.openxmlformats-officedocument.themeOverride+xml"/>
  <Override PartName="/xl/charts/chart21.xml" ContentType="application/vnd.openxmlformats-officedocument.drawingml.chart+xml"/>
  <Override PartName="/xl/theme/themeOverride19.xml" ContentType="application/vnd.openxmlformats-officedocument.themeOverride+xml"/>
  <Override PartName="/xl/charts/chart22.xml" ContentType="application/vnd.openxmlformats-officedocument.drawingml.chart+xml"/>
  <Override PartName="/xl/theme/themeOverride20.xml" ContentType="application/vnd.openxmlformats-officedocument.themeOverride+xml"/>
  <Override PartName="/xl/charts/chart23.xml" ContentType="application/vnd.openxmlformats-officedocument.drawingml.chart+xml"/>
  <Override PartName="/xl/theme/themeOverride21.xml" ContentType="application/vnd.openxmlformats-officedocument.themeOverride+xml"/>
  <Override PartName="/xl/charts/chart24.xml" ContentType="application/vnd.openxmlformats-officedocument.drawingml.chart+xml"/>
  <Override PartName="/xl/theme/themeOverride22.xml" ContentType="application/vnd.openxmlformats-officedocument.themeOverride+xml"/>
  <Override PartName="/xl/charts/chart25.xml" ContentType="application/vnd.openxmlformats-officedocument.drawingml.chart+xml"/>
  <Override PartName="/xl/theme/themeOverride23.xml" ContentType="application/vnd.openxmlformats-officedocument.themeOverride+xml"/>
  <Override PartName="/xl/charts/chart26.xml" ContentType="application/vnd.openxmlformats-officedocument.drawingml.chart+xml"/>
  <Override PartName="/xl/theme/themeOverride24.xml" ContentType="application/vnd.openxmlformats-officedocument.themeOverride+xml"/>
  <Override PartName="/xl/charts/chart27.xml" ContentType="application/vnd.openxmlformats-officedocument.drawingml.chart+xml"/>
  <Override PartName="/xl/theme/themeOverride25.xml" ContentType="application/vnd.openxmlformats-officedocument.themeOverride+xml"/>
  <Override PartName="/xl/charts/chart28.xml" ContentType="application/vnd.openxmlformats-officedocument.drawingml.chart+xml"/>
  <Override PartName="/xl/theme/themeOverride26.xml" ContentType="application/vnd.openxmlformats-officedocument.themeOverride+xml"/>
  <Override PartName="/xl/charts/chart29.xml" ContentType="application/vnd.openxmlformats-officedocument.drawingml.chart+xml"/>
  <Override PartName="/xl/theme/themeOverride27.xml" ContentType="application/vnd.openxmlformats-officedocument.themeOverride+xml"/>
  <Override PartName="/xl/charts/chart30.xml" ContentType="application/vnd.openxmlformats-officedocument.drawingml.chart+xml"/>
  <Override PartName="/xl/theme/themeOverride28.xml" ContentType="application/vnd.openxmlformats-officedocument.themeOverride+xml"/>
  <Override PartName="/xl/charts/chart31.xml" ContentType="application/vnd.openxmlformats-officedocument.drawingml.chart+xml"/>
  <Override PartName="/xl/theme/themeOverride29.xml" ContentType="application/vnd.openxmlformats-officedocument.themeOverride+xml"/>
  <Override PartName="/xl/charts/chart32.xml" ContentType="application/vnd.openxmlformats-officedocument.drawingml.chart+xml"/>
  <Override PartName="/xl/theme/themeOverride30.xml" ContentType="application/vnd.openxmlformats-officedocument.themeOverride+xml"/>
  <Override PartName="/xl/charts/chart33.xml" ContentType="application/vnd.openxmlformats-officedocument.drawingml.chart+xml"/>
  <Override PartName="/xl/theme/themeOverride31.xml" ContentType="application/vnd.openxmlformats-officedocument.themeOverride+xml"/>
  <Override PartName="/xl/charts/chart34.xml" ContentType="application/vnd.openxmlformats-officedocument.drawingml.chart+xml"/>
  <Override PartName="/xl/theme/themeOverride32.xml" ContentType="application/vnd.openxmlformats-officedocument.themeOverride+xml"/>
  <Override PartName="/xl/charts/chart35.xml" ContentType="application/vnd.openxmlformats-officedocument.drawingml.chart+xml"/>
  <Override PartName="/xl/theme/themeOverride33.xml" ContentType="application/vnd.openxmlformats-officedocument.themeOverride+xml"/>
  <Override PartName="/xl/charts/chart36.xml" ContentType="application/vnd.openxmlformats-officedocument.drawingml.chart+xml"/>
  <Override PartName="/xl/theme/themeOverride34.xml" ContentType="application/vnd.openxmlformats-officedocument.themeOverride+xml"/>
  <Override PartName="/xl/charts/chart37.xml" ContentType="application/vnd.openxmlformats-officedocument.drawingml.chart+xml"/>
  <Override PartName="/xl/theme/themeOverride35.xml" ContentType="application/vnd.openxmlformats-officedocument.themeOverride+xml"/>
  <Override PartName="/xl/charts/chart38.xml" ContentType="application/vnd.openxmlformats-officedocument.drawingml.chart+xml"/>
  <Override PartName="/xl/theme/themeOverride36.xml" ContentType="application/vnd.openxmlformats-officedocument.themeOverride+xml"/>
  <Override PartName="/xl/charts/chart39.xml" ContentType="application/vnd.openxmlformats-officedocument.drawingml.chart+xml"/>
  <Override PartName="/xl/theme/themeOverride37.xml" ContentType="application/vnd.openxmlformats-officedocument.themeOverride+xml"/>
  <Override PartName="/xl/charts/chart40.xml" ContentType="application/vnd.openxmlformats-officedocument.drawingml.chart+xml"/>
  <Override PartName="/xl/drawings/drawing2.xml" ContentType="application/vnd.openxmlformats-officedocument.drawing+xml"/>
  <Override PartName="/xl/charts/chart41.xml" ContentType="application/vnd.openxmlformats-officedocument.drawingml.chart+xml"/>
  <Override PartName="/xl/theme/themeOverride38.xml" ContentType="application/vnd.openxmlformats-officedocument.themeOverride+xml"/>
  <Override PartName="/xl/charts/chart42.xml" ContentType="application/vnd.openxmlformats-officedocument.drawingml.chart+xml"/>
  <Override PartName="/xl/theme/themeOverride39.xml" ContentType="application/vnd.openxmlformats-officedocument.themeOverride+xml"/>
  <Override PartName="/xl/charts/chart43.xml" ContentType="application/vnd.openxmlformats-officedocument.drawingml.chart+xml"/>
  <Override PartName="/xl/theme/themeOverride40.xml" ContentType="application/vnd.openxmlformats-officedocument.themeOverride+xml"/>
  <Override PartName="/xl/charts/chart44.xml" ContentType="application/vnd.openxmlformats-officedocument.drawingml.chart+xml"/>
  <Override PartName="/xl/theme/themeOverride41.xml" ContentType="application/vnd.openxmlformats-officedocument.themeOverride+xml"/>
  <Override PartName="/xl/charts/chart45.xml" ContentType="application/vnd.openxmlformats-officedocument.drawingml.chart+xml"/>
  <Override PartName="/xl/theme/themeOverride42.xml" ContentType="application/vnd.openxmlformats-officedocument.themeOverride+xml"/>
  <Override PartName="/xl/charts/chart46.xml" ContentType="application/vnd.openxmlformats-officedocument.drawingml.chart+xml"/>
  <Override PartName="/xl/theme/themeOverride43.xml" ContentType="application/vnd.openxmlformats-officedocument.themeOverride+xml"/>
  <Override PartName="/xl/charts/chart47.xml" ContentType="application/vnd.openxmlformats-officedocument.drawingml.chart+xml"/>
  <Override PartName="/xl/theme/themeOverride44.xml" ContentType="application/vnd.openxmlformats-officedocument.themeOverride+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48.xml" ContentType="application/vnd.openxmlformats-officedocument.drawingml.chart+xml"/>
  <Override PartName="/xl/theme/themeOverride45.xml" ContentType="application/vnd.openxmlformats-officedocument.themeOverrid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375" yWindow="-225" windowWidth="19440" windowHeight="7935" tabRatio="875"/>
  </bookViews>
  <sheets>
    <sheet name="How-To-Use" sheetId="5" r:id="rId1"/>
    <sheet name="Overview" sheetId="20" r:id="rId2"/>
    <sheet name="Data Sheet" sheetId="6" r:id="rId3"/>
    <sheet name="Others" sheetId="19" r:id="rId4"/>
    <sheet name="DrVM" sheetId="26" r:id="rId5"/>
    <sheet name="Trend" sheetId="13" r:id="rId6"/>
    <sheet name="Financial Analysis" sheetId="15" r:id="rId7"/>
    <sheet name="Profit &amp; Loss" sheetId="1" r:id="rId8"/>
    <sheet name="Balance Sheet" sheetId="2" r:id="rId9"/>
    <sheet name="Other_input_data" sheetId="14" r:id="rId10"/>
    <sheet name="DrVM_Comparison" sheetId="25" r:id="rId11"/>
    <sheet name="Price" sheetId="22" r:id="rId12"/>
    <sheet name="CAPM-EquityReqRet" sheetId="21" r:id="rId13"/>
    <sheet name="Quarters" sheetId="3" r:id="rId14"/>
    <sheet name="Alt D S" sheetId="24" r:id="rId15"/>
    <sheet name="Investment_Ratio" sheetId="18" r:id="rId16"/>
    <sheet name="Asset_Ratio" sheetId="17" r:id="rId17"/>
    <sheet name="Model_Input2" sheetId="12" r:id="rId18"/>
    <sheet name="Comparative" sheetId="10" r:id="rId19"/>
    <sheet name="Analysis2" sheetId="9" r:id="rId20"/>
    <sheet name="Cash Flow" sheetId="4" r:id="rId21"/>
    <sheet name="Valuation" sheetId="8" r:id="rId22"/>
    <sheet name="PE Forecast" sheetId="7" r:id="rId23"/>
    <sheet name="Comparative1" sheetId="11" r:id="rId24"/>
  </sheets>
  <externalReferences>
    <externalReference r:id="rId2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4">'Data Sheet'!$E$1</definedName>
    <definedName name="UPDATE" localSheetId="19">'[1]Data Sheet'!$E$1</definedName>
    <definedName name="UPDATE" localSheetId="16">'Data Sheet'!$E$1</definedName>
    <definedName name="UPDATE" localSheetId="18">'Data Sheet'!$E$1</definedName>
    <definedName name="UPDATE" localSheetId="23">'Data Sheet'!$E$1</definedName>
    <definedName name="UPDATE" localSheetId="6">'[1]Data Sheet'!$E$1</definedName>
    <definedName name="UPDATE" localSheetId="15">'Data Sheet'!$E$1</definedName>
    <definedName name="UPDATE" localSheetId="17">'Data Sheet'!$E$1</definedName>
    <definedName name="UPDATE" localSheetId="9">'[1]Data Sheet'!$E$1</definedName>
    <definedName name="UPDATE" localSheetId="3">'Data Sheet'!$E$1</definedName>
    <definedName name="UPDATE" localSheetId="1">'Data Sheet'!$E$1</definedName>
    <definedName name="UPDATE" localSheetId="22">'Data Sheet'!$E$1</definedName>
    <definedName name="UPDATE" localSheetId="5">'Data Sheet'!$E$1</definedName>
    <definedName name="UPDATE" localSheetId="21">'[1]Data Sheet'!$E$1</definedName>
    <definedName name="UPDATE">'Data Sheet'!$E$1</definedName>
  </definedNames>
  <calcPr calcId="144525"/>
</workbook>
</file>

<file path=xl/calcChain.xml><?xml version="1.0" encoding="utf-8"?>
<calcChain xmlns="http://schemas.openxmlformats.org/spreadsheetml/2006/main">
  <c r="C93" i="19" l="1"/>
  <c r="D93" i="19"/>
  <c r="E93" i="19"/>
  <c r="F93" i="19"/>
  <c r="G93" i="19"/>
  <c r="H93" i="19"/>
  <c r="I93" i="19"/>
  <c r="J93" i="19"/>
  <c r="K93" i="19"/>
  <c r="B93" i="19"/>
  <c r="C92" i="19"/>
  <c r="D92" i="19"/>
  <c r="E92" i="19"/>
  <c r="F92" i="19"/>
  <c r="G92" i="19"/>
  <c r="H92" i="19"/>
  <c r="I92" i="19"/>
  <c r="J92" i="19"/>
  <c r="K92" i="19"/>
  <c r="B92" i="19"/>
  <c r="C91" i="19"/>
  <c r="D91" i="19"/>
  <c r="E91" i="19"/>
  <c r="F91" i="19"/>
  <c r="G91" i="19"/>
  <c r="H91" i="19"/>
  <c r="I91" i="19"/>
  <c r="J91" i="19"/>
  <c r="K91" i="19"/>
  <c r="B91" i="19"/>
  <c r="B83" i="19" l="1"/>
  <c r="D82" i="19"/>
  <c r="F82" i="19"/>
  <c r="H82" i="19"/>
  <c r="J82" i="19"/>
  <c r="D80" i="19"/>
  <c r="D81" i="19" s="1"/>
  <c r="F80" i="19"/>
  <c r="F81" i="19" s="1"/>
  <c r="H80" i="19"/>
  <c r="H81" i="19" s="1"/>
  <c r="J80" i="19"/>
  <c r="J81" i="19" s="1"/>
  <c r="C79" i="19"/>
  <c r="D79" i="19"/>
  <c r="E79" i="19"/>
  <c r="F79" i="19"/>
  <c r="G79" i="19"/>
  <c r="H79" i="19"/>
  <c r="I79" i="19"/>
  <c r="J79" i="19"/>
  <c r="K79" i="19"/>
  <c r="B79" i="19"/>
  <c r="C78" i="19"/>
  <c r="C82" i="19" s="1"/>
  <c r="D78" i="19"/>
  <c r="E78" i="19"/>
  <c r="E82" i="19" s="1"/>
  <c r="F78" i="19"/>
  <c r="G78" i="19"/>
  <c r="G82" i="19" s="1"/>
  <c r="H78" i="19"/>
  <c r="I78" i="19"/>
  <c r="I82" i="19" s="1"/>
  <c r="J78" i="19"/>
  <c r="K78" i="19"/>
  <c r="K82" i="19" s="1"/>
  <c r="B78" i="19"/>
  <c r="B86" i="19" s="1"/>
  <c r="C51" i="13"/>
  <c r="D51" i="13"/>
  <c r="E51" i="13"/>
  <c r="F51" i="13"/>
  <c r="G51" i="13"/>
  <c r="H51" i="13"/>
  <c r="I51" i="13"/>
  <c r="J51" i="13"/>
  <c r="K51" i="13"/>
  <c r="B51" i="13"/>
  <c r="C46" i="13"/>
  <c r="D46" i="13"/>
  <c r="E46" i="13"/>
  <c r="F46" i="13"/>
  <c r="G46" i="13"/>
  <c r="H46" i="13"/>
  <c r="I46" i="13"/>
  <c r="J46" i="13"/>
  <c r="K46" i="13"/>
  <c r="B46" i="13"/>
  <c r="C41" i="13"/>
  <c r="D41" i="13"/>
  <c r="E41" i="13"/>
  <c r="F41" i="13"/>
  <c r="G41" i="13"/>
  <c r="H41" i="13"/>
  <c r="I41" i="13"/>
  <c r="J41" i="13"/>
  <c r="K41" i="13"/>
  <c r="B41" i="13"/>
  <c r="C39" i="13"/>
  <c r="D39" i="13"/>
  <c r="E39" i="13"/>
  <c r="F39" i="13"/>
  <c r="G39" i="13"/>
  <c r="H39" i="13"/>
  <c r="I39" i="13"/>
  <c r="J39" i="13"/>
  <c r="K39" i="13"/>
  <c r="B39" i="13"/>
  <c r="B82" i="19" l="1"/>
  <c r="B80" i="19"/>
  <c r="B81" i="19" s="1"/>
  <c r="B88" i="19"/>
  <c r="B87" i="19"/>
  <c r="C86" i="19"/>
  <c r="K80" i="19"/>
  <c r="K81" i="19" s="1"/>
  <c r="I80" i="19"/>
  <c r="G80" i="19"/>
  <c r="G81" i="19" s="1"/>
  <c r="E80" i="19"/>
  <c r="C80" i="19"/>
  <c r="C81" i="19" s="1"/>
  <c r="I81" i="19"/>
  <c r="E81" i="19"/>
  <c r="C88" i="19" l="1"/>
  <c r="C87" i="19"/>
  <c r="D86" i="19"/>
  <c r="D34" i="26"/>
  <c r="E34" i="26"/>
  <c r="E38" i="26" s="1"/>
  <c r="F34" i="26"/>
  <c r="G34" i="26"/>
  <c r="G38" i="26" s="1"/>
  <c r="H34" i="26"/>
  <c r="I34" i="26"/>
  <c r="I38" i="26" s="1"/>
  <c r="J34" i="26"/>
  <c r="K34" i="26"/>
  <c r="K38" i="26" s="1"/>
  <c r="F38" i="26"/>
  <c r="H38" i="26"/>
  <c r="J38" i="26"/>
  <c r="E86" i="19" l="1"/>
  <c r="D88" i="19"/>
  <c r="D87" i="19"/>
  <c r="C46" i="26"/>
  <c r="D46" i="26"/>
  <c r="E46" i="26"/>
  <c r="F46" i="26"/>
  <c r="G46" i="26"/>
  <c r="H46" i="26"/>
  <c r="I46" i="26"/>
  <c r="J46" i="26"/>
  <c r="K46" i="26"/>
  <c r="B46" i="26"/>
  <c r="B45" i="26"/>
  <c r="C45" i="26"/>
  <c r="L45" i="26" s="1"/>
  <c r="D45" i="26"/>
  <c r="E45" i="26"/>
  <c r="F45" i="26"/>
  <c r="G45" i="26"/>
  <c r="H45" i="26"/>
  <c r="I45" i="26"/>
  <c r="J45" i="26"/>
  <c r="K45" i="26"/>
  <c r="B44" i="26"/>
  <c r="C44" i="26"/>
  <c r="D44" i="26"/>
  <c r="E44" i="26"/>
  <c r="F44" i="26"/>
  <c r="G44" i="26"/>
  <c r="H44" i="26"/>
  <c r="I44" i="26"/>
  <c r="J44" i="26"/>
  <c r="K44" i="26"/>
  <c r="B43" i="26"/>
  <c r="C43" i="26"/>
  <c r="D43" i="26"/>
  <c r="E43" i="26"/>
  <c r="F43" i="26"/>
  <c r="G43" i="26"/>
  <c r="H43" i="26"/>
  <c r="I43" i="26"/>
  <c r="J43" i="26"/>
  <c r="K43" i="26"/>
  <c r="C42" i="26"/>
  <c r="D42" i="26"/>
  <c r="E42" i="26"/>
  <c r="F42" i="26"/>
  <c r="G42" i="26"/>
  <c r="H42" i="26"/>
  <c r="I42" i="26"/>
  <c r="J42" i="26"/>
  <c r="K42" i="26"/>
  <c r="B42" i="26"/>
  <c r="C35" i="26"/>
  <c r="D35" i="26"/>
  <c r="D36" i="26" s="1"/>
  <c r="E35" i="26"/>
  <c r="E36" i="26" s="1"/>
  <c r="F35" i="26"/>
  <c r="F36" i="26" s="1"/>
  <c r="G35" i="26"/>
  <c r="G36" i="26" s="1"/>
  <c r="H35" i="26"/>
  <c r="H36" i="26" s="1"/>
  <c r="I35" i="26"/>
  <c r="I36" i="26" s="1"/>
  <c r="J35" i="26"/>
  <c r="J36" i="26" s="1"/>
  <c r="K35" i="26"/>
  <c r="K36" i="26" s="1"/>
  <c r="B35" i="26"/>
  <c r="C34" i="26"/>
  <c r="D38" i="26" s="1"/>
  <c r="B34" i="26"/>
  <c r="C38" i="26" s="1"/>
  <c r="C39" i="26" s="1"/>
  <c r="C32" i="26"/>
  <c r="D32" i="26"/>
  <c r="E32" i="26"/>
  <c r="F32" i="26"/>
  <c r="G32" i="26"/>
  <c r="H32" i="26"/>
  <c r="I32" i="26"/>
  <c r="J32" i="26"/>
  <c r="K32" i="26"/>
  <c r="B32" i="26"/>
  <c r="C29" i="26"/>
  <c r="D29" i="26"/>
  <c r="E29" i="26"/>
  <c r="F29" i="26"/>
  <c r="G29" i="26"/>
  <c r="H29" i="26"/>
  <c r="I29" i="26"/>
  <c r="J29" i="26"/>
  <c r="K29" i="26"/>
  <c r="B29" i="26"/>
  <c r="C27" i="26"/>
  <c r="D27" i="26"/>
  <c r="E27" i="26"/>
  <c r="F27" i="26"/>
  <c r="G27" i="26"/>
  <c r="H27" i="26"/>
  <c r="I27" i="26"/>
  <c r="J27" i="26"/>
  <c r="K27" i="26"/>
  <c r="B27" i="26"/>
  <c r="C14" i="26"/>
  <c r="D14" i="26"/>
  <c r="E14" i="26"/>
  <c r="F14" i="26"/>
  <c r="G14" i="26"/>
  <c r="H14" i="26"/>
  <c r="I14" i="26"/>
  <c r="J14" i="26"/>
  <c r="K14" i="26"/>
  <c r="B14" i="26"/>
  <c r="C4" i="26"/>
  <c r="D4" i="26"/>
  <c r="E4" i="26"/>
  <c r="F4" i="26"/>
  <c r="G4" i="26"/>
  <c r="H4" i="26"/>
  <c r="I4" i="26"/>
  <c r="J4" i="26"/>
  <c r="K4" i="26"/>
  <c r="B4" i="26"/>
  <c r="D41" i="26"/>
  <c r="F41" i="26"/>
  <c r="H41" i="26"/>
  <c r="J41" i="26"/>
  <c r="B41" i="26"/>
  <c r="B80" i="26"/>
  <c r="K79" i="26"/>
  <c r="J79" i="26"/>
  <c r="I79" i="26"/>
  <c r="H79" i="26"/>
  <c r="G79" i="26"/>
  <c r="F79" i="26"/>
  <c r="E79" i="26"/>
  <c r="D79" i="26"/>
  <c r="C79" i="26"/>
  <c r="B79" i="26"/>
  <c r="K78" i="26"/>
  <c r="J78" i="26"/>
  <c r="I78" i="26"/>
  <c r="H78" i="26"/>
  <c r="G78" i="26"/>
  <c r="F78" i="26"/>
  <c r="E78" i="26"/>
  <c r="D78" i="26"/>
  <c r="C78" i="26"/>
  <c r="B78" i="26"/>
  <c r="K75" i="26"/>
  <c r="J75" i="26"/>
  <c r="I75" i="26"/>
  <c r="H75" i="26"/>
  <c r="G75" i="26"/>
  <c r="F75" i="26"/>
  <c r="E75" i="26"/>
  <c r="D75" i="26"/>
  <c r="C75" i="26"/>
  <c r="K74" i="26"/>
  <c r="J74" i="26"/>
  <c r="I74" i="26"/>
  <c r="H74" i="26"/>
  <c r="G74" i="26"/>
  <c r="F74" i="26"/>
  <c r="E74" i="26"/>
  <c r="D74" i="26"/>
  <c r="C74" i="26"/>
  <c r="K73" i="26"/>
  <c r="J73" i="26"/>
  <c r="I73" i="26"/>
  <c r="H73" i="26"/>
  <c r="G73" i="26"/>
  <c r="F73" i="26"/>
  <c r="E73" i="26"/>
  <c r="D73" i="26"/>
  <c r="C73" i="26"/>
  <c r="K71" i="26"/>
  <c r="J71" i="26"/>
  <c r="I71" i="26"/>
  <c r="H71" i="26"/>
  <c r="G71" i="26"/>
  <c r="F71" i="26"/>
  <c r="E71" i="26"/>
  <c r="D71" i="26"/>
  <c r="C71" i="26"/>
  <c r="K3" i="26"/>
  <c r="K41" i="26" s="1"/>
  <c r="J3" i="26"/>
  <c r="I3" i="26"/>
  <c r="I41" i="26" s="1"/>
  <c r="H3" i="26"/>
  <c r="G3" i="26"/>
  <c r="G41" i="26" s="1"/>
  <c r="F3" i="26"/>
  <c r="E3" i="26"/>
  <c r="E41" i="26" s="1"/>
  <c r="D3" i="26"/>
  <c r="C3" i="26"/>
  <c r="C41" i="26" s="1"/>
  <c r="B3" i="26"/>
  <c r="L14" i="26" l="1"/>
  <c r="L42" i="26"/>
  <c r="L44" i="26"/>
  <c r="B36" i="26"/>
  <c r="F86" i="19"/>
  <c r="E88" i="19"/>
  <c r="E87" i="19"/>
  <c r="L78" i="26"/>
  <c r="L79" i="26"/>
  <c r="L43" i="26"/>
  <c r="C36" i="26"/>
  <c r="D64" i="19"/>
  <c r="E64" i="19"/>
  <c r="F64" i="19"/>
  <c r="G64" i="19"/>
  <c r="H64" i="19"/>
  <c r="I64" i="19"/>
  <c r="J64" i="19"/>
  <c r="K64" i="19"/>
  <c r="C64" i="19"/>
  <c r="G86" i="19" l="1"/>
  <c r="F88" i="19"/>
  <c r="F87" i="19"/>
  <c r="B18" i="25"/>
  <c r="C18" i="25"/>
  <c r="D18" i="25"/>
  <c r="E18" i="25"/>
  <c r="F18" i="25"/>
  <c r="G18" i="25"/>
  <c r="H18" i="25"/>
  <c r="I18" i="25"/>
  <c r="J18" i="25"/>
  <c r="K18" i="25"/>
  <c r="B20" i="25"/>
  <c r="C19" i="25"/>
  <c r="D19" i="25"/>
  <c r="E19" i="25"/>
  <c r="F19" i="25"/>
  <c r="G19" i="25"/>
  <c r="H19" i="25"/>
  <c r="I19" i="25"/>
  <c r="J19" i="25"/>
  <c r="K19" i="25"/>
  <c r="B19" i="25"/>
  <c r="C3" i="25"/>
  <c r="D3" i="25"/>
  <c r="E3" i="25"/>
  <c r="F3" i="25"/>
  <c r="G3" i="25"/>
  <c r="H3" i="25"/>
  <c r="I3" i="25"/>
  <c r="J3" i="25"/>
  <c r="K3" i="25"/>
  <c r="B3" i="25"/>
  <c r="D15" i="25"/>
  <c r="E15" i="25"/>
  <c r="F15" i="25"/>
  <c r="G15" i="25"/>
  <c r="H15" i="25"/>
  <c r="I15" i="25"/>
  <c r="J15" i="25"/>
  <c r="K15" i="25"/>
  <c r="C15" i="25"/>
  <c r="D14" i="25"/>
  <c r="E14" i="25"/>
  <c r="F14" i="25"/>
  <c r="G14" i="25"/>
  <c r="H14" i="25"/>
  <c r="I14" i="25"/>
  <c r="J14" i="25"/>
  <c r="K14" i="25"/>
  <c r="C14" i="25"/>
  <c r="D13" i="25"/>
  <c r="E13" i="25"/>
  <c r="F13" i="25"/>
  <c r="G13" i="25"/>
  <c r="H13" i="25"/>
  <c r="I13" i="25"/>
  <c r="J13" i="25"/>
  <c r="K13" i="25"/>
  <c r="C13" i="25"/>
  <c r="D11" i="25"/>
  <c r="E11" i="25"/>
  <c r="F11" i="25"/>
  <c r="G11" i="25"/>
  <c r="H11" i="25"/>
  <c r="I11" i="25"/>
  <c r="J11" i="25"/>
  <c r="K11" i="25"/>
  <c r="C11" i="25"/>
  <c r="C58" i="15"/>
  <c r="H86" i="19" l="1"/>
  <c r="G88" i="19"/>
  <c r="G87" i="19"/>
  <c r="L19" i="25"/>
  <c r="L18" i="25"/>
  <c r="A93" i="24"/>
  <c r="A92" i="24"/>
  <c r="K90" i="24"/>
  <c r="J90" i="24"/>
  <c r="I90" i="24"/>
  <c r="H90" i="24"/>
  <c r="G90" i="24"/>
  <c r="F90" i="24"/>
  <c r="E90" i="24"/>
  <c r="D90" i="24"/>
  <c r="C90" i="24"/>
  <c r="B90" i="24"/>
  <c r="A90" i="24"/>
  <c r="K85" i="24"/>
  <c r="J85" i="24"/>
  <c r="I85" i="24"/>
  <c r="H85" i="24"/>
  <c r="G85" i="24"/>
  <c r="F85" i="24"/>
  <c r="E85" i="24"/>
  <c r="D85" i="24"/>
  <c r="C85" i="24"/>
  <c r="B85" i="24"/>
  <c r="A85" i="24"/>
  <c r="K84" i="24"/>
  <c r="J84" i="24"/>
  <c r="I84" i="24"/>
  <c r="H84" i="24"/>
  <c r="G84" i="24"/>
  <c r="F84" i="24"/>
  <c r="E84" i="24"/>
  <c r="D84" i="24"/>
  <c r="C84" i="24"/>
  <c r="B84" i="24"/>
  <c r="A84" i="24"/>
  <c r="K83" i="24"/>
  <c r="J83" i="24"/>
  <c r="I83" i="24"/>
  <c r="H83" i="24"/>
  <c r="G83" i="24"/>
  <c r="F83" i="24"/>
  <c r="E83" i="24"/>
  <c r="D83" i="24"/>
  <c r="C83" i="24"/>
  <c r="B83" i="24"/>
  <c r="A83" i="24"/>
  <c r="K82" i="24"/>
  <c r="J82" i="24"/>
  <c r="I82" i="24"/>
  <c r="H82" i="24"/>
  <c r="G82" i="24"/>
  <c r="F82" i="24"/>
  <c r="E82" i="24"/>
  <c r="D82" i="24"/>
  <c r="C82" i="24"/>
  <c r="B82" i="24"/>
  <c r="A82" i="24"/>
  <c r="K81" i="24"/>
  <c r="J81" i="24"/>
  <c r="I81" i="24"/>
  <c r="H81" i="24"/>
  <c r="G81" i="24"/>
  <c r="F81" i="24"/>
  <c r="E81" i="24"/>
  <c r="D81" i="24"/>
  <c r="C81" i="24"/>
  <c r="B81" i="24"/>
  <c r="A81" i="24"/>
  <c r="A80" i="24"/>
  <c r="K72" i="24"/>
  <c r="J72" i="24"/>
  <c r="I72" i="24"/>
  <c r="H72" i="24"/>
  <c r="G72" i="24"/>
  <c r="F72" i="24"/>
  <c r="E72" i="24"/>
  <c r="D72" i="24"/>
  <c r="C72" i="24"/>
  <c r="B72" i="24"/>
  <c r="A72" i="24"/>
  <c r="K71" i="24"/>
  <c r="J71" i="24"/>
  <c r="I71" i="24"/>
  <c r="H71" i="24"/>
  <c r="G71" i="24"/>
  <c r="F71" i="24"/>
  <c r="E71" i="24"/>
  <c r="D71" i="24"/>
  <c r="C71" i="24"/>
  <c r="B71" i="24"/>
  <c r="A71" i="24"/>
  <c r="K70" i="24"/>
  <c r="J70" i="24"/>
  <c r="I70" i="24"/>
  <c r="H70" i="24"/>
  <c r="G70" i="24"/>
  <c r="F70" i="24"/>
  <c r="E70" i="24"/>
  <c r="D70" i="24"/>
  <c r="C70" i="24"/>
  <c r="B70" i="24"/>
  <c r="A70" i="24"/>
  <c r="K69" i="24"/>
  <c r="J69" i="24"/>
  <c r="I69" i="24"/>
  <c r="H69" i="24"/>
  <c r="G69" i="24"/>
  <c r="F69" i="24"/>
  <c r="E69" i="24"/>
  <c r="D69" i="24"/>
  <c r="C69" i="24"/>
  <c r="B69" i="24"/>
  <c r="A69" i="24"/>
  <c r="K68" i="24"/>
  <c r="J68" i="24"/>
  <c r="I68" i="24"/>
  <c r="H68" i="24"/>
  <c r="G68" i="24"/>
  <c r="F68" i="24"/>
  <c r="E68" i="24"/>
  <c r="D68" i="24"/>
  <c r="C68" i="24"/>
  <c r="B68" i="24"/>
  <c r="A68" i="24"/>
  <c r="K67" i="24"/>
  <c r="J67" i="24"/>
  <c r="I67" i="24"/>
  <c r="H67" i="24"/>
  <c r="G67" i="24"/>
  <c r="F67" i="24"/>
  <c r="E67" i="24"/>
  <c r="D67" i="24"/>
  <c r="C67" i="24"/>
  <c r="B67" i="24"/>
  <c r="A67" i="24"/>
  <c r="K66" i="24"/>
  <c r="J66" i="24"/>
  <c r="I66" i="24"/>
  <c r="H66" i="24"/>
  <c r="G66" i="24"/>
  <c r="F66" i="24"/>
  <c r="E66" i="24"/>
  <c r="D66" i="24"/>
  <c r="C66" i="24"/>
  <c r="B66" i="24"/>
  <c r="A66" i="24"/>
  <c r="K65" i="24"/>
  <c r="J65" i="24"/>
  <c r="I65" i="24"/>
  <c r="H65" i="24"/>
  <c r="G65" i="24"/>
  <c r="F65" i="24"/>
  <c r="E65" i="24"/>
  <c r="D65" i="24"/>
  <c r="C65" i="24"/>
  <c r="B65" i="24"/>
  <c r="A65" i="24"/>
  <c r="K64" i="24"/>
  <c r="J64" i="24"/>
  <c r="I64" i="24"/>
  <c r="H64" i="24"/>
  <c r="G64" i="24"/>
  <c r="F64" i="24"/>
  <c r="E64" i="24"/>
  <c r="D64" i="24"/>
  <c r="C64" i="24"/>
  <c r="B64" i="24"/>
  <c r="A64" i="24"/>
  <c r="K63" i="24"/>
  <c r="J63" i="24"/>
  <c r="I63" i="24"/>
  <c r="H63" i="24"/>
  <c r="G63" i="24"/>
  <c r="F63" i="24"/>
  <c r="E63" i="24"/>
  <c r="D63" i="24"/>
  <c r="C63" i="24"/>
  <c r="B63" i="24"/>
  <c r="A63" i="24"/>
  <c r="K62" i="24"/>
  <c r="J62" i="24"/>
  <c r="I62" i="24"/>
  <c r="H62" i="24"/>
  <c r="G62" i="24"/>
  <c r="F62" i="24"/>
  <c r="E62" i="24"/>
  <c r="D62" i="24"/>
  <c r="C62" i="24"/>
  <c r="B62" i="24"/>
  <c r="A62" i="24"/>
  <c r="K61" i="24"/>
  <c r="J61" i="24"/>
  <c r="I61" i="24"/>
  <c r="H61" i="24"/>
  <c r="G61" i="24"/>
  <c r="F61" i="24"/>
  <c r="E61" i="24"/>
  <c r="D61" i="24"/>
  <c r="C61" i="24"/>
  <c r="B61" i="24"/>
  <c r="A61" i="24"/>
  <c r="K60" i="24"/>
  <c r="J60" i="24"/>
  <c r="I60" i="24"/>
  <c r="H60" i="24"/>
  <c r="G60" i="24"/>
  <c r="F60" i="24"/>
  <c r="E60" i="24"/>
  <c r="D60" i="24"/>
  <c r="C60" i="24"/>
  <c r="B60" i="24"/>
  <c r="A60" i="24"/>
  <c r="K59" i="24"/>
  <c r="J59" i="24"/>
  <c r="I59" i="24"/>
  <c r="H59" i="24"/>
  <c r="G59" i="24"/>
  <c r="F59" i="24"/>
  <c r="E59" i="24"/>
  <c r="D59" i="24"/>
  <c r="C59" i="24"/>
  <c r="B59" i="24"/>
  <c r="A59" i="24"/>
  <c r="K58" i="24"/>
  <c r="J58" i="24"/>
  <c r="I58" i="24"/>
  <c r="H58" i="24"/>
  <c r="G58" i="24"/>
  <c r="F58" i="24"/>
  <c r="E58" i="24"/>
  <c r="D58" i="24"/>
  <c r="C58" i="24"/>
  <c r="B58" i="24"/>
  <c r="A58" i="24"/>
  <c r="K57" i="24"/>
  <c r="J57" i="24"/>
  <c r="I57" i="24"/>
  <c r="H57" i="24"/>
  <c r="G57" i="24"/>
  <c r="F57" i="24"/>
  <c r="E57" i="24"/>
  <c r="D57" i="24"/>
  <c r="C57" i="24"/>
  <c r="B57" i="24"/>
  <c r="A57" i="24"/>
  <c r="K56" i="24"/>
  <c r="J56" i="24"/>
  <c r="I56" i="24"/>
  <c r="H56" i="24"/>
  <c r="G56" i="24"/>
  <c r="F56" i="24"/>
  <c r="E56" i="24"/>
  <c r="D56" i="24"/>
  <c r="C56" i="24"/>
  <c r="B56" i="24"/>
  <c r="A56" i="24"/>
  <c r="A55" i="24"/>
  <c r="K50" i="24"/>
  <c r="J50" i="24"/>
  <c r="I50" i="24"/>
  <c r="H50" i="24"/>
  <c r="G50" i="24"/>
  <c r="F50" i="24"/>
  <c r="L50" i="24" s="1"/>
  <c r="E50" i="24"/>
  <c r="D50" i="24"/>
  <c r="C50" i="24"/>
  <c r="B50" i="24"/>
  <c r="A50" i="24"/>
  <c r="K49" i="24"/>
  <c r="J49" i="24"/>
  <c r="I49" i="24"/>
  <c r="H49" i="24"/>
  <c r="G49" i="24"/>
  <c r="F49" i="24"/>
  <c r="E49" i="24"/>
  <c r="D49" i="24"/>
  <c r="C49" i="24"/>
  <c r="B49" i="24"/>
  <c r="A49" i="24"/>
  <c r="K48" i="24"/>
  <c r="J48" i="24"/>
  <c r="I48" i="24"/>
  <c r="H48" i="24"/>
  <c r="G48" i="24"/>
  <c r="F48" i="24"/>
  <c r="L48" i="24" s="1"/>
  <c r="L29" i="24" s="1"/>
  <c r="E48" i="24"/>
  <c r="D48" i="24"/>
  <c r="C48" i="24"/>
  <c r="B48" i="24"/>
  <c r="A48" i="24"/>
  <c r="K47" i="24"/>
  <c r="J47" i="24"/>
  <c r="I47" i="24"/>
  <c r="H47" i="24"/>
  <c r="G47" i="24"/>
  <c r="F47" i="24"/>
  <c r="E47" i="24"/>
  <c r="D47" i="24"/>
  <c r="C47" i="24"/>
  <c r="B47" i="24"/>
  <c r="A47" i="24"/>
  <c r="K46" i="24"/>
  <c r="J46" i="24"/>
  <c r="I46" i="24"/>
  <c r="H46" i="24"/>
  <c r="G46" i="24"/>
  <c r="F46" i="24"/>
  <c r="L46" i="24" s="1"/>
  <c r="L27" i="24" s="1"/>
  <c r="E46" i="24"/>
  <c r="D46" i="24"/>
  <c r="C46" i="24"/>
  <c r="B46" i="24"/>
  <c r="A46" i="24"/>
  <c r="K45" i="24"/>
  <c r="J45" i="24"/>
  <c r="I45" i="24"/>
  <c r="H45" i="24"/>
  <c r="G45" i="24"/>
  <c r="F45" i="24"/>
  <c r="E45" i="24"/>
  <c r="D45" i="24"/>
  <c r="C45" i="24"/>
  <c r="B45" i="24"/>
  <c r="A45" i="24"/>
  <c r="K44" i="24"/>
  <c r="J44" i="24"/>
  <c r="I44" i="24"/>
  <c r="H44" i="24"/>
  <c r="G44" i="24"/>
  <c r="F44" i="24"/>
  <c r="L44" i="24" s="1"/>
  <c r="L25" i="24" s="1"/>
  <c r="E44" i="24"/>
  <c r="D44" i="24"/>
  <c r="C44" i="24"/>
  <c r="B44" i="24"/>
  <c r="A44" i="24"/>
  <c r="K43" i="24"/>
  <c r="J43" i="24"/>
  <c r="I43" i="24"/>
  <c r="H43" i="24"/>
  <c r="G43" i="24"/>
  <c r="F43" i="24"/>
  <c r="E43" i="24"/>
  <c r="D43" i="24"/>
  <c r="C43" i="24"/>
  <c r="B43" i="24"/>
  <c r="A43" i="24"/>
  <c r="K42" i="24"/>
  <c r="J42" i="24"/>
  <c r="I42" i="24"/>
  <c r="H42" i="24"/>
  <c r="G42" i="24"/>
  <c r="F42" i="24"/>
  <c r="L42" i="24" s="1"/>
  <c r="L17" i="24" s="1"/>
  <c r="E42" i="24"/>
  <c r="D42" i="24"/>
  <c r="C42" i="24"/>
  <c r="B42" i="24"/>
  <c r="A42" i="24"/>
  <c r="K41" i="24"/>
  <c r="J41" i="24"/>
  <c r="I41" i="24"/>
  <c r="H41" i="24"/>
  <c r="G41" i="24"/>
  <c r="F41" i="24"/>
  <c r="E41" i="24"/>
  <c r="D41" i="24"/>
  <c r="C41" i="24"/>
  <c r="B41" i="24"/>
  <c r="A41" i="24"/>
  <c r="A40" i="24"/>
  <c r="K31" i="24"/>
  <c r="J31" i="24"/>
  <c r="I31" i="24"/>
  <c r="H31" i="24"/>
  <c r="G31" i="24"/>
  <c r="F31" i="24"/>
  <c r="E31" i="24"/>
  <c r="D31" i="24"/>
  <c r="C31" i="24"/>
  <c r="B31" i="24"/>
  <c r="A31" i="24"/>
  <c r="K30" i="24"/>
  <c r="J30" i="24"/>
  <c r="I30" i="24"/>
  <c r="H30" i="24"/>
  <c r="G30" i="24"/>
  <c r="F30" i="24"/>
  <c r="E30" i="24"/>
  <c r="D30" i="24"/>
  <c r="C30" i="24"/>
  <c r="B30" i="24"/>
  <c r="A30" i="24"/>
  <c r="K29" i="24"/>
  <c r="J29" i="24"/>
  <c r="I29" i="24"/>
  <c r="H29" i="24"/>
  <c r="G29" i="24"/>
  <c r="F29" i="24"/>
  <c r="E29" i="24"/>
  <c r="D29" i="24"/>
  <c r="C29" i="24"/>
  <c r="B29" i="24"/>
  <c r="A29" i="24"/>
  <c r="K28" i="24"/>
  <c r="J28" i="24"/>
  <c r="I28" i="24"/>
  <c r="H28" i="24"/>
  <c r="G28" i="24"/>
  <c r="F28" i="24"/>
  <c r="E28" i="24"/>
  <c r="D28" i="24"/>
  <c r="C28" i="24"/>
  <c r="B28" i="24"/>
  <c r="A28" i="24"/>
  <c r="K27" i="24"/>
  <c r="J27" i="24"/>
  <c r="I27" i="24"/>
  <c r="H27" i="24"/>
  <c r="G27" i="24"/>
  <c r="F27" i="24"/>
  <c r="E27" i="24"/>
  <c r="D27" i="24"/>
  <c r="C27" i="24"/>
  <c r="B27" i="24"/>
  <c r="A27" i="24"/>
  <c r="K26" i="24"/>
  <c r="J26" i="24"/>
  <c r="I26" i="24"/>
  <c r="H26" i="24"/>
  <c r="G26" i="24"/>
  <c r="F26" i="24"/>
  <c r="E26" i="24"/>
  <c r="D26" i="24"/>
  <c r="C26" i="24"/>
  <c r="B26" i="24"/>
  <c r="A26" i="24"/>
  <c r="K25" i="24"/>
  <c r="J25" i="24"/>
  <c r="I25" i="24"/>
  <c r="H25" i="24"/>
  <c r="G25" i="24"/>
  <c r="F25" i="24"/>
  <c r="E25" i="24"/>
  <c r="D25" i="24"/>
  <c r="C25" i="24"/>
  <c r="B25" i="24"/>
  <c r="A25" i="24"/>
  <c r="K24" i="24"/>
  <c r="J24" i="24"/>
  <c r="I24" i="24"/>
  <c r="H24" i="24"/>
  <c r="G24" i="24"/>
  <c r="F24" i="24"/>
  <c r="E24" i="24"/>
  <c r="D24" i="24"/>
  <c r="C24" i="24"/>
  <c r="B24" i="24"/>
  <c r="A24" i="24"/>
  <c r="K23" i="24"/>
  <c r="J23" i="24"/>
  <c r="I23" i="24"/>
  <c r="H23" i="24"/>
  <c r="G23" i="24"/>
  <c r="F23" i="24"/>
  <c r="E23" i="24"/>
  <c r="D23" i="24"/>
  <c r="C23" i="24"/>
  <c r="B23" i="24"/>
  <c r="A23" i="24"/>
  <c r="K22" i="24"/>
  <c r="J22" i="24"/>
  <c r="I22" i="24"/>
  <c r="H22" i="24"/>
  <c r="G22" i="24"/>
  <c r="F22" i="24"/>
  <c r="E22" i="24"/>
  <c r="D22" i="24"/>
  <c r="C22" i="24"/>
  <c r="B22" i="24"/>
  <c r="A22" i="24"/>
  <c r="K21" i="24"/>
  <c r="J21" i="24"/>
  <c r="I21" i="24"/>
  <c r="H21" i="24"/>
  <c r="G21" i="24"/>
  <c r="F21" i="24"/>
  <c r="E21" i="24"/>
  <c r="D21" i="24"/>
  <c r="C21" i="24"/>
  <c r="B21" i="24"/>
  <c r="A21" i="24"/>
  <c r="K20" i="24"/>
  <c r="J20" i="24"/>
  <c r="I20" i="24"/>
  <c r="H20" i="24"/>
  <c r="G20" i="24"/>
  <c r="F20" i="24"/>
  <c r="E20" i="24"/>
  <c r="D20" i="24"/>
  <c r="C20" i="24"/>
  <c r="B20" i="24"/>
  <c r="A20" i="24"/>
  <c r="K19" i="24"/>
  <c r="J19" i="24"/>
  <c r="I19" i="24"/>
  <c r="H19" i="24"/>
  <c r="G19" i="24"/>
  <c r="F19" i="24"/>
  <c r="E19" i="24"/>
  <c r="D19" i="24"/>
  <c r="C19" i="24"/>
  <c r="B19" i="24"/>
  <c r="A19" i="24"/>
  <c r="K18" i="24"/>
  <c r="J18" i="24"/>
  <c r="I18" i="24"/>
  <c r="H18" i="24"/>
  <c r="G18" i="24"/>
  <c r="F18" i="24"/>
  <c r="E18" i="24"/>
  <c r="D18" i="24"/>
  <c r="C18" i="24"/>
  <c r="B18" i="24"/>
  <c r="A18" i="24"/>
  <c r="K17" i="24"/>
  <c r="J17" i="24"/>
  <c r="I17" i="24"/>
  <c r="H17" i="24"/>
  <c r="G17" i="24"/>
  <c r="F17" i="24"/>
  <c r="E17" i="24"/>
  <c r="D17" i="24"/>
  <c r="C17" i="24"/>
  <c r="B17" i="24"/>
  <c r="A17" i="24"/>
  <c r="K16" i="24"/>
  <c r="J16" i="24"/>
  <c r="I16" i="24"/>
  <c r="H16" i="24"/>
  <c r="G16" i="24"/>
  <c r="F16" i="24"/>
  <c r="E16" i="24"/>
  <c r="D16" i="24"/>
  <c r="C16" i="24"/>
  <c r="B16" i="24"/>
  <c r="A16" i="24"/>
  <c r="A15" i="24"/>
  <c r="B9" i="24"/>
  <c r="A9" i="24"/>
  <c r="B8" i="24"/>
  <c r="A8" i="24"/>
  <c r="B7" i="24"/>
  <c r="A7" i="24"/>
  <c r="A6" i="24"/>
  <c r="A5" i="24"/>
  <c r="B3" i="24"/>
  <c r="A3" i="24"/>
  <c r="B2" i="24"/>
  <c r="A2" i="24"/>
  <c r="B1" i="24"/>
  <c r="A1" i="24"/>
  <c r="L49" i="24"/>
  <c r="L30" i="24" s="1"/>
  <c r="L47" i="24"/>
  <c r="L28" i="24" s="1"/>
  <c r="L45" i="24"/>
  <c r="L26" i="24" s="1"/>
  <c r="L43" i="24"/>
  <c r="I86" i="19" l="1"/>
  <c r="H88" i="19"/>
  <c r="H87" i="19"/>
  <c r="M42" i="24"/>
  <c r="M17" i="24" s="1"/>
  <c r="M43" i="24"/>
  <c r="M44" i="24"/>
  <c r="M25" i="24" s="1"/>
  <c r="M45" i="24"/>
  <c r="M26" i="24" s="1"/>
  <c r="M46" i="24"/>
  <c r="M27" i="24" s="1"/>
  <c r="M47" i="24"/>
  <c r="M28" i="24" s="1"/>
  <c r="M48" i="24"/>
  <c r="M29" i="24" s="1"/>
  <c r="M49" i="24"/>
  <c r="M30" i="24" s="1"/>
  <c r="M50" i="24"/>
  <c r="D21" i="19"/>
  <c r="E21" i="19"/>
  <c r="F21" i="19"/>
  <c r="G21" i="19"/>
  <c r="H21" i="19"/>
  <c r="I21" i="19"/>
  <c r="J21" i="19"/>
  <c r="K21" i="19"/>
  <c r="C21" i="19"/>
  <c r="K80" i="26" l="1"/>
  <c r="K83" i="19"/>
  <c r="K15" i="26"/>
  <c r="K57" i="26" s="1"/>
  <c r="I80" i="26"/>
  <c r="I83" i="19"/>
  <c r="I15" i="26"/>
  <c r="I57" i="26" s="1"/>
  <c r="G80" i="26"/>
  <c r="G83" i="19"/>
  <c r="G15" i="26"/>
  <c r="G57" i="26" s="1"/>
  <c r="E83" i="19"/>
  <c r="E15" i="26"/>
  <c r="E57" i="26" s="1"/>
  <c r="E80" i="26"/>
  <c r="L80" i="26" s="1"/>
  <c r="L81" i="26" s="1"/>
  <c r="C83" i="19"/>
  <c r="C15" i="26"/>
  <c r="C80" i="26"/>
  <c r="J80" i="26"/>
  <c r="J83" i="19"/>
  <c r="J15" i="26"/>
  <c r="J57" i="26" s="1"/>
  <c r="H80" i="26"/>
  <c r="H83" i="19"/>
  <c r="H15" i="26"/>
  <c r="H57" i="26" s="1"/>
  <c r="F83" i="19"/>
  <c r="F15" i="26"/>
  <c r="F57" i="26" s="1"/>
  <c r="F80" i="26"/>
  <c r="D83" i="19"/>
  <c r="D15" i="26"/>
  <c r="D57" i="26" s="1"/>
  <c r="D80" i="26"/>
  <c r="J86" i="19"/>
  <c r="I88" i="19"/>
  <c r="I87" i="19"/>
  <c r="K22" i="19"/>
  <c r="K20" i="25"/>
  <c r="I22" i="19"/>
  <c r="I20" i="25"/>
  <c r="G22" i="19"/>
  <c r="G20" i="25"/>
  <c r="C22" i="19"/>
  <c r="C20" i="25"/>
  <c r="J22" i="19"/>
  <c r="J20" i="25"/>
  <c r="H22" i="19"/>
  <c r="H20" i="25"/>
  <c r="F22" i="19"/>
  <c r="F20" i="25"/>
  <c r="D22" i="19"/>
  <c r="D20" i="25"/>
  <c r="E22" i="19"/>
  <c r="E20" i="25"/>
  <c r="E15" i="19"/>
  <c r="D113" i="21"/>
  <c r="D101" i="21"/>
  <c r="D89" i="21"/>
  <c r="D77" i="21"/>
  <c r="D65" i="21"/>
  <c r="D53" i="21"/>
  <c r="D41" i="21"/>
  <c r="D29" i="21"/>
  <c r="D17" i="21"/>
  <c r="D5" i="21"/>
  <c r="E113" i="21"/>
  <c r="E101" i="21"/>
  <c r="E89" i="21"/>
  <c r="E77" i="21"/>
  <c r="E65" i="21"/>
  <c r="E53" i="21"/>
  <c r="E41" i="21"/>
  <c r="E29" i="21"/>
  <c r="E17" i="21"/>
  <c r="E5" i="21"/>
  <c r="C26" i="19"/>
  <c r="D26" i="19"/>
  <c r="E26" i="19"/>
  <c r="F26" i="19"/>
  <c r="G26" i="19"/>
  <c r="H26" i="19"/>
  <c r="I26" i="19"/>
  <c r="J26" i="19"/>
  <c r="K26" i="19"/>
  <c r="B26" i="19"/>
  <c r="D10" i="13"/>
  <c r="D110" i="13" s="1"/>
  <c r="D34" i="19" s="1"/>
  <c r="K86" i="19" l="1"/>
  <c r="J88" i="19"/>
  <c r="J87" i="19"/>
  <c r="F85" i="19"/>
  <c r="F84" i="19"/>
  <c r="H85" i="19"/>
  <c r="H84" i="19"/>
  <c r="L15" i="26"/>
  <c r="L16" i="26" s="1"/>
  <c r="C57" i="26"/>
  <c r="E84" i="19"/>
  <c r="E85" i="19"/>
  <c r="G84" i="19"/>
  <c r="G85" i="19"/>
  <c r="K84" i="19"/>
  <c r="K85" i="19"/>
  <c r="D85" i="19"/>
  <c r="D84" i="19"/>
  <c r="J85" i="19"/>
  <c r="J84" i="19"/>
  <c r="C85" i="19"/>
  <c r="C84" i="19"/>
  <c r="I84" i="19"/>
  <c r="I85" i="19"/>
  <c r="L20" i="25"/>
  <c r="L21" i="25" s="1"/>
  <c r="K57" i="19"/>
  <c r="I57" i="19"/>
  <c r="G57" i="19"/>
  <c r="E57" i="19"/>
  <c r="C57" i="19"/>
  <c r="B57" i="19"/>
  <c r="J57" i="19"/>
  <c r="H57" i="19"/>
  <c r="F57" i="19"/>
  <c r="D57" i="19"/>
  <c r="J5" i="21"/>
  <c r="J11" i="21" s="1"/>
  <c r="B29" i="19" s="1"/>
  <c r="L5" i="21"/>
  <c r="L11" i="21" s="1"/>
  <c r="D29" i="19" s="1"/>
  <c r="N5" i="21"/>
  <c r="N11" i="21" s="1"/>
  <c r="F29" i="19" s="1"/>
  <c r="P5" i="21"/>
  <c r="P11" i="21" s="1"/>
  <c r="H29" i="19" s="1"/>
  <c r="R5" i="21"/>
  <c r="R11" i="21" s="1"/>
  <c r="J29" i="19" s="1"/>
  <c r="K5" i="21"/>
  <c r="K11" i="21" s="1"/>
  <c r="C29" i="19" s="1"/>
  <c r="M5" i="21"/>
  <c r="M11" i="21" s="1"/>
  <c r="E29" i="19" s="1"/>
  <c r="O5" i="21"/>
  <c r="O11" i="21" s="1"/>
  <c r="G29" i="19" s="1"/>
  <c r="Q5" i="21"/>
  <c r="Q11" i="21" s="1"/>
  <c r="I29" i="19" s="1"/>
  <c r="S5" i="21"/>
  <c r="S11" i="21" s="1"/>
  <c r="K29" i="19" s="1"/>
  <c r="G1" i="20"/>
  <c r="A1" i="20"/>
  <c r="K68" i="19"/>
  <c r="J68" i="19"/>
  <c r="I68" i="19"/>
  <c r="H68" i="19"/>
  <c r="G68" i="19"/>
  <c r="F68" i="19"/>
  <c r="E68" i="19"/>
  <c r="D68" i="19"/>
  <c r="C68" i="19"/>
  <c r="B68" i="19"/>
  <c r="K39" i="19"/>
  <c r="J39" i="19"/>
  <c r="I39" i="19"/>
  <c r="H39" i="19"/>
  <c r="G39" i="19"/>
  <c r="F39" i="19"/>
  <c r="E39" i="19"/>
  <c r="D39" i="19"/>
  <c r="C39" i="19"/>
  <c r="B39" i="19"/>
  <c r="K18" i="19"/>
  <c r="K19" i="19" s="1"/>
  <c r="K23" i="19" s="1"/>
  <c r="J18" i="19"/>
  <c r="J19" i="19" s="1"/>
  <c r="J23" i="19" s="1"/>
  <c r="I18" i="19"/>
  <c r="I19" i="19" s="1"/>
  <c r="I23" i="19" s="1"/>
  <c r="H18" i="19"/>
  <c r="H19" i="19" s="1"/>
  <c r="H23" i="19" s="1"/>
  <c r="G18" i="19"/>
  <c r="G19" i="19" s="1"/>
  <c r="G23" i="19" s="1"/>
  <c r="F18" i="19"/>
  <c r="F19" i="19" s="1"/>
  <c r="F23" i="19" s="1"/>
  <c r="E18" i="19"/>
  <c r="E19" i="19" s="1"/>
  <c r="E23" i="19" s="1"/>
  <c r="D18" i="19"/>
  <c r="D19" i="19" s="1"/>
  <c r="D23" i="19" s="1"/>
  <c r="C18" i="19"/>
  <c r="C19" i="19" s="1"/>
  <c r="C23" i="19" s="1"/>
  <c r="B18" i="19"/>
  <c r="B19" i="19" s="1"/>
  <c r="K15" i="19"/>
  <c r="J15" i="19"/>
  <c r="I15" i="19"/>
  <c r="H15" i="19"/>
  <c r="G15" i="19"/>
  <c r="F15" i="19"/>
  <c r="D15" i="19"/>
  <c r="C15" i="19"/>
  <c r="K12" i="19"/>
  <c r="K14" i="19" s="1"/>
  <c r="J12" i="19"/>
  <c r="I12" i="19"/>
  <c r="I14" i="19" s="1"/>
  <c r="H12" i="19"/>
  <c r="H14" i="19" s="1"/>
  <c r="G12" i="19"/>
  <c r="G14" i="19" s="1"/>
  <c r="F12" i="19"/>
  <c r="F14" i="19" s="1"/>
  <c r="E12" i="19"/>
  <c r="E14" i="19" s="1"/>
  <c r="D12" i="19"/>
  <c r="D14" i="19" s="1"/>
  <c r="C12" i="19"/>
  <c r="C14" i="19" s="1"/>
  <c r="B12" i="19"/>
  <c r="K10" i="19"/>
  <c r="J10" i="19"/>
  <c r="I10" i="19"/>
  <c r="H10" i="19"/>
  <c r="G10" i="19"/>
  <c r="F10" i="19"/>
  <c r="E10" i="19"/>
  <c r="D10" i="19"/>
  <c r="C10" i="19"/>
  <c r="B10" i="19"/>
  <c r="K7" i="19"/>
  <c r="K8" i="19" s="1"/>
  <c r="J7" i="19"/>
  <c r="J8" i="19" s="1"/>
  <c r="I7" i="19"/>
  <c r="I8" i="19" s="1"/>
  <c r="H7" i="19"/>
  <c r="H8" i="19" s="1"/>
  <c r="G7" i="19"/>
  <c r="G8" i="19" s="1"/>
  <c r="F7" i="19"/>
  <c r="F8" i="19" s="1"/>
  <c r="E7" i="19"/>
  <c r="E8" i="19" s="1"/>
  <c r="D7" i="19"/>
  <c r="D8" i="19" s="1"/>
  <c r="C7" i="19"/>
  <c r="C8" i="19" s="1"/>
  <c r="B7" i="19"/>
  <c r="B8" i="19" s="1"/>
  <c r="K4" i="19"/>
  <c r="J4" i="19"/>
  <c r="I4" i="19"/>
  <c r="H4" i="19"/>
  <c r="G4" i="19"/>
  <c r="F4" i="19"/>
  <c r="E4" i="19"/>
  <c r="D4" i="19"/>
  <c r="C4" i="19"/>
  <c r="B4" i="19"/>
  <c r="K3" i="19"/>
  <c r="K30" i="19" s="1"/>
  <c r="K31" i="19" s="1"/>
  <c r="J3" i="19"/>
  <c r="J30" i="19" s="1"/>
  <c r="J31" i="19" s="1"/>
  <c r="I3" i="19"/>
  <c r="I30" i="19" s="1"/>
  <c r="I31" i="19" s="1"/>
  <c r="H3" i="19"/>
  <c r="H30" i="19" s="1"/>
  <c r="H31" i="19" s="1"/>
  <c r="G3" i="19"/>
  <c r="G30" i="19" s="1"/>
  <c r="G31" i="19" s="1"/>
  <c r="F3" i="19"/>
  <c r="F30" i="19" s="1"/>
  <c r="F31" i="19" s="1"/>
  <c r="E3" i="19"/>
  <c r="E30" i="19" s="1"/>
  <c r="E31" i="19" s="1"/>
  <c r="D3" i="19"/>
  <c r="D30" i="19" s="1"/>
  <c r="D31" i="19" s="1"/>
  <c r="C3" i="19"/>
  <c r="C30" i="19" s="1"/>
  <c r="C31" i="19" s="1"/>
  <c r="B3" i="19"/>
  <c r="B30" i="19" s="1"/>
  <c r="B31" i="19" s="1"/>
  <c r="K2" i="19"/>
  <c r="K77" i="19" s="1"/>
  <c r="J2" i="19"/>
  <c r="J77" i="19" s="1"/>
  <c r="I2" i="19"/>
  <c r="I77" i="19" s="1"/>
  <c r="H2" i="19"/>
  <c r="H77" i="19" s="1"/>
  <c r="G2" i="19"/>
  <c r="G77" i="19" s="1"/>
  <c r="F2" i="19"/>
  <c r="F77" i="19" s="1"/>
  <c r="E2" i="19"/>
  <c r="E77" i="19" s="1"/>
  <c r="D2" i="19"/>
  <c r="D77" i="19" s="1"/>
  <c r="C2" i="19"/>
  <c r="C77" i="19" s="1"/>
  <c r="B2" i="19"/>
  <c r="B77" i="19" s="1"/>
  <c r="K49" i="18"/>
  <c r="J49" i="18"/>
  <c r="I49" i="18"/>
  <c r="H49" i="18"/>
  <c r="G49" i="18"/>
  <c r="F49" i="18"/>
  <c r="E49" i="18"/>
  <c r="D49" i="18"/>
  <c r="C49" i="18"/>
  <c r="B49" i="18"/>
  <c r="K48" i="18"/>
  <c r="J48" i="18"/>
  <c r="M48" i="18" s="1"/>
  <c r="I48" i="18"/>
  <c r="H48" i="18"/>
  <c r="G48" i="18"/>
  <c r="F48" i="18"/>
  <c r="E48" i="18"/>
  <c r="D48" i="18"/>
  <c r="C48" i="18"/>
  <c r="B48" i="18"/>
  <c r="K7" i="18"/>
  <c r="J7" i="18"/>
  <c r="I7" i="18"/>
  <c r="H7" i="18"/>
  <c r="G7" i="18"/>
  <c r="F7" i="18"/>
  <c r="E7" i="18"/>
  <c r="D7" i="18"/>
  <c r="C7" i="18"/>
  <c r="O7" i="18" s="1"/>
  <c r="B7" i="18"/>
  <c r="K2" i="18"/>
  <c r="J2" i="18"/>
  <c r="I2" i="18"/>
  <c r="H2" i="18"/>
  <c r="G2" i="18"/>
  <c r="F2" i="18"/>
  <c r="E2" i="18"/>
  <c r="D2" i="18"/>
  <c r="C2" i="18"/>
  <c r="B2" i="18"/>
  <c r="K1" i="18"/>
  <c r="J1" i="18"/>
  <c r="I1" i="18"/>
  <c r="H1" i="18"/>
  <c r="G1" i="18"/>
  <c r="F1" i="18"/>
  <c r="E1" i="18"/>
  <c r="D1" i="18"/>
  <c r="C1" i="18"/>
  <c r="B1" i="18"/>
  <c r="K54" i="17"/>
  <c r="J54" i="17"/>
  <c r="I54" i="17"/>
  <c r="H54" i="17"/>
  <c r="G54" i="17"/>
  <c r="F54" i="17"/>
  <c r="E54" i="17"/>
  <c r="D54" i="17"/>
  <c r="C54" i="17"/>
  <c r="B54" i="17"/>
  <c r="K53" i="17"/>
  <c r="J53" i="17"/>
  <c r="I53" i="17"/>
  <c r="H53" i="17"/>
  <c r="G53" i="17"/>
  <c r="F53" i="17"/>
  <c r="E53" i="17"/>
  <c r="D53" i="17"/>
  <c r="C53" i="17"/>
  <c r="B53" i="17"/>
  <c r="K52" i="17"/>
  <c r="J52" i="17"/>
  <c r="I52" i="17"/>
  <c r="H52" i="17"/>
  <c r="G52" i="17"/>
  <c r="F52" i="17"/>
  <c r="E52" i="17"/>
  <c r="D52" i="17"/>
  <c r="C52" i="17"/>
  <c r="B52" i="17"/>
  <c r="K51" i="17"/>
  <c r="J51" i="17"/>
  <c r="I51" i="17"/>
  <c r="H51" i="17"/>
  <c r="N51" i="17" s="1"/>
  <c r="G51" i="17"/>
  <c r="F51" i="17"/>
  <c r="E51" i="17"/>
  <c r="D51" i="17"/>
  <c r="C51" i="17"/>
  <c r="B51" i="17"/>
  <c r="K22" i="17"/>
  <c r="K23" i="17" s="1"/>
  <c r="J22" i="17"/>
  <c r="I22" i="17"/>
  <c r="I23" i="17" s="1"/>
  <c r="H22" i="17"/>
  <c r="H23" i="17" s="1"/>
  <c r="G22" i="17"/>
  <c r="G23" i="17" s="1"/>
  <c r="F22" i="17"/>
  <c r="F23" i="17" s="1"/>
  <c r="E22" i="17"/>
  <c r="E23" i="17" s="1"/>
  <c r="D22" i="17"/>
  <c r="C22" i="17"/>
  <c r="B22" i="17"/>
  <c r="B23" i="17" s="1"/>
  <c r="K20" i="17"/>
  <c r="J20" i="17"/>
  <c r="J21" i="17" s="1"/>
  <c r="I20" i="17"/>
  <c r="I21" i="17" s="1"/>
  <c r="H20" i="17"/>
  <c r="G20" i="17"/>
  <c r="F20" i="17"/>
  <c r="F21" i="17" s="1"/>
  <c r="E20" i="17"/>
  <c r="E21" i="17" s="1"/>
  <c r="D20" i="17"/>
  <c r="C20" i="17"/>
  <c r="B20" i="17"/>
  <c r="B21" i="17" s="1"/>
  <c r="K19" i="17"/>
  <c r="J19" i="17"/>
  <c r="I19" i="17"/>
  <c r="H19" i="17"/>
  <c r="G19" i="17"/>
  <c r="F19" i="17"/>
  <c r="E19" i="17"/>
  <c r="D19" i="17"/>
  <c r="C19" i="17"/>
  <c r="B19" i="17"/>
  <c r="K16" i="17"/>
  <c r="J16" i="17"/>
  <c r="I16" i="17"/>
  <c r="H16" i="17"/>
  <c r="G16" i="17"/>
  <c r="F16" i="17"/>
  <c r="E16" i="17"/>
  <c r="D16" i="17"/>
  <c r="C16" i="17"/>
  <c r="B16" i="17"/>
  <c r="K15" i="17"/>
  <c r="J15" i="17"/>
  <c r="I15" i="17"/>
  <c r="H15" i="17"/>
  <c r="G15" i="17"/>
  <c r="F15" i="17"/>
  <c r="E15" i="17"/>
  <c r="D15" i="17"/>
  <c r="C15" i="17"/>
  <c r="B15" i="17"/>
  <c r="K14" i="17"/>
  <c r="J14" i="17"/>
  <c r="I14" i="17"/>
  <c r="H14" i="17"/>
  <c r="G14" i="17"/>
  <c r="F14" i="17"/>
  <c r="E14" i="17"/>
  <c r="D14" i="17"/>
  <c r="C14" i="17"/>
  <c r="B14" i="17"/>
  <c r="K13" i="17"/>
  <c r="J13" i="17"/>
  <c r="I13" i="17"/>
  <c r="H13" i="17"/>
  <c r="G13" i="17"/>
  <c r="F13" i="17"/>
  <c r="E13" i="17"/>
  <c r="D13" i="17"/>
  <c r="C13" i="17"/>
  <c r="B13" i="17"/>
  <c r="K12" i="17"/>
  <c r="J12" i="17"/>
  <c r="I12" i="17"/>
  <c r="H12" i="17"/>
  <c r="G12" i="17"/>
  <c r="F12" i="17"/>
  <c r="E12" i="17"/>
  <c r="D12" i="17"/>
  <c r="C12" i="17"/>
  <c r="B12" i="17"/>
  <c r="K11" i="17"/>
  <c r="J11" i="17"/>
  <c r="I11" i="17"/>
  <c r="H11" i="17"/>
  <c r="G11" i="17"/>
  <c r="F11" i="17"/>
  <c r="E11" i="17"/>
  <c r="D11" i="17"/>
  <c r="C11" i="17"/>
  <c r="B11" i="17"/>
  <c r="K10" i="17"/>
  <c r="J10" i="17"/>
  <c r="I10" i="17"/>
  <c r="H10" i="17"/>
  <c r="G10" i="17"/>
  <c r="F10" i="17"/>
  <c r="E10" i="17"/>
  <c r="D10" i="17"/>
  <c r="C10" i="17"/>
  <c r="B10" i="17"/>
  <c r="K9" i="17"/>
  <c r="J9" i="17"/>
  <c r="I9" i="17"/>
  <c r="H9" i="17"/>
  <c r="G9" i="17"/>
  <c r="F9" i="17"/>
  <c r="E9" i="17"/>
  <c r="D9" i="17"/>
  <c r="C9" i="17"/>
  <c r="B9" i="17"/>
  <c r="K8" i="17"/>
  <c r="J8" i="17"/>
  <c r="I8" i="17"/>
  <c r="H8" i="17"/>
  <c r="G8" i="17"/>
  <c r="F8" i="17"/>
  <c r="E8" i="17"/>
  <c r="D8" i="17"/>
  <c r="C8" i="17"/>
  <c r="B8" i="17"/>
  <c r="K5" i="17"/>
  <c r="J5" i="17"/>
  <c r="I5" i="17"/>
  <c r="H5" i="17"/>
  <c r="G5" i="17"/>
  <c r="F5" i="17"/>
  <c r="E5" i="17"/>
  <c r="D5" i="17"/>
  <c r="C5" i="17"/>
  <c r="B5" i="17"/>
  <c r="K4" i="17"/>
  <c r="J4" i="17"/>
  <c r="I4" i="17"/>
  <c r="H4" i="17"/>
  <c r="G4" i="17"/>
  <c r="F4" i="17"/>
  <c r="E4" i="17"/>
  <c r="D4" i="17"/>
  <c r="C4" i="17"/>
  <c r="B4" i="17"/>
  <c r="O3" i="17"/>
  <c r="N3" i="17"/>
  <c r="M3" i="17"/>
  <c r="K3" i="17"/>
  <c r="J3" i="17"/>
  <c r="I3" i="17"/>
  <c r="H3" i="17"/>
  <c r="G3" i="17"/>
  <c r="F3" i="17"/>
  <c r="E3" i="17"/>
  <c r="D3" i="17"/>
  <c r="C3" i="17"/>
  <c r="B3" i="17"/>
  <c r="K2" i="17"/>
  <c r="J2" i="17"/>
  <c r="I2" i="17"/>
  <c r="H2" i="17"/>
  <c r="G2" i="17"/>
  <c r="F2" i="17"/>
  <c r="E2" i="17"/>
  <c r="D2" i="17"/>
  <c r="C2" i="17"/>
  <c r="B2" i="17"/>
  <c r="K1" i="17"/>
  <c r="J1" i="17"/>
  <c r="I1" i="17"/>
  <c r="H1" i="17"/>
  <c r="G1" i="17"/>
  <c r="F1" i="17"/>
  <c r="E1" i="17"/>
  <c r="D1" i="17"/>
  <c r="C1" i="17"/>
  <c r="B1" i="17"/>
  <c r="J14" i="19"/>
  <c r="B14" i="19"/>
  <c r="O54" i="17"/>
  <c r="J23" i="17"/>
  <c r="N22" i="17"/>
  <c r="D23" i="17"/>
  <c r="K21" i="17"/>
  <c r="H21" i="17"/>
  <c r="D21" i="17"/>
  <c r="M12" i="17"/>
  <c r="DY16" i="12"/>
  <c r="DX16" i="12"/>
  <c r="DW16" i="12"/>
  <c r="DV16" i="12"/>
  <c r="DU16" i="12"/>
  <c r="DT16" i="12"/>
  <c r="DS16" i="12"/>
  <c r="DR16" i="12"/>
  <c r="DQ16" i="12"/>
  <c r="DP16" i="12"/>
  <c r="DO16" i="12"/>
  <c r="DN16" i="12"/>
  <c r="DM16" i="12"/>
  <c r="DL16" i="12"/>
  <c r="DK16" i="12"/>
  <c r="DJ16" i="12"/>
  <c r="DI16" i="12"/>
  <c r="DH16" i="12"/>
  <c r="DG16" i="12"/>
  <c r="DF16" i="12"/>
  <c r="DE16" i="12"/>
  <c r="DD16" i="12"/>
  <c r="DC16" i="12"/>
  <c r="DB16" i="12"/>
  <c r="DA16" i="12"/>
  <c r="CZ16" i="12"/>
  <c r="CY16" i="12"/>
  <c r="CX16" i="12"/>
  <c r="CW16" i="12"/>
  <c r="CV16" i="12"/>
  <c r="CU16" i="12"/>
  <c r="CT16" i="12"/>
  <c r="CS16" i="12"/>
  <c r="CR16" i="12"/>
  <c r="CQ16" i="12"/>
  <c r="CP16" i="12"/>
  <c r="CO16" i="12"/>
  <c r="CN16" i="12"/>
  <c r="CM16" i="12"/>
  <c r="CL16" i="12"/>
  <c r="CK16" i="12"/>
  <c r="CJ16" i="12"/>
  <c r="CI16" i="12"/>
  <c r="CH16" i="12"/>
  <c r="CG16" i="12"/>
  <c r="CF16" i="12"/>
  <c r="CE16" i="12"/>
  <c r="CD16" i="12"/>
  <c r="CC16" i="12"/>
  <c r="CB16" i="12"/>
  <c r="CA16" i="12"/>
  <c r="BZ16" i="12"/>
  <c r="BY16" i="12"/>
  <c r="BX16" i="12"/>
  <c r="BW16" i="12"/>
  <c r="BV16" i="12"/>
  <c r="BU16" i="12"/>
  <c r="BT16" i="12"/>
  <c r="BS16" i="12"/>
  <c r="BR16" i="12"/>
  <c r="BQ16" i="12"/>
  <c r="BP16" i="12"/>
  <c r="BO16" i="12"/>
  <c r="BN16" i="12"/>
  <c r="BM16" i="12"/>
  <c r="BL16" i="12"/>
  <c r="BK16" i="12"/>
  <c r="BJ16" i="12"/>
  <c r="BI16" i="12"/>
  <c r="BH16" i="12"/>
  <c r="BG16" i="12"/>
  <c r="BF16" i="12"/>
  <c r="BE16" i="12"/>
  <c r="BD16" i="12"/>
  <c r="BC16" i="12"/>
  <c r="BB16" i="12"/>
  <c r="BA16" i="12"/>
  <c r="AZ16" i="12"/>
  <c r="AY16" i="12"/>
  <c r="AX16" i="12"/>
  <c r="AW16" i="12"/>
  <c r="AV16" i="12"/>
  <c r="AU16" i="12"/>
  <c r="AT16" i="12"/>
  <c r="AS16" i="12"/>
  <c r="AR16" i="12"/>
  <c r="AQ16" i="12"/>
  <c r="AP16" i="12"/>
  <c r="AO16" i="12"/>
  <c r="AN16" i="12"/>
  <c r="AM16" i="12"/>
  <c r="DY15" i="12"/>
  <c r="DX15" i="12"/>
  <c r="DW15" i="12"/>
  <c r="DV15" i="12"/>
  <c r="DU15" i="12"/>
  <c r="DT15" i="12"/>
  <c r="DS15" i="12"/>
  <c r="DR15" i="12"/>
  <c r="DQ15" i="12"/>
  <c r="DP15" i="12"/>
  <c r="DO15" i="12"/>
  <c r="DN15" i="12"/>
  <c r="DM15" i="12"/>
  <c r="DL15" i="12"/>
  <c r="DK15" i="12"/>
  <c r="DJ15" i="12"/>
  <c r="DI15" i="12"/>
  <c r="DH15" i="12"/>
  <c r="DG15" i="12"/>
  <c r="DF15" i="12"/>
  <c r="DE15" i="12"/>
  <c r="DD15" i="12"/>
  <c r="DC15" i="12"/>
  <c r="DB15" i="12"/>
  <c r="DA15" i="12"/>
  <c r="CZ15" i="12"/>
  <c r="CY15" i="12"/>
  <c r="CX15" i="12"/>
  <c r="CW15" i="12"/>
  <c r="CV15" i="12"/>
  <c r="CU15" i="12"/>
  <c r="CT15" i="12"/>
  <c r="CS15" i="12"/>
  <c r="CR15" i="12"/>
  <c r="CQ15" i="12"/>
  <c r="CP15" i="12"/>
  <c r="CO15" i="12"/>
  <c r="CN15" i="12"/>
  <c r="CM15" i="12"/>
  <c r="CL15" i="12"/>
  <c r="CK15" i="12"/>
  <c r="CJ15" i="12"/>
  <c r="CI15" i="12"/>
  <c r="CH15" i="12"/>
  <c r="CG15" i="12"/>
  <c r="CF15" i="12"/>
  <c r="CE15" i="12"/>
  <c r="CD15" i="12"/>
  <c r="CC15" i="12"/>
  <c r="CB15" i="12"/>
  <c r="CA15" i="12"/>
  <c r="BZ15" i="12"/>
  <c r="BY15" i="12"/>
  <c r="BX15" i="12"/>
  <c r="BW15" i="12"/>
  <c r="BV15" i="12"/>
  <c r="BU15" i="12"/>
  <c r="BT15" i="12"/>
  <c r="BS15" i="12"/>
  <c r="BR15" i="12"/>
  <c r="BQ15" i="12"/>
  <c r="BP15" i="12"/>
  <c r="BO15" i="12"/>
  <c r="BN15" i="12"/>
  <c r="BM15" i="12"/>
  <c r="BL15" i="12"/>
  <c r="BK15" i="12"/>
  <c r="BJ15" i="12"/>
  <c r="BI15" i="12"/>
  <c r="BH15" i="12"/>
  <c r="BG15" i="12"/>
  <c r="BF15" i="12"/>
  <c r="BE15" i="12"/>
  <c r="BD15" i="12"/>
  <c r="BC15" i="12"/>
  <c r="BB15" i="12"/>
  <c r="BA15" i="12"/>
  <c r="AZ15" i="12"/>
  <c r="AY15" i="12"/>
  <c r="AX15" i="12"/>
  <c r="AW15" i="12"/>
  <c r="AV15" i="12"/>
  <c r="AU15" i="12"/>
  <c r="AT15" i="12"/>
  <c r="AS15" i="12"/>
  <c r="AR15" i="12"/>
  <c r="AQ15" i="12"/>
  <c r="AP15" i="12"/>
  <c r="AO15" i="12"/>
  <c r="AN15" i="12"/>
  <c r="AM15" i="12"/>
  <c r="DY14" i="12"/>
  <c r="DX14" i="12"/>
  <c r="DW14" i="12"/>
  <c r="DV14" i="12"/>
  <c r="DU14" i="12"/>
  <c r="DT14" i="12"/>
  <c r="DS14" i="12"/>
  <c r="DR14" i="12"/>
  <c r="DQ14" i="12"/>
  <c r="DP14" i="12"/>
  <c r="DO14" i="12"/>
  <c r="DN14" i="12"/>
  <c r="DM14" i="12"/>
  <c r="DL14" i="12"/>
  <c r="DK14" i="12"/>
  <c r="DJ14" i="12"/>
  <c r="DI14" i="12"/>
  <c r="DH14" i="12"/>
  <c r="DG14" i="12"/>
  <c r="DF14" i="12"/>
  <c r="DE14" i="12"/>
  <c r="DD14" i="12"/>
  <c r="DC14" i="12"/>
  <c r="DB14" i="12"/>
  <c r="DA14" i="12"/>
  <c r="CZ14" i="12"/>
  <c r="CY14" i="12"/>
  <c r="CX14" i="12"/>
  <c r="CW14" i="12"/>
  <c r="CV14" i="12"/>
  <c r="CU14" i="12"/>
  <c r="CT14" i="12"/>
  <c r="CS14" i="12"/>
  <c r="CR14" i="12"/>
  <c r="CQ14" i="12"/>
  <c r="CP14" i="12"/>
  <c r="CO14" i="12"/>
  <c r="CN14" i="12"/>
  <c r="CM14" i="12"/>
  <c r="CL14" i="12"/>
  <c r="CK14" i="12"/>
  <c r="CJ14" i="12"/>
  <c r="CI14" i="12"/>
  <c r="CH14" i="12"/>
  <c r="CG14" i="12"/>
  <c r="CF14" i="12"/>
  <c r="CE14" i="12"/>
  <c r="CD14" i="12"/>
  <c r="CC14" i="12"/>
  <c r="CB14" i="12"/>
  <c r="CA14" i="12"/>
  <c r="BZ14" i="12"/>
  <c r="BY14" i="12"/>
  <c r="BX14" i="12"/>
  <c r="BW14" i="12"/>
  <c r="BV14" i="12"/>
  <c r="BU14" i="12"/>
  <c r="BT14" i="12"/>
  <c r="BS14" i="12"/>
  <c r="BR14" i="12"/>
  <c r="BQ14" i="12"/>
  <c r="BP14" i="12"/>
  <c r="BO14" i="12"/>
  <c r="BN14" i="12"/>
  <c r="BM14" i="12"/>
  <c r="BL14" i="12"/>
  <c r="BK14" i="12"/>
  <c r="BJ14" i="12"/>
  <c r="BI14" i="12"/>
  <c r="BH14" i="12"/>
  <c r="BG14" i="12"/>
  <c r="BF14" i="12"/>
  <c r="BE14" i="12"/>
  <c r="BD14" i="12"/>
  <c r="BC14" i="12"/>
  <c r="BB14" i="12"/>
  <c r="BA14" i="12"/>
  <c r="AZ14" i="12"/>
  <c r="AY14" i="12"/>
  <c r="AX14" i="12"/>
  <c r="AW14" i="12"/>
  <c r="AV14" i="12"/>
  <c r="AU14" i="12"/>
  <c r="AT14" i="12"/>
  <c r="AS14" i="12"/>
  <c r="AR14" i="12"/>
  <c r="AQ14" i="12"/>
  <c r="AP14" i="12"/>
  <c r="AO14" i="12"/>
  <c r="AN14" i="12"/>
  <c r="AM14" i="12"/>
  <c r="E26" i="11"/>
  <c r="D26" i="11"/>
  <c r="C26" i="11"/>
  <c r="B26" i="11"/>
  <c r="E6" i="11"/>
  <c r="D6" i="11"/>
  <c r="C6" i="11"/>
  <c r="B6" i="11"/>
  <c r="L1" i="15"/>
  <c r="L36" i="15" s="1"/>
  <c r="L64" i="15" s="1"/>
  <c r="L81" i="15" s="1"/>
  <c r="L109" i="15" s="1"/>
  <c r="N19" i="8"/>
  <c r="N18" i="8"/>
  <c r="N17" i="8"/>
  <c r="E3" i="7"/>
  <c r="E2" i="7"/>
  <c r="E1" i="7"/>
  <c r="L119" i="15"/>
  <c r="K119" i="15"/>
  <c r="J119" i="15"/>
  <c r="I119" i="15"/>
  <c r="H119" i="15"/>
  <c r="G119" i="15"/>
  <c r="F119" i="15"/>
  <c r="E119" i="15"/>
  <c r="D119" i="15"/>
  <c r="C119" i="15"/>
  <c r="L118" i="15"/>
  <c r="K118" i="15"/>
  <c r="J118" i="15"/>
  <c r="I118" i="15"/>
  <c r="H118" i="15"/>
  <c r="G118" i="15"/>
  <c r="F118" i="15"/>
  <c r="E118" i="15"/>
  <c r="D118" i="15"/>
  <c r="C118" i="15"/>
  <c r="L116" i="15"/>
  <c r="K116" i="15"/>
  <c r="J116" i="15"/>
  <c r="I116" i="15"/>
  <c r="H116" i="15"/>
  <c r="G116" i="15"/>
  <c r="F116" i="15"/>
  <c r="E116" i="15"/>
  <c r="D116" i="15"/>
  <c r="C116" i="15"/>
  <c r="L115" i="15"/>
  <c r="K115" i="15"/>
  <c r="J115" i="15"/>
  <c r="I115" i="15"/>
  <c r="H115" i="15"/>
  <c r="G115" i="15"/>
  <c r="F115" i="15"/>
  <c r="E115" i="15"/>
  <c r="D115" i="15"/>
  <c r="C115" i="15"/>
  <c r="N115" i="15" s="1"/>
  <c r="L114" i="15"/>
  <c r="K114" i="15"/>
  <c r="J114" i="15"/>
  <c r="I114" i="15"/>
  <c r="H114" i="15"/>
  <c r="G114" i="15"/>
  <c r="F114" i="15"/>
  <c r="E114" i="15"/>
  <c r="D114" i="15"/>
  <c r="C114" i="15"/>
  <c r="L112" i="15"/>
  <c r="K112" i="15"/>
  <c r="J112" i="15"/>
  <c r="I112" i="15"/>
  <c r="H112" i="15"/>
  <c r="G112" i="15"/>
  <c r="F112" i="15"/>
  <c r="E112" i="15"/>
  <c r="D112" i="15"/>
  <c r="C112" i="15"/>
  <c r="L110" i="15"/>
  <c r="K110" i="15"/>
  <c r="J110" i="15"/>
  <c r="I110" i="15"/>
  <c r="H110" i="15"/>
  <c r="G110" i="15"/>
  <c r="F110" i="15"/>
  <c r="E110" i="15"/>
  <c r="D110" i="15"/>
  <c r="C110" i="15"/>
  <c r="L105" i="15"/>
  <c r="K105" i="15"/>
  <c r="J105" i="15"/>
  <c r="I105" i="15"/>
  <c r="H105" i="15"/>
  <c r="G105" i="15"/>
  <c r="F105" i="15"/>
  <c r="E105" i="15"/>
  <c r="D105" i="15"/>
  <c r="L104" i="15"/>
  <c r="K104" i="15"/>
  <c r="J104" i="15"/>
  <c r="I104" i="15"/>
  <c r="H104" i="15"/>
  <c r="G104" i="15"/>
  <c r="F104" i="15"/>
  <c r="E104" i="15"/>
  <c r="D104" i="15"/>
  <c r="L100" i="15"/>
  <c r="K100" i="15"/>
  <c r="J100" i="15"/>
  <c r="I100" i="15"/>
  <c r="H100" i="15"/>
  <c r="G100" i="15"/>
  <c r="F100" i="15"/>
  <c r="E100" i="15"/>
  <c r="D100" i="15"/>
  <c r="C100" i="15"/>
  <c r="L99" i="15"/>
  <c r="K99" i="15"/>
  <c r="J99" i="15"/>
  <c r="I99" i="15"/>
  <c r="H99" i="15"/>
  <c r="G99" i="15"/>
  <c r="F99" i="15"/>
  <c r="E99" i="15"/>
  <c r="D99" i="15"/>
  <c r="C99" i="15"/>
  <c r="L97" i="15"/>
  <c r="K97" i="15"/>
  <c r="J97" i="15"/>
  <c r="I97" i="15"/>
  <c r="H97" i="15"/>
  <c r="G97" i="15"/>
  <c r="F97" i="15"/>
  <c r="E97" i="15"/>
  <c r="D97" i="15"/>
  <c r="C97" i="15"/>
  <c r="L96" i="15"/>
  <c r="K96" i="15"/>
  <c r="J96" i="15"/>
  <c r="I96" i="15"/>
  <c r="H96" i="15"/>
  <c r="G96" i="15"/>
  <c r="F96" i="15"/>
  <c r="E96" i="15"/>
  <c r="D96" i="15"/>
  <c r="C96" i="15"/>
  <c r="L86" i="15"/>
  <c r="K86" i="15"/>
  <c r="J86" i="15"/>
  <c r="I86" i="15"/>
  <c r="H86" i="15"/>
  <c r="G86" i="15"/>
  <c r="F86" i="15"/>
  <c r="E86" i="15"/>
  <c r="D86" i="15"/>
  <c r="C86" i="15"/>
  <c r="L85" i="15"/>
  <c r="K85" i="15"/>
  <c r="J85" i="15"/>
  <c r="I85" i="15"/>
  <c r="H85" i="15"/>
  <c r="G85" i="15"/>
  <c r="F85" i="15"/>
  <c r="E85" i="15"/>
  <c r="D85" i="15"/>
  <c r="C85" i="15"/>
  <c r="Q85" i="15" s="1"/>
  <c r="L84" i="15"/>
  <c r="K84" i="15"/>
  <c r="J84" i="15"/>
  <c r="I84" i="15"/>
  <c r="H84" i="15"/>
  <c r="G84" i="15"/>
  <c r="F84" i="15"/>
  <c r="E84" i="15"/>
  <c r="D84" i="15"/>
  <c r="C84" i="15"/>
  <c r="P84" i="15" s="1"/>
  <c r="L83" i="15"/>
  <c r="K83" i="15"/>
  <c r="J83" i="15"/>
  <c r="I83" i="15"/>
  <c r="H83" i="15"/>
  <c r="G83" i="15"/>
  <c r="F83" i="15"/>
  <c r="E83" i="15"/>
  <c r="D83" i="15"/>
  <c r="C83" i="15"/>
  <c r="Q83" i="15" s="1"/>
  <c r="L82" i="15"/>
  <c r="K82" i="15"/>
  <c r="J82" i="15"/>
  <c r="I82" i="15"/>
  <c r="H82" i="15"/>
  <c r="G82" i="15"/>
  <c r="F82" i="15"/>
  <c r="E82" i="15"/>
  <c r="D82" i="15"/>
  <c r="C82" i="15"/>
  <c r="Q82" i="15" s="1"/>
  <c r="L79" i="15"/>
  <c r="F5" i="8" s="1"/>
  <c r="K79" i="15"/>
  <c r="J79" i="15"/>
  <c r="I79" i="15"/>
  <c r="M79" i="15" s="1"/>
  <c r="H79" i="15"/>
  <c r="G79" i="15"/>
  <c r="F6" i="8" s="1"/>
  <c r="F79" i="15"/>
  <c r="E79" i="15"/>
  <c r="D79" i="15"/>
  <c r="C79" i="15"/>
  <c r="P79" i="15" s="1"/>
  <c r="L76" i="15"/>
  <c r="K76" i="15"/>
  <c r="AB6" i="9" s="1"/>
  <c r="J76" i="15"/>
  <c r="I76" i="15"/>
  <c r="H76" i="15"/>
  <c r="G76" i="15"/>
  <c r="F76" i="15"/>
  <c r="E76" i="15"/>
  <c r="D76" i="15"/>
  <c r="C76" i="15"/>
  <c r="N76" i="15" s="1"/>
  <c r="L75" i="15"/>
  <c r="Z6" i="9" s="1"/>
  <c r="K75" i="15"/>
  <c r="J75" i="15"/>
  <c r="I75" i="15"/>
  <c r="H75" i="15"/>
  <c r="G75" i="15"/>
  <c r="M75" i="15" s="1"/>
  <c r="M33" i="9" s="1"/>
  <c r="F75" i="15"/>
  <c r="E75" i="15"/>
  <c r="D75" i="15"/>
  <c r="C75" i="15"/>
  <c r="Q75" i="15" s="1"/>
  <c r="L73" i="15"/>
  <c r="K73" i="15"/>
  <c r="AC6" i="9" s="1"/>
  <c r="J73" i="15"/>
  <c r="I73" i="15"/>
  <c r="H73" i="15"/>
  <c r="G73" i="15"/>
  <c r="F73" i="15"/>
  <c r="E73" i="15"/>
  <c r="D73" i="15"/>
  <c r="C73" i="15"/>
  <c r="N73" i="15" s="1"/>
  <c r="L69" i="15"/>
  <c r="K69" i="15"/>
  <c r="AA6" i="9" s="1"/>
  <c r="J69" i="15"/>
  <c r="I69" i="15"/>
  <c r="H69" i="15"/>
  <c r="G69" i="15"/>
  <c r="F69" i="15"/>
  <c r="E69" i="15"/>
  <c r="D69" i="15"/>
  <c r="C69" i="15"/>
  <c r="N69" i="15" s="1"/>
  <c r="C60" i="15"/>
  <c r="L58" i="15"/>
  <c r="K58" i="15"/>
  <c r="J58" i="15"/>
  <c r="L60" i="15" s="1"/>
  <c r="I58" i="15"/>
  <c r="J60" i="15" s="1"/>
  <c r="H58" i="15"/>
  <c r="I60" i="15" s="1"/>
  <c r="G58" i="15"/>
  <c r="H60" i="15" s="1"/>
  <c r="F58" i="15"/>
  <c r="G60" i="15" s="1"/>
  <c r="E58" i="15"/>
  <c r="F60" i="15" s="1"/>
  <c r="D58" i="15"/>
  <c r="E60" i="15" s="1"/>
  <c r="D60" i="15"/>
  <c r="L57" i="15"/>
  <c r="L59" i="15" s="1"/>
  <c r="K57" i="15"/>
  <c r="J57" i="15"/>
  <c r="J59" i="15" s="1"/>
  <c r="I57" i="15"/>
  <c r="H57" i="15"/>
  <c r="G57" i="15"/>
  <c r="F57" i="15"/>
  <c r="E57" i="15"/>
  <c r="D57" i="15"/>
  <c r="C57" i="15"/>
  <c r="L55" i="15"/>
  <c r="K55" i="15"/>
  <c r="J55" i="15"/>
  <c r="I55" i="15"/>
  <c r="H55" i="15"/>
  <c r="P55" i="15" s="1"/>
  <c r="G55" i="15"/>
  <c r="F55" i="15"/>
  <c r="E55" i="15"/>
  <c r="D55" i="15"/>
  <c r="C55" i="15"/>
  <c r="L54" i="15"/>
  <c r="N54" i="15" s="1"/>
  <c r="K54" i="15"/>
  <c r="J54" i="15"/>
  <c r="I54" i="15"/>
  <c r="H54" i="15"/>
  <c r="P54" i="15" s="1"/>
  <c r="G54" i="15"/>
  <c r="F54" i="15"/>
  <c r="E54" i="15"/>
  <c r="D54" i="15"/>
  <c r="C54" i="15"/>
  <c r="L50" i="15"/>
  <c r="N50" i="15" s="1"/>
  <c r="K50" i="15"/>
  <c r="L51" i="15" s="1"/>
  <c r="J50" i="15"/>
  <c r="J51" i="15" s="1"/>
  <c r="I50" i="15"/>
  <c r="I51" i="15" s="1"/>
  <c r="H50" i="15"/>
  <c r="H51" i="15" s="1"/>
  <c r="G50" i="15"/>
  <c r="G51" i="15" s="1"/>
  <c r="F50" i="15"/>
  <c r="F51" i="15" s="1"/>
  <c r="E50" i="15"/>
  <c r="E51" i="15" s="1"/>
  <c r="D50" i="15"/>
  <c r="D51" i="15" s="1"/>
  <c r="C50" i="15"/>
  <c r="C51" i="15" s="1"/>
  <c r="L45" i="15"/>
  <c r="K45" i="15"/>
  <c r="K117" i="15" s="1"/>
  <c r="J45" i="15"/>
  <c r="J47" i="15" s="1"/>
  <c r="I45" i="15"/>
  <c r="H45" i="15"/>
  <c r="G45" i="15"/>
  <c r="G117" i="15" s="1"/>
  <c r="F45" i="15"/>
  <c r="F47" i="15" s="1"/>
  <c r="E45" i="15"/>
  <c r="E117" i="15" s="1"/>
  <c r="D45" i="15"/>
  <c r="D47" i="15" s="1"/>
  <c r="C45" i="15"/>
  <c r="L43" i="15"/>
  <c r="N43" i="15" s="1"/>
  <c r="K43" i="15"/>
  <c r="J43" i="15"/>
  <c r="I43" i="15"/>
  <c r="H43" i="15"/>
  <c r="G43" i="15"/>
  <c r="F43" i="15"/>
  <c r="E43" i="15"/>
  <c r="D43" i="15"/>
  <c r="C43" i="15"/>
  <c r="L41" i="15"/>
  <c r="L129" i="15" s="1"/>
  <c r="K41" i="15"/>
  <c r="K129" i="15" s="1"/>
  <c r="J41" i="15"/>
  <c r="J129" i="15" s="1"/>
  <c r="I41" i="15"/>
  <c r="I129" i="15" s="1"/>
  <c r="H41" i="15"/>
  <c r="H129" i="15" s="1"/>
  <c r="G41" i="15"/>
  <c r="G129" i="15" s="1"/>
  <c r="F41" i="15"/>
  <c r="F129" i="15" s="1"/>
  <c r="E41" i="15"/>
  <c r="E129" i="15" s="1"/>
  <c r="D41" i="15"/>
  <c r="D129" i="15" s="1"/>
  <c r="C41" i="15"/>
  <c r="C129" i="15" s="1"/>
  <c r="L40" i="15"/>
  <c r="L42" i="15" s="1"/>
  <c r="L128" i="15" s="1"/>
  <c r="K40" i="15"/>
  <c r="K42" i="15" s="1"/>
  <c r="K128" i="15" s="1"/>
  <c r="J40" i="15"/>
  <c r="J42" i="15" s="1"/>
  <c r="J128" i="15" s="1"/>
  <c r="I40" i="15"/>
  <c r="I42" i="15" s="1"/>
  <c r="I128" i="15" s="1"/>
  <c r="H40" i="15"/>
  <c r="H42" i="15" s="1"/>
  <c r="H128" i="15" s="1"/>
  <c r="G40" i="15"/>
  <c r="G42" i="15" s="1"/>
  <c r="G128" i="15" s="1"/>
  <c r="F40" i="15"/>
  <c r="F42" i="15" s="1"/>
  <c r="F128" i="15" s="1"/>
  <c r="E40" i="15"/>
  <c r="E42" i="15" s="1"/>
  <c r="E128" i="15" s="1"/>
  <c r="D40" i="15"/>
  <c r="D42" i="15" s="1"/>
  <c r="D128" i="15" s="1"/>
  <c r="C40" i="15"/>
  <c r="C42" i="15" s="1"/>
  <c r="C128" i="15" s="1"/>
  <c r="L34" i="15"/>
  <c r="K34" i="15"/>
  <c r="E24" i="9" s="1"/>
  <c r="J34" i="15"/>
  <c r="I34" i="15"/>
  <c r="H34" i="15"/>
  <c r="Q34" i="15" s="1"/>
  <c r="G34" i="15"/>
  <c r="F34" i="15"/>
  <c r="E34" i="15"/>
  <c r="D34" i="15"/>
  <c r="C34" i="15"/>
  <c r="L33" i="15"/>
  <c r="K33" i="15"/>
  <c r="Y6" i="9" s="1"/>
  <c r="J33" i="15"/>
  <c r="I33" i="15"/>
  <c r="H33" i="15"/>
  <c r="Q33" i="15" s="1"/>
  <c r="G33" i="15"/>
  <c r="F33" i="15"/>
  <c r="E33" i="15"/>
  <c r="D33" i="15"/>
  <c r="C33" i="15"/>
  <c r="L32" i="15"/>
  <c r="O6" i="9" s="1"/>
  <c r="K32" i="15"/>
  <c r="C24" i="9" s="1"/>
  <c r="J32" i="15"/>
  <c r="I32" i="15"/>
  <c r="H32" i="15"/>
  <c r="G32" i="15"/>
  <c r="F32" i="15"/>
  <c r="O5" i="9" s="1"/>
  <c r="E32" i="15"/>
  <c r="D32" i="15"/>
  <c r="C32" i="15"/>
  <c r="P23" i="15"/>
  <c r="O23" i="15"/>
  <c r="N23" i="15"/>
  <c r="L23" i="15"/>
  <c r="K23" i="15"/>
  <c r="J23" i="15"/>
  <c r="I23" i="15"/>
  <c r="H23" i="15"/>
  <c r="G23" i="15"/>
  <c r="F23" i="15"/>
  <c r="E23" i="15"/>
  <c r="D23" i="15"/>
  <c r="C23" i="15"/>
  <c r="P22" i="15"/>
  <c r="O22" i="15"/>
  <c r="N22" i="15"/>
  <c r="L22" i="15"/>
  <c r="K22" i="15"/>
  <c r="J22" i="15"/>
  <c r="I22" i="15"/>
  <c r="H22" i="15"/>
  <c r="G22" i="15"/>
  <c r="F22" i="15"/>
  <c r="E22" i="15"/>
  <c r="D22" i="15"/>
  <c r="C22" i="15"/>
  <c r="P21" i="15"/>
  <c r="O21" i="15"/>
  <c r="N21" i="15"/>
  <c r="L21" i="15"/>
  <c r="K21" i="15"/>
  <c r="J21" i="15"/>
  <c r="I21" i="15"/>
  <c r="H21" i="15"/>
  <c r="G21" i="15"/>
  <c r="F21" i="15"/>
  <c r="E21" i="15"/>
  <c r="D21" i="15"/>
  <c r="C21" i="15"/>
  <c r="P20" i="15"/>
  <c r="O20" i="15"/>
  <c r="N20" i="15"/>
  <c r="L20" i="15"/>
  <c r="K20" i="15"/>
  <c r="J20" i="15"/>
  <c r="I20" i="15"/>
  <c r="H20" i="15"/>
  <c r="G20" i="15"/>
  <c r="F20" i="15"/>
  <c r="E20" i="15"/>
  <c r="D20" i="15"/>
  <c r="C20" i="15"/>
  <c r="P19" i="15"/>
  <c r="O19" i="15"/>
  <c r="N19" i="15"/>
  <c r="L19" i="15"/>
  <c r="K19" i="15"/>
  <c r="J19" i="15"/>
  <c r="I19" i="15"/>
  <c r="H19" i="15"/>
  <c r="G19" i="15"/>
  <c r="F19" i="15"/>
  <c r="E19" i="15"/>
  <c r="D19" i="15"/>
  <c r="C19" i="15"/>
  <c r="P18" i="15"/>
  <c r="O18" i="15"/>
  <c r="N18" i="15"/>
  <c r="L18" i="15"/>
  <c r="K18" i="15"/>
  <c r="J18" i="15"/>
  <c r="I18" i="15"/>
  <c r="H18" i="15"/>
  <c r="G18" i="15"/>
  <c r="F18" i="15"/>
  <c r="E18" i="15"/>
  <c r="D18" i="15"/>
  <c r="C18" i="15"/>
  <c r="P17" i="15"/>
  <c r="O17" i="15"/>
  <c r="N17" i="15"/>
  <c r="L17" i="15"/>
  <c r="K17" i="15"/>
  <c r="J17" i="15"/>
  <c r="I17" i="15"/>
  <c r="H17" i="15"/>
  <c r="G17" i="15"/>
  <c r="F17" i="15"/>
  <c r="E17" i="15"/>
  <c r="D17" i="15"/>
  <c r="C17" i="15"/>
  <c r="P16" i="15"/>
  <c r="O16" i="15"/>
  <c r="N16" i="15"/>
  <c r="L16" i="15"/>
  <c r="K16" i="15"/>
  <c r="J16" i="15"/>
  <c r="I16" i="15"/>
  <c r="H16" i="15"/>
  <c r="G16" i="15"/>
  <c r="F16" i="15"/>
  <c r="E16" i="15"/>
  <c r="D16" i="15"/>
  <c r="C16" i="15"/>
  <c r="P15" i="15"/>
  <c r="O15" i="15"/>
  <c r="N15" i="15"/>
  <c r="L15" i="15"/>
  <c r="K15" i="15"/>
  <c r="J15" i="15"/>
  <c r="I15" i="15"/>
  <c r="H15" i="15"/>
  <c r="G15" i="15"/>
  <c r="F15" i="15"/>
  <c r="E15" i="15"/>
  <c r="D15" i="15"/>
  <c r="C15" i="15"/>
  <c r="P14" i="15"/>
  <c r="Q13" i="9" s="1"/>
  <c r="O14" i="15"/>
  <c r="Q12" i="9" s="1"/>
  <c r="N14" i="15"/>
  <c r="Q11" i="9" s="1"/>
  <c r="L14" i="15"/>
  <c r="Q14" i="9" s="1"/>
  <c r="K14" i="15"/>
  <c r="J14" i="15"/>
  <c r="I14" i="15"/>
  <c r="H14" i="15"/>
  <c r="G14" i="15"/>
  <c r="F14" i="15"/>
  <c r="E14" i="15"/>
  <c r="D14" i="15"/>
  <c r="C14" i="15"/>
  <c r="P13" i="15"/>
  <c r="P13" i="9" s="1"/>
  <c r="O13" i="15"/>
  <c r="P12" i="9" s="1"/>
  <c r="N13" i="15"/>
  <c r="P11" i="9" s="1"/>
  <c r="L13" i="15"/>
  <c r="P14" i="9" s="1"/>
  <c r="K13" i="15"/>
  <c r="J13" i="15"/>
  <c r="I13" i="15"/>
  <c r="H13" i="15"/>
  <c r="G13" i="15"/>
  <c r="F13" i="15"/>
  <c r="E13" i="15"/>
  <c r="D13" i="15"/>
  <c r="C13" i="15"/>
  <c r="M77" i="14"/>
  <c r="L77" i="14"/>
  <c r="K77" i="14"/>
  <c r="J77" i="14"/>
  <c r="I77" i="14"/>
  <c r="H77" i="14"/>
  <c r="G77" i="14"/>
  <c r="F77" i="14"/>
  <c r="E77" i="14"/>
  <c r="D77" i="14"/>
  <c r="C77" i="14"/>
  <c r="M72" i="14"/>
  <c r="L72" i="14"/>
  <c r="K72" i="14"/>
  <c r="J72" i="14"/>
  <c r="I72" i="14"/>
  <c r="H72" i="14"/>
  <c r="G72" i="14"/>
  <c r="G96" i="14" s="1"/>
  <c r="F72" i="14"/>
  <c r="E72" i="14"/>
  <c r="D72" i="14"/>
  <c r="C72" i="14"/>
  <c r="M71" i="14"/>
  <c r="L71" i="14"/>
  <c r="K71" i="14"/>
  <c r="J71" i="14"/>
  <c r="I71" i="14"/>
  <c r="H71" i="14"/>
  <c r="G71" i="14"/>
  <c r="F71" i="14"/>
  <c r="E71" i="14"/>
  <c r="D71" i="14"/>
  <c r="C71" i="14"/>
  <c r="L67" i="14"/>
  <c r="K67" i="14"/>
  <c r="J67" i="14"/>
  <c r="K70" i="14" s="1"/>
  <c r="I67" i="14"/>
  <c r="H67" i="14"/>
  <c r="I70" i="14" s="1"/>
  <c r="G67" i="14"/>
  <c r="F67" i="14"/>
  <c r="G70" i="14" s="1"/>
  <c r="E67" i="14"/>
  <c r="D67" i="14"/>
  <c r="E70" i="14" s="1"/>
  <c r="C67" i="14"/>
  <c r="M61" i="14"/>
  <c r="M8" i="14" s="1"/>
  <c r="L61" i="14"/>
  <c r="K61" i="14"/>
  <c r="K8" i="14" s="1"/>
  <c r="J61" i="14"/>
  <c r="I61" i="14"/>
  <c r="I8" i="14" s="1"/>
  <c r="H61" i="14"/>
  <c r="G61" i="14"/>
  <c r="G8" i="14" s="1"/>
  <c r="F61" i="14"/>
  <c r="E61" i="14"/>
  <c r="E8" i="14" s="1"/>
  <c r="D61" i="14"/>
  <c r="C61" i="14"/>
  <c r="C8" i="14" s="1"/>
  <c r="M60" i="14"/>
  <c r="L60" i="14"/>
  <c r="L6" i="14" s="1"/>
  <c r="K60" i="14"/>
  <c r="J60" i="14"/>
  <c r="J6" i="14" s="1"/>
  <c r="I60" i="14"/>
  <c r="H60" i="14"/>
  <c r="H6" i="14" s="1"/>
  <c r="G60" i="14"/>
  <c r="F60" i="14"/>
  <c r="F6" i="14" s="1"/>
  <c r="E60" i="14"/>
  <c r="D60" i="14"/>
  <c r="D6" i="14" s="1"/>
  <c r="C60" i="14"/>
  <c r="M59" i="14"/>
  <c r="M7" i="14" s="1"/>
  <c r="L59" i="14"/>
  <c r="K59" i="14"/>
  <c r="K7" i="14" s="1"/>
  <c r="J59" i="14"/>
  <c r="I59" i="14"/>
  <c r="I7" i="14" s="1"/>
  <c r="H59" i="14"/>
  <c r="G59" i="14"/>
  <c r="G7" i="14" s="1"/>
  <c r="F59" i="14"/>
  <c r="E59" i="14"/>
  <c r="E7" i="14" s="1"/>
  <c r="D59" i="14"/>
  <c r="C59" i="14"/>
  <c r="C7" i="14" s="1"/>
  <c r="M58" i="14"/>
  <c r="L58" i="14"/>
  <c r="L96" i="14" s="1"/>
  <c r="K58" i="14"/>
  <c r="J58" i="14"/>
  <c r="I58" i="14"/>
  <c r="H58" i="14"/>
  <c r="H96" i="14" s="1"/>
  <c r="G58" i="14"/>
  <c r="F58" i="14"/>
  <c r="F96" i="14" s="1"/>
  <c r="E58" i="14"/>
  <c r="D58" i="14"/>
  <c r="D96" i="14" s="1"/>
  <c r="C58" i="14"/>
  <c r="M57" i="14"/>
  <c r="L57" i="14"/>
  <c r="K57" i="14"/>
  <c r="J57" i="14"/>
  <c r="I57" i="14"/>
  <c r="I74" i="14" s="1"/>
  <c r="H57" i="14"/>
  <c r="G57" i="14"/>
  <c r="G74" i="14" s="1"/>
  <c r="F57" i="14"/>
  <c r="E57" i="14"/>
  <c r="E74" i="14" s="1"/>
  <c r="D57" i="14"/>
  <c r="C57" i="14"/>
  <c r="C74" i="14" s="1"/>
  <c r="M56" i="14"/>
  <c r="I5" i="8" s="1"/>
  <c r="L56" i="14"/>
  <c r="K25" i="26" s="1"/>
  <c r="K56" i="14"/>
  <c r="J56" i="14"/>
  <c r="I25" i="26" s="1"/>
  <c r="I56" i="14"/>
  <c r="H56" i="14"/>
  <c r="G25" i="26" s="1"/>
  <c r="G56" i="14"/>
  <c r="F56" i="14"/>
  <c r="E25" i="26" s="1"/>
  <c r="E56" i="14"/>
  <c r="D56" i="14"/>
  <c r="C56" i="14"/>
  <c r="B25" i="26" s="1"/>
  <c r="M55" i="14"/>
  <c r="M65" i="14" s="1"/>
  <c r="L55" i="14"/>
  <c r="K55" i="14"/>
  <c r="K65" i="14" s="1"/>
  <c r="K66" i="14" s="1"/>
  <c r="J55" i="14"/>
  <c r="I55" i="14"/>
  <c r="H55" i="14"/>
  <c r="G55" i="14"/>
  <c r="F55" i="14"/>
  <c r="E55" i="14"/>
  <c r="D55" i="14"/>
  <c r="C55" i="14"/>
  <c r="C65" i="14" s="1"/>
  <c r="C66" i="14" s="1"/>
  <c r="M54" i="14"/>
  <c r="L54" i="14"/>
  <c r="L10" i="14" s="1"/>
  <c r="K54" i="14"/>
  <c r="J54" i="14"/>
  <c r="J10" i="14" s="1"/>
  <c r="I54" i="14"/>
  <c r="H54" i="14"/>
  <c r="H10" i="14" s="1"/>
  <c r="G54" i="14"/>
  <c r="F54" i="14"/>
  <c r="F10" i="14" s="1"/>
  <c r="E54" i="14"/>
  <c r="D54" i="14"/>
  <c r="C54" i="14"/>
  <c r="M53" i="14"/>
  <c r="M9" i="14" s="1"/>
  <c r="L53" i="14"/>
  <c r="K53" i="14"/>
  <c r="K9" i="14" s="1"/>
  <c r="J53" i="14"/>
  <c r="I53" i="14"/>
  <c r="I9" i="14" s="1"/>
  <c r="H53" i="14"/>
  <c r="G53" i="14"/>
  <c r="G9" i="14" s="1"/>
  <c r="F53" i="14"/>
  <c r="E53" i="14"/>
  <c r="E9" i="14" s="1"/>
  <c r="D53" i="14"/>
  <c r="C53" i="14"/>
  <c r="C9" i="14" s="1"/>
  <c r="M52" i="14"/>
  <c r="L52" i="14"/>
  <c r="K52" i="14"/>
  <c r="J52" i="14"/>
  <c r="I52" i="14"/>
  <c r="H52" i="14"/>
  <c r="G52" i="14"/>
  <c r="F52" i="14"/>
  <c r="E52" i="14"/>
  <c r="D52" i="14"/>
  <c r="C52" i="14"/>
  <c r="M51" i="14"/>
  <c r="L51" i="14"/>
  <c r="K51" i="14"/>
  <c r="J51" i="14"/>
  <c r="I51" i="14"/>
  <c r="H51" i="14"/>
  <c r="G51" i="14"/>
  <c r="F51" i="14"/>
  <c r="E51" i="14"/>
  <c r="D51" i="14"/>
  <c r="C51" i="14"/>
  <c r="M47" i="14"/>
  <c r="L47" i="14"/>
  <c r="L48" i="14" s="1"/>
  <c r="K47" i="14"/>
  <c r="J47" i="14"/>
  <c r="J48" i="14" s="1"/>
  <c r="J63" i="14" s="1"/>
  <c r="I47" i="14"/>
  <c r="H47" i="14"/>
  <c r="H48" i="14" s="1"/>
  <c r="H63" i="14" s="1"/>
  <c r="G47" i="14"/>
  <c r="F47" i="14"/>
  <c r="F48" i="14" s="1"/>
  <c r="F63" i="14" s="1"/>
  <c r="E47" i="14"/>
  <c r="D47" i="14"/>
  <c r="D48" i="14" s="1"/>
  <c r="D63" i="14" s="1"/>
  <c r="C47" i="14"/>
  <c r="M46" i="14"/>
  <c r="M48" i="14" s="1"/>
  <c r="M63" i="14" s="1"/>
  <c r="L46" i="14"/>
  <c r="K46" i="14"/>
  <c r="J79" i="9" s="1"/>
  <c r="J46" i="14"/>
  <c r="I46" i="14"/>
  <c r="H46" i="14"/>
  <c r="G46" i="14"/>
  <c r="F79" i="9" s="1"/>
  <c r="F46" i="14"/>
  <c r="E46" i="14"/>
  <c r="D46" i="14"/>
  <c r="C46" i="14"/>
  <c r="C44" i="14"/>
  <c r="M43" i="14"/>
  <c r="M92" i="14" s="1"/>
  <c r="F6" i="9" s="1"/>
  <c r="F30" i="9" s="1"/>
  <c r="M42" i="14"/>
  <c r="L42" i="14"/>
  <c r="F21" i="9" s="1"/>
  <c r="K42" i="14"/>
  <c r="J42" i="14"/>
  <c r="I42" i="14"/>
  <c r="H42" i="14"/>
  <c r="G42" i="14"/>
  <c r="F42" i="14"/>
  <c r="E42" i="14"/>
  <c r="D42" i="14"/>
  <c r="C42" i="14"/>
  <c r="M40" i="14"/>
  <c r="L40" i="14"/>
  <c r="K40" i="14"/>
  <c r="J40" i="14"/>
  <c r="I40" i="14"/>
  <c r="H40" i="14"/>
  <c r="G40" i="14"/>
  <c r="F40" i="14"/>
  <c r="E40" i="14"/>
  <c r="D40" i="14"/>
  <c r="C40" i="14"/>
  <c r="M38" i="14"/>
  <c r="L38" i="14"/>
  <c r="K38" i="14"/>
  <c r="J38" i="14"/>
  <c r="I38" i="14"/>
  <c r="H38" i="14"/>
  <c r="G38" i="14"/>
  <c r="F38" i="14"/>
  <c r="E38" i="14"/>
  <c r="D38" i="14"/>
  <c r="C38" i="14"/>
  <c r="M36" i="14"/>
  <c r="M30" i="14" s="1"/>
  <c r="L36" i="14"/>
  <c r="K36" i="14"/>
  <c r="K37" i="14" s="1"/>
  <c r="J56" i="19" s="1"/>
  <c r="J36" i="14"/>
  <c r="I36" i="14"/>
  <c r="I37" i="14" s="1"/>
  <c r="H56" i="19" s="1"/>
  <c r="H36" i="14"/>
  <c r="G36" i="14"/>
  <c r="G37" i="14" s="1"/>
  <c r="F56" i="19" s="1"/>
  <c r="F36" i="14"/>
  <c r="E36" i="14"/>
  <c r="E30" i="14" s="1"/>
  <c r="D36" i="14"/>
  <c r="C36" i="14"/>
  <c r="C37" i="14" s="1"/>
  <c r="B56" i="19" s="1"/>
  <c r="M35" i="14"/>
  <c r="L35" i="14"/>
  <c r="L37" i="14" s="1"/>
  <c r="K56" i="19" s="1"/>
  <c r="K35" i="14"/>
  <c r="J35" i="14"/>
  <c r="J37" i="14" s="1"/>
  <c r="I56" i="19" s="1"/>
  <c r="I35" i="14"/>
  <c r="H35" i="14"/>
  <c r="H37" i="14" s="1"/>
  <c r="G56" i="19" s="1"/>
  <c r="G35" i="14"/>
  <c r="F35" i="14"/>
  <c r="F37" i="14" s="1"/>
  <c r="E56" i="19" s="1"/>
  <c r="E35" i="14"/>
  <c r="D35" i="14"/>
  <c r="D37" i="14" s="1"/>
  <c r="C56" i="19" s="1"/>
  <c r="C35" i="14"/>
  <c r="M32" i="14"/>
  <c r="L32" i="14"/>
  <c r="K32" i="14"/>
  <c r="K100" i="14" s="1"/>
  <c r="J32" i="14"/>
  <c r="I32" i="14"/>
  <c r="I100" i="14" s="1"/>
  <c r="H32" i="14"/>
  <c r="G32" i="14"/>
  <c r="G100" i="14" s="1"/>
  <c r="F32" i="14"/>
  <c r="E32" i="14"/>
  <c r="E100" i="14" s="1"/>
  <c r="D32" i="14"/>
  <c r="C32" i="14"/>
  <c r="C100" i="14" s="1"/>
  <c r="A31" i="14"/>
  <c r="M26" i="14"/>
  <c r="L26" i="14"/>
  <c r="K26" i="14"/>
  <c r="J26" i="14"/>
  <c r="I26" i="14"/>
  <c r="H26" i="14"/>
  <c r="G26" i="14"/>
  <c r="F26" i="14"/>
  <c r="E26" i="14"/>
  <c r="D26" i="14"/>
  <c r="C26" i="14"/>
  <c r="M25" i="14"/>
  <c r="L25" i="14"/>
  <c r="K25" i="14"/>
  <c r="J25" i="14"/>
  <c r="I25" i="14"/>
  <c r="H25" i="14"/>
  <c r="G25" i="14"/>
  <c r="F25" i="14"/>
  <c r="E25" i="14"/>
  <c r="D25" i="14"/>
  <c r="C25" i="14"/>
  <c r="M24" i="14"/>
  <c r="L24" i="14"/>
  <c r="K24" i="14"/>
  <c r="J24" i="14"/>
  <c r="I24" i="14"/>
  <c r="H24" i="14"/>
  <c r="G24" i="14"/>
  <c r="F24" i="14"/>
  <c r="E24" i="14"/>
  <c r="D24" i="14"/>
  <c r="C24" i="14"/>
  <c r="M23" i="14"/>
  <c r="L23" i="14"/>
  <c r="K23" i="14"/>
  <c r="J23" i="14"/>
  <c r="I23" i="14"/>
  <c r="H23" i="14"/>
  <c r="G23" i="14"/>
  <c r="F23" i="14"/>
  <c r="E23" i="14"/>
  <c r="D23" i="14"/>
  <c r="C23" i="14"/>
  <c r="M22" i="14"/>
  <c r="L22" i="14"/>
  <c r="K22" i="14"/>
  <c r="J22" i="14"/>
  <c r="I22" i="14"/>
  <c r="H22" i="14"/>
  <c r="G22" i="14"/>
  <c r="F22" i="14"/>
  <c r="E22" i="14"/>
  <c r="D22" i="14"/>
  <c r="C22" i="14"/>
  <c r="M21" i="14"/>
  <c r="L21" i="14"/>
  <c r="K21" i="14"/>
  <c r="J21" i="14"/>
  <c r="I21" i="14"/>
  <c r="H21" i="14"/>
  <c r="G21" i="14"/>
  <c r="F21" i="14"/>
  <c r="E21" i="14"/>
  <c r="D21" i="14"/>
  <c r="C21" i="14"/>
  <c r="M20" i="14"/>
  <c r="L20" i="14"/>
  <c r="K20" i="14"/>
  <c r="J20" i="14"/>
  <c r="I20" i="14"/>
  <c r="H20" i="14"/>
  <c r="G20" i="14"/>
  <c r="F20" i="14"/>
  <c r="E20" i="14"/>
  <c r="D20" i="14"/>
  <c r="C20" i="14"/>
  <c r="M19" i="14"/>
  <c r="L19" i="14"/>
  <c r="K19" i="14"/>
  <c r="J19" i="14"/>
  <c r="I19" i="14"/>
  <c r="H19" i="14"/>
  <c r="G19" i="14"/>
  <c r="F19" i="14"/>
  <c r="E19" i="14"/>
  <c r="D19" i="14"/>
  <c r="C19" i="14"/>
  <c r="M18" i="14"/>
  <c r="L18" i="14"/>
  <c r="K18" i="14"/>
  <c r="J18" i="14"/>
  <c r="I18" i="14"/>
  <c r="H18" i="14"/>
  <c r="G18" i="14"/>
  <c r="F18" i="14"/>
  <c r="E18" i="14"/>
  <c r="D18" i="14"/>
  <c r="C18" i="14"/>
  <c r="M17" i="14"/>
  <c r="L17" i="14"/>
  <c r="K17" i="14"/>
  <c r="J17" i="14"/>
  <c r="I17" i="14"/>
  <c r="H17" i="14"/>
  <c r="G17" i="14"/>
  <c r="F17" i="14"/>
  <c r="E17" i="14"/>
  <c r="D17" i="14"/>
  <c r="C17" i="14"/>
  <c r="M16" i="14"/>
  <c r="L16" i="14"/>
  <c r="K16" i="14"/>
  <c r="J16" i="14"/>
  <c r="I16" i="14"/>
  <c r="H16" i="14"/>
  <c r="G16" i="14"/>
  <c r="F16" i="14"/>
  <c r="E16" i="14"/>
  <c r="D16" i="14"/>
  <c r="C16" i="14"/>
  <c r="M15" i="14"/>
  <c r="L15" i="14"/>
  <c r="L33" i="14" s="1"/>
  <c r="K15" i="14"/>
  <c r="J15" i="14"/>
  <c r="J33" i="14" s="1"/>
  <c r="I15" i="14"/>
  <c r="H15" i="14"/>
  <c r="H33" i="14" s="1"/>
  <c r="G15" i="14"/>
  <c r="F15" i="14"/>
  <c r="F33" i="14" s="1"/>
  <c r="E15" i="14"/>
  <c r="D15" i="14"/>
  <c r="D33" i="14" s="1"/>
  <c r="C15" i="14"/>
  <c r="L4" i="14"/>
  <c r="L14" i="14" s="1"/>
  <c r="L31" i="14" s="1"/>
  <c r="K4" i="14"/>
  <c r="J4" i="14"/>
  <c r="J14" i="14" s="1"/>
  <c r="J31" i="14" s="1"/>
  <c r="I4" i="14"/>
  <c r="H4" i="14"/>
  <c r="H14" i="14" s="1"/>
  <c r="H31" i="14" s="1"/>
  <c r="G4" i="14"/>
  <c r="F4" i="14"/>
  <c r="F14" i="14" s="1"/>
  <c r="F31" i="14" s="1"/>
  <c r="E4" i="14"/>
  <c r="D4" i="14"/>
  <c r="D14" i="14" s="1"/>
  <c r="D31" i="14" s="1"/>
  <c r="C4" i="14"/>
  <c r="A4" i="14"/>
  <c r="A1" i="14"/>
  <c r="K122" i="13"/>
  <c r="E77" i="11" s="1"/>
  <c r="J122" i="13"/>
  <c r="I122" i="13"/>
  <c r="M122" i="13" s="1"/>
  <c r="H122" i="13"/>
  <c r="G122" i="13"/>
  <c r="N122" i="13" s="1"/>
  <c r="F122" i="13"/>
  <c r="E122" i="13"/>
  <c r="D122" i="13"/>
  <c r="C122" i="13"/>
  <c r="O122" i="13" s="1"/>
  <c r="B122" i="13"/>
  <c r="K121" i="13"/>
  <c r="E76" i="11" s="1"/>
  <c r="J121" i="13"/>
  <c r="I121" i="13"/>
  <c r="M121" i="13" s="1"/>
  <c r="H121" i="13"/>
  <c r="G121" i="13"/>
  <c r="N121" i="13" s="1"/>
  <c r="F121" i="13"/>
  <c r="E121" i="13"/>
  <c r="D121" i="13"/>
  <c r="C121" i="13"/>
  <c r="B121" i="13"/>
  <c r="K98" i="13"/>
  <c r="E54" i="11" s="1"/>
  <c r="J98" i="13"/>
  <c r="I98" i="13"/>
  <c r="H98" i="13"/>
  <c r="G98" i="13"/>
  <c r="N98" i="13" s="1"/>
  <c r="C54" i="11" s="1"/>
  <c r="F98" i="13"/>
  <c r="E98" i="13"/>
  <c r="D98" i="13"/>
  <c r="C98" i="13"/>
  <c r="O98" i="13" s="1"/>
  <c r="B54" i="11" s="1"/>
  <c r="B98" i="13"/>
  <c r="K97" i="13"/>
  <c r="E53" i="11" s="1"/>
  <c r="J97" i="13"/>
  <c r="I97" i="13"/>
  <c r="I107" i="13" s="1"/>
  <c r="H97" i="13"/>
  <c r="G97" i="13"/>
  <c r="G107" i="13" s="1"/>
  <c r="F97" i="13"/>
  <c r="E97" i="13"/>
  <c r="E107" i="13" s="1"/>
  <c r="D97" i="13"/>
  <c r="C97" i="13"/>
  <c r="C107" i="13" s="1"/>
  <c r="B97" i="13"/>
  <c r="K96" i="13"/>
  <c r="E52" i="11" s="1"/>
  <c r="J96" i="13"/>
  <c r="I96" i="13"/>
  <c r="M96" i="13" s="1"/>
  <c r="H96" i="13"/>
  <c r="G96" i="13"/>
  <c r="N96" i="13" s="1"/>
  <c r="F96" i="13"/>
  <c r="E96" i="13"/>
  <c r="D96" i="13"/>
  <c r="C96" i="13"/>
  <c r="B96" i="13"/>
  <c r="K74" i="13"/>
  <c r="E51" i="11" s="1"/>
  <c r="J74" i="13"/>
  <c r="I74" i="13"/>
  <c r="M74" i="13" s="1"/>
  <c r="H74" i="13"/>
  <c r="G74" i="13"/>
  <c r="N74" i="13" s="1"/>
  <c r="F74" i="13"/>
  <c r="E74" i="13"/>
  <c r="D74" i="13"/>
  <c r="C74" i="13"/>
  <c r="O74" i="13" s="1"/>
  <c r="B74" i="13"/>
  <c r="K72" i="13"/>
  <c r="E49" i="11" s="1"/>
  <c r="J72" i="13"/>
  <c r="I72" i="13"/>
  <c r="I73" i="13" s="1"/>
  <c r="H72" i="13"/>
  <c r="G72" i="13"/>
  <c r="G73" i="13" s="1"/>
  <c r="F72" i="13"/>
  <c r="E72" i="13"/>
  <c r="E73" i="13" s="1"/>
  <c r="D72" i="13"/>
  <c r="C72" i="13"/>
  <c r="O72" i="13" s="1"/>
  <c r="B72" i="13"/>
  <c r="K70" i="13"/>
  <c r="E47" i="11" s="1"/>
  <c r="J70" i="13"/>
  <c r="I70" i="13"/>
  <c r="I71" i="13" s="1"/>
  <c r="H70" i="13"/>
  <c r="G70" i="13"/>
  <c r="G71" i="13" s="1"/>
  <c r="F70" i="13"/>
  <c r="E70" i="13"/>
  <c r="E71" i="13" s="1"/>
  <c r="D70" i="13"/>
  <c r="C70" i="13"/>
  <c r="O70" i="13" s="1"/>
  <c r="B70" i="13"/>
  <c r="K69" i="13"/>
  <c r="E46" i="11" s="1"/>
  <c r="J69" i="13"/>
  <c r="I69" i="13"/>
  <c r="M69" i="13" s="1"/>
  <c r="H69" i="13"/>
  <c r="G69" i="13"/>
  <c r="N69" i="13" s="1"/>
  <c r="F69" i="13"/>
  <c r="E69" i="13"/>
  <c r="D69" i="13"/>
  <c r="C69" i="13"/>
  <c r="O69" i="13" s="1"/>
  <c r="B69" i="13"/>
  <c r="K65" i="13"/>
  <c r="E43" i="11" s="1"/>
  <c r="J65" i="13"/>
  <c r="I65" i="13"/>
  <c r="M65" i="13" s="1"/>
  <c r="H65" i="13"/>
  <c r="G65" i="13"/>
  <c r="F65" i="13"/>
  <c r="E65" i="13"/>
  <c r="D65" i="13"/>
  <c r="C65" i="13"/>
  <c r="O65" i="13" s="1"/>
  <c r="B65" i="13"/>
  <c r="K64" i="13"/>
  <c r="E42" i="11" s="1"/>
  <c r="J64" i="13"/>
  <c r="I64" i="13"/>
  <c r="M64" i="13" s="1"/>
  <c r="H64" i="13"/>
  <c r="G64" i="13"/>
  <c r="N64" i="13" s="1"/>
  <c r="F64" i="13"/>
  <c r="E64" i="13"/>
  <c r="D64" i="13"/>
  <c r="C64" i="13"/>
  <c r="B64" i="13"/>
  <c r="K63" i="13"/>
  <c r="E41" i="11" s="1"/>
  <c r="J63" i="13"/>
  <c r="I63" i="13"/>
  <c r="H63" i="13"/>
  <c r="G63" i="13"/>
  <c r="N63" i="13" s="1"/>
  <c r="C41" i="11" s="1"/>
  <c r="F63" i="13"/>
  <c r="E63" i="13"/>
  <c r="D63" i="13"/>
  <c r="C63" i="13"/>
  <c r="O63" i="13" s="1"/>
  <c r="B41" i="11" s="1"/>
  <c r="B63" i="13"/>
  <c r="K62" i="13"/>
  <c r="J62" i="13"/>
  <c r="I62" i="13"/>
  <c r="M62" i="13" s="1"/>
  <c r="H62" i="13"/>
  <c r="G62" i="13"/>
  <c r="N62" i="13" s="1"/>
  <c r="F62" i="13"/>
  <c r="E62" i="13"/>
  <c r="D62" i="13"/>
  <c r="C62" i="13"/>
  <c r="O62" i="13" s="1"/>
  <c r="B62" i="13"/>
  <c r="K61" i="13"/>
  <c r="J61" i="13"/>
  <c r="I61" i="13"/>
  <c r="M61" i="13" s="1"/>
  <c r="H61" i="13"/>
  <c r="G61" i="13"/>
  <c r="F61" i="13"/>
  <c r="E61" i="13"/>
  <c r="D61" i="13"/>
  <c r="C61" i="13"/>
  <c r="O61" i="13" s="1"/>
  <c r="B61" i="13"/>
  <c r="K60" i="13"/>
  <c r="J60" i="13"/>
  <c r="I60" i="13"/>
  <c r="M60" i="13" s="1"/>
  <c r="H60" i="13"/>
  <c r="G60" i="13"/>
  <c r="N60" i="13" s="1"/>
  <c r="F60" i="13"/>
  <c r="E60" i="13"/>
  <c r="D60" i="13"/>
  <c r="C60" i="13"/>
  <c r="O60" i="13" s="1"/>
  <c r="K59" i="13"/>
  <c r="E40" i="11" s="1"/>
  <c r="J59" i="13"/>
  <c r="M59" i="13" s="1"/>
  <c r="D40" i="11" s="1"/>
  <c r="I59" i="13"/>
  <c r="H59" i="13"/>
  <c r="N59" i="13" s="1"/>
  <c r="C40" i="11" s="1"/>
  <c r="G59" i="13"/>
  <c r="F59" i="13"/>
  <c r="E59" i="13"/>
  <c r="D59" i="13"/>
  <c r="C59" i="13"/>
  <c r="B59" i="13"/>
  <c r="K58" i="13"/>
  <c r="E39" i="11" s="1"/>
  <c r="J58" i="13"/>
  <c r="M58" i="13" s="1"/>
  <c r="D39" i="11" s="1"/>
  <c r="I58" i="13"/>
  <c r="H58" i="13"/>
  <c r="N58" i="13" s="1"/>
  <c r="C39" i="11" s="1"/>
  <c r="G58" i="13"/>
  <c r="F58" i="13"/>
  <c r="E58" i="13"/>
  <c r="D58" i="13"/>
  <c r="C58" i="13"/>
  <c r="B58" i="13"/>
  <c r="O58" i="13" s="1"/>
  <c r="B39" i="11" s="1"/>
  <c r="K57" i="13"/>
  <c r="E38" i="11" s="1"/>
  <c r="J57" i="13"/>
  <c r="J108" i="13" s="1"/>
  <c r="I57" i="13"/>
  <c r="H57" i="13"/>
  <c r="N57" i="13" s="1"/>
  <c r="C38" i="11" s="1"/>
  <c r="G57" i="13"/>
  <c r="F57" i="13"/>
  <c r="F108" i="13" s="1"/>
  <c r="E57" i="13"/>
  <c r="D57" i="13"/>
  <c r="D108" i="13" s="1"/>
  <c r="C57" i="13"/>
  <c r="B57" i="13"/>
  <c r="B108" i="13" s="1"/>
  <c r="K56" i="13"/>
  <c r="E37" i="11" s="1"/>
  <c r="J56" i="13"/>
  <c r="M56" i="13" s="1"/>
  <c r="D37" i="11" s="1"/>
  <c r="I56" i="13"/>
  <c r="H56" i="13"/>
  <c r="G56" i="13"/>
  <c r="F56" i="13"/>
  <c r="E56" i="13"/>
  <c r="D56" i="13"/>
  <c r="C56" i="13"/>
  <c r="B56" i="13"/>
  <c r="K55" i="13"/>
  <c r="E36" i="11" s="1"/>
  <c r="J55" i="13"/>
  <c r="M55" i="13" s="1"/>
  <c r="I55" i="13"/>
  <c r="H55" i="13"/>
  <c r="N55" i="13" s="1"/>
  <c r="G55" i="13"/>
  <c r="F55" i="13"/>
  <c r="E55" i="13"/>
  <c r="D55" i="13"/>
  <c r="C55" i="13"/>
  <c r="B55" i="13"/>
  <c r="K54" i="13"/>
  <c r="E35" i="11" s="1"/>
  <c r="J54" i="13"/>
  <c r="M54" i="13" s="1"/>
  <c r="I54" i="13"/>
  <c r="H54" i="13"/>
  <c r="N54" i="13" s="1"/>
  <c r="G54" i="13"/>
  <c r="F54" i="13"/>
  <c r="E54" i="13"/>
  <c r="D54" i="13"/>
  <c r="C54" i="13"/>
  <c r="B54" i="13"/>
  <c r="O54" i="13" s="1"/>
  <c r="K52" i="13"/>
  <c r="E32" i="11" s="1"/>
  <c r="J52" i="13"/>
  <c r="M52" i="13" s="1"/>
  <c r="I52" i="13"/>
  <c r="H52" i="13"/>
  <c r="N52" i="13" s="1"/>
  <c r="G52" i="13"/>
  <c r="F52" i="13"/>
  <c r="E52" i="13"/>
  <c r="D52" i="13"/>
  <c r="C52" i="13"/>
  <c r="B52" i="13"/>
  <c r="O52" i="13" s="1"/>
  <c r="E31" i="11"/>
  <c r="M51" i="13"/>
  <c r="D31" i="11" s="1"/>
  <c r="O51" i="13"/>
  <c r="B31" i="11" s="1"/>
  <c r="K50" i="13"/>
  <c r="J50" i="13"/>
  <c r="I50" i="13"/>
  <c r="H50" i="13"/>
  <c r="G50" i="13"/>
  <c r="F50" i="13"/>
  <c r="E50" i="13"/>
  <c r="D50" i="13"/>
  <c r="C50" i="13"/>
  <c r="B50" i="13"/>
  <c r="K49" i="13"/>
  <c r="J49" i="13"/>
  <c r="I49" i="13"/>
  <c r="H49" i="13"/>
  <c r="G49" i="13"/>
  <c r="F49" i="13"/>
  <c r="E49" i="13"/>
  <c r="D49" i="13"/>
  <c r="C49" i="13"/>
  <c r="B49" i="13"/>
  <c r="K48" i="13"/>
  <c r="J48" i="13"/>
  <c r="I48" i="13"/>
  <c r="H48" i="13"/>
  <c r="G48" i="13"/>
  <c r="F48" i="13"/>
  <c r="E48" i="13"/>
  <c r="D48" i="13"/>
  <c r="C48" i="13"/>
  <c r="B48" i="13"/>
  <c r="K47" i="13"/>
  <c r="J47" i="13"/>
  <c r="I47" i="13"/>
  <c r="H47" i="13"/>
  <c r="G47" i="13"/>
  <c r="F47" i="13"/>
  <c r="E47" i="13"/>
  <c r="D47" i="13"/>
  <c r="C47" i="13"/>
  <c r="B47" i="13"/>
  <c r="M46" i="13"/>
  <c r="N46" i="13"/>
  <c r="K42" i="13"/>
  <c r="E28" i="11" s="1"/>
  <c r="J42" i="13"/>
  <c r="I42" i="13"/>
  <c r="H42" i="13"/>
  <c r="G42" i="13"/>
  <c r="F42" i="13"/>
  <c r="E42" i="13"/>
  <c r="D42" i="13"/>
  <c r="C42" i="13"/>
  <c r="B42" i="13"/>
  <c r="O42" i="13" s="1"/>
  <c r="E27" i="11"/>
  <c r="M41" i="13"/>
  <c r="N41" i="13"/>
  <c r="O41" i="13"/>
  <c r="K40" i="13"/>
  <c r="J40" i="13"/>
  <c r="I40" i="13"/>
  <c r="H40" i="13"/>
  <c r="G40" i="13"/>
  <c r="F40" i="13"/>
  <c r="E40" i="13"/>
  <c r="D40" i="13"/>
  <c r="C40" i="13"/>
  <c r="B40" i="13"/>
  <c r="M39" i="13"/>
  <c r="O37" i="13"/>
  <c r="N37" i="13"/>
  <c r="M37" i="13"/>
  <c r="K37" i="13"/>
  <c r="E24" i="11" s="1"/>
  <c r="J37" i="13"/>
  <c r="I37" i="13"/>
  <c r="H37" i="13"/>
  <c r="G37" i="13"/>
  <c r="F37" i="13"/>
  <c r="E37" i="13"/>
  <c r="D37" i="13"/>
  <c r="C37" i="13"/>
  <c r="B37" i="13"/>
  <c r="O36" i="13"/>
  <c r="N36" i="13"/>
  <c r="M36" i="13"/>
  <c r="K36" i="13"/>
  <c r="E23" i="11" s="1"/>
  <c r="J36" i="13"/>
  <c r="I36" i="13"/>
  <c r="H36" i="13"/>
  <c r="G36" i="13"/>
  <c r="F36" i="13"/>
  <c r="E36" i="13"/>
  <c r="D36" i="13"/>
  <c r="C36" i="13"/>
  <c r="B36" i="13"/>
  <c r="O35" i="13"/>
  <c r="N35" i="13"/>
  <c r="M35" i="13"/>
  <c r="K35" i="13"/>
  <c r="E22" i="11" s="1"/>
  <c r="J35" i="13"/>
  <c r="I35" i="13"/>
  <c r="H35" i="13"/>
  <c r="G35" i="13"/>
  <c r="F35" i="13"/>
  <c r="E35" i="13"/>
  <c r="D35" i="13"/>
  <c r="C35" i="13"/>
  <c r="B35" i="13"/>
  <c r="O33" i="13"/>
  <c r="B20" i="11" s="1"/>
  <c r="N33" i="13"/>
  <c r="C20" i="11" s="1"/>
  <c r="M33" i="13"/>
  <c r="D20" i="11" s="1"/>
  <c r="K33" i="13"/>
  <c r="E20" i="11" s="1"/>
  <c r="J33" i="13"/>
  <c r="I33" i="13"/>
  <c r="H33" i="13"/>
  <c r="G33" i="13"/>
  <c r="F33" i="13"/>
  <c r="E33" i="13"/>
  <c r="D33" i="13"/>
  <c r="C33" i="13"/>
  <c r="B33" i="13"/>
  <c r="O32" i="13"/>
  <c r="B19" i="11" s="1"/>
  <c r="N32" i="13"/>
  <c r="C19" i="11" s="1"/>
  <c r="M32" i="13"/>
  <c r="D19" i="11" s="1"/>
  <c r="K32" i="13"/>
  <c r="E19" i="11" s="1"/>
  <c r="J32" i="13"/>
  <c r="I32" i="13"/>
  <c r="H32" i="13"/>
  <c r="G32" i="13"/>
  <c r="F32" i="13"/>
  <c r="E32" i="13"/>
  <c r="D32" i="13"/>
  <c r="C32" i="13"/>
  <c r="B32" i="13"/>
  <c r="O31" i="13"/>
  <c r="B18" i="11" s="1"/>
  <c r="N31" i="13"/>
  <c r="C18" i="11" s="1"/>
  <c r="M31" i="13"/>
  <c r="D18" i="11" s="1"/>
  <c r="K31" i="13"/>
  <c r="E18" i="11" s="1"/>
  <c r="J31" i="13"/>
  <c r="I31" i="13"/>
  <c r="H31" i="13"/>
  <c r="G31" i="13"/>
  <c r="F31" i="13"/>
  <c r="E31" i="13"/>
  <c r="D31" i="13"/>
  <c r="C31" i="13"/>
  <c r="B31" i="13"/>
  <c r="O30" i="13"/>
  <c r="B17" i="11" s="1"/>
  <c r="N30" i="13"/>
  <c r="C17" i="11" s="1"/>
  <c r="M30" i="13"/>
  <c r="D17" i="11" s="1"/>
  <c r="K30" i="13"/>
  <c r="E17" i="11" s="1"/>
  <c r="J30" i="13"/>
  <c r="I30" i="13"/>
  <c r="H30" i="13"/>
  <c r="G30" i="13"/>
  <c r="F30" i="13"/>
  <c r="E30" i="13"/>
  <c r="D30" i="13"/>
  <c r="C30" i="13"/>
  <c r="B30" i="13"/>
  <c r="O29" i="13"/>
  <c r="B16" i="11" s="1"/>
  <c r="N29" i="13"/>
  <c r="C16" i="11" s="1"/>
  <c r="M29" i="13"/>
  <c r="D16" i="11" s="1"/>
  <c r="K29" i="13"/>
  <c r="E16" i="11" s="1"/>
  <c r="J29" i="13"/>
  <c r="I29" i="13"/>
  <c r="H29" i="13"/>
  <c r="G29" i="13"/>
  <c r="F29" i="13"/>
  <c r="E29" i="13"/>
  <c r="D29" i="13"/>
  <c r="C29" i="13"/>
  <c r="B29" i="13"/>
  <c r="O28" i="13"/>
  <c r="B15" i="11" s="1"/>
  <c r="N28" i="13"/>
  <c r="C15" i="11" s="1"/>
  <c r="M28" i="13"/>
  <c r="D15" i="11" s="1"/>
  <c r="K28" i="13"/>
  <c r="E15" i="11" s="1"/>
  <c r="J28" i="13"/>
  <c r="I28" i="13"/>
  <c r="H28" i="13"/>
  <c r="G28" i="13"/>
  <c r="F28" i="13"/>
  <c r="E28" i="13"/>
  <c r="D28" i="13"/>
  <c r="C28" i="13"/>
  <c r="B28" i="13"/>
  <c r="O27" i="13"/>
  <c r="B14" i="11" s="1"/>
  <c r="N27" i="13"/>
  <c r="C14" i="11" s="1"/>
  <c r="M27" i="13"/>
  <c r="D14" i="11" s="1"/>
  <c r="K27" i="13"/>
  <c r="E14" i="11" s="1"/>
  <c r="J27" i="13"/>
  <c r="I27" i="13"/>
  <c r="H27" i="13"/>
  <c r="G27" i="13"/>
  <c r="F27" i="13"/>
  <c r="E27" i="13"/>
  <c r="D27" i="13"/>
  <c r="C27" i="13"/>
  <c r="B27" i="13"/>
  <c r="O26" i="13"/>
  <c r="B13" i="11" s="1"/>
  <c r="N26" i="13"/>
  <c r="C13" i="11" s="1"/>
  <c r="M26" i="13"/>
  <c r="D13" i="11" s="1"/>
  <c r="K26" i="13"/>
  <c r="E13" i="11" s="1"/>
  <c r="J26" i="13"/>
  <c r="I26" i="13"/>
  <c r="H26" i="13"/>
  <c r="G26" i="13"/>
  <c r="F26" i="13"/>
  <c r="E26" i="13"/>
  <c r="D26" i="13"/>
  <c r="C26" i="13"/>
  <c r="B26" i="13"/>
  <c r="O25" i="13"/>
  <c r="N25" i="13"/>
  <c r="C12" i="11" s="1"/>
  <c r="M25" i="13"/>
  <c r="D12" i="11" s="1"/>
  <c r="K25" i="13"/>
  <c r="E12" i="11" s="1"/>
  <c r="J25" i="13"/>
  <c r="J34" i="13" s="1"/>
  <c r="I25" i="13"/>
  <c r="H25" i="13"/>
  <c r="H34" i="13" s="1"/>
  <c r="G25" i="13"/>
  <c r="F25" i="13"/>
  <c r="F34" i="13" s="1"/>
  <c r="E25" i="13"/>
  <c r="D25" i="13"/>
  <c r="D34" i="13" s="1"/>
  <c r="C25" i="13"/>
  <c r="B25" i="13"/>
  <c r="B34" i="13" s="1"/>
  <c r="O22" i="13"/>
  <c r="B8" i="11" s="1"/>
  <c r="N22" i="13"/>
  <c r="C8" i="11" s="1"/>
  <c r="M22" i="13"/>
  <c r="D8" i="11" s="1"/>
  <c r="K22" i="13"/>
  <c r="J22" i="13"/>
  <c r="J43" i="19" s="1"/>
  <c r="I22" i="13"/>
  <c r="I43" i="19" s="1"/>
  <c r="H22" i="13"/>
  <c r="H43" i="19" s="1"/>
  <c r="G22" i="13"/>
  <c r="G43" i="19" s="1"/>
  <c r="F22" i="13"/>
  <c r="F43" i="19" s="1"/>
  <c r="E22" i="13"/>
  <c r="E43" i="19" s="1"/>
  <c r="D22" i="13"/>
  <c r="D43" i="19" s="1"/>
  <c r="C22" i="13"/>
  <c r="C43" i="19" s="1"/>
  <c r="B22" i="13"/>
  <c r="B43" i="19" s="1"/>
  <c r="K14" i="13"/>
  <c r="K102" i="13" s="1"/>
  <c r="E58" i="11" s="1"/>
  <c r="J14" i="13"/>
  <c r="I14" i="13"/>
  <c r="I102" i="13" s="1"/>
  <c r="H14" i="13"/>
  <c r="G14" i="13"/>
  <c r="G102" i="13" s="1"/>
  <c r="F14" i="13"/>
  <c r="E14" i="13"/>
  <c r="E102" i="13" s="1"/>
  <c r="D14" i="13"/>
  <c r="C14" i="13"/>
  <c r="O14" i="13" s="1"/>
  <c r="B14" i="13"/>
  <c r="K13" i="13"/>
  <c r="J13" i="13"/>
  <c r="I13" i="13"/>
  <c r="I44" i="13" s="1"/>
  <c r="H13" i="13"/>
  <c r="G13" i="13"/>
  <c r="G44" i="13" s="1"/>
  <c r="F13" i="13"/>
  <c r="E13" i="13"/>
  <c r="E44" i="13" s="1"/>
  <c r="D13" i="13"/>
  <c r="C13" i="13"/>
  <c r="C44" i="13" s="1"/>
  <c r="K12" i="13"/>
  <c r="J12" i="13"/>
  <c r="J15" i="13" s="1"/>
  <c r="I12" i="13"/>
  <c r="H12" i="13"/>
  <c r="H15" i="13" s="1"/>
  <c r="G12" i="13"/>
  <c r="F12" i="13"/>
  <c r="F15" i="13" s="1"/>
  <c r="E12" i="13"/>
  <c r="D12" i="13"/>
  <c r="D15" i="13" s="1"/>
  <c r="C12" i="13"/>
  <c r="B12" i="13"/>
  <c r="K11" i="13"/>
  <c r="K40" i="19" s="1"/>
  <c r="J11" i="13"/>
  <c r="J40" i="19" s="1"/>
  <c r="I11" i="13"/>
  <c r="I40" i="19" s="1"/>
  <c r="H11" i="13"/>
  <c r="H40" i="19" s="1"/>
  <c r="G11" i="13"/>
  <c r="G40" i="19" s="1"/>
  <c r="F11" i="13"/>
  <c r="F40" i="19" s="1"/>
  <c r="E11" i="13"/>
  <c r="E40" i="19" s="1"/>
  <c r="D11" i="13"/>
  <c r="D40" i="19" s="1"/>
  <c r="C11" i="13"/>
  <c r="C40" i="19" s="1"/>
  <c r="B11" i="13"/>
  <c r="B40" i="19" s="1"/>
  <c r="K10" i="13"/>
  <c r="K110" i="13" s="1"/>
  <c r="J10" i="13"/>
  <c r="J110" i="13" s="1"/>
  <c r="J34" i="19" s="1"/>
  <c r="I10" i="13"/>
  <c r="I110" i="13" s="1"/>
  <c r="I34" i="19" s="1"/>
  <c r="H10" i="13"/>
  <c r="H110" i="13" s="1"/>
  <c r="H34" i="19" s="1"/>
  <c r="G10" i="13"/>
  <c r="G110" i="13" s="1"/>
  <c r="G34" i="19" s="1"/>
  <c r="F10" i="13"/>
  <c r="F110" i="13" s="1"/>
  <c r="F34" i="19" s="1"/>
  <c r="E10" i="13"/>
  <c r="E110" i="13" s="1"/>
  <c r="E34" i="19" s="1"/>
  <c r="C10" i="13"/>
  <c r="C110" i="13" s="1"/>
  <c r="C34" i="19" s="1"/>
  <c r="B10" i="13"/>
  <c r="B110" i="13" s="1"/>
  <c r="B34" i="19" s="1"/>
  <c r="K9" i="13"/>
  <c r="J9" i="13"/>
  <c r="I9" i="13"/>
  <c r="H9" i="13"/>
  <c r="G9" i="13"/>
  <c r="F9" i="13"/>
  <c r="E9" i="13"/>
  <c r="D9" i="13"/>
  <c r="C9" i="13"/>
  <c r="B9" i="13"/>
  <c r="K8" i="13"/>
  <c r="K19" i="13" s="1"/>
  <c r="E4" i="11" s="1"/>
  <c r="J8" i="13"/>
  <c r="I8" i="13"/>
  <c r="H8" i="13"/>
  <c r="G8" i="13"/>
  <c r="N8" i="13" s="1"/>
  <c r="F8" i="13"/>
  <c r="E8" i="13"/>
  <c r="D8" i="13"/>
  <c r="C8" i="13"/>
  <c r="B8" i="13"/>
  <c r="K7" i="13"/>
  <c r="K42" i="19" s="1"/>
  <c r="J7" i="13"/>
  <c r="J42" i="19" s="1"/>
  <c r="I7" i="13"/>
  <c r="I42" i="19" s="1"/>
  <c r="H7" i="13"/>
  <c r="G7" i="13"/>
  <c r="G42" i="19" s="1"/>
  <c r="F7" i="13"/>
  <c r="F42" i="19" s="1"/>
  <c r="E7" i="13"/>
  <c r="E42" i="19" s="1"/>
  <c r="D7" i="13"/>
  <c r="C7" i="13"/>
  <c r="C42" i="19" s="1"/>
  <c r="B7" i="13"/>
  <c r="B42" i="19" s="1"/>
  <c r="K6" i="13"/>
  <c r="J6" i="13"/>
  <c r="I6" i="13"/>
  <c r="M6" i="13" s="1"/>
  <c r="H6" i="13"/>
  <c r="G6" i="13"/>
  <c r="F6" i="13"/>
  <c r="E6" i="13"/>
  <c r="D6" i="13"/>
  <c r="C6" i="13"/>
  <c r="B6" i="13"/>
  <c r="K5" i="13"/>
  <c r="K41" i="19" s="1"/>
  <c r="K58" i="19" s="1"/>
  <c r="J5" i="13"/>
  <c r="J41" i="19" s="1"/>
  <c r="J58" i="19" s="1"/>
  <c r="I5" i="13"/>
  <c r="I41" i="19" s="1"/>
  <c r="I58" i="19" s="1"/>
  <c r="I59" i="19" s="1"/>
  <c r="H5" i="13"/>
  <c r="G5" i="13"/>
  <c r="G41" i="19" s="1"/>
  <c r="G58" i="19" s="1"/>
  <c r="G59" i="19" s="1"/>
  <c r="F5" i="13"/>
  <c r="F41" i="19" s="1"/>
  <c r="F58" i="19" s="1"/>
  <c r="E5" i="13"/>
  <c r="E41" i="19" s="1"/>
  <c r="E58" i="19" s="1"/>
  <c r="E59" i="19" s="1"/>
  <c r="D5" i="13"/>
  <c r="D41" i="19" s="1"/>
  <c r="D58" i="19" s="1"/>
  <c r="C5" i="13"/>
  <c r="C41" i="19" s="1"/>
  <c r="C58" i="19" s="1"/>
  <c r="C59" i="19" s="1"/>
  <c r="B5" i="13"/>
  <c r="B41" i="19" s="1"/>
  <c r="B58" i="19" s="1"/>
  <c r="K4" i="13"/>
  <c r="K100" i="13" s="1"/>
  <c r="E56" i="11" s="1"/>
  <c r="J4" i="13"/>
  <c r="I4" i="13"/>
  <c r="I19" i="13" s="1"/>
  <c r="H4" i="13"/>
  <c r="G4" i="13"/>
  <c r="G21" i="13" s="1"/>
  <c r="G106" i="13" s="1"/>
  <c r="F4" i="13"/>
  <c r="E4" i="13"/>
  <c r="E19" i="13" s="1"/>
  <c r="D4" i="13"/>
  <c r="C4" i="13"/>
  <c r="C21" i="13" s="1"/>
  <c r="C106" i="13" s="1"/>
  <c r="B4" i="13"/>
  <c r="K2" i="13"/>
  <c r="J2" i="13"/>
  <c r="I2" i="13"/>
  <c r="H2" i="13"/>
  <c r="G2" i="13"/>
  <c r="F2" i="13"/>
  <c r="E2" i="13"/>
  <c r="D2" i="13"/>
  <c r="C2" i="13"/>
  <c r="B2" i="13"/>
  <c r="K1" i="13"/>
  <c r="J1" i="13"/>
  <c r="I1" i="13"/>
  <c r="H1" i="13"/>
  <c r="G1" i="13"/>
  <c r="F1" i="13"/>
  <c r="E1" i="13"/>
  <c r="D1" i="13"/>
  <c r="C1" i="13"/>
  <c r="B1" i="13"/>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B16" i="12"/>
  <c r="A16" i="12" s="1"/>
  <c r="AL15" i="12"/>
  <c r="AK15" i="12"/>
  <c r="AJ15" i="12"/>
  <c r="AI15" i="12"/>
  <c r="AH15"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B15" i="12"/>
  <c r="A15" i="12" s="1"/>
  <c r="AL14"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B14" i="12"/>
  <c r="C13" i="12"/>
  <c r="AD13" i="12" s="1"/>
  <c r="C12" i="12"/>
  <c r="C11" i="12"/>
  <c r="X11" i="12" s="1"/>
  <c r="C10" i="12"/>
  <c r="C9" i="12"/>
  <c r="AJ9" i="12" s="1"/>
  <c r="C8" i="12"/>
  <c r="AE8" i="12" s="1"/>
  <c r="C7" i="12"/>
  <c r="C6" i="12"/>
  <c r="N6" i="12" s="1"/>
  <c r="C5" i="12"/>
  <c r="C4" i="12"/>
  <c r="AL4" i="12" s="1"/>
  <c r="L42" i="9"/>
  <c r="L76" i="9" s="1"/>
  <c r="K42" i="9"/>
  <c r="K76" i="9" s="1"/>
  <c r="J42" i="9"/>
  <c r="J76" i="9" s="1"/>
  <c r="I42" i="9"/>
  <c r="H42" i="9"/>
  <c r="H76" i="9" s="1"/>
  <c r="G42" i="9"/>
  <c r="G76" i="9" s="1"/>
  <c r="F42" i="9"/>
  <c r="F76" i="9" s="1"/>
  <c r="E42" i="9"/>
  <c r="D42" i="9"/>
  <c r="D76" i="9" s="1"/>
  <c r="C42" i="9"/>
  <c r="C76" i="9" s="1"/>
  <c r="B42" i="9"/>
  <c r="B76" i="9" s="1"/>
  <c r="A42" i="9"/>
  <c r="A17" i="9"/>
  <c r="J14" i="9"/>
  <c r="G14" i="9"/>
  <c r="F14" i="9"/>
  <c r="J13" i="9"/>
  <c r="G13" i="9"/>
  <c r="F13" i="9"/>
  <c r="J12" i="9"/>
  <c r="G12" i="9"/>
  <c r="F12" i="9"/>
  <c r="J11" i="9"/>
  <c r="G11" i="9"/>
  <c r="F11" i="9"/>
  <c r="B33" i="8"/>
  <c r="R23" i="8"/>
  <c r="R24" i="8" s="1"/>
  <c r="R21" i="8"/>
  <c r="R13" i="8"/>
  <c r="O13" i="8"/>
  <c r="B12" i="8"/>
  <c r="B14" i="8" s="1"/>
  <c r="A1" i="8"/>
  <c r="B5" i="7"/>
  <c r="B4" i="7"/>
  <c r="B3" i="7"/>
  <c r="B1" i="7"/>
  <c r="Q121" i="15"/>
  <c r="P121" i="15"/>
  <c r="O121" i="15"/>
  <c r="Q120" i="15"/>
  <c r="P120" i="15"/>
  <c r="O120" i="15"/>
  <c r="N105" i="15"/>
  <c r="Q95" i="15"/>
  <c r="P95" i="15"/>
  <c r="O95" i="15"/>
  <c r="Q94" i="15"/>
  <c r="P94" i="15"/>
  <c r="O94" i="15"/>
  <c r="Q93" i="15"/>
  <c r="P93" i="15"/>
  <c r="O93" i="15"/>
  <c r="Q92" i="15"/>
  <c r="P92" i="15"/>
  <c r="O92" i="15"/>
  <c r="P73" i="15"/>
  <c r="Q64" i="15"/>
  <c r="Q81" i="15" s="1"/>
  <c r="P64" i="15"/>
  <c r="P81" i="15" s="1"/>
  <c r="O64" i="15"/>
  <c r="O81" i="15" s="1"/>
  <c r="K59" i="15"/>
  <c r="I59" i="15"/>
  <c r="H59" i="15"/>
  <c r="G59" i="15"/>
  <c r="F59" i="15"/>
  <c r="E59" i="15"/>
  <c r="D59" i="15"/>
  <c r="C59" i="15"/>
  <c r="N55" i="15"/>
  <c r="P43" i="15"/>
  <c r="C78" i="14"/>
  <c r="G73" i="14"/>
  <c r="J96" i="14"/>
  <c r="K74" i="14"/>
  <c r="G65" i="14"/>
  <c r="G66" i="14" s="1"/>
  <c r="C48" i="14"/>
  <c r="C63" i="14" s="1"/>
  <c r="N46" i="14"/>
  <c r="E37" i="14"/>
  <c r="D56" i="19" s="1"/>
  <c r="A33" i="14"/>
  <c r="L100" i="14"/>
  <c r="J100" i="14"/>
  <c r="H100" i="14"/>
  <c r="F100" i="14"/>
  <c r="D100" i="14"/>
  <c r="M33" i="14"/>
  <c r="K33" i="14"/>
  <c r="I33" i="14"/>
  <c r="G33" i="14"/>
  <c r="E33" i="14"/>
  <c r="C33" i="14"/>
  <c r="M14" i="14"/>
  <c r="M31" i="14" s="1"/>
  <c r="M10" i="14"/>
  <c r="K10" i="14"/>
  <c r="I10" i="14"/>
  <c r="G10" i="14"/>
  <c r="E10" i="14"/>
  <c r="C10" i="14"/>
  <c r="L9" i="14"/>
  <c r="J9" i="14"/>
  <c r="H9" i="14"/>
  <c r="F9" i="14"/>
  <c r="D9" i="14"/>
  <c r="L8" i="14"/>
  <c r="J8" i="14"/>
  <c r="I84" i="9" s="1"/>
  <c r="H8" i="14"/>
  <c r="G84" i="9" s="1"/>
  <c r="F8" i="14"/>
  <c r="E84" i="9" s="1"/>
  <c r="D8" i="14"/>
  <c r="C84" i="9" s="1"/>
  <c r="L7" i="14"/>
  <c r="J7" i="14"/>
  <c r="H7" i="14"/>
  <c r="F7" i="14"/>
  <c r="D7" i="14"/>
  <c r="M6" i="14"/>
  <c r="K6" i="14"/>
  <c r="I6" i="14"/>
  <c r="G6" i="14"/>
  <c r="E6" i="14"/>
  <c r="C6" i="14"/>
  <c r="K14" i="14"/>
  <c r="K31" i="14" s="1"/>
  <c r="I14" i="14"/>
  <c r="I31" i="14" s="1"/>
  <c r="G14" i="14"/>
  <c r="G31" i="14" s="1"/>
  <c r="E14" i="14"/>
  <c r="E31" i="14" s="1"/>
  <c r="C14" i="14"/>
  <c r="C31" i="14" s="1"/>
  <c r="O121" i="13"/>
  <c r="B76" i="11" s="1"/>
  <c r="M98" i="13"/>
  <c r="D54" i="11" s="1"/>
  <c r="J107" i="13"/>
  <c r="H107" i="13"/>
  <c r="F107" i="13"/>
  <c r="D107" i="13"/>
  <c r="J73" i="13"/>
  <c r="H73" i="13"/>
  <c r="F73" i="13"/>
  <c r="D73" i="13"/>
  <c r="B73" i="13"/>
  <c r="J71" i="13"/>
  <c r="H71" i="13"/>
  <c r="F71" i="13"/>
  <c r="D71" i="13"/>
  <c r="B71" i="13"/>
  <c r="M63" i="13"/>
  <c r="D41" i="11" s="1"/>
  <c r="K108" i="13"/>
  <c r="E64" i="11" s="1"/>
  <c r="G108" i="13"/>
  <c r="E108" i="13"/>
  <c r="C108" i="13"/>
  <c r="O56" i="13"/>
  <c r="B37" i="11" s="1"/>
  <c r="N48" i="13"/>
  <c r="N39" i="13"/>
  <c r="N34" i="13"/>
  <c r="K34" i="13"/>
  <c r="E21" i="11" s="1"/>
  <c r="I34" i="13"/>
  <c r="G34" i="13"/>
  <c r="E34" i="13"/>
  <c r="C34" i="13"/>
  <c r="I23" i="13"/>
  <c r="E23" i="13"/>
  <c r="I21" i="13"/>
  <c r="I106" i="13" s="1"/>
  <c r="C19" i="13"/>
  <c r="A14" i="12"/>
  <c r="DY3" i="12"/>
  <c r="DX3" i="12"/>
  <c r="DW3" i="12"/>
  <c r="DV3" i="12"/>
  <c r="DU3" i="12"/>
  <c r="DT3" i="12"/>
  <c r="DS3" i="12"/>
  <c r="DR3" i="12"/>
  <c r="DQ3" i="12"/>
  <c r="DP3" i="12"/>
  <c r="DO3" i="12"/>
  <c r="DN3" i="12"/>
  <c r="DM3" i="12"/>
  <c r="DL3" i="12"/>
  <c r="DK3" i="12"/>
  <c r="DJ3" i="12"/>
  <c r="DI3" i="12"/>
  <c r="DH3" i="12"/>
  <c r="DG3" i="12"/>
  <c r="DF3" i="12"/>
  <c r="DE3" i="12"/>
  <c r="DD3" i="12"/>
  <c r="DC3" i="12"/>
  <c r="DB3" i="12"/>
  <c r="DA3" i="12"/>
  <c r="CZ3" i="12"/>
  <c r="CY3" i="12"/>
  <c r="CX3" i="12"/>
  <c r="CW3" i="12"/>
  <c r="CV3" i="12"/>
  <c r="CU3" i="12"/>
  <c r="CT3" i="12"/>
  <c r="CS3" i="12"/>
  <c r="CR3" i="12"/>
  <c r="CQ3" i="12"/>
  <c r="CP3" i="12"/>
  <c r="CO3" i="12"/>
  <c r="CN3" i="12"/>
  <c r="CM3" i="12"/>
  <c r="CL3" i="12"/>
  <c r="CK3" i="12"/>
  <c r="CJ3" i="12"/>
  <c r="CI3" i="12"/>
  <c r="CH3" i="12"/>
  <c r="CG3" i="12"/>
  <c r="CF3" i="12"/>
  <c r="CE3" i="12"/>
  <c r="CD3" i="12"/>
  <c r="CC3" i="12"/>
  <c r="CB3" i="12"/>
  <c r="CA3" i="12"/>
  <c r="BZ3" i="12"/>
  <c r="BY3" i="12"/>
  <c r="BX3" i="12"/>
  <c r="BW3" i="12"/>
  <c r="BV3" i="12"/>
  <c r="BU3" i="12"/>
  <c r="BT3" i="12"/>
  <c r="BS3" i="12"/>
  <c r="BR3" i="12"/>
  <c r="BQ3" i="12"/>
  <c r="BP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I76" i="9"/>
  <c r="E76" i="9"/>
  <c r="I24" i="9"/>
  <c r="O7" i="9"/>
  <c r="C12" i="8"/>
  <c r="D12" i="8" s="1"/>
  <c r="B9" i="7"/>
  <c r="O47" i="13" l="1"/>
  <c r="O48" i="13"/>
  <c r="O49" i="13"/>
  <c r="C96" i="14"/>
  <c r="E29" i="11"/>
  <c r="K44" i="13"/>
  <c r="D30" i="14"/>
  <c r="C6" i="17" s="1"/>
  <c r="C25" i="26"/>
  <c r="D9" i="25"/>
  <c r="D69" i="26"/>
  <c r="F9" i="25"/>
  <c r="F69" i="26"/>
  <c r="H21" i="26"/>
  <c r="C102" i="13"/>
  <c r="N70" i="13"/>
  <c r="K73" i="13"/>
  <c r="E50" i="11" s="1"/>
  <c r="I30" i="14"/>
  <c r="M37" i="14"/>
  <c r="M39" i="14" s="1"/>
  <c r="K48" i="14"/>
  <c r="K63" i="14" s="1"/>
  <c r="B8" i="12"/>
  <c r="D8" i="12"/>
  <c r="D45" i="13"/>
  <c r="D44" i="13"/>
  <c r="F45" i="13"/>
  <c r="F44" i="13"/>
  <c r="H45" i="13"/>
  <c r="BV10" i="12" s="1"/>
  <c r="H44" i="13"/>
  <c r="J45" i="13"/>
  <c r="J44" i="13"/>
  <c r="M40" i="13"/>
  <c r="N42" i="13"/>
  <c r="M42" i="13"/>
  <c r="D28" i="11" s="1"/>
  <c r="M47" i="13"/>
  <c r="M48" i="13"/>
  <c r="N49" i="13"/>
  <c r="M49" i="13"/>
  <c r="N50" i="13"/>
  <c r="M50" i="13"/>
  <c r="C21" i="26"/>
  <c r="D24" i="15"/>
  <c r="D25" i="26"/>
  <c r="E21" i="26" s="1"/>
  <c r="F24" i="15"/>
  <c r="F25" i="26"/>
  <c r="G21" i="26" s="1"/>
  <c r="H24" i="15"/>
  <c r="H25" i="26"/>
  <c r="I21" i="26" s="1"/>
  <c r="J24" i="15"/>
  <c r="J25" i="26"/>
  <c r="K21" i="26" s="1"/>
  <c r="O4" i="17"/>
  <c r="M4" i="17"/>
  <c r="O5" i="17"/>
  <c r="N5" i="17"/>
  <c r="M5" i="17"/>
  <c r="O8" i="17"/>
  <c r="N8" i="17"/>
  <c r="M8" i="17"/>
  <c r="N9" i="17"/>
  <c r="M9" i="17"/>
  <c r="O10" i="17"/>
  <c r="M10" i="17"/>
  <c r="O11" i="17"/>
  <c r="N11" i="17"/>
  <c r="M11" i="17"/>
  <c r="O12" i="17"/>
  <c r="N12" i="17"/>
  <c r="N13" i="17"/>
  <c r="M13" i="17"/>
  <c r="O14" i="17"/>
  <c r="M14" i="17"/>
  <c r="O15" i="17"/>
  <c r="N15" i="17"/>
  <c r="M15" i="17"/>
  <c r="O16" i="17"/>
  <c r="N16" i="17"/>
  <c r="M16" i="17"/>
  <c r="O19" i="17"/>
  <c r="N19" i="17"/>
  <c r="M19" i="17"/>
  <c r="O20" i="17"/>
  <c r="O51" i="17"/>
  <c r="M51" i="17"/>
  <c r="O52" i="17"/>
  <c r="N52" i="17"/>
  <c r="M52" i="17"/>
  <c r="O53" i="17"/>
  <c r="N53" i="17"/>
  <c r="N7" i="18"/>
  <c r="M7" i="18"/>
  <c r="C9" i="25"/>
  <c r="C69" i="26"/>
  <c r="E9" i="25"/>
  <c r="E69" i="26"/>
  <c r="K88" i="19"/>
  <c r="K87" i="19"/>
  <c r="O40" i="13"/>
  <c r="G9" i="25"/>
  <c r="G69" i="26"/>
  <c r="I9" i="25"/>
  <c r="I69" i="26"/>
  <c r="K9" i="25"/>
  <c r="K69" i="26"/>
  <c r="H9" i="25"/>
  <c r="H69" i="26"/>
  <c r="J9" i="25"/>
  <c r="J69" i="26"/>
  <c r="G19" i="13"/>
  <c r="G20" i="13"/>
  <c r="M53" i="17"/>
  <c r="N54" i="17"/>
  <c r="M54" i="17"/>
  <c r="O48" i="18"/>
  <c r="N48" i="18"/>
  <c r="O49" i="18"/>
  <c r="N49" i="18"/>
  <c r="M49" i="18"/>
  <c r="O5" i="13"/>
  <c r="E21" i="13"/>
  <c r="E106" i="13" s="1"/>
  <c r="E109" i="13" s="1"/>
  <c r="C73" i="13"/>
  <c r="C100" i="13"/>
  <c r="DX5" i="12" s="1"/>
  <c r="B51" i="9"/>
  <c r="B52" i="9" s="1"/>
  <c r="C34" i="14"/>
  <c r="B59" i="9" s="1"/>
  <c r="G34" i="14"/>
  <c r="F59" i="9" s="1"/>
  <c r="K34" i="14"/>
  <c r="J59" i="9" s="1"/>
  <c r="T8" i="12"/>
  <c r="B59" i="19"/>
  <c r="F59" i="19"/>
  <c r="J59" i="19"/>
  <c r="Q86" i="15"/>
  <c r="P99" i="15"/>
  <c r="Q100" i="15"/>
  <c r="N104" i="15"/>
  <c r="Q112" i="15"/>
  <c r="Q115" i="15"/>
  <c r="Q118" i="15"/>
  <c r="N119" i="15"/>
  <c r="E20" i="13"/>
  <c r="AY7" i="12" s="1"/>
  <c r="K20" i="13"/>
  <c r="E5" i="11" s="1"/>
  <c r="K21" i="13"/>
  <c r="K106" i="13" s="1"/>
  <c r="H2" i="7"/>
  <c r="B4" i="12"/>
  <c r="D4" i="12"/>
  <c r="T4" i="12"/>
  <c r="AJ4" i="12"/>
  <c r="L8" i="12"/>
  <c r="AI8" i="12"/>
  <c r="H11" i="12"/>
  <c r="O4" i="13"/>
  <c r="D59" i="19"/>
  <c r="O6" i="13"/>
  <c r="O8" i="13"/>
  <c r="D20" i="13"/>
  <c r="AY6" i="12" s="1"/>
  <c r="E66" i="11"/>
  <c r="K34" i="19"/>
  <c r="L4" i="12"/>
  <c r="AB4" i="12"/>
  <c r="B84" i="9"/>
  <c r="D84" i="9"/>
  <c r="F84" i="9"/>
  <c r="H84" i="9"/>
  <c r="J84" i="9"/>
  <c r="H1" i="7"/>
  <c r="H6" i="7" s="1"/>
  <c r="H3" i="7"/>
  <c r="J11" i="19"/>
  <c r="J70" i="26" s="1"/>
  <c r="K5" i="19"/>
  <c r="D5" i="19"/>
  <c r="F5" i="19"/>
  <c r="H5" i="19"/>
  <c r="J5" i="19"/>
  <c r="D11" i="19"/>
  <c r="F11" i="19"/>
  <c r="H11" i="19"/>
  <c r="K11" i="19"/>
  <c r="K70" i="26" s="1"/>
  <c r="C5" i="19"/>
  <c r="H41" i="19"/>
  <c r="N5" i="13"/>
  <c r="D42" i="19"/>
  <c r="D48" i="19" s="1"/>
  <c r="O7" i="13"/>
  <c r="H42" i="19"/>
  <c r="N7" i="13"/>
  <c r="N19" i="13"/>
  <c r="B9" i="10" s="1"/>
  <c r="M19" i="13"/>
  <c r="B10" i="10" s="1"/>
  <c r="H20" i="13"/>
  <c r="N13" i="13"/>
  <c r="B12" i="11"/>
  <c r="O34" i="13"/>
  <c r="B21" i="11" s="1"/>
  <c r="M73" i="13"/>
  <c r="D79" i="9"/>
  <c r="E48" i="14"/>
  <c r="E63" i="14" s="1"/>
  <c r="H79" i="9"/>
  <c r="I48" i="14"/>
  <c r="I63" i="14" s="1"/>
  <c r="M11" i="14"/>
  <c r="D65" i="14"/>
  <c r="D66" i="14" s="1"/>
  <c r="D10" i="14"/>
  <c r="D11" i="14" s="1"/>
  <c r="C24" i="15"/>
  <c r="E24" i="15"/>
  <c r="F30" i="14"/>
  <c r="G24" i="15"/>
  <c r="H30" i="14"/>
  <c r="I24" i="15"/>
  <c r="J30" i="14"/>
  <c r="L24" i="15"/>
  <c r="L30" i="14"/>
  <c r="E73" i="14"/>
  <c r="D26" i="17" s="1"/>
  <c r="E96" i="14"/>
  <c r="I73" i="14"/>
  <c r="H36" i="17" s="1"/>
  <c r="I96" i="14"/>
  <c r="L73" i="14"/>
  <c r="K36" i="17" s="1"/>
  <c r="K96" i="14"/>
  <c r="H47" i="15"/>
  <c r="P45" i="15"/>
  <c r="Q110" i="15"/>
  <c r="N110" i="15"/>
  <c r="Q114" i="15"/>
  <c r="N114" i="15"/>
  <c r="Q116" i="15"/>
  <c r="N116" i="15"/>
  <c r="G21" i="17"/>
  <c r="N21" i="17" s="1"/>
  <c r="N20" i="17"/>
  <c r="O22" i="17"/>
  <c r="C23" i="17"/>
  <c r="E5" i="19"/>
  <c r="G5" i="19"/>
  <c r="I5" i="19"/>
  <c r="M5" i="13"/>
  <c r="M7" i="13"/>
  <c r="N12" i="13"/>
  <c r="M34" i="13"/>
  <c r="B16" i="10" s="1"/>
  <c r="H108" i="13"/>
  <c r="C71" i="13"/>
  <c r="K71" i="13"/>
  <c r="E48" i="11" s="1"/>
  <c r="N72" i="13"/>
  <c r="C49" i="11" s="1"/>
  <c r="K107" i="13"/>
  <c r="E63" i="11" s="1"/>
  <c r="E34" i="14"/>
  <c r="D59" i="9" s="1"/>
  <c r="I34" i="14"/>
  <c r="H59" i="9" s="1"/>
  <c r="M34" i="14"/>
  <c r="G30" i="14"/>
  <c r="F7" i="17" s="1"/>
  <c r="K30" i="14"/>
  <c r="J6" i="17" s="1"/>
  <c r="G48" i="14"/>
  <c r="G63" i="14" s="1"/>
  <c r="F37" i="18" s="1"/>
  <c r="L65" i="14"/>
  <c r="L66" i="14" s="1"/>
  <c r="L69" i="14" s="1"/>
  <c r="K73" i="14"/>
  <c r="J26" i="17" s="1"/>
  <c r="N45" i="15"/>
  <c r="Q76" i="15"/>
  <c r="N112" i="15"/>
  <c r="N118" i="15"/>
  <c r="C21" i="17"/>
  <c r="V6" i="12"/>
  <c r="F6" i="12"/>
  <c r="AD6" i="12"/>
  <c r="AL11" i="12"/>
  <c r="AJ11" i="12"/>
  <c r="AB11" i="12"/>
  <c r="T11" i="12"/>
  <c r="L11" i="12"/>
  <c r="D11" i="12"/>
  <c r="B11" i="12"/>
  <c r="A11" i="12" s="1"/>
  <c r="P11" i="12"/>
  <c r="AF11" i="12"/>
  <c r="H4" i="12"/>
  <c r="P4" i="12"/>
  <c r="X4" i="12"/>
  <c r="AF4" i="12"/>
  <c r="H8" i="12"/>
  <c r="P8" i="12"/>
  <c r="AA8" i="12"/>
  <c r="X5" i="9"/>
  <c r="I11" i="9"/>
  <c r="I13" i="9"/>
  <c r="K13" i="9" s="1"/>
  <c r="B4" i="8" s="1"/>
  <c r="B48" i="19"/>
  <c r="F48" i="19"/>
  <c r="J48" i="19"/>
  <c r="C48" i="19"/>
  <c r="E48" i="19"/>
  <c r="G48" i="19"/>
  <c r="I48" i="19"/>
  <c r="C7" i="17"/>
  <c r="E6" i="17"/>
  <c r="E7" i="17"/>
  <c r="G6" i="17"/>
  <c r="G7" i="17"/>
  <c r="I6" i="17"/>
  <c r="I7" i="17"/>
  <c r="K6" i="17"/>
  <c r="K7" i="17"/>
  <c r="C13" i="18"/>
  <c r="C12" i="18"/>
  <c r="C11" i="18"/>
  <c r="C35" i="17"/>
  <c r="E13" i="18"/>
  <c r="E35" i="17"/>
  <c r="G13" i="18"/>
  <c r="E43" i="17"/>
  <c r="G35" i="17"/>
  <c r="I13" i="18"/>
  <c r="G43" i="17"/>
  <c r="I35" i="17"/>
  <c r="K13" i="18"/>
  <c r="K12" i="18"/>
  <c r="I43" i="17"/>
  <c r="K35" i="17"/>
  <c r="B39" i="18"/>
  <c r="B32" i="18"/>
  <c r="B29" i="18"/>
  <c r="AJ6" i="12"/>
  <c r="AF6" i="12"/>
  <c r="AB6" i="12"/>
  <c r="X6" i="12"/>
  <c r="T6" i="12"/>
  <c r="P6" i="12"/>
  <c r="L6" i="12"/>
  <c r="H6" i="12"/>
  <c r="D6" i="12"/>
  <c r="B6" i="12"/>
  <c r="A6" i="12" s="1"/>
  <c r="AL6" i="12"/>
  <c r="AH6" i="12"/>
  <c r="J6" i="12"/>
  <c r="R6" i="12"/>
  <c r="Z6" i="12"/>
  <c r="F9" i="12"/>
  <c r="J9" i="12"/>
  <c r="N9" i="12"/>
  <c r="R9" i="12"/>
  <c r="V9" i="12"/>
  <c r="Z9" i="12"/>
  <c r="AD9" i="12"/>
  <c r="AH9" i="12"/>
  <c r="AL9" i="12"/>
  <c r="D7" i="17"/>
  <c r="D6" i="17"/>
  <c r="F6" i="17"/>
  <c r="H7" i="17"/>
  <c r="H6" i="17"/>
  <c r="J7" i="17"/>
  <c r="B13" i="18"/>
  <c r="B11" i="18"/>
  <c r="B37" i="17"/>
  <c r="B12" i="18"/>
  <c r="B35" i="17"/>
  <c r="D16" i="18"/>
  <c r="D37" i="17"/>
  <c r="D13" i="18"/>
  <c r="D35" i="17"/>
  <c r="F16" i="18"/>
  <c r="F13" i="18"/>
  <c r="F11" i="18"/>
  <c r="D43" i="17"/>
  <c r="F37" i="17"/>
  <c r="F36" i="17"/>
  <c r="F12" i="18"/>
  <c r="D44" i="17"/>
  <c r="F35" i="17"/>
  <c r="H16" i="18"/>
  <c r="F44" i="17"/>
  <c r="H37" i="17"/>
  <c r="H13" i="18"/>
  <c r="F43" i="17"/>
  <c r="H35" i="17"/>
  <c r="J16" i="18"/>
  <c r="J13" i="18"/>
  <c r="J11" i="18"/>
  <c r="H43" i="17"/>
  <c r="J37" i="17"/>
  <c r="J36" i="17"/>
  <c r="J12" i="18"/>
  <c r="H44" i="17"/>
  <c r="J35" i="17"/>
  <c r="F4" i="12"/>
  <c r="J4" i="12"/>
  <c r="N4" i="12"/>
  <c r="R4" i="12"/>
  <c r="V4" i="12"/>
  <c r="Z4" i="12"/>
  <c r="AD4" i="12"/>
  <c r="AH4" i="12"/>
  <c r="F8" i="12"/>
  <c r="J8" i="12"/>
  <c r="N8" i="12"/>
  <c r="R8" i="12"/>
  <c r="W8" i="12"/>
  <c r="B9" i="12"/>
  <c r="A9" i="12" s="1"/>
  <c r="D9" i="12"/>
  <c r="H9" i="12"/>
  <c r="L9" i="12"/>
  <c r="P9" i="12"/>
  <c r="T9" i="12"/>
  <c r="X9" i="12"/>
  <c r="AB9" i="12"/>
  <c r="AF9" i="12"/>
  <c r="F11" i="12"/>
  <c r="J11" i="12"/>
  <c r="N11" i="12"/>
  <c r="R11" i="12"/>
  <c r="V11" i="12"/>
  <c r="Z11" i="12"/>
  <c r="AD11" i="12"/>
  <c r="AH11" i="12"/>
  <c r="B13" i="12"/>
  <c r="D13" i="12"/>
  <c r="H13" i="12"/>
  <c r="L13" i="12"/>
  <c r="P13" i="12"/>
  <c r="T13" i="12"/>
  <c r="X13" i="12"/>
  <c r="AB13" i="12"/>
  <c r="AF13" i="12"/>
  <c r="C33" i="18"/>
  <c r="C46" i="17"/>
  <c r="C5" i="18"/>
  <c r="E33" i="18"/>
  <c r="E46" i="17"/>
  <c r="E5" i="18"/>
  <c r="G33" i="18"/>
  <c r="G46" i="17"/>
  <c r="E40" i="17"/>
  <c r="G5" i="18"/>
  <c r="I33" i="18"/>
  <c r="I46" i="17"/>
  <c r="G40" i="17"/>
  <c r="I5" i="18"/>
  <c r="K46" i="17"/>
  <c r="I40" i="17"/>
  <c r="K5" i="18"/>
  <c r="K47" i="17"/>
  <c r="B49" i="9"/>
  <c r="D49" i="9"/>
  <c r="F49" i="9"/>
  <c r="H49" i="9"/>
  <c r="J49" i="9"/>
  <c r="C43" i="9"/>
  <c r="E43" i="9"/>
  <c r="G43" i="9"/>
  <c r="I43" i="9"/>
  <c r="L43" i="9"/>
  <c r="M43" i="9" s="1"/>
  <c r="B37" i="18"/>
  <c r="B28" i="18"/>
  <c r="B27" i="17"/>
  <c r="B25" i="17"/>
  <c r="D37" i="18"/>
  <c r="D28" i="18"/>
  <c r="D27" i="17"/>
  <c r="D21" i="18"/>
  <c r="D25" i="17"/>
  <c r="F28" i="18"/>
  <c r="F21" i="18"/>
  <c r="F27" i="17"/>
  <c r="F26" i="17"/>
  <c r="F25" i="17"/>
  <c r="H37" i="18"/>
  <c r="H28" i="18"/>
  <c r="H27" i="17"/>
  <c r="H21" i="18"/>
  <c r="H25" i="17"/>
  <c r="J37" i="18"/>
  <c r="J28" i="18"/>
  <c r="J21" i="18"/>
  <c r="J27" i="17"/>
  <c r="J25" i="17"/>
  <c r="AA4" i="9"/>
  <c r="AC4" i="9"/>
  <c r="Z5" i="9"/>
  <c r="Z7" i="9" s="1"/>
  <c r="AB5" i="9"/>
  <c r="AB7" i="9" s="1"/>
  <c r="F13" i="12"/>
  <c r="J13" i="12"/>
  <c r="N13" i="12"/>
  <c r="R13" i="12"/>
  <c r="V13" i="12"/>
  <c r="Z13" i="12"/>
  <c r="E8" i="11"/>
  <c r="K43" i="19"/>
  <c r="B5" i="18"/>
  <c r="B48" i="17"/>
  <c r="B46" i="17"/>
  <c r="B33" i="18"/>
  <c r="D5" i="18"/>
  <c r="D48" i="17"/>
  <c r="D33" i="18"/>
  <c r="D46" i="17"/>
  <c r="F5" i="18"/>
  <c r="F48" i="17"/>
  <c r="F47" i="17"/>
  <c r="F46" i="17"/>
  <c r="D40" i="17"/>
  <c r="D41" i="17"/>
  <c r="H5" i="18"/>
  <c r="H48" i="17"/>
  <c r="H33" i="18"/>
  <c r="F41" i="17"/>
  <c r="H46" i="17"/>
  <c r="F40" i="17"/>
  <c r="J5" i="18"/>
  <c r="J48" i="17"/>
  <c r="J47" i="17"/>
  <c r="J46" i="17"/>
  <c r="H40" i="17"/>
  <c r="J33" i="18"/>
  <c r="H41" i="17"/>
  <c r="C49" i="9"/>
  <c r="E49" i="9"/>
  <c r="G49" i="9"/>
  <c r="I49" i="9"/>
  <c r="L49" i="9"/>
  <c r="M49" i="9" s="1"/>
  <c r="B43" i="9"/>
  <c r="D43" i="9"/>
  <c r="F43" i="9"/>
  <c r="H43" i="9"/>
  <c r="J43" i="9"/>
  <c r="C37" i="18"/>
  <c r="C25" i="17"/>
  <c r="C28" i="18"/>
  <c r="E37" i="18"/>
  <c r="E28" i="18"/>
  <c r="E25" i="17"/>
  <c r="G37" i="18"/>
  <c r="G25" i="17"/>
  <c r="G28" i="18"/>
  <c r="I37" i="18"/>
  <c r="I28" i="18"/>
  <c r="I25" i="17"/>
  <c r="Y4" i="9"/>
  <c r="Q119" i="15"/>
  <c r="M21" i="17"/>
  <c r="K25" i="17"/>
  <c r="K28" i="18"/>
  <c r="M23" i="17"/>
  <c r="H16" i="19"/>
  <c r="C11" i="19"/>
  <c r="E11" i="19"/>
  <c r="G11" i="19"/>
  <c r="I11" i="19"/>
  <c r="B44" i="19"/>
  <c r="D44" i="19"/>
  <c r="F44" i="19"/>
  <c r="H44" i="19"/>
  <c r="J44" i="19"/>
  <c r="B45" i="19"/>
  <c r="B46" i="19" s="1"/>
  <c r="D45" i="19"/>
  <c r="D46" i="19" s="1"/>
  <c r="F45" i="19"/>
  <c r="F46" i="19" s="1"/>
  <c r="J45" i="19"/>
  <c r="J46" i="19" s="1"/>
  <c r="C44" i="19"/>
  <c r="E44" i="19"/>
  <c r="G44" i="19"/>
  <c r="I44" i="19"/>
  <c r="K44" i="19"/>
  <c r="C45" i="19"/>
  <c r="C46" i="19" s="1"/>
  <c r="E45" i="19"/>
  <c r="E46" i="19" s="1"/>
  <c r="G45" i="19"/>
  <c r="G46" i="19" s="1"/>
  <c r="I45" i="19"/>
  <c r="I46" i="19" s="1"/>
  <c r="N23" i="17"/>
  <c r="N4" i="17"/>
  <c r="O9" i="17"/>
  <c r="N10" i="17"/>
  <c r="O13" i="17"/>
  <c r="N14" i="17"/>
  <c r="O21" i="17"/>
  <c r="M20" i="17"/>
  <c r="O23" i="17"/>
  <c r="M22" i="17"/>
  <c r="D4" i="11"/>
  <c r="C4" i="11"/>
  <c r="B14" i="10"/>
  <c r="C21" i="11"/>
  <c r="B15" i="10"/>
  <c r="B28" i="10"/>
  <c r="D27" i="11"/>
  <c r="C28" i="11"/>
  <c r="B30" i="10"/>
  <c r="B28" i="11"/>
  <c r="B29" i="10"/>
  <c r="D32" i="11"/>
  <c r="B37" i="10"/>
  <c r="C35" i="11"/>
  <c r="B39" i="10"/>
  <c r="B38" i="10"/>
  <c r="B35" i="11"/>
  <c r="D36" i="11"/>
  <c r="B43" i="10"/>
  <c r="B46" i="10"/>
  <c r="D42" i="11"/>
  <c r="D43" i="11"/>
  <c r="B49" i="10"/>
  <c r="B52" i="10"/>
  <c r="D46" i="11"/>
  <c r="B47" i="11"/>
  <c r="B53" i="10"/>
  <c r="B49" i="11"/>
  <c r="B59" i="10"/>
  <c r="B64" i="10"/>
  <c r="D50" i="11"/>
  <c r="C51" i="11"/>
  <c r="B66" i="10"/>
  <c r="B51" i="11"/>
  <c r="B65" i="10"/>
  <c r="B70" i="10"/>
  <c r="D52" i="11"/>
  <c r="C76" i="11"/>
  <c r="B116" i="10"/>
  <c r="B77" i="11"/>
  <c r="B118" i="10"/>
  <c r="D77" i="11"/>
  <c r="B120" i="10"/>
  <c r="C80" i="9"/>
  <c r="C51" i="9"/>
  <c r="C52" i="9" s="1"/>
  <c r="E80" i="9"/>
  <c r="E51" i="9"/>
  <c r="E52" i="9" s="1"/>
  <c r="G80" i="9"/>
  <c r="G51" i="9"/>
  <c r="G52" i="9" s="1"/>
  <c r="I80" i="9"/>
  <c r="I51" i="9"/>
  <c r="I52" i="9" s="1"/>
  <c r="K80" i="9"/>
  <c r="K51" i="9"/>
  <c r="L80" i="9"/>
  <c r="L51" i="9"/>
  <c r="L52" i="9" s="1"/>
  <c r="M52" i="9" s="1"/>
  <c r="B53" i="9"/>
  <c r="B50" i="9"/>
  <c r="D53" i="9"/>
  <c r="D81" i="9"/>
  <c r="D50" i="9"/>
  <c r="F53" i="9"/>
  <c r="F81" i="9"/>
  <c r="F50" i="9"/>
  <c r="H53" i="9"/>
  <c r="H81" i="9"/>
  <c r="H50" i="9"/>
  <c r="J53" i="9"/>
  <c r="J50" i="9"/>
  <c r="J81" i="9"/>
  <c r="K84" i="9"/>
  <c r="L84" i="9"/>
  <c r="C11" i="14"/>
  <c r="B54" i="9"/>
  <c r="E11" i="14"/>
  <c r="D54" i="9"/>
  <c r="G11" i="14"/>
  <c r="F54" i="9"/>
  <c r="I11" i="14"/>
  <c r="H54" i="9"/>
  <c r="K11" i="14"/>
  <c r="J54" i="9"/>
  <c r="B93" i="9"/>
  <c r="F78" i="14"/>
  <c r="E82" i="9"/>
  <c r="H78" i="14"/>
  <c r="G82" i="9"/>
  <c r="J78" i="14"/>
  <c r="I82" i="9"/>
  <c r="L78" i="14"/>
  <c r="K82" i="9"/>
  <c r="L55" i="9"/>
  <c r="L82" i="9"/>
  <c r="K55" i="9"/>
  <c r="C76" i="13"/>
  <c r="C85" i="9"/>
  <c r="C69" i="9"/>
  <c r="C48" i="9"/>
  <c r="E76" i="13"/>
  <c r="E85" i="9"/>
  <c r="E48" i="9"/>
  <c r="G76" i="13"/>
  <c r="G85" i="9"/>
  <c r="G48" i="9"/>
  <c r="I76" i="13"/>
  <c r="I85" i="9"/>
  <c r="I48" i="9"/>
  <c r="K76" i="13"/>
  <c r="CZ13" i="12" s="1"/>
  <c r="K69" i="9"/>
  <c r="K48" i="9"/>
  <c r="F24" i="9" s="1"/>
  <c r="D20" i="9"/>
  <c r="D18" i="9"/>
  <c r="L48" i="9"/>
  <c r="D21" i="9"/>
  <c r="D19" i="9"/>
  <c r="K64" i="14"/>
  <c r="J38" i="18" s="1"/>
  <c r="B62" i="9"/>
  <c r="B55" i="9"/>
  <c r="DV5" i="12"/>
  <c r="DT5" i="12"/>
  <c r="DR5" i="12"/>
  <c r="DP5" i="12"/>
  <c r="DN5" i="12"/>
  <c r="DL5" i="12"/>
  <c r="DJ5" i="12"/>
  <c r="DH5" i="12"/>
  <c r="DF5" i="12"/>
  <c r="DD5" i="12"/>
  <c r="CZ5" i="12"/>
  <c r="CX5" i="12"/>
  <c r="CV5" i="12"/>
  <c r="CT5" i="12"/>
  <c r="CP5" i="12"/>
  <c r="CN5" i="12"/>
  <c r="CL5" i="12"/>
  <c r="CJ5" i="12"/>
  <c r="DU5" i="12"/>
  <c r="DQ5" i="12"/>
  <c r="DM5" i="12"/>
  <c r="DI5" i="12"/>
  <c r="DE5" i="12"/>
  <c r="CW5" i="12"/>
  <c r="CS5" i="12"/>
  <c r="CO5" i="12"/>
  <c r="CK5" i="12"/>
  <c r="CH5" i="12"/>
  <c r="CF5" i="12"/>
  <c r="CD5" i="12"/>
  <c r="CB5" i="12"/>
  <c r="BZ5" i="12"/>
  <c r="BX5" i="12"/>
  <c r="BR5" i="12"/>
  <c r="BP5" i="12"/>
  <c r="BN5" i="12"/>
  <c r="BL5" i="12"/>
  <c r="BJ5" i="12"/>
  <c r="BH5" i="12"/>
  <c r="BF5" i="12"/>
  <c r="BD5" i="12"/>
  <c r="AZ5" i="12"/>
  <c r="AX5" i="12"/>
  <c r="AR5" i="12"/>
  <c r="AP5" i="12"/>
  <c r="DS5" i="12"/>
  <c r="DO5" i="12"/>
  <c r="DK5" i="12"/>
  <c r="DG5" i="12"/>
  <c r="CY5" i="12"/>
  <c r="CU5" i="12"/>
  <c r="CM5" i="12"/>
  <c r="CI5" i="12"/>
  <c r="CG5" i="12"/>
  <c r="CE5" i="12"/>
  <c r="CC5" i="12"/>
  <c r="CA5" i="12"/>
  <c r="BY5" i="12"/>
  <c r="BW5" i="12"/>
  <c r="BU5" i="12"/>
  <c r="BS5" i="12"/>
  <c r="BQ5" i="12"/>
  <c r="BO5" i="12"/>
  <c r="BM5" i="12"/>
  <c r="BK5" i="12"/>
  <c r="BI5" i="12"/>
  <c r="BG5" i="12"/>
  <c r="BE5" i="12"/>
  <c r="BC5" i="12"/>
  <c r="BA5" i="12"/>
  <c r="AS5" i="12"/>
  <c r="AQ5" i="12"/>
  <c r="AO5" i="12"/>
  <c r="AM5" i="12"/>
  <c r="E5" i="12"/>
  <c r="G5" i="12"/>
  <c r="I5" i="12"/>
  <c r="K5" i="12"/>
  <c r="M5" i="12"/>
  <c r="O5" i="12"/>
  <c r="Q5" i="12"/>
  <c r="S5" i="12"/>
  <c r="U5" i="12"/>
  <c r="W5" i="12"/>
  <c r="Y5" i="12"/>
  <c r="AA5" i="12"/>
  <c r="AC5" i="12"/>
  <c r="AE5" i="12"/>
  <c r="AG5" i="12"/>
  <c r="AI5" i="12"/>
  <c r="AK5" i="12"/>
  <c r="DU7" i="12"/>
  <c r="DS7" i="12"/>
  <c r="DQ7" i="12"/>
  <c r="DO7" i="12"/>
  <c r="DM7" i="12"/>
  <c r="DK7" i="12"/>
  <c r="DI7" i="12"/>
  <c r="DG7" i="12"/>
  <c r="DE7" i="12"/>
  <c r="DV7" i="12"/>
  <c r="DT7" i="12"/>
  <c r="DR7" i="12"/>
  <c r="DP7" i="12"/>
  <c r="DN7" i="12"/>
  <c r="DL7" i="12"/>
  <c r="DJ7" i="12"/>
  <c r="DH7" i="12"/>
  <c r="DF7" i="12"/>
  <c r="DD7" i="12"/>
  <c r="CZ7" i="12"/>
  <c r="CX7" i="12"/>
  <c r="CV7" i="12"/>
  <c r="CT7" i="12"/>
  <c r="CP7" i="12"/>
  <c r="CN7" i="12"/>
  <c r="CL7" i="12"/>
  <c r="CJ7" i="12"/>
  <c r="CH7" i="12"/>
  <c r="CF7" i="12"/>
  <c r="CD7" i="12"/>
  <c r="CB7" i="12"/>
  <c r="BZ7" i="12"/>
  <c r="BX7" i="12"/>
  <c r="BR7" i="12"/>
  <c r="BP7" i="12"/>
  <c r="BN7" i="12"/>
  <c r="BL7" i="12"/>
  <c r="BJ7" i="12"/>
  <c r="BH7" i="12"/>
  <c r="BF7" i="12"/>
  <c r="BD7" i="12"/>
  <c r="BB7" i="12"/>
  <c r="AX7" i="12"/>
  <c r="AR7" i="12"/>
  <c r="AP7" i="12"/>
  <c r="CY7" i="12"/>
  <c r="CU7" i="12"/>
  <c r="CM7" i="12"/>
  <c r="CI7" i="12"/>
  <c r="CE7" i="12"/>
  <c r="CA7" i="12"/>
  <c r="BW7" i="12"/>
  <c r="BS7" i="12"/>
  <c r="BO7" i="12"/>
  <c r="BK7" i="12"/>
  <c r="BG7" i="12"/>
  <c r="BC7" i="12"/>
  <c r="AQ7" i="12"/>
  <c r="AM7" i="12"/>
  <c r="CW7" i="12"/>
  <c r="CS7" i="12"/>
  <c r="CO7" i="12"/>
  <c r="CK7" i="12"/>
  <c r="CG7" i="12"/>
  <c r="CC7" i="12"/>
  <c r="BY7" i="12"/>
  <c r="BU7" i="12"/>
  <c r="BQ7" i="12"/>
  <c r="BM7" i="12"/>
  <c r="BI7" i="12"/>
  <c r="BE7" i="12"/>
  <c r="BA7" i="12"/>
  <c r="AS7" i="12"/>
  <c r="AO7" i="12"/>
  <c r="E7" i="12"/>
  <c r="G7" i="12"/>
  <c r="I7" i="12"/>
  <c r="K7" i="12"/>
  <c r="M7" i="12"/>
  <c r="O7" i="12"/>
  <c r="Q7" i="12"/>
  <c r="S7" i="12"/>
  <c r="U7" i="12"/>
  <c r="W7" i="12"/>
  <c r="Y7" i="12"/>
  <c r="AA7" i="12"/>
  <c r="AC7" i="12"/>
  <c r="AE7" i="12"/>
  <c r="AG7" i="12"/>
  <c r="AI7" i="12"/>
  <c r="AK7" i="12"/>
  <c r="DU10" i="12"/>
  <c r="DS10" i="12"/>
  <c r="DQ10" i="12"/>
  <c r="DO10" i="12"/>
  <c r="DM10" i="12"/>
  <c r="DK10" i="12"/>
  <c r="DI10" i="12"/>
  <c r="DG10" i="12"/>
  <c r="DE10" i="12"/>
  <c r="CY10" i="12"/>
  <c r="CW10" i="12"/>
  <c r="CU10" i="12"/>
  <c r="CS10" i="12"/>
  <c r="CO10" i="12"/>
  <c r="DV10" i="12"/>
  <c r="DT10" i="12"/>
  <c r="DR10" i="12"/>
  <c r="DP10" i="12"/>
  <c r="DN10" i="12"/>
  <c r="DL10" i="12"/>
  <c r="DJ10" i="12"/>
  <c r="DH10" i="12"/>
  <c r="DF10" i="12"/>
  <c r="DD10" i="12"/>
  <c r="CX10" i="12"/>
  <c r="CV10" i="12"/>
  <c r="CT10" i="12"/>
  <c r="CP10" i="12"/>
  <c r="CN10" i="12"/>
  <c r="CL10" i="12"/>
  <c r="CJ10" i="12"/>
  <c r="CH10" i="12"/>
  <c r="CF10" i="12"/>
  <c r="CD10" i="12"/>
  <c r="CB10" i="12"/>
  <c r="BZ10" i="12"/>
  <c r="BX10" i="12"/>
  <c r="BR10" i="12"/>
  <c r="BP10" i="12"/>
  <c r="BN10" i="12"/>
  <c r="BL10" i="12"/>
  <c r="BJ10" i="12"/>
  <c r="BH10" i="12"/>
  <c r="BF10" i="12"/>
  <c r="BD10" i="12"/>
  <c r="AT10" i="12"/>
  <c r="AR10" i="12"/>
  <c r="AP10" i="12"/>
  <c r="CK10" i="12"/>
  <c r="CG10" i="12"/>
  <c r="CC10" i="12"/>
  <c r="BY10" i="12"/>
  <c r="BQ10" i="12"/>
  <c r="BM10" i="12"/>
  <c r="BI10" i="12"/>
  <c r="BE10" i="12"/>
  <c r="BA10" i="12"/>
  <c r="AS10" i="12"/>
  <c r="AO10" i="12"/>
  <c r="CM10" i="12"/>
  <c r="CI10" i="12"/>
  <c r="CE10" i="12"/>
  <c r="CA10" i="12"/>
  <c r="BW10" i="12"/>
  <c r="BS10" i="12"/>
  <c r="BO10" i="12"/>
  <c r="BK10" i="12"/>
  <c r="BG10" i="12"/>
  <c r="BC10" i="12"/>
  <c r="AY10" i="12"/>
  <c r="AQ10" i="12"/>
  <c r="AM10" i="12"/>
  <c r="AL10" i="12"/>
  <c r="AJ10" i="12"/>
  <c r="AH10" i="12"/>
  <c r="AF10" i="12"/>
  <c r="AD10" i="12"/>
  <c r="AB10" i="12"/>
  <c r="Z10" i="12"/>
  <c r="X10" i="12"/>
  <c r="V10" i="12"/>
  <c r="T10" i="12"/>
  <c r="R10" i="12"/>
  <c r="P10" i="12"/>
  <c r="N10" i="12"/>
  <c r="L10" i="12"/>
  <c r="J10" i="12"/>
  <c r="H10" i="12"/>
  <c r="F10" i="12"/>
  <c r="D10" i="12"/>
  <c r="B10" i="12"/>
  <c r="G10" i="12"/>
  <c r="K10" i="12"/>
  <c r="O10" i="12"/>
  <c r="S10" i="12"/>
  <c r="W10" i="12"/>
  <c r="AA10" i="12"/>
  <c r="AE10" i="12"/>
  <c r="AI10" i="12"/>
  <c r="DU12" i="12"/>
  <c r="DS12" i="12"/>
  <c r="DQ12" i="12"/>
  <c r="DO12" i="12"/>
  <c r="DM12" i="12"/>
  <c r="DK12" i="12"/>
  <c r="DI12" i="12"/>
  <c r="DG12" i="12"/>
  <c r="DE12" i="12"/>
  <c r="CY12" i="12"/>
  <c r="CW12" i="12"/>
  <c r="CU12" i="12"/>
  <c r="CS12" i="12"/>
  <c r="DV12" i="12"/>
  <c r="DT12" i="12"/>
  <c r="DR12" i="12"/>
  <c r="DP12" i="12"/>
  <c r="DN12" i="12"/>
  <c r="DL12" i="12"/>
  <c r="DJ12" i="12"/>
  <c r="DH12" i="12"/>
  <c r="DF12" i="12"/>
  <c r="DD12" i="12"/>
  <c r="CX12" i="12"/>
  <c r="CV12" i="12"/>
  <c r="CT12" i="12"/>
  <c r="CP12" i="12"/>
  <c r="CN12" i="12"/>
  <c r="CL12" i="12"/>
  <c r="CJ12" i="12"/>
  <c r="CH12" i="12"/>
  <c r="CF12" i="12"/>
  <c r="CD12" i="12"/>
  <c r="CB12" i="12"/>
  <c r="BZ12" i="12"/>
  <c r="BX12" i="12"/>
  <c r="BV12" i="12"/>
  <c r="BR12" i="12"/>
  <c r="BP12" i="12"/>
  <c r="BN12" i="12"/>
  <c r="BL12" i="12"/>
  <c r="BJ12" i="12"/>
  <c r="BH12" i="12"/>
  <c r="BF12" i="12"/>
  <c r="BD12" i="12"/>
  <c r="CM12" i="12"/>
  <c r="CI12" i="12"/>
  <c r="CE12" i="12"/>
  <c r="CA12" i="12"/>
  <c r="BW12" i="12"/>
  <c r="BS12" i="12"/>
  <c r="BO12" i="12"/>
  <c r="BK12" i="12"/>
  <c r="BG12" i="12"/>
  <c r="BC12" i="12"/>
  <c r="AS12" i="12"/>
  <c r="AQ12" i="12"/>
  <c r="AO12" i="12"/>
  <c r="AM12" i="12"/>
  <c r="CO12" i="12"/>
  <c r="CK12" i="12"/>
  <c r="CG12" i="12"/>
  <c r="CC12" i="12"/>
  <c r="BY12" i="12"/>
  <c r="BQ12" i="12"/>
  <c r="BM12" i="12"/>
  <c r="BI12" i="12"/>
  <c r="BE12" i="12"/>
  <c r="BA12" i="12"/>
  <c r="AT12" i="12"/>
  <c r="AR12" i="12"/>
  <c r="AP12" i="12"/>
  <c r="AL12" i="12"/>
  <c r="AJ12" i="12"/>
  <c r="AH12" i="12"/>
  <c r="AF12" i="12"/>
  <c r="AD12" i="12"/>
  <c r="AB12" i="12"/>
  <c r="Z12" i="12"/>
  <c r="X12" i="12"/>
  <c r="V12" i="12"/>
  <c r="T12" i="12"/>
  <c r="R12" i="12"/>
  <c r="P12" i="12"/>
  <c r="N12" i="12"/>
  <c r="L12" i="12"/>
  <c r="J12" i="12"/>
  <c r="H12" i="12"/>
  <c r="F12" i="12"/>
  <c r="D12" i="12"/>
  <c r="B12" i="12"/>
  <c r="A12" i="12" s="1"/>
  <c r="G12" i="12"/>
  <c r="K12" i="12"/>
  <c r="O12" i="12"/>
  <c r="S12" i="12"/>
  <c r="W12" i="12"/>
  <c r="AA12" i="12"/>
  <c r="AE12" i="12"/>
  <c r="AI12" i="12"/>
  <c r="L47" i="9"/>
  <c r="M13" i="9"/>
  <c r="C109" i="13"/>
  <c r="E7" i="11"/>
  <c r="D21" i="11"/>
  <c r="B26" i="10"/>
  <c r="B27" i="11"/>
  <c r="C27" i="11"/>
  <c r="B27" i="10"/>
  <c r="B31" i="10"/>
  <c r="B32" i="11"/>
  <c r="B35" i="10"/>
  <c r="C32" i="11"/>
  <c r="B36" i="10"/>
  <c r="B40" i="10"/>
  <c r="D35" i="11"/>
  <c r="C36" i="11"/>
  <c r="B42" i="10"/>
  <c r="C42" i="11"/>
  <c r="B45" i="10"/>
  <c r="B43" i="11"/>
  <c r="B47" i="10"/>
  <c r="B46" i="11"/>
  <c r="B50" i="10"/>
  <c r="C46" i="11"/>
  <c r="B51" i="10"/>
  <c r="C47" i="11"/>
  <c r="B54" i="10"/>
  <c r="B60" i="10"/>
  <c r="D51" i="11"/>
  <c r="B67" i="10"/>
  <c r="C52" i="11"/>
  <c r="B69" i="10"/>
  <c r="D76" i="11"/>
  <c r="B117" i="10"/>
  <c r="C77" i="11"/>
  <c r="B119" i="10"/>
  <c r="D80" i="9"/>
  <c r="D51" i="9"/>
  <c r="D52" i="9" s="1"/>
  <c r="F80" i="9"/>
  <c r="F51" i="9"/>
  <c r="H80" i="9"/>
  <c r="H51" i="9"/>
  <c r="H52" i="9" s="1"/>
  <c r="J80" i="9"/>
  <c r="J51" i="9"/>
  <c r="J52" i="9" s="1"/>
  <c r="C81" i="9"/>
  <c r="C53" i="9"/>
  <c r="C50" i="9"/>
  <c r="E81" i="9"/>
  <c r="E53" i="9"/>
  <c r="E50" i="9"/>
  <c r="G81" i="9"/>
  <c r="G53" i="9"/>
  <c r="G50" i="9"/>
  <c r="I81" i="9"/>
  <c r="I53" i="9"/>
  <c r="I50" i="9"/>
  <c r="K81" i="9"/>
  <c r="L53" i="9"/>
  <c r="M53" i="9" s="1"/>
  <c r="L50" i="9"/>
  <c r="M50" i="9" s="1"/>
  <c r="L81" i="9"/>
  <c r="K53" i="9"/>
  <c r="K50" i="9"/>
  <c r="F11" i="14"/>
  <c r="E54" i="9"/>
  <c r="H11" i="14"/>
  <c r="G54" i="9"/>
  <c r="J11" i="14"/>
  <c r="I54" i="9"/>
  <c r="L11" i="14"/>
  <c r="K54" i="9"/>
  <c r="L54" i="9"/>
  <c r="D82" i="9"/>
  <c r="H82" i="9"/>
  <c r="B78" i="13"/>
  <c r="DB4" i="12" s="1"/>
  <c r="B85" i="9"/>
  <c r="B69" i="9"/>
  <c r="B76" i="13"/>
  <c r="CZ4" i="12" s="1"/>
  <c r="B48" i="9"/>
  <c r="D78" i="13"/>
  <c r="DB6" i="12" s="1"/>
  <c r="D77" i="13"/>
  <c r="D85" i="9"/>
  <c r="D76" i="13"/>
  <c r="D48" i="9"/>
  <c r="F78" i="13"/>
  <c r="F77" i="13"/>
  <c r="F85" i="9"/>
  <c r="F69" i="9"/>
  <c r="F76" i="13"/>
  <c r="CZ8" i="12" s="1"/>
  <c r="F48" i="9"/>
  <c r="H78" i="13"/>
  <c r="DB10" i="12" s="1"/>
  <c r="H85" i="9"/>
  <c r="H76" i="13"/>
  <c r="CZ10" i="12" s="1"/>
  <c r="H48" i="9"/>
  <c r="J78" i="13"/>
  <c r="DB12" i="12" s="1"/>
  <c r="J77" i="13"/>
  <c r="DA12" i="12" s="1"/>
  <c r="J85" i="9"/>
  <c r="J69" i="9"/>
  <c r="J76" i="13"/>
  <c r="CZ12" i="12" s="1"/>
  <c r="J48" i="9"/>
  <c r="E64" i="14"/>
  <c r="I64" i="14"/>
  <c r="H38" i="18" s="1"/>
  <c r="L63" i="14"/>
  <c r="L64" i="9" s="1"/>
  <c r="O21" i="9"/>
  <c r="O20" i="9"/>
  <c r="O19" i="9"/>
  <c r="O18" i="9"/>
  <c r="C14" i="9"/>
  <c r="C13" i="9"/>
  <c r="C12" i="9"/>
  <c r="C11" i="9"/>
  <c r="DU4" i="12"/>
  <c r="DS4" i="12"/>
  <c r="DQ4" i="12"/>
  <c r="DO4" i="12"/>
  <c r="DM4" i="12"/>
  <c r="DK4" i="12"/>
  <c r="DI4" i="12"/>
  <c r="DG4" i="12"/>
  <c r="DE4" i="12"/>
  <c r="DC4" i="12"/>
  <c r="DA4" i="12"/>
  <c r="CY4" i="12"/>
  <c r="CW4" i="12"/>
  <c r="CU4" i="12"/>
  <c r="CS4" i="12"/>
  <c r="CO4" i="12"/>
  <c r="CM4" i="12"/>
  <c r="CK4" i="12"/>
  <c r="CI4" i="12"/>
  <c r="CG4" i="12"/>
  <c r="CE4" i="12"/>
  <c r="CC4" i="12"/>
  <c r="CA4" i="12"/>
  <c r="BY4" i="12"/>
  <c r="BW4" i="12"/>
  <c r="BU4" i="12"/>
  <c r="BS4" i="12"/>
  <c r="BQ4" i="12"/>
  <c r="BO4" i="12"/>
  <c r="BM4" i="12"/>
  <c r="BK4" i="12"/>
  <c r="BI4" i="12"/>
  <c r="BG4" i="12"/>
  <c r="BE4" i="12"/>
  <c r="BC4" i="12"/>
  <c r="BA4" i="12"/>
  <c r="AW4" i="12"/>
  <c r="AS4" i="12"/>
  <c r="AQ4" i="12"/>
  <c r="AO4" i="12"/>
  <c r="AM4" i="12"/>
  <c r="DV4" i="12"/>
  <c r="DT4" i="12"/>
  <c r="DR4" i="12"/>
  <c r="DP4" i="12"/>
  <c r="DN4" i="12"/>
  <c r="DL4" i="12"/>
  <c r="DJ4" i="12"/>
  <c r="DH4" i="12"/>
  <c r="DF4" i="12"/>
  <c r="DD4" i="12"/>
  <c r="CX4" i="12"/>
  <c r="CV4" i="12"/>
  <c r="CT4" i="12"/>
  <c r="CP4" i="12"/>
  <c r="CN4" i="12"/>
  <c r="CL4" i="12"/>
  <c r="CJ4" i="12"/>
  <c r="CH4" i="12"/>
  <c r="CF4" i="12"/>
  <c r="CD4" i="12"/>
  <c r="CB4" i="12"/>
  <c r="BZ4" i="12"/>
  <c r="BX4" i="12"/>
  <c r="BV4" i="12"/>
  <c r="BT4" i="12"/>
  <c r="BR4" i="12"/>
  <c r="BP4" i="12"/>
  <c r="BN4" i="12"/>
  <c r="BL4" i="12"/>
  <c r="BJ4" i="12"/>
  <c r="BH4" i="12"/>
  <c r="BF4" i="12"/>
  <c r="BD4" i="12"/>
  <c r="AV4" i="12"/>
  <c r="AT4" i="12"/>
  <c r="AR4" i="12"/>
  <c r="AP4" i="12"/>
  <c r="E4" i="12"/>
  <c r="G4" i="12"/>
  <c r="I4" i="12"/>
  <c r="K4" i="12"/>
  <c r="M4" i="12"/>
  <c r="O4" i="12"/>
  <c r="Q4" i="12"/>
  <c r="S4" i="12"/>
  <c r="U4" i="12"/>
  <c r="W4" i="12"/>
  <c r="Y4" i="12"/>
  <c r="AA4" i="12"/>
  <c r="AC4" i="12"/>
  <c r="AE4" i="12"/>
  <c r="AG4" i="12"/>
  <c r="AI4" i="12"/>
  <c r="AK4" i="12"/>
  <c r="B5" i="12"/>
  <c r="A5" i="12" s="1"/>
  <c r="D5" i="12"/>
  <c r="F5" i="12"/>
  <c r="H5" i="12"/>
  <c r="J5" i="12"/>
  <c r="L5" i="12"/>
  <c r="N5" i="12"/>
  <c r="P5" i="12"/>
  <c r="R5" i="12"/>
  <c r="T5" i="12"/>
  <c r="V5" i="12"/>
  <c r="X5" i="12"/>
  <c r="Z5" i="12"/>
  <c r="AB5" i="12"/>
  <c r="AD5" i="12"/>
  <c r="AF5" i="12"/>
  <c r="AH5" i="12"/>
  <c r="AJ5" i="12"/>
  <c r="AL5" i="12"/>
  <c r="DU6" i="12"/>
  <c r="DS6" i="12"/>
  <c r="DQ6" i="12"/>
  <c r="DO6" i="12"/>
  <c r="DM6" i="12"/>
  <c r="DK6" i="12"/>
  <c r="DI6" i="12"/>
  <c r="DG6" i="12"/>
  <c r="DE6" i="12"/>
  <c r="DA6" i="12"/>
  <c r="CY6" i="12"/>
  <c r="CW6" i="12"/>
  <c r="CU6" i="12"/>
  <c r="CS6" i="12"/>
  <c r="CO6" i="12"/>
  <c r="CM6" i="12"/>
  <c r="CK6" i="12"/>
  <c r="CI6" i="12"/>
  <c r="CG6" i="12"/>
  <c r="CE6" i="12"/>
  <c r="CC6" i="12"/>
  <c r="CA6" i="12"/>
  <c r="BY6" i="12"/>
  <c r="BW6" i="12"/>
  <c r="BS6" i="12"/>
  <c r="BQ6" i="12"/>
  <c r="BO6" i="12"/>
  <c r="BM6" i="12"/>
  <c r="BK6" i="12"/>
  <c r="BI6" i="12"/>
  <c r="BG6" i="12"/>
  <c r="BE6" i="12"/>
  <c r="BC6" i="12"/>
  <c r="BA6" i="12"/>
  <c r="AS6" i="12"/>
  <c r="AQ6" i="12"/>
  <c r="AO6" i="12"/>
  <c r="AM6" i="12"/>
  <c r="DV6" i="12"/>
  <c r="DR6" i="12"/>
  <c r="DN6" i="12"/>
  <c r="DJ6" i="12"/>
  <c r="DF6" i="12"/>
  <c r="CX6" i="12"/>
  <c r="CT6" i="12"/>
  <c r="CP6" i="12"/>
  <c r="CL6" i="12"/>
  <c r="CH6" i="12"/>
  <c r="CD6" i="12"/>
  <c r="BZ6" i="12"/>
  <c r="BV6" i="12"/>
  <c r="BR6" i="12"/>
  <c r="BN6" i="12"/>
  <c r="BJ6" i="12"/>
  <c r="BF6" i="12"/>
  <c r="AT6" i="12"/>
  <c r="AP6" i="12"/>
  <c r="DT6" i="12"/>
  <c r="DP6" i="12"/>
  <c r="DL6" i="12"/>
  <c r="DH6" i="12"/>
  <c r="DD6" i="12"/>
  <c r="CZ6" i="12"/>
  <c r="CV6" i="12"/>
  <c r="CN6" i="12"/>
  <c r="CJ6" i="12"/>
  <c r="CF6" i="12"/>
  <c r="CB6" i="12"/>
  <c r="BX6" i="12"/>
  <c r="BP6" i="12"/>
  <c r="BL6" i="12"/>
  <c r="BH6" i="12"/>
  <c r="BD6" i="12"/>
  <c r="AR6" i="12"/>
  <c r="E6" i="12"/>
  <c r="G6" i="12"/>
  <c r="I6" i="12"/>
  <c r="K6" i="12"/>
  <c r="M6" i="12"/>
  <c r="O6" i="12"/>
  <c r="Q6" i="12"/>
  <c r="S6" i="12"/>
  <c r="U6" i="12"/>
  <c r="W6" i="12"/>
  <c r="Y6" i="12"/>
  <c r="AA6" i="12"/>
  <c r="AC6" i="12"/>
  <c r="AE6" i="12"/>
  <c r="AG6" i="12"/>
  <c r="AI6" i="12"/>
  <c r="AK6" i="12"/>
  <c r="B7" i="12"/>
  <c r="A7" i="12" s="1"/>
  <c r="D7" i="12"/>
  <c r="F7" i="12"/>
  <c r="H7" i="12"/>
  <c r="J7" i="12"/>
  <c r="L7" i="12"/>
  <c r="N7" i="12"/>
  <c r="P7" i="12"/>
  <c r="R7" i="12"/>
  <c r="T7" i="12"/>
  <c r="V7" i="12"/>
  <c r="X7" i="12"/>
  <c r="Z7" i="12"/>
  <c r="AB7" i="12"/>
  <c r="AD7" i="12"/>
  <c r="AF7" i="12"/>
  <c r="AH7" i="12"/>
  <c r="AJ7" i="12"/>
  <c r="AL7" i="12"/>
  <c r="DV8" i="12"/>
  <c r="DT8" i="12"/>
  <c r="DR8" i="12"/>
  <c r="DP8" i="12"/>
  <c r="DN8" i="12"/>
  <c r="DL8" i="12"/>
  <c r="DJ8" i="12"/>
  <c r="DH8" i="12"/>
  <c r="DF8" i="12"/>
  <c r="DD8" i="12"/>
  <c r="DB8" i="12"/>
  <c r="CX8" i="12"/>
  <c r="CV8" i="12"/>
  <c r="CT8" i="12"/>
  <c r="DS8" i="12"/>
  <c r="DO8" i="12"/>
  <c r="DK8" i="12"/>
  <c r="DG8" i="12"/>
  <c r="CY8" i="12"/>
  <c r="CU8" i="12"/>
  <c r="CP8" i="12"/>
  <c r="CN8" i="12"/>
  <c r="CL8" i="12"/>
  <c r="CJ8" i="12"/>
  <c r="CH8" i="12"/>
  <c r="CF8" i="12"/>
  <c r="CD8" i="12"/>
  <c r="CB8" i="12"/>
  <c r="BZ8" i="12"/>
  <c r="BX8" i="12"/>
  <c r="BV8" i="12"/>
  <c r="BR8" i="12"/>
  <c r="BP8" i="12"/>
  <c r="BN8" i="12"/>
  <c r="BL8" i="12"/>
  <c r="BJ8" i="12"/>
  <c r="BH8" i="12"/>
  <c r="BF8" i="12"/>
  <c r="BD8" i="12"/>
  <c r="AT8" i="12"/>
  <c r="AR8" i="12"/>
  <c r="AP8" i="12"/>
  <c r="DU8" i="12"/>
  <c r="DQ8" i="12"/>
  <c r="DM8" i="12"/>
  <c r="DI8" i="12"/>
  <c r="DE8" i="12"/>
  <c r="DA8" i="12"/>
  <c r="CW8" i="12"/>
  <c r="CS8" i="12"/>
  <c r="CO8" i="12"/>
  <c r="CM8" i="12"/>
  <c r="CK8" i="12"/>
  <c r="CI8" i="12"/>
  <c r="CG8" i="12"/>
  <c r="CE8" i="12"/>
  <c r="CC8" i="12"/>
  <c r="CA8" i="12"/>
  <c r="BY8" i="12"/>
  <c r="BW8" i="12"/>
  <c r="BS8" i="12"/>
  <c r="BQ8" i="12"/>
  <c r="BO8" i="12"/>
  <c r="BM8" i="12"/>
  <c r="BK8" i="12"/>
  <c r="BI8" i="12"/>
  <c r="BG8" i="12"/>
  <c r="BE8" i="12"/>
  <c r="BC8" i="12"/>
  <c r="BA8" i="12"/>
  <c r="AS8" i="12"/>
  <c r="AQ8" i="12"/>
  <c r="AO8" i="12"/>
  <c r="AM8" i="12"/>
  <c r="AL8" i="12"/>
  <c r="AJ8" i="12"/>
  <c r="AH8" i="12"/>
  <c r="AF8" i="12"/>
  <c r="AD8" i="12"/>
  <c r="AB8" i="12"/>
  <c r="Z8" i="12"/>
  <c r="X8" i="12"/>
  <c r="V8" i="12"/>
  <c r="E8" i="12"/>
  <c r="G8" i="12"/>
  <c r="I8" i="12"/>
  <c r="K8" i="12"/>
  <c r="M8" i="12"/>
  <c r="O8" i="12"/>
  <c r="Q8" i="12"/>
  <c r="S8" i="12"/>
  <c r="U8" i="12"/>
  <c r="Y8" i="12"/>
  <c r="AC8" i="12"/>
  <c r="AG8" i="12"/>
  <c r="AK8" i="12"/>
  <c r="E10" i="12"/>
  <c r="I10" i="12"/>
  <c r="M10" i="12"/>
  <c r="Q10" i="12"/>
  <c r="U10" i="12"/>
  <c r="Y10" i="12"/>
  <c r="AC10" i="12"/>
  <c r="AG10" i="12"/>
  <c r="AK10" i="12"/>
  <c r="E12" i="12"/>
  <c r="I12" i="12"/>
  <c r="M12" i="12"/>
  <c r="Q12" i="12"/>
  <c r="U12" i="12"/>
  <c r="Y12" i="12"/>
  <c r="AC12" i="12"/>
  <c r="AG12" i="12"/>
  <c r="AK12" i="12"/>
  <c r="B47" i="9"/>
  <c r="D47" i="9"/>
  <c r="H47" i="9"/>
  <c r="J47" i="9"/>
  <c r="DU9" i="12"/>
  <c r="DS9" i="12"/>
  <c r="DQ9" i="12"/>
  <c r="DO9" i="12"/>
  <c r="DM9" i="12"/>
  <c r="DK9" i="12"/>
  <c r="DI9" i="12"/>
  <c r="DG9" i="12"/>
  <c r="DE9" i="12"/>
  <c r="CY9" i="12"/>
  <c r="CW9" i="12"/>
  <c r="CU9" i="12"/>
  <c r="CS9" i="12"/>
  <c r="CO9" i="12"/>
  <c r="CM9" i="12"/>
  <c r="CK9" i="12"/>
  <c r="CI9" i="12"/>
  <c r="CG9" i="12"/>
  <c r="CE9" i="12"/>
  <c r="CC9" i="12"/>
  <c r="CA9" i="12"/>
  <c r="BY9" i="12"/>
  <c r="BW9" i="12"/>
  <c r="BU9" i="12"/>
  <c r="BS9" i="12"/>
  <c r="BQ9" i="12"/>
  <c r="BO9" i="12"/>
  <c r="BM9" i="12"/>
  <c r="BK9" i="12"/>
  <c r="BI9" i="12"/>
  <c r="BG9" i="12"/>
  <c r="BE9" i="12"/>
  <c r="BC9" i="12"/>
  <c r="BA9" i="12"/>
  <c r="AY9" i="12"/>
  <c r="AS9" i="12"/>
  <c r="AQ9" i="12"/>
  <c r="AO9" i="12"/>
  <c r="AM9" i="12"/>
  <c r="DT9" i="12"/>
  <c r="DP9" i="12"/>
  <c r="DL9" i="12"/>
  <c r="DH9" i="12"/>
  <c r="DD9" i="12"/>
  <c r="CZ9" i="12"/>
  <c r="CV9" i="12"/>
  <c r="CN9" i="12"/>
  <c r="CJ9" i="12"/>
  <c r="CF9" i="12"/>
  <c r="CB9" i="12"/>
  <c r="BX9" i="12"/>
  <c r="BP9" i="12"/>
  <c r="BL9" i="12"/>
  <c r="BH9" i="12"/>
  <c r="BD9" i="12"/>
  <c r="AZ9" i="12"/>
  <c r="AR9" i="12"/>
  <c r="DV9" i="12"/>
  <c r="DR9" i="12"/>
  <c r="DN9" i="12"/>
  <c r="DJ9" i="12"/>
  <c r="DF9" i="12"/>
  <c r="CX9" i="12"/>
  <c r="CT9" i="12"/>
  <c r="CP9" i="12"/>
  <c r="CL9" i="12"/>
  <c r="CH9" i="12"/>
  <c r="CD9" i="12"/>
  <c r="BZ9" i="12"/>
  <c r="BR9" i="12"/>
  <c r="BN9" i="12"/>
  <c r="BJ9" i="12"/>
  <c r="BF9" i="12"/>
  <c r="AX9" i="12"/>
  <c r="AP9" i="12"/>
  <c r="E9" i="12"/>
  <c r="G9" i="12"/>
  <c r="I9" i="12"/>
  <c r="K9" i="12"/>
  <c r="M9" i="12"/>
  <c r="O9" i="12"/>
  <c r="Q9" i="12"/>
  <c r="S9" i="12"/>
  <c r="U9" i="12"/>
  <c r="W9" i="12"/>
  <c r="Y9" i="12"/>
  <c r="AA9" i="12"/>
  <c r="AC9" i="12"/>
  <c r="AE9" i="12"/>
  <c r="AG9" i="12"/>
  <c r="AI9" i="12"/>
  <c r="AK9" i="12"/>
  <c r="DV11" i="12"/>
  <c r="DT11" i="12"/>
  <c r="DR11" i="12"/>
  <c r="DP11" i="12"/>
  <c r="DN11" i="12"/>
  <c r="DL11" i="12"/>
  <c r="DJ11" i="12"/>
  <c r="DH11" i="12"/>
  <c r="DF11" i="12"/>
  <c r="DD11" i="12"/>
  <c r="CZ11" i="12"/>
  <c r="CX11" i="12"/>
  <c r="CV11" i="12"/>
  <c r="CT11" i="12"/>
  <c r="CP11" i="12"/>
  <c r="CN11" i="12"/>
  <c r="CL11" i="12"/>
  <c r="CJ11" i="12"/>
  <c r="CH11" i="12"/>
  <c r="CF11" i="12"/>
  <c r="CD11" i="12"/>
  <c r="CB11" i="12"/>
  <c r="BZ11" i="12"/>
  <c r="BX11" i="12"/>
  <c r="BR11" i="12"/>
  <c r="BP11" i="12"/>
  <c r="BN11" i="12"/>
  <c r="BL11" i="12"/>
  <c r="BJ11" i="12"/>
  <c r="BH11" i="12"/>
  <c r="BF11" i="12"/>
  <c r="BD11" i="12"/>
  <c r="BB11" i="12"/>
  <c r="AZ11" i="12"/>
  <c r="AX11" i="12"/>
  <c r="AR11" i="12"/>
  <c r="AP11" i="12"/>
  <c r="DU11" i="12"/>
  <c r="DS11" i="12"/>
  <c r="DQ11" i="12"/>
  <c r="DO11" i="12"/>
  <c r="DM11" i="12"/>
  <c r="DK11" i="12"/>
  <c r="DI11" i="12"/>
  <c r="DG11" i="12"/>
  <c r="DE11" i="12"/>
  <c r="CY11" i="12"/>
  <c r="CW11" i="12"/>
  <c r="CU11" i="12"/>
  <c r="CS11" i="12"/>
  <c r="CO11" i="12"/>
  <c r="CM11" i="12"/>
  <c r="CK11" i="12"/>
  <c r="CI11" i="12"/>
  <c r="CG11" i="12"/>
  <c r="CE11" i="12"/>
  <c r="CC11" i="12"/>
  <c r="CA11" i="12"/>
  <c r="BY11" i="12"/>
  <c r="BW11" i="12"/>
  <c r="BU11" i="12"/>
  <c r="BS11" i="12"/>
  <c r="BQ11" i="12"/>
  <c r="BO11" i="12"/>
  <c r="BM11" i="12"/>
  <c r="BK11" i="12"/>
  <c r="BI11" i="12"/>
  <c r="BG11" i="12"/>
  <c r="BE11" i="12"/>
  <c r="BC11" i="12"/>
  <c r="BA11" i="12"/>
  <c r="AS11" i="12"/>
  <c r="AQ11" i="12"/>
  <c r="AO11" i="12"/>
  <c r="AM11" i="12"/>
  <c r="E11" i="12"/>
  <c r="G11" i="12"/>
  <c r="I11" i="12"/>
  <c r="K11" i="12"/>
  <c r="M11" i="12"/>
  <c r="O11" i="12"/>
  <c r="Q11" i="12"/>
  <c r="S11" i="12"/>
  <c r="U11" i="12"/>
  <c r="W11" i="12"/>
  <c r="Y11" i="12"/>
  <c r="AA11" i="12"/>
  <c r="AC11" i="12"/>
  <c r="AE11" i="12"/>
  <c r="AG11" i="12"/>
  <c r="AI11" i="12"/>
  <c r="AK11" i="12"/>
  <c r="DX13" i="12"/>
  <c r="DV13" i="12"/>
  <c r="DT13" i="12"/>
  <c r="DR13" i="12"/>
  <c r="DP13" i="12"/>
  <c r="DN13" i="12"/>
  <c r="DL13" i="12"/>
  <c r="DJ13" i="12"/>
  <c r="DH13" i="12"/>
  <c r="DF13" i="12"/>
  <c r="DD13" i="12"/>
  <c r="CX13" i="12"/>
  <c r="CV13" i="12"/>
  <c r="CT13" i="12"/>
  <c r="CP13" i="12"/>
  <c r="CN13" i="12"/>
  <c r="CL13" i="12"/>
  <c r="CJ13" i="12"/>
  <c r="CH13" i="12"/>
  <c r="CF13" i="12"/>
  <c r="CD13" i="12"/>
  <c r="CB13" i="12"/>
  <c r="BZ13" i="12"/>
  <c r="BX13" i="12"/>
  <c r="BR13" i="12"/>
  <c r="BP13" i="12"/>
  <c r="BN13" i="12"/>
  <c r="BL13" i="12"/>
  <c r="BJ13" i="12"/>
  <c r="BH13" i="12"/>
  <c r="BF13" i="12"/>
  <c r="BD13" i="12"/>
  <c r="AZ13" i="12"/>
  <c r="AX13" i="12"/>
  <c r="AR13" i="12"/>
  <c r="AP13" i="12"/>
  <c r="DU13" i="12"/>
  <c r="DS13" i="12"/>
  <c r="DQ13" i="12"/>
  <c r="DO13" i="12"/>
  <c r="DM13" i="12"/>
  <c r="DK13" i="12"/>
  <c r="DI13" i="12"/>
  <c r="DG13" i="12"/>
  <c r="DE13" i="12"/>
  <c r="CY13" i="12"/>
  <c r="CW13" i="12"/>
  <c r="CS13" i="12"/>
  <c r="CO13" i="12"/>
  <c r="CM13" i="12"/>
  <c r="CK13" i="12"/>
  <c r="CI13" i="12"/>
  <c r="CG13" i="12"/>
  <c r="CE13" i="12"/>
  <c r="CC13" i="12"/>
  <c r="CA13" i="12"/>
  <c r="BY13" i="12"/>
  <c r="BW13" i="12"/>
  <c r="BU13" i="12"/>
  <c r="BS13" i="12"/>
  <c r="BQ13" i="12"/>
  <c r="BO13" i="12"/>
  <c r="BM13" i="12"/>
  <c r="BK13" i="12"/>
  <c r="BI13" i="12"/>
  <c r="BG13" i="12"/>
  <c r="BE13" i="12"/>
  <c r="BC13" i="12"/>
  <c r="BA13" i="12"/>
  <c r="AS13" i="12"/>
  <c r="AQ13" i="12"/>
  <c r="AO13" i="12"/>
  <c r="AM13" i="12"/>
  <c r="E13" i="12"/>
  <c r="G13" i="12"/>
  <c r="I13" i="12"/>
  <c r="K13" i="12"/>
  <c r="M13" i="12"/>
  <c r="O13" i="12"/>
  <c r="Q13" i="12"/>
  <c r="S13" i="12"/>
  <c r="U13" i="12"/>
  <c r="W13" i="12"/>
  <c r="Y13" i="12"/>
  <c r="AA13" i="12"/>
  <c r="AC13" i="12"/>
  <c r="AE13" i="12"/>
  <c r="AG13" i="12"/>
  <c r="AI13" i="12"/>
  <c r="AK13" i="12"/>
  <c r="C22" i="11"/>
  <c r="B18" i="10"/>
  <c r="B22" i="10"/>
  <c r="D23" i="11"/>
  <c r="B20" i="10"/>
  <c r="B23" i="11"/>
  <c r="C24" i="11"/>
  <c r="B24" i="10"/>
  <c r="C43" i="13"/>
  <c r="BT5" i="12" s="1"/>
  <c r="E43" i="13"/>
  <c r="BT7" i="12" s="1"/>
  <c r="G43" i="13"/>
  <c r="BT9" i="12" s="1"/>
  <c r="I43" i="13"/>
  <c r="BT11" i="12" s="1"/>
  <c r="K43" i="13"/>
  <c r="BT13" i="12" s="1"/>
  <c r="BU6" i="12"/>
  <c r="BU8" i="12"/>
  <c r="BU10" i="12"/>
  <c r="BU12" i="12"/>
  <c r="C45" i="13"/>
  <c r="BV5" i="12" s="1"/>
  <c r="E45" i="13"/>
  <c r="BV7" i="12" s="1"/>
  <c r="G45" i="13"/>
  <c r="BV9" i="12" s="1"/>
  <c r="I45" i="13"/>
  <c r="BV11" i="12" s="1"/>
  <c r="K45" i="13"/>
  <c r="E30" i="11" s="1"/>
  <c r="C66" i="9"/>
  <c r="C64" i="9"/>
  <c r="C65" i="9"/>
  <c r="E66" i="9"/>
  <c r="E64" i="9"/>
  <c r="E65" i="9"/>
  <c r="G66" i="9"/>
  <c r="G64" i="9"/>
  <c r="G65" i="9"/>
  <c r="I66" i="9"/>
  <c r="I64" i="9"/>
  <c r="I65" i="9"/>
  <c r="K66" i="9"/>
  <c r="L65" i="9"/>
  <c r="L66" i="9"/>
  <c r="K65" i="9"/>
  <c r="B60" i="9"/>
  <c r="D60" i="9"/>
  <c r="F60" i="9"/>
  <c r="H60" i="9"/>
  <c r="J60" i="9"/>
  <c r="C79" i="9"/>
  <c r="E79" i="9"/>
  <c r="G79" i="9"/>
  <c r="I79" i="9"/>
  <c r="K79" i="9"/>
  <c r="L79" i="9"/>
  <c r="M79" i="9" s="1"/>
  <c r="K24" i="15"/>
  <c r="C46" i="15"/>
  <c r="E46" i="15"/>
  <c r="G46" i="15"/>
  <c r="I46" i="15"/>
  <c r="K46" i="15"/>
  <c r="C47" i="15"/>
  <c r="E47" i="15"/>
  <c r="G47" i="15"/>
  <c r="I47" i="15"/>
  <c r="K47" i="15"/>
  <c r="K51" i="15"/>
  <c r="K60" i="15"/>
  <c r="C65" i="15"/>
  <c r="E65" i="15"/>
  <c r="G65" i="15"/>
  <c r="I65" i="15"/>
  <c r="K65" i="15"/>
  <c r="C66" i="15"/>
  <c r="E66" i="15"/>
  <c r="G66" i="15"/>
  <c r="I66" i="15"/>
  <c r="D106" i="15"/>
  <c r="F106" i="15"/>
  <c r="H106" i="15"/>
  <c r="J106" i="15"/>
  <c r="L106" i="15"/>
  <c r="D117" i="15"/>
  <c r="F117" i="15"/>
  <c r="H117" i="15"/>
  <c r="J117" i="15"/>
  <c r="L117" i="15"/>
  <c r="O3" i="9"/>
  <c r="O4" i="9"/>
  <c r="Y3" i="9"/>
  <c r="AA3" i="9"/>
  <c r="AC3" i="9"/>
  <c r="X4" i="9"/>
  <c r="Z4" i="9"/>
  <c r="AB4" i="9"/>
  <c r="Y5" i="9"/>
  <c r="E33" i="9" s="1"/>
  <c r="AA5" i="9"/>
  <c r="AA7" i="9" s="1"/>
  <c r="AC5" i="9"/>
  <c r="AC7" i="9" s="1"/>
  <c r="X6" i="9"/>
  <c r="F33" i="9" s="1"/>
  <c r="I12" i="9"/>
  <c r="K12" i="9" s="1"/>
  <c r="M12" i="9" s="1"/>
  <c r="K24" i="9" s="1"/>
  <c r="I14" i="9"/>
  <c r="D24" i="9"/>
  <c r="B19" i="9"/>
  <c r="A33" i="9" s="1"/>
  <c r="F19" i="9"/>
  <c r="D27" i="9" s="1"/>
  <c r="B21" i="9"/>
  <c r="F8" i="8" s="1"/>
  <c r="K43" i="9"/>
  <c r="C47" i="9"/>
  <c r="E47" i="9"/>
  <c r="G47" i="9"/>
  <c r="I47" i="9"/>
  <c r="K47" i="9"/>
  <c r="G24" i="9" s="1"/>
  <c r="K49" i="9"/>
  <c r="AH13" i="12"/>
  <c r="AJ13" i="12"/>
  <c r="AL13" i="12"/>
  <c r="D22" i="11"/>
  <c r="B19" i="10"/>
  <c r="B22" i="11"/>
  <c r="B17" i="10"/>
  <c r="C23" i="11"/>
  <c r="B21" i="10"/>
  <c r="D24" i="11"/>
  <c r="B25" i="10"/>
  <c r="B24" i="11"/>
  <c r="B23" i="10"/>
  <c r="D43" i="13"/>
  <c r="BT6" i="12" s="1"/>
  <c r="F43" i="13"/>
  <c r="BT8" i="12" s="1"/>
  <c r="H43" i="13"/>
  <c r="BT10" i="12" s="1"/>
  <c r="J43" i="13"/>
  <c r="BT12" i="12" s="1"/>
  <c r="B65" i="9"/>
  <c r="B66" i="9"/>
  <c r="B64" i="9"/>
  <c r="D65" i="9"/>
  <c r="D66" i="9"/>
  <c r="D64" i="9"/>
  <c r="F65" i="9"/>
  <c r="F66" i="9"/>
  <c r="F64" i="9"/>
  <c r="H65" i="9"/>
  <c r="H66" i="9"/>
  <c r="H64" i="9"/>
  <c r="J65" i="9"/>
  <c r="J66" i="9"/>
  <c r="J64" i="9"/>
  <c r="C60" i="9"/>
  <c r="E60" i="9"/>
  <c r="G60" i="9"/>
  <c r="I60" i="9"/>
  <c r="L60" i="9"/>
  <c r="L6" i="9" s="1"/>
  <c r="K60" i="9"/>
  <c r="D46" i="15"/>
  <c r="F46" i="15"/>
  <c r="H46" i="15"/>
  <c r="J46" i="15"/>
  <c r="L46" i="15"/>
  <c r="L47" i="15"/>
  <c r="D65" i="15"/>
  <c r="F65" i="15"/>
  <c r="H65" i="15"/>
  <c r="J65" i="15"/>
  <c r="L65" i="15"/>
  <c r="N65" i="15" s="1"/>
  <c r="D66" i="15"/>
  <c r="F66" i="15"/>
  <c r="H66" i="15"/>
  <c r="J66" i="15"/>
  <c r="L66" i="15"/>
  <c r="N66" i="15" s="1"/>
  <c r="E106" i="15"/>
  <c r="G106" i="15"/>
  <c r="I106" i="15"/>
  <c r="K106" i="15"/>
  <c r="C117" i="15"/>
  <c r="I117" i="15"/>
  <c r="X3" i="9"/>
  <c r="Z3" i="9"/>
  <c r="AB3" i="9"/>
  <c r="B18" i="9"/>
  <c r="F18" i="9"/>
  <c r="B20" i="9"/>
  <c r="F20" i="9"/>
  <c r="M18" i="9"/>
  <c r="M19" i="9"/>
  <c r="M20" i="9"/>
  <c r="M21" i="9"/>
  <c r="E108" i="15"/>
  <c r="G108" i="15"/>
  <c r="I108" i="15"/>
  <c r="K108" i="15"/>
  <c r="N51" i="15"/>
  <c r="O128" i="15"/>
  <c r="D108" i="15"/>
  <c r="F108" i="15"/>
  <c r="H108" i="15"/>
  <c r="J108" i="15"/>
  <c r="L108" i="15"/>
  <c r="B14" i="9" s="1"/>
  <c r="N42" i="15"/>
  <c r="M59" i="15"/>
  <c r="L26" i="15"/>
  <c r="C130" i="15"/>
  <c r="P129" i="15"/>
  <c r="Q129" i="15"/>
  <c r="O129" i="15"/>
  <c r="E130" i="15"/>
  <c r="G130" i="15"/>
  <c r="I130" i="15"/>
  <c r="K130" i="15"/>
  <c r="N41" i="15"/>
  <c r="C78" i="15"/>
  <c r="E78" i="15"/>
  <c r="G78" i="15"/>
  <c r="I78" i="15"/>
  <c r="K78" i="15"/>
  <c r="P50" i="15"/>
  <c r="C71" i="15"/>
  <c r="E71" i="15"/>
  <c r="G71" i="15"/>
  <c r="I71" i="15"/>
  <c r="K71" i="15"/>
  <c r="AD6" i="9" s="1"/>
  <c r="M57" i="15"/>
  <c r="P57" i="15"/>
  <c r="M58" i="15"/>
  <c r="P58" i="15"/>
  <c r="P60" i="15"/>
  <c r="P69" i="15"/>
  <c r="Q69" i="15"/>
  <c r="N40" i="15"/>
  <c r="D130" i="15"/>
  <c r="F130" i="15"/>
  <c r="H130" i="15"/>
  <c r="J130" i="15"/>
  <c r="L130" i="15"/>
  <c r="D78" i="15"/>
  <c r="F78" i="15"/>
  <c r="H78" i="15"/>
  <c r="J78" i="15"/>
  <c r="L78" i="15"/>
  <c r="O43" i="15"/>
  <c r="Q43" i="15"/>
  <c r="O45" i="15"/>
  <c r="Q45" i="15"/>
  <c r="O50" i="15"/>
  <c r="Q50" i="15"/>
  <c r="D71" i="15"/>
  <c r="F71" i="15"/>
  <c r="H71" i="15"/>
  <c r="J71" i="15"/>
  <c r="L71" i="15"/>
  <c r="O54" i="15"/>
  <c r="Q54" i="15"/>
  <c r="O55" i="15"/>
  <c r="Q55" i="15"/>
  <c r="O57" i="15"/>
  <c r="Q57" i="15"/>
  <c r="O58" i="15"/>
  <c r="Q58" i="15"/>
  <c r="O69" i="15"/>
  <c r="O73" i="15"/>
  <c r="Q73" i="15"/>
  <c r="N75" i="15"/>
  <c r="P75" i="15"/>
  <c r="P76" i="15"/>
  <c r="O79" i="15"/>
  <c r="Q79" i="15"/>
  <c r="N82" i="15"/>
  <c r="P82" i="15"/>
  <c r="N83" i="15"/>
  <c r="P83" i="15"/>
  <c r="O84" i="15"/>
  <c r="Q84" i="15"/>
  <c r="P85" i="15"/>
  <c r="N86" i="15"/>
  <c r="P86" i="15"/>
  <c r="Q97" i="15"/>
  <c r="O97" i="15"/>
  <c r="P97" i="15"/>
  <c r="O75" i="15"/>
  <c r="O76" i="15"/>
  <c r="O82" i="15"/>
  <c r="O83" i="15"/>
  <c r="O85" i="15"/>
  <c r="O86" i="15"/>
  <c r="Q96" i="15"/>
  <c r="O96" i="15"/>
  <c r="P96" i="15"/>
  <c r="O99" i="15"/>
  <c r="Q99" i="15"/>
  <c r="P100" i="15"/>
  <c r="P110" i="15"/>
  <c r="P112" i="15"/>
  <c r="P114" i="15"/>
  <c r="P115" i="15"/>
  <c r="P116" i="15"/>
  <c r="P118" i="15"/>
  <c r="P119" i="15"/>
  <c r="O100" i="15"/>
  <c r="O110" i="15"/>
  <c r="O112" i="15"/>
  <c r="O114" i="15"/>
  <c r="O115" i="15"/>
  <c r="O116" i="15"/>
  <c r="O118" i="15"/>
  <c r="O119" i="15"/>
  <c r="C98" i="14"/>
  <c r="C39" i="14"/>
  <c r="C41" i="14" s="1"/>
  <c r="B30" i="18" s="1"/>
  <c r="E98" i="14"/>
  <c r="E39" i="14"/>
  <c r="E41" i="14" s="1"/>
  <c r="G98" i="14"/>
  <c r="G39" i="14"/>
  <c r="G41" i="14" s="1"/>
  <c r="F30" i="18" s="1"/>
  <c r="I98" i="14"/>
  <c r="I39" i="14"/>
  <c r="I41" i="14" s="1"/>
  <c r="K98" i="14"/>
  <c r="K39" i="14"/>
  <c r="K41" i="14" s="1"/>
  <c r="J30" i="18" s="1"/>
  <c r="F64" i="14"/>
  <c r="E41" i="18" s="1"/>
  <c r="J64" i="14"/>
  <c r="D69" i="14"/>
  <c r="C15" i="18" s="1"/>
  <c r="D98" i="14"/>
  <c r="D39" i="14"/>
  <c r="D41" i="14" s="1"/>
  <c r="F98" i="14"/>
  <c r="F39" i="14"/>
  <c r="H98" i="14"/>
  <c r="H39" i="14"/>
  <c r="H41" i="14" s="1"/>
  <c r="J98" i="14"/>
  <c r="J39" i="14"/>
  <c r="L98" i="14"/>
  <c r="L39" i="14"/>
  <c r="L41" i="14" s="1"/>
  <c r="D64" i="14"/>
  <c r="C34" i="18" s="1"/>
  <c r="H64" i="14"/>
  <c r="C79" i="14"/>
  <c r="C80" i="14" s="1"/>
  <c r="B9" i="18" s="1"/>
  <c r="F65" i="14"/>
  <c r="G68" i="14"/>
  <c r="F14" i="18" s="1"/>
  <c r="H65" i="14"/>
  <c r="I68" i="14"/>
  <c r="H14" i="18" s="1"/>
  <c r="J65" i="14"/>
  <c r="K68" i="14"/>
  <c r="J14" i="18" s="1"/>
  <c r="E78" i="14"/>
  <c r="I78" i="14"/>
  <c r="M78" i="14"/>
  <c r="M89" i="14" s="1"/>
  <c r="D34" i="14"/>
  <c r="C59" i="9" s="1"/>
  <c r="F34" i="14"/>
  <c r="E59" i="9" s="1"/>
  <c r="H34" i="14"/>
  <c r="G59" i="9" s="1"/>
  <c r="J34" i="14"/>
  <c r="I59" i="9" s="1"/>
  <c r="L34" i="14"/>
  <c r="D79" i="14"/>
  <c r="D80" i="14" s="1"/>
  <c r="M90" i="14"/>
  <c r="E6" i="9" s="1"/>
  <c r="E30" i="9" s="1"/>
  <c r="M88" i="14"/>
  <c r="M82" i="14"/>
  <c r="M93" i="14"/>
  <c r="G6" i="9" s="1"/>
  <c r="M91" i="14"/>
  <c r="D6" i="9" s="1"/>
  <c r="M87" i="14"/>
  <c r="D68" i="14"/>
  <c r="C19" i="18" s="1"/>
  <c r="F68" i="14"/>
  <c r="H68" i="14"/>
  <c r="G19" i="18" s="1"/>
  <c r="J68" i="14"/>
  <c r="L68" i="14"/>
  <c r="K19" i="18" s="1"/>
  <c r="D74" i="14"/>
  <c r="F74" i="14"/>
  <c r="G75" i="14" s="1"/>
  <c r="F79" i="13" s="1"/>
  <c r="DC8" i="12" s="1"/>
  <c r="H74" i="14"/>
  <c r="J74" i="14"/>
  <c r="K75" i="14" s="1"/>
  <c r="J79" i="13" s="1"/>
  <c r="DC12" i="12" s="1"/>
  <c r="L74" i="14"/>
  <c r="E65" i="14"/>
  <c r="E66" i="14" s="1"/>
  <c r="E69" i="14" s="1"/>
  <c r="D15" i="18" s="1"/>
  <c r="I65" i="14"/>
  <c r="D70" i="14"/>
  <c r="C21" i="18" s="1"/>
  <c r="F70" i="14"/>
  <c r="H70" i="14"/>
  <c r="G21" i="18" s="1"/>
  <c r="J70" i="14"/>
  <c r="L70" i="14"/>
  <c r="K16" i="18" s="1"/>
  <c r="E68" i="14"/>
  <c r="D73" i="14"/>
  <c r="C77" i="13" s="1"/>
  <c r="DA5" i="12" s="1"/>
  <c r="F73" i="14"/>
  <c r="H73" i="14"/>
  <c r="G77" i="13" s="1"/>
  <c r="DA9" i="12" s="1"/>
  <c r="J73" i="14"/>
  <c r="C20" i="13"/>
  <c r="AY5" i="12" s="1"/>
  <c r="O9" i="13"/>
  <c r="I20" i="13"/>
  <c r="AY11" i="12" s="1"/>
  <c r="M9" i="13"/>
  <c r="B114" i="13"/>
  <c r="O110" i="13"/>
  <c r="B112" i="13"/>
  <c r="B103" i="13"/>
  <c r="O21" i="13"/>
  <c r="B7" i="11" s="1"/>
  <c r="B21" i="13"/>
  <c r="B106" i="13" s="1"/>
  <c r="D116" i="13"/>
  <c r="D112" i="13"/>
  <c r="D21" i="13"/>
  <c r="D106" i="13" s="1"/>
  <c r="D109" i="13" s="1"/>
  <c r="F116" i="13"/>
  <c r="F112" i="13"/>
  <c r="F21" i="13"/>
  <c r="F106" i="13" s="1"/>
  <c r="F109" i="13" s="1"/>
  <c r="H116" i="13"/>
  <c r="H112" i="13"/>
  <c r="H21" i="13"/>
  <c r="H106" i="13" s="1"/>
  <c r="J116" i="13"/>
  <c r="J112" i="13"/>
  <c r="J21" i="13"/>
  <c r="J106" i="13" s="1"/>
  <c r="M11" i="13"/>
  <c r="D101" i="13"/>
  <c r="DY6" i="12" s="1"/>
  <c r="H101" i="13"/>
  <c r="DY10" i="12" s="1"/>
  <c r="F118" i="13"/>
  <c r="F114" i="13"/>
  <c r="F104" i="13"/>
  <c r="F103" i="13"/>
  <c r="F105" i="13"/>
  <c r="J118" i="13"/>
  <c r="J114" i="13"/>
  <c r="J104" i="13"/>
  <c r="J103" i="13"/>
  <c r="J105" i="13"/>
  <c r="M20" i="13"/>
  <c r="G109" i="13"/>
  <c r="N71" i="13"/>
  <c r="H99" i="13"/>
  <c r="DW10" i="12" s="1"/>
  <c r="F101" i="13"/>
  <c r="DY8" i="12" s="1"/>
  <c r="D103" i="13"/>
  <c r="B111" i="13"/>
  <c r="B105" i="13"/>
  <c r="D111" i="13"/>
  <c r="D115" i="13"/>
  <c r="F111" i="13"/>
  <c r="F115" i="13"/>
  <c r="H111" i="13"/>
  <c r="H115" i="13"/>
  <c r="J111" i="13"/>
  <c r="J115" i="13"/>
  <c r="M4" i="13"/>
  <c r="N6" i="13"/>
  <c r="O19" i="13"/>
  <c r="B19" i="13"/>
  <c r="AX4" i="12" s="1"/>
  <c r="D19" i="13"/>
  <c r="AX6" i="12" s="1"/>
  <c r="F19" i="13"/>
  <c r="AX8" i="12" s="1"/>
  <c r="H19" i="13"/>
  <c r="AX10" i="12" s="1"/>
  <c r="J19" i="13"/>
  <c r="AX12" i="12" s="1"/>
  <c r="M8" i="13"/>
  <c r="N20" i="13"/>
  <c r="N9" i="13"/>
  <c r="O11" i="13"/>
  <c r="C117" i="13"/>
  <c r="C113" i="13"/>
  <c r="C99" i="13"/>
  <c r="DW5" i="12" s="1"/>
  <c r="C15" i="13"/>
  <c r="AT5" i="12" s="1"/>
  <c r="O12" i="13"/>
  <c r="E117" i="13"/>
  <c r="E113" i="13"/>
  <c r="E99" i="13"/>
  <c r="DW7" i="12" s="1"/>
  <c r="E100" i="13"/>
  <c r="DX7" i="12" s="1"/>
  <c r="E15" i="13"/>
  <c r="AT7" i="12" s="1"/>
  <c r="G117" i="13"/>
  <c r="G113" i="13"/>
  <c r="G99" i="13"/>
  <c r="DW9" i="12" s="1"/>
  <c r="G15" i="13"/>
  <c r="AT9" i="12" s="1"/>
  <c r="I117" i="13"/>
  <c r="I113" i="13"/>
  <c r="I99" i="13"/>
  <c r="DW11" i="12" s="1"/>
  <c r="I100" i="13"/>
  <c r="DX11" i="12" s="1"/>
  <c r="I15" i="13"/>
  <c r="AT11" i="12" s="1"/>
  <c r="M12" i="13"/>
  <c r="M23" i="13" s="1"/>
  <c r="D9" i="11" s="1"/>
  <c r="K117" i="13"/>
  <c r="E73" i="11" s="1"/>
  <c r="K113" i="13"/>
  <c r="E69" i="11" s="1"/>
  <c r="K99" i="13"/>
  <c r="E55" i="11" s="1"/>
  <c r="K15" i="13"/>
  <c r="AT13" i="12" s="1"/>
  <c r="C101" i="13"/>
  <c r="DY5" i="12" s="1"/>
  <c r="O13" i="13"/>
  <c r="E101" i="13"/>
  <c r="DY7" i="12" s="1"/>
  <c r="G101" i="13"/>
  <c r="DY9" i="12" s="1"/>
  <c r="I101" i="13"/>
  <c r="DY11" i="12" s="1"/>
  <c r="M13" i="13"/>
  <c r="K101" i="13"/>
  <c r="E57" i="11" s="1"/>
  <c r="B102" i="13"/>
  <c r="D102" i="13"/>
  <c r="F102" i="13"/>
  <c r="H102" i="13"/>
  <c r="J102" i="13"/>
  <c r="M102" i="13" s="1"/>
  <c r="D58" i="11" s="1"/>
  <c r="M14" i="13"/>
  <c r="D118" i="13"/>
  <c r="D114" i="13"/>
  <c r="D104" i="13"/>
  <c r="D105" i="13"/>
  <c r="H118" i="13"/>
  <c r="H114" i="13"/>
  <c r="H104" i="13"/>
  <c r="H105" i="13"/>
  <c r="B20" i="13"/>
  <c r="AY4" i="12" s="1"/>
  <c r="F20" i="13"/>
  <c r="AY8" i="12" s="1"/>
  <c r="J20" i="13"/>
  <c r="AY12" i="12" s="1"/>
  <c r="O20" i="13"/>
  <c r="N21" i="13"/>
  <c r="C7" i="11" s="1"/>
  <c r="C23" i="13"/>
  <c r="BB5" i="12" s="1"/>
  <c r="G23" i="13"/>
  <c r="BB9" i="12" s="1"/>
  <c r="K23" i="13"/>
  <c r="E9" i="11" s="1"/>
  <c r="O39" i="13"/>
  <c r="N40" i="13"/>
  <c r="O46" i="13"/>
  <c r="N47" i="13"/>
  <c r="O50" i="13"/>
  <c r="N51" i="13"/>
  <c r="C31" i="11" s="1"/>
  <c r="O55" i="13"/>
  <c r="N56" i="13"/>
  <c r="C37" i="11" s="1"/>
  <c r="M57" i="13"/>
  <c r="D38" i="11" s="1"/>
  <c r="I108" i="13"/>
  <c r="M108" i="13" s="1"/>
  <c r="D64" i="11" s="1"/>
  <c r="O59" i="13"/>
  <c r="B40" i="11" s="1"/>
  <c r="N61" i="13"/>
  <c r="O64" i="13"/>
  <c r="N73" i="13"/>
  <c r="B107" i="13"/>
  <c r="O107" i="13" s="1"/>
  <c r="B63" i="11" s="1"/>
  <c r="O97" i="13"/>
  <c r="M97" i="13"/>
  <c r="D99" i="13"/>
  <c r="DW6" i="12" s="1"/>
  <c r="G100" i="13"/>
  <c r="B101" i="13"/>
  <c r="DY4" i="12" s="1"/>
  <c r="J101" i="13"/>
  <c r="DY12" i="12" s="1"/>
  <c r="H103" i="13"/>
  <c r="C115" i="13"/>
  <c r="C111" i="13"/>
  <c r="E115" i="13"/>
  <c r="E111" i="13"/>
  <c r="G115" i="13"/>
  <c r="G111" i="13"/>
  <c r="I115" i="13"/>
  <c r="I111" i="13"/>
  <c r="K115" i="13"/>
  <c r="E71" i="11" s="1"/>
  <c r="K111" i="13"/>
  <c r="E67" i="11" s="1"/>
  <c r="N4" i="13"/>
  <c r="N110" i="13"/>
  <c r="M110" i="13"/>
  <c r="C116" i="13"/>
  <c r="C112" i="13"/>
  <c r="E116" i="13"/>
  <c r="E112" i="13"/>
  <c r="G116" i="13"/>
  <c r="G112" i="13"/>
  <c r="I116" i="13"/>
  <c r="I112" i="13"/>
  <c r="K116" i="13"/>
  <c r="E72" i="11" s="1"/>
  <c r="K112" i="13"/>
  <c r="E68" i="11" s="1"/>
  <c r="N11" i="13"/>
  <c r="N23" i="13" s="1"/>
  <c r="C9" i="11" s="1"/>
  <c r="B113" i="13"/>
  <c r="B104" i="13"/>
  <c r="B100" i="13"/>
  <c r="DX4" i="12" s="1"/>
  <c r="D113" i="13"/>
  <c r="D117" i="13"/>
  <c r="D100" i="13"/>
  <c r="DX6" i="12" s="1"/>
  <c r="F113" i="13"/>
  <c r="F117" i="13"/>
  <c r="F100" i="13"/>
  <c r="DX8" i="12" s="1"/>
  <c r="H113" i="13"/>
  <c r="H117" i="13"/>
  <c r="H100" i="13"/>
  <c r="DX10" i="12" s="1"/>
  <c r="J113" i="13"/>
  <c r="J117" i="13"/>
  <c r="J100" i="13"/>
  <c r="DX12" i="12" s="1"/>
  <c r="N14" i="13"/>
  <c r="M21" i="13"/>
  <c r="D7" i="11" s="1"/>
  <c r="B23" i="13"/>
  <c r="BB4" i="12" s="1"/>
  <c r="D23" i="13"/>
  <c r="BB6" i="12" s="1"/>
  <c r="F23" i="13"/>
  <c r="BB8" i="12" s="1"/>
  <c r="H23" i="13"/>
  <c r="BB10" i="12" s="1"/>
  <c r="J23" i="13"/>
  <c r="BB12" i="12" s="1"/>
  <c r="O57" i="13"/>
  <c r="B38" i="11" s="1"/>
  <c r="N65" i="13"/>
  <c r="O71" i="13"/>
  <c r="M70" i="13"/>
  <c r="O73" i="13"/>
  <c r="M72" i="13"/>
  <c r="O96" i="13"/>
  <c r="M107" i="13"/>
  <c r="D63" i="11" s="1"/>
  <c r="B99" i="13"/>
  <c r="DW4" i="12" s="1"/>
  <c r="F99" i="13"/>
  <c r="DW8" i="12" s="1"/>
  <c r="J99" i="13"/>
  <c r="DW12" i="12" s="1"/>
  <c r="N107" i="13"/>
  <c r="C63" i="11" s="1"/>
  <c r="N97" i="13"/>
  <c r="A4" i="12"/>
  <c r="A8" i="12"/>
  <c r="A10" i="12"/>
  <c r="A13" i="12"/>
  <c r="H11" i="9"/>
  <c r="J24" i="9"/>
  <c r="H12" i="9"/>
  <c r="I4" i="8" s="1"/>
  <c r="L12" i="9"/>
  <c r="H13" i="9"/>
  <c r="L13" i="9"/>
  <c r="H14" i="9"/>
  <c r="I3" i="8" s="1"/>
  <c r="M51" i="9"/>
  <c r="D14" i="8"/>
  <c r="E12" i="8"/>
  <c r="B23" i="8"/>
  <c r="B15" i="8"/>
  <c r="C14" i="8"/>
  <c r="H7" i="7"/>
  <c r="H8" i="7"/>
  <c r="C6" i="3"/>
  <c r="D6" i="3"/>
  <c r="E6" i="3"/>
  <c r="F6" i="3"/>
  <c r="G6" i="3"/>
  <c r="H6" i="3"/>
  <c r="I6" i="3"/>
  <c r="J6" i="3"/>
  <c r="K6" i="3"/>
  <c r="B6" i="3"/>
  <c r="C5" i="1"/>
  <c r="D5" i="1"/>
  <c r="E5" i="1"/>
  <c r="F5" i="1"/>
  <c r="G5" i="1"/>
  <c r="H5" i="1"/>
  <c r="I5" i="1"/>
  <c r="J5" i="1"/>
  <c r="K5" i="1"/>
  <c r="B5" i="1"/>
  <c r="K93" i="6"/>
  <c r="K93" i="24" s="1"/>
  <c r="C93" i="24"/>
  <c r="D93" i="6"/>
  <c r="D93" i="24" s="1"/>
  <c r="E93" i="6"/>
  <c r="E93" i="24" s="1"/>
  <c r="F93" i="6"/>
  <c r="F93" i="24" s="1"/>
  <c r="G93" i="6"/>
  <c r="G93" i="24" s="1"/>
  <c r="H93" i="6"/>
  <c r="H93" i="24" s="1"/>
  <c r="I93" i="6"/>
  <c r="I93" i="24" s="1"/>
  <c r="J93" i="6"/>
  <c r="J93" i="24" s="1"/>
  <c r="B93" i="24"/>
  <c r="E10" i="25" l="1"/>
  <c r="E70" i="26"/>
  <c r="D10" i="25"/>
  <c r="D70" i="26"/>
  <c r="K78" i="14"/>
  <c r="I7" i="8"/>
  <c r="B16" i="8" s="1"/>
  <c r="AY13" i="12"/>
  <c r="J82" i="9"/>
  <c r="C54" i="9"/>
  <c r="L69" i="9"/>
  <c r="B96" i="9"/>
  <c r="B95" i="9"/>
  <c r="B94" i="9"/>
  <c r="C82" i="9"/>
  <c r="D78" i="14"/>
  <c r="C55" i="9" s="1"/>
  <c r="M55" i="9" s="1"/>
  <c r="C10" i="25"/>
  <c r="C70" i="26"/>
  <c r="D36" i="17"/>
  <c r="K11" i="18"/>
  <c r="F10" i="25"/>
  <c r="F70" i="26"/>
  <c r="J21" i="26"/>
  <c r="F21" i="26"/>
  <c r="D21" i="26"/>
  <c r="I10" i="25"/>
  <c r="I70" i="26"/>
  <c r="G10" i="25"/>
  <c r="G70" i="26"/>
  <c r="H10" i="25"/>
  <c r="H70" i="26"/>
  <c r="Y7" i="9"/>
  <c r="M44" i="13"/>
  <c r="D29" i="11" s="1"/>
  <c r="H109" i="13"/>
  <c r="L79" i="14"/>
  <c r="L80" i="14" s="1"/>
  <c r="G78" i="14"/>
  <c r="F44" i="18" s="1"/>
  <c r="O117" i="15"/>
  <c r="X7" i="9"/>
  <c r="CU13" i="12"/>
  <c r="F47" i="9"/>
  <c r="Q5" i="9" s="1"/>
  <c r="H77" i="13"/>
  <c r="DA10" i="12" s="1"/>
  <c r="F82" i="9"/>
  <c r="M54" i="9"/>
  <c r="AZ7" i="12"/>
  <c r="G64" i="14"/>
  <c r="K77" i="13"/>
  <c r="DA13" i="12" s="1"/>
  <c r="B7" i="8"/>
  <c r="B97" i="9"/>
  <c r="K26" i="17"/>
  <c r="H47" i="17"/>
  <c r="F33" i="18"/>
  <c r="D47" i="17"/>
  <c r="H26" i="17"/>
  <c r="F17" i="19"/>
  <c r="J17" i="19"/>
  <c r="J10" i="25"/>
  <c r="J16" i="19"/>
  <c r="D16" i="19"/>
  <c r="K16" i="19"/>
  <c r="K10" i="25"/>
  <c r="N102" i="13"/>
  <c r="C58" i="11" s="1"/>
  <c r="K79" i="14"/>
  <c r="K80" i="14" s="1"/>
  <c r="F16" i="19"/>
  <c r="H45" i="19"/>
  <c r="H46" i="19" s="1"/>
  <c r="H58" i="19"/>
  <c r="H59" i="19" s="1"/>
  <c r="K59" i="19"/>
  <c r="G17" i="19"/>
  <c r="C17" i="19"/>
  <c r="H17" i="19"/>
  <c r="D17" i="19"/>
  <c r="I17" i="19"/>
  <c r="E17" i="19"/>
  <c r="K17" i="19"/>
  <c r="K48" i="19"/>
  <c r="H48" i="19"/>
  <c r="F43" i="18"/>
  <c r="K21" i="18"/>
  <c r="N21" i="18" s="1"/>
  <c r="G26" i="17"/>
  <c r="C26" i="17"/>
  <c r="C20" i="18"/>
  <c r="J49" i="17"/>
  <c r="J34" i="18"/>
  <c r="H34" i="18"/>
  <c r="J19" i="18"/>
  <c r="H17" i="18"/>
  <c r="F28" i="17"/>
  <c r="D20" i="18"/>
  <c r="I48" i="17"/>
  <c r="E48" i="17"/>
  <c r="E34" i="18"/>
  <c r="F38" i="17"/>
  <c r="D11" i="18"/>
  <c r="G14" i="18"/>
  <c r="N14" i="18" s="1"/>
  <c r="G16" i="18"/>
  <c r="C14" i="18"/>
  <c r="C16" i="18"/>
  <c r="M71" i="13"/>
  <c r="O108" i="13"/>
  <c r="B64" i="11" s="1"/>
  <c r="N100" i="13"/>
  <c r="B78" i="10" s="1"/>
  <c r="O23" i="13"/>
  <c r="B9" i="11" s="1"/>
  <c r="N106" i="13"/>
  <c r="C62" i="11" s="1"/>
  <c r="G79" i="14"/>
  <c r="G80" i="14" s="1"/>
  <c r="E38" i="18"/>
  <c r="C17" i="18"/>
  <c r="F49" i="17"/>
  <c r="J28" i="17"/>
  <c r="F19" i="18"/>
  <c r="G47" i="17"/>
  <c r="C47" i="17"/>
  <c r="J38" i="17"/>
  <c r="K14" i="18"/>
  <c r="G36" i="17"/>
  <c r="C36" i="17"/>
  <c r="K11" i="9"/>
  <c r="M11" i="9" s="1"/>
  <c r="L11" i="9"/>
  <c r="B3" i="18"/>
  <c r="B18" i="17"/>
  <c r="B17" i="17"/>
  <c r="C43" i="14"/>
  <c r="B3" i="13"/>
  <c r="AN4" i="12" s="1"/>
  <c r="B67" i="13"/>
  <c r="CR4" i="12" s="1"/>
  <c r="B66" i="13"/>
  <c r="CQ4" i="12" s="1"/>
  <c r="G3" i="18"/>
  <c r="G18" i="17"/>
  <c r="G17" i="17"/>
  <c r="G67" i="13"/>
  <c r="CR9" i="12" s="1"/>
  <c r="G66" i="13"/>
  <c r="CQ9" i="12" s="1"/>
  <c r="H43" i="14"/>
  <c r="G3" i="13"/>
  <c r="AN9" i="12" s="1"/>
  <c r="C3" i="18"/>
  <c r="C18" i="17"/>
  <c r="C17" i="17"/>
  <c r="C67" i="13"/>
  <c r="CR5" i="12" s="1"/>
  <c r="C66" i="13"/>
  <c r="CQ5" i="12" s="1"/>
  <c r="D43" i="14"/>
  <c r="C3" i="13"/>
  <c r="AN5" i="12" s="1"/>
  <c r="J4" i="15"/>
  <c r="F4" i="15"/>
  <c r="H79" i="14"/>
  <c r="H80" i="14" s="1"/>
  <c r="G73" i="9" s="1"/>
  <c r="J9" i="18"/>
  <c r="J10" i="18"/>
  <c r="J43" i="18"/>
  <c r="I3" i="18"/>
  <c r="I18" i="17"/>
  <c r="I17" i="17"/>
  <c r="I67" i="13"/>
  <c r="CR11" i="12" s="1"/>
  <c r="I66" i="13"/>
  <c r="CQ11" i="12" s="1"/>
  <c r="J43" i="14"/>
  <c r="I3" i="13"/>
  <c r="AN11" i="12" s="1"/>
  <c r="E3" i="18"/>
  <c r="E18" i="17"/>
  <c r="E17" i="17"/>
  <c r="E67" i="13"/>
  <c r="CR7" i="12" s="1"/>
  <c r="E66" i="13"/>
  <c r="CQ7" i="12" s="1"/>
  <c r="F43" i="14"/>
  <c r="E3" i="13"/>
  <c r="AN7" i="12" s="1"/>
  <c r="H4" i="15"/>
  <c r="D4" i="15"/>
  <c r="J109" i="13"/>
  <c r="M106" i="13"/>
  <c r="D62" i="11" s="1"/>
  <c r="I77" i="13"/>
  <c r="DA11" i="12" s="1"/>
  <c r="I47" i="17"/>
  <c r="I26" i="17"/>
  <c r="N26" i="17" s="1"/>
  <c r="I36" i="17"/>
  <c r="M36" i="17" s="1"/>
  <c r="E77" i="13"/>
  <c r="DA7" i="12" s="1"/>
  <c r="E47" i="17"/>
  <c r="E26" i="17"/>
  <c r="E36" i="17"/>
  <c r="D14" i="18"/>
  <c r="D19" i="18"/>
  <c r="I16" i="18"/>
  <c r="M16" i="18" s="1"/>
  <c r="I21" i="18"/>
  <c r="E16" i="18"/>
  <c r="E21" i="18"/>
  <c r="I66" i="14"/>
  <c r="H11" i="18"/>
  <c r="L75" i="14"/>
  <c r="K33" i="17" s="1"/>
  <c r="K37" i="17"/>
  <c r="K48" i="17"/>
  <c r="K27" i="17"/>
  <c r="I75" i="14"/>
  <c r="G37" i="17"/>
  <c r="G44" i="17"/>
  <c r="G48" i="17"/>
  <c r="G41" i="17"/>
  <c r="G27" i="17"/>
  <c r="E75" i="14"/>
  <c r="C37" i="17"/>
  <c r="C48" i="17"/>
  <c r="C27" i="17"/>
  <c r="I14" i="18"/>
  <c r="M14" i="18" s="1"/>
  <c r="I19" i="18"/>
  <c r="E14" i="18"/>
  <c r="E19" i="18"/>
  <c r="K9" i="18"/>
  <c r="C71" i="9"/>
  <c r="C10" i="18"/>
  <c r="C9" i="18"/>
  <c r="H55" i="9"/>
  <c r="H44" i="18"/>
  <c r="H40" i="18"/>
  <c r="H39" i="18"/>
  <c r="H32" i="18"/>
  <c r="H29" i="18"/>
  <c r="H33" i="17"/>
  <c r="H32" i="17"/>
  <c r="H31" i="17"/>
  <c r="H30" i="17"/>
  <c r="H31" i="18"/>
  <c r="H24" i="18"/>
  <c r="H22" i="18"/>
  <c r="H18" i="18"/>
  <c r="D55" i="9"/>
  <c r="D44" i="18"/>
  <c r="D40" i="18"/>
  <c r="D39" i="18"/>
  <c r="D32" i="18"/>
  <c r="D29" i="18"/>
  <c r="D33" i="17"/>
  <c r="D32" i="17"/>
  <c r="D31" i="17"/>
  <c r="D30" i="17"/>
  <c r="D31" i="18"/>
  <c r="D24" i="18"/>
  <c r="D23" i="18"/>
  <c r="D22" i="18"/>
  <c r="D18" i="18"/>
  <c r="J66" i="14"/>
  <c r="I12" i="18" s="1"/>
  <c r="M12" i="18" s="1"/>
  <c r="I11" i="18"/>
  <c r="M11" i="18" s="1"/>
  <c r="H66" i="14"/>
  <c r="G11" i="18"/>
  <c r="N11" i="18" s="1"/>
  <c r="F66" i="14"/>
  <c r="E12" i="18" s="1"/>
  <c r="E11" i="18"/>
  <c r="O11" i="18" s="1"/>
  <c r="G41" i="18"/>
  <c r="G34" i="18"/>
  <c r="G38" i="18"/>
  <c r="H43" i="18"/>
  <c r="G43" i="18"/>
  <c r="G17" i="18"/>
  <c r="K46" i="9"/>
  <c r="K4" i="18"/>
  <c r="K6" i="18" s="1"/>
  <c r="K8" i="18" s="1"/>
  <c r="K35" i="18"/>
  <c r="K30" i="18"/>
  <c r="J41" i="14"/>
  <c r="J79" i="14"/>
  <c r="J80" i="14" s="1"/>
  <c r="J71" i="9" s="1"/>
  <c r="G42" i="18"/>
  <c r="G36" i="18"/>
  <c r="N4" i="18"/>
  <c r="G4" i="18"/>
  <c r="G6" i="18" s="1"/>
  <c r="G8" i="18" s="1"/>
  <c r="G35" i="18"/>
  <c r="G30" i="18"/>
  <c r="F41" i="14"/>
  <c r="F79" i="14"/>
  <c r="F80" i="14" s="1"/>
  <c r="E72" i="9" s="1"/>
  <c r="C44" i="9"/>
  <c r="C36" i="18"/>
  <c r="C4" i="18"/>
  <c r="C6" i="18" s="1"/>
  <c r="C8" i="18" s="1"/>
  <c r="C35" i="18"/>
  <c r="O4" i="18"/>
  <c r="C30" i="18"/>
  <c r="K15" i="18"/>
  <c r="K20" i="18"/>
  <c r="I41" i="18"/>
  <c r="I43" i="18"/>
  <c r="I17" i="18"/>
  <c r="I34" i="18"/>
  <c r="I38" i="18"/>
  <c r="M41" i="14"/>
  <c r="M83" i="14" s="1"/>
  <c r="M79" i="14"/>
  <c r="M80" i="14" s="1"/>
  <c r="I8" i="8"/>
  <c r="A27" i="9"/>
  <c r="K66" i="15"/>
  <c r="P51" i="15"/>
  <c r="L85" i="9"/>
  <c r="K64" i="9"/>
  <c r="L64" i="14"/>
  <c r="K44" i="18" s="1"/>
  <c r="K33" i="18"/>
  <c r="K37" i="18"/>
  <c r="N37" i="18" s="1"/>
  <c r="D38" i="18"/>
  <c r="D41" i="18"/>
  <c r="D43" i="18"/>
  <c r="D17" i="18"/>
  <c r="D34" i="18"/>
  <c r="I44" i="18"/>
  <c r="I40" i="18"/>
  <c r="I39" i="18"/>
  <c r="I31" i="18"/>
  <c r="I29" i="18"/>
  <c r="I24" i="18"/>
  <c r="I22" i="18"/>
  <c r="I18" i="18"/>
  <c r="I32" i="18"/>
  <c r="I32" i="17"/>
  <c r="I31" i="17"/>
  <c r="I30" i="17"/>
  <c r="F34" i="18"/>
  <c r="N33" i="18"/>
  <c r="O5" i="18"/>
  <c r="O33" i="18"/>
  <c r="G44" i="18"/>
  <c r="G40" i="18"/>
  <c r="G39" i="18"/>
  <c r="G31" i="18"/>
  <c r="G29" i="18"/>
  <c r="G24" i="18"/>
  <c r="G22" i="18"/>
  <c r="G18" i="18"/>
  <c r="G32" i="18"/>
  <c r="G32" i="17"/>
  <c r="G31" i="17"/>
  <c r="G30" i="17"/>
  <c r="E44" i="18"/>
  <c r="E40" i="18"/>
  <c r="E39" i="18"/>
  <c r="E31" i="18"/>
  <c r="E29" i="18"/>
  <c r="E24" i="18"/>
  <c r="E22" i="18"/>
  <c r="E18" i="18"/>
  <c r="E32" i="18"/>
  <c r="E32" i="17"/>
  <c r="E31" i="17"/>
  <c r="E30" i="17"/>
  <c r="C40" i="18"/>
  <c r="C39" i="18"/>
  <c r="C31" i="18"/>
  <c r="C29" i="18"/>
  <c r="C24" i="18"/>
  <c r="C23" i="18"/>
  <c r="C22" i="18"/>
  <c r="C18" i="18"/>
  <c r="C32" i="18"/>
  <c r="C32" i="17"/>
  <c r="C31" i="17"/>
  <c r="C30" i="17"/>
  <c r="F38" i="18"/>
  <c r="M33" i="18"/>
  <c r="N5" i="18"/>
  <c r="M13" i="18"/>
  <c r="N36" i="17"/>
  <c r="N16" i="18"/>
  <c r="N13" i="18"/>
  <c r="O36" i="17"/>
  <c r="O16" i="18"/>
  <c r="O13" i="18"/>
  <c r="M7" i="17"/>
  <c r="N7" i="17"/>
  <c r="O7" i="17"/>
  <c r="J3" i="18"/>
  <c r="J18" i="17"/>
  <c r="J17" i="17"/>
  <c r="K43" i="14"/>
  <c r="J3" i="13"/>
  <c r="AN12" i="12" s="1"/>
  <c r="J67" i="13"/>
  <c r="CR12" i="12" s="1"/>
  <c r="J66" i="13"/>
  <c r="CQ12" i="12" s="1"/>
  <c r="H3" i="18"/>
  <c r="H18" i="17"/>
  <c r="H17" i="17"/>
  <c r="I43" i="14"/>
  <c r="H3" i="13"/>
  <c r="AN10" i="12" s="1"/>
  <c r="H67" i="13"/>
  <c r="CR10" i="12" s="1"/>
  <c r="H66" i="13"/>
  <c r="CQ10" i="12" s="1"/>
  <c r="F3" i="18"/>
  <c r="F18" i="17"/>
  <c r="F17" i="17"/>
  <c r="G43" i="14"/>
  <c r="F3" i="13"/>
  <c r="AN8" i="12" s="1"/>
  <c r="F67" i="13"/>
  <c r="CR8" i="12" s="1"/>
  <c r="F66" i="13"/>
  <c r="CQ8" i="12" s="1"/>
  <c r="D3" i="18"/>
  <c r="D18" i="17"/>
  <c r="D17" i="17"/>
  <c r="E43" i="14"/>
  <c r="E89" i="14" s="1"/>
  <c r="D3" i="13"/>
  <c r="AN6" i="12" s="1"/>
  <c r="D67" i="13"/>
  <c r="CR6" i="12" s="1"/>
  <c r="D66" i="13"/>
  <c r="CQ6" i="12" s="1"/>
  <c r="K3" i="18"/>
  <c r="K18" i="17"/>
  <c r="K17" i="17"/>
  <c r="K67" i="13"/>
  <c r="CR13" i="12" s="1"/>
  <c r="K66" i="13"/>
  <c r="CQ13" i="12" s="1"/>
  <c r="L43" i="14"/>
  <c r="K3" i="13"/>
  <c r="AN13" i="12" s="1"/>
  <c r="B2" i="7"/>
  <c r="B15" i="7" s="1"/>
  <c r="E15" i="7" s="1"/>
  <c r="O19" i="8" s="1"/>
  <c r="O4" i="15"/>
  <c r="P4" i="15"/>
  <c r="N4" i="15"/>
  <c r="K4" i="15"/>
  <c r="I4" i="15"/>
  <c r="G4" i="15"/>
  <c r="E4" i="15"/>
  <c r="C4" i="15"/>
  <c r="J44" i="18"/>
  <c r="J40" i="18"/>
  <c r="J39" i="18"/>
  <c r="J32" i="18"/>
  <c r="J31" i="18"/>
  <c r="J24" i="18"/>
  <c r="J22" i="18"/>
  <c r="J18" i="18"/>
  <c r="J33" i="17"/>
  <c r="J32" i="17"/>
  <c r="J31" i="17"/>
  <c r="J30" i="17"/>
  <c r="J29" i="18"/>
  <c r="F40" i="18"/>
  <c r="F32" i="18"/>
  <c r="F24" i="18"/>
  <c r="F18" i="18"/>
  <c r="F32" i="17"/>
  <c r="F30" i="17"/>
  <c r="F9" i="18"/>
  <c r="F10" i="18"/>
  <c r="J83" i="9"/>
  <c r="J42" i="18"/>
  <c r="J36" i="18"/>
  <c r="J35" i="18"/>
  <c r="J4" i="18"/>
  <c r="J6" i="18" s="1"/>
  <c r="J8" i="18" s="1"/>
  <c r="H46" i="9"/>
  <c r="H42" i="18"/>
  <c r="H36" i="18"/>
  <c r="H35" i="18"/>
  <c r="H4" i="18"/>
  <c r="H6" i="18" s="1"/>
  <c r="H8" i="18" s="1"/>
  <c r="F83" i="9"/>
  <c r="F42" i="18"/>
  <c r="F36" i="18"/>
  <c r="F35" i="18"/>
  <c r="F4" i="18"/>
  <c r="F6" i="18" s="1"/>
  <c r="F8" i="18" s="1"/>
  <c r="D46" i="9"/>
  <c r="D42" i="18"/>
  <c r="D35" i="18"/>
  <c r="D36" i="18"/>
  <c r="D4" i="18"/>
  <c r="D6" i="18" s="1"/>
  <c r="D8" i="18" s="1"/>
  <c r="B56" i="9"/>
  <c r="B35" i="18"/>
  <c r="B4" i="18"/>
  <c r="B6" i="18" s="1"/>
  <c r="B8" i="18" s="1"/>
  <c r="N71" i="15"/>
  <c r="M48" i="9"/>
  <c r="I55" i="9"/>
  <c r="G55" i="9"/>
  <c r="E55" i="9"/>
  <c r="K45" i="19"/>
  <c r="K46" i="19" s="1"/>
  <c r="I27" i="17"/>
  <c r="E27" i="17"/>
  <c r="E17" i="18"/>
  <c r="E43" i="18"/>
  <c r="C38" i="18"/>
  <c r="J41" i="18"/>
  <c r="H41" i="18"/>
  <c r="F41" i="18"/>
  <c r="J17" i="18"/>
  <c r="H19" i="18"/>
  <c r="N19" i="18" s="1"/>
  <c r="H30" i="18"/>
  <c r="F17" i="18"/>
  <c r="D30" i="18"/>
  <c r="I41" i="17"/>
  <c r="M5" i="18"/>
  <c r="E41" i="17"/>
  <c r="D12" i="18"/>
  <c r="B31" i="18"/>
  <c r="I44" i="17"/>
  <c r="I37" i="17"/>
  <c r="M37" i="17" s="1"/>
  <c r="M35" i="17"/>
  <c r="N35" i="17"/>
  <c r="E44" i="17"/>
  <c r="E37" i="17"/>
  <c r="O35" i="17"/>
  <c r="M6" i="17"/>
  <c r="N6" i="17"/>
  <c r="O6" i="17"/>
  <c r="K40" i="18"/>
  <c r="K32" i="18"/>
  <c r="K31" i="18"/>
  <c r="K29" i="18"/>
  <c r="K24" i="18"/>
  <c r="K22" i="18"/>
  <c r="K18" i="18"/>
  <c r="K32" i="17"/>
  <c r="K30" i="17"/>
  <c r="K39" i="18"/>
  <c r="K23" i="18"/>
  <c r="K31" i="17"/>
  <c r="M37" i="18"/>
  <c r="O37" i="18"/>
  <c r="M28" i="18"/>
  <c r="O28" i="18"/>
  <c r="N28" i="18"/>
  <c r="O26" i="17"/>
  <c r="M21" i="18"/>
  <c r="O21" i="18"/>
  <c r="O25" i="17"/>
  <c r="N25" i="17"/>
  <c r="M25" i="17"/>
  <c r="B13" i="9"/>
  <c r="N27" i="17"/>
  <c r="M27" i="17"/>
  <c r="O27" i="17"/>
  <c r="M19" i="18"/>
  <c r="I16" i="19"/>
  <c r="E16" i="19"/>
  <c r="G16" i="19"/>
  <c r="C16" i="19"/>
  <c r="I72" i="9"/>
  <c r="C53" i="11"/>
  <c r="B72" i="10"/>
  <c r="B52" i="11"/>
  <c r="B68" i="10"/>
  <c r="B50" i="11"/>
  <c r="B62" i="10"/>
  <c r="B48" i="11"/>
  <c r="B56" i="10"/>
  <c r="D66" i="11"/>
  <c r="B88" i="10"/>
  <c r="C56" i="11"/>
  <c r="D53" i="11"/>
  <c r="B73" i="10"/>
  <c r="B44" i="10"/>
  <c r="B42" i="11"/>
  <c r="B36" i="11"/>
  <c r="B41" i="10"/>
  <c r="B5" i="11"/>
  <c r="B11" i="10"/>
  <c r="B8" i="10"/>
  <c r="B4" i="11"/>
  <c r="D5" i="11"/>
  <c r="B13" i="10"/>
  <c r="B66" i="11"/>
  <c r="B86" i="10"/>
  <c r="K59" i="9"/>
  <c r="L59" i="9"/>
  <c r="C21" i="9"/>
  <c r="C19" i="9"/>
  <c r="C20" i="9"/>
  <c r="C18" i="9"/>
  <c r="J62" i="9"/>
  <c r="J56" i="9"/>
  <c r="F62" i="9"/>
  <c r="F72" i="9"/>
  <c r="H83" i="14"/>
  <c r="H97" i="14" s="1"/>
  <c r="G61" i="9"/>
  <c r="F83" i="14"/>
  <c r="F97" i="14" s="1"/>
  <c r="E61" i="9"/>
  <c r="B12" i="9"/>
  <c r="B11" i="9"/>
  <c r="L45" i="9"/>
  <c r="H45" i="9"/>
  <c r="D45" i="9"/>
  <c r="K44" i="9"/>
  <c r="K57" i="9"/>
  <c r="I57" i="9"/>
  <c r="E57" i="9"/>
  <c r="K83" i="9"/>
  <c r="E83" i="9"/>
  <c r="J78" i="9"/>
  <c r="F78" i="9"/>
  <c r="F70" i="9" s="1"/>
  <c r="F87" i="9" s="1"/>
  <c r="F88" i="9" s="1"/>
  <c r="B78" i="9"/>
  <c r="B100" i="9"/>
  <c r="K45" i="9"/>
  <c r="G45" i="9"/>
  <c r="C45" i="9"/>
  <c r="J44" i="9"/>
  <c r="F44" i="9"/>
  <c r="B44" i="9"/>
  <c r="L14" i="9"/>
  <c r="K14" i="9"/>
  <c r="J57" i="9"/>
  <c r="F57" i="9"/>
  <c r="B57" i="9"/>
  <c r="B83" i="9"/>
  <c r="K78" i="9"/>
  <c r="G78" i="9"/>
  <c r="G70" i="9" s="1"/>
  <c r="C78" i="9"/>
  <c r="B102" i="9"/>
  <c r="DY13" i="12"/>
  <c r="BB13" i="12"/>
  <c r="BV13" i="12"/>
  <c r="G46" i="9"/>
  <c r="C46" i="9"/>
  <c r="Q3" i="9"/>
  <c r="Q4" i="9"/>
  <c r="J70" i="9"/>
  <c r="J87" i="9" s="1"/>
  <c r="J88" i="9" s="1"/>
  <c r="H69" i="9"/>
  <c r="D69" i="9"/>
  <c r="J55" i="9"/>
  <c r="H24" i="9"/>
  <c r="R6" i="9"/>
  <c r="R7" i="9" s="1"/>
  <c r="T5" i="9"/>
  <c r="T4" i="9"/>
  <c r="F52" i="9"/>
  <c r="T3" i="9"/>
  <c r="M47" i="9"/>
  <c r="Q6" i="9"/>
  <c r="G44" i="9"/>
  <c r="AZ12" i="12"/>
  <c r="K85" i="9"/>
  <c r="K70" i="9" s="1"/>
  <c r="G21" i="9" s="1"/>
  <c r="K78" i="13"/>
  <c r="DB13" i="12" s="1"/>
  <c r="I69" i="9"/>
  <c r="G78" i="13"/>
  <c r="DB9" i="12" s="1"/>
  <c r="E69" i="9"/>
  <c r="C70" i="9"/>
  <c r="C87" i="9" s="1"/>
  <c r="C88" i="9" s="1"/>
  <c r="C78" i="13"/>
  <c r="DB5" i="12" s="1"/>
  <c r="R5" i="9"/>
  <c r="R4" i="9"/>
  <c r="R3" i="9"/>
  <c r="K52" i="9"/>
  <c r="T6" i="9"/>
  <c r="D49" i="11"/>
  <c r="B61" i="10"/>
  <c r="D47" i="11"/>
  <c r="B55" i="10"/>
  <c r="C43" i="11"/>
  <c r="B48" i="10"/>
  <c r="C66" i="11"/>
  <c r="B87" i="10"/>
  <c r="B53" i="11"/>
  <c r="B71" i="10"/>
  <c r="C50" i="11"/>
  <c r="B63" i="10"/>
  <c r="C5" i="11"/>
  <c r="B12" i="10"/>
  <c r="C48" i="11"/>
  <c r="B57" i="10"/>
  <c r="L73" i="9"/>
  <c r="H19" i="9" s="1"/>
  <c r="I27" i="9" s="1"/>
  <c r="L71" i="9"/>
  <c r="L74" i="9"/>
  <c r="K73" i="9"/>
  <c r="K71" i="9"/>
  <c r="G71" i="9"/>
  <c r="I89" i="14"/>
  <c r="H62" i="9"/>
  <c r="H56" i="9"/>
  <c r="D62" i="9"/>
  <c r="D56" i="9"/>
  <c r="F69" i="14"/>
  <c r="E23" i="18" s="1"/>
  <c r="J72" i="9"/>
  <c r="L83" i="14"/>
  <c r="L97" i="14" s="1"/>
  <c r="K61" i="9"/>
  <c r="L61" i="9"/>
  <c r="E21" i="9"/>
  <c r="O33" i="9" s="1"/>
  <c r="E19" i="9"/>
  <c r="E20" i="9"/>
  <c r="E18" i="9"/>
  <c r="J83" i="14"/>
  <c r="J97" i="14" s="1"/>
  <c r="I61" i="9"/>
  <c r="D83" i="14"/>
  <c r="D97" i="14" s="1"/>
  <c r="C61" i="9"/>
  <c r="K83" i="14"/>
  <c r="K97" i="14" s="1"/>
  <c r="J61" i="9"/>
  <c r="I83" i="14"/>
  <c r="I97" i="14" s="1"/>
  <c r="H61" i="9"/>
  <c r="G83" i="14"/>
  <c r="G97" i="14" s="1"/>
  <c r="F61" i="9"/>
  <c r="E83" i="14"/>
  <c r="E97" i="14" s="1"/>
  <c r="D61" i="9"/>
  <c r="C83" i="14"/>
  <c r="C97" i="14" s="1"/>
  <c r="B61" i="9"/>
  <c r="AD5" i="9"/>
  <c r="AD7" i="9" s="1"/>
  <c r="AD3" i="9"/>
  <c r="AD4" i="9"/>
  <c r="J45" i="9"/>
  <c r="F45" i="9"/>
  <c r="B45" i="9"/>
  <c r="L57" i="9"/>
  <c r="G57" i="9"/>
  <c r="C57" i="9"/>
  <c r="L83" i="9"/>
  <c r="M83" i="9" s="1"/>
  <c r="G83" i="9"/>
  <c r="C83" i="9"/>
  <c r="H78" i="9"/>
  <c r="D78" i="9"/>
  <c r="B99" i="9"/>
  <c r="S3" i="9"/>
  <c r="S6" i="9"/>
  <c r="S5" i="9"/>
  <c r="S4" i="9"/>
  <c r="L46" i="9"/>
  <c r="M46" i="9" s="1"/>
  <c r="I45" i="9"/>
  <c r="E45" i="9"/>
  <c r="L44" i="9"/>
  <c r="M44" i="9" s="1"/>
  <c r="H44" i="9"/>
  <c r="D44" i="9"/>
  <c r="H57" i="9"/>
  <c r="D57" i="9"/>
  <c r="H83" i="9"/>
  <c r="D83" i="9"/>
  <c r="L78" i="9"/>
  <c r="L70" i="9" s="1"/>
  <c r="L87" i="9" s="1"/>
  <c r="L88" i="9" s="1"/>
  <c r="I78" i="9"/>
  <c r="I70" i="9" s="1"/>
  <c r="E78" i="9"/>
  <c r="L4" i="9"/>
  <c r="L5" i="9"/>
  <c r="L7" i="9" s="1"/>
  <c r="L3" i="9"/>
  <c r="B101" i="9"/>
  <c r="DW13" i="12"/>
  <c r="DX9" i="12"/>
  <c r="I46" i="9"/>
  <c r="E46" i="9"/>
  <c r="AZ8" i="12"/>
  <c r="AZ6" i="12"/>
  <c r="AZ4" i="12"/>
  <c r="K87" i="9"/>
  <c r="H70" i="9"/>
  <c r="H87" i="9" s="1"/>
  <c r="H88" i="9" s="1"/>
  <c r="D70" i="9"/>
  <c r="D87" i="9" s="1"/>
  <c r="D88" i="9" s="1"/>
  <c r="B70" i="9"/>
  <c r="K109" i="13"/>
  <c r="E65" i="11" s="1"/>
  <c r="E62" i="11"/>
  <c r="J46" i="9"/>
  <c r="F46" i="9"/>
  <c r="B46" i="9"/>
  <c r="I44" i="9"/>
  <c r="E44" i="9"/>
  <c r="AZ10" i="12"/>
  <c r="B106" i="9"/>
  <c r="B105" i="9"/>
  <c r="I78" i="13"/>
  <c r="DB11" i="12" s="1"/>
  <c r="G69" i="9"/>
  <c r="E70" i="9"/>
  <c r="E87" i="9" s="1"/>
  <c r="E88" i="9" s="1"/>
  <c r="E78" i="13"/>
  <c r="DB7" i="12" s="1"/>
  <c r="L62" i="9"/>
  <c r="K56" i="9"/>
  <c r="K62" i="9"/>
  <c r="L56" i="9"/>
  <c r="N21" i="9"/>
  <c r="N20" i="9"/>
  <c r="N19" i="9"/>
  <c r="N18" i="9"/>
  <c r="I56" i="9"/>
  <c r="I62" i="9"/>
  <c r="G56" i="9"/>
  <c r="G62" i="9"/>
  <c r="E56" i="9"/>
  <c r="E62" i="9"/>
  <c r="C56" i="9"/>
  <c r="C62" i="9"/>
  <c r="P47" i="15"/>
  <c r="O47" i="15"/>
  <c r="Q46" i="15"/>
  <c r="N106" i="15"/>
  <c r="Q66" i="15"/>
  <c r="O66" i="15"/>
  <c r="P66" i="15"/>
  <c r="N46" i="15"/>
  <c r="B5" i="8" s="1"/>
  <c r="P117" i="15"/>
  <c r="Q117" i="15"/>
  <c r="Q130" i="15"/>
  <c r="O130" i="15"/>
  <c r="P130" i="15"/>
  <c r="Q51" i="15"/>
  <c r="O51" i="15"/>
  <c r="M60" i="15"/>
  <c r="O60" i="15"/>
  <c r="P128" i="15"/>
  <c r="Q128" i="15"/>
  <c r="Q47" i="15"/>
  <c r="P46" i="15"/>
  <c r="O46" i="15"/>
  <c r="Q65" i="15"/>
  <c r="O65" i="15"/>
  <c r="P65" i="15"/>
  <c r="P71" i="15"/>
  <c r="Q71" i="15"/>
  <c r="O71" i="15"/>
  <c r="N47" i="15"/>
  <c r="N117" i="15"/>
  <c r="P78" i="15"/>
  <c r="Q78" i="15"/>
  <c r="O78" i="15"/>
  <c r="Q60" i="15"/>
  <c r="H75" i="14"/>
  <c r="D75" i="14"/>
  <c r="J69" i="14"/>
  <c r="G69" i="14"/>
  <c r="F23" i="18" s="1"/>
  <c r="J75" i="14"/>
  <c r="F75" i="14"/>
  <c r="E33" i="17" s="1"/>
  <c r="I79" i="14"/>
  <c r="I80" i="14" s="1"/>
  <c r="E79" i="14"/>
  <c r="E80" i="14" s="1"/>
  <c r="K69" i="14"/>
  <c r="O99" i="13"/>
  <c r="M112" i="13"/>
  <c r="N112" i="13"/>
  <c r="M115" i="13"/>
  <c r="N115" i="13"/>
  <c r="O115" i="13"/>
  <c r="M101" i="13"/>
  <c r="D57" i="11" s="1"/>
  <c r="N44" i="13"/>
  <c r="C29" i="11" s="1"/>
  <c r="N101" i="13"/>
  <c r="C57" i="11" s="1"/>
  <c r="O43" i="13"/>
  <c r="O45" i="13"/>
  <c r="K118" i="13"/>
  <c r="E74" i="11" s="1"/>
  <c r="K114" i="13"/>
  <c r="E70" i="11" s="1"/>
  <c r="K105" i="13"/>
  <c r="E61" i="11" s="1"/>
  <c r="K103" i="13"/>
  <c r="E59" i="11" s="1"/>
  <c r="K104" i="13"/>
  <c r="E60" i="11" s="1"/>
  <c r="I118" i="13"/>
  <c r="I114" i="13"/>
  <c r="I105" i="13"/>
  <c r="I103" i="13"/>
  <c r="I104" i="13"/>
  <c r="M15" i="13"/>
  <c r="M99" i="13"/>
  <c r="G118" i="13"/>
  <c r="G114" i="13"/>
  <c r="G105" i="13"/>
  <c r="G103" i="13"/>
  <c r="N15" i="13"/>
  <c r="G104" i="13"/>
  <c r="N113" i="13"/>
  <c r="N117" i="13"/>
  <c r="C118" i="13"/>
  <c r="C114" i="13"/>
  <c r="C105" i="13"/>
  <c r="C103" i="13"/>
  <c r="C104" i="13"/>
  <c r="O15" i="13"/>
  <c r="O117" i="13"/>
  <c r="O111" i="13"/>
  <c r="B109" i="13"/>
  <c r="O106" i="13"/>
  <c r="B62" i="11" s="1"/>
  <c r="O100" i="13"/>
  <c r="O113" i="13"/>
  <c r="M116" i="13"/>
  <c r="N116" i="13"/>
  <c r="O116" i="13"/>
  <c r="M111" i="13"/>
  <c r="N111" i="13"/>
  <c r="O101" i="13"/>
  <c r="B57" i="11" s="1"/>
  <c r="N108" i="13"/>
  <c r="C64" i="11" s="1"/>
  <c r="I109" i="13"/>
  <c r="O102" i="13"/>
  <c r="B58" i="11" s="1"/>
  <c r="M43" i="13"/>
  <c r="M45" i="13"/>
  <c r="N43" i="13"/>
  <c r="N45" i="13"/>
  <c r="O44" i="13"/>
  <c r="B29" i="11" s="1"/>
  <c r="M100" i="13"/>
  <c r="M113" i="13"/>
  <c r="M117" i="13"/>
  <c r="N99" i="13"/>
  <c r="E118" i="13"/>
  <c r="E114" i="13"/>
  <c r="E105" i="13"/>
  <c r="E103" i="13"/>
  <c r="E104" i="13"/>
  <c r="O112" i="13"/>
  <c r="F12" i="8"/>
  <c r="E14" i="8"/>
  <c r="C23" i="8"/>
  <c r="C15" i="8"/>
  <c r="D23" i="8"/>
  <c r="D15" i="8"/>
  <c r="B6" i="6"/>
  <c r="B6" i="24"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C60" i="19" s="1"/>
  <c r="C61" i="19" s="1"/>
  <c r="D8" i="2"/>
  <c r="D60" i="19" s="1"/>
  <c r="D61" i="19" s="1"/>
  <c r="E8" i="2"/>
  <c r="E60" i="19" s="1"/>
  <c r="E61" i="19" s="1"/>
  <c r="F8" i="2"/>
  <c r="F60" i="19" s="1"/>
  <c r="F61" i="19" s="1"/>
  <c r="G8" i="2"/>
  <c r="G60" i="19" s="1"/>
  <c r="G61" i="19" s="1"/>
  <c r="H8" i="2"/>
  <c r="H60" i="19" s="1"/>
  <c r="I8" i="2"/>
  <c r="I60" i="19" s="1"/>
  <c r="I61" i="19" s="1"/>
  <c r="J8" i="2"/>
  <c r="J60" i="19" s="1"/>
  <c r="J61" i="19" s="1"/>
  <c r="K8" i="2"/>
  <c r="K60" i="19" s="1"/>
  <c r="C10" i="2"/>
  <c r="D10" i="2"/>
  <c r="E10" i="2"/>
  <c r="F10" i="2"/>
  <c r="G10" i="2"/>
  <c r="H10" i="2"/>
  <c r="I10" i="2"/>
  <c r="J10" i="2"/>
  <c r="K10" i="2"/>
  <c r="C11" i="2"/>
  <c r="C26" i="26" s="1"/>
  <c r="D11" i="2"/>
  <c r="D26" i="26" s="1"/>
  <c r="E11" i="2"/>
  <c r="E26" i="26" s="1"/>
  <c r="F11" i="2"/>
  <c r="F26" i="26" s="1"/>
  <c r="G11" i="2"/>
  <c r="G26" i="26" s="1"/>
  <c r="H11" i="2"/>
  <c r="H26" i="26" s="1"/>
  <c r="I11" i="2"/>
  <c r="I26" i="26" s="1"/>
  <c r="J11" i="2"/>
  <c r="J26" i="26" s="1"/>
  <c r="K11" i="2"/>
  <c r="K26" i="26" s="1"/>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C70" i="19" s="1"/>
  <c r="D7" i="3"/>
  <c r="D70" i="19" s="1"/>
  <c r="E7" i="3"/>
  <c r="E70" i="19" s="1"/>
  <c r="F7" i="3"/>
  <c r="F70" i="19" s="1"/>
  <c r="G7" i="3"/>
  <c r="G70" i="19" s="1"/>
  <c r="H7" i="3"/>
  <c r="H70" i="19" s="1"/>
  <c r="I7" i="3"/>
  <c r="I70" i="19" s="1"/>
  <c r="J7" i="3"/>
  <c r="J70" i="19" s="1"/>
  <c r="K7" i="3"/>
  <c r="K70" i="19" s="1"/>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C69" i="19" s="1"/>
  <c r="D12" i="3"/>
  <c r="D69" i="19" s="1"/>
  <c r="E12" i="3"/>
  <c r="E69" i="19" s="1"/>
  <c r="F12" i="3"/>
  <c r="F69" i="19" s="1"/>
  <c r="G12" i="3"/>
  <c r="G69" i="19" s="1"/>
  <c r="H12" i="3"/>
  <c r="H69" i="19" s="1"/>
  <c r="I12" i="3"/>
  <c r="I69" i="19" s="1"/>
  <c r="J12" i="3"/>
  <c r="J69" i="19" s="1"/>
  <c r="K12" i="3"/>
  <c r="K69" i="19" s="1"/>
  <c r="B5" i="3"/>
  <c r="C18" i="1"/>
  <c r="D18" i="1"/>
  <c r="E18" i="1"/>
  <c r="F18" i="1"/>
  <c r="G18" i="1"/>
  <c r="H18" i="1"/>
  <c r="I18" i="1"/>
  <c r="J18" i="1"/>
  <c r="K18" i="1"/>
  <c r="B18" i="1"/>
  <c r="C4" i="1"/>
  <c r="D4" i="1"/>
  <c r="E4" i="1"/>
  <c r="F4" i="1"/>
  <c r="G4" i="1"/>
  <c r="H4" i="1"/>
  <c r="I4" i="1"/>
  <c r="J4" i="1"/>
  <c r="K4" i="1"/>
  <c r="C7" i="1"/>
  <c r="C7" i="26" s="1"/>
  <c r="D7" i="1"/>
  <c r="D7" i="26" s="1"/>
  <c r="E7" i="1"/>
  <c r="E7" i="26" s="1"/>
  <c r="F7" i="1"/>
  <c r="F7" i="26" s="1"/>
  <c r="G7" i="1"/>
  <c r="G7" i="26" s="1"/>
  <c r="H7" i="1"/>
  <c r="H7" i="26" s="1"/>
  <c r="I7" i="1"/>
  <c r="I7" i="26" s="1"/>
  <c r="J7" i="1"/>
  <c r="J7" i="26" s="1"/>
  <c r="K7" i="1"/>
  <c r="K7" i="26" s="1"/>
  <c r="C8" i="1"/>
  <c r="C9" i="26" s="1"/>
  <c r="C52" i="26" s="1"/>
  <c r="D8" i="1"/>
  <c r="D9" i="26" s="1"/>
  <c r="D52" i="26" s="1"/>
  <c r="E8" i="1"/>
  <c r="E9" i="26" s="1"/>
  <c r="E52" i="26" s="1"/>
  <c r="F8" i="1"/>
  <c r="F9" i="26" s="1"/>
  <c r="F52" i="26" s="1"/>
  <c r="G8" i="1"/>
  <c r="G9" i="26" s="1"/>
  <c r="G52" i="26" s="1"/>
  <c r="H8" i="1"/>
  <c r="H9" i="26" s="1"/>
  <c r="H52" i="26" s="1"/>
  <c r="I8" i="1"/>
  <c r="I9" i="26" s="1"/>
  <c r="I52" i="26" s="1"/>
  <c r="J8" i="1"/>
  <c r="J9" i="26" s="1"/>
  <c r="J52" i="26" s="1"/>
  <c r="K8" i="1"/>
  <c r="K9" i="26" s="1"/>
  <c r="K52" i="26" s="1"/>
  <c r="C9" i="1"/>
  <c r="C8" i="26" s="1"/>
  <c r="D9" i="1"/>
  <c r="D8" i="26" s="1"/>
  <c r="E9" i="1"/>
  <c r="E8" i="26" s="1"/>
  <c r="F9" i="1"/>
  <c r="F8" i="26" s="1"/>
  <c r="G9" i="1"/>
  <c r="G8" i="26" s="1"/>
  <c r="H9" i="1"/>
  <c r="H8" i="26" s="1"/>
  <c r="I9" i="1"/>
  <c r="I8" i="26" s="1"/>
  <c r="J9" i="1"/>
  <c r="J8" i="26" s="1"/>
  <c r="K9" i="1"/>
  <c r="K8" i="26" s="1"/>
  <c r="C10" i="1"/>
  <c r="C10" i="26" s="1"/>
  <c r="C11" i="26" s="1"/>
  <c r="D10" i="1"/>
  <c r="D10" i="26" s="1"/>
  <c r="E10" i="1"/>
  <c r="E10" i="26" s="1"/>
  <c r="E11" i="26" s="1"/>
  <c r="F10" i="1"/>
  <c r="F10" i="26" s="1"/>
  <c r="G10" i="1"/>
  <c r="G10" i="26" s="1"/>
  <c r="G11" i="26" s="1"/>
  <c r="H10" i="1"/>
  <c r="H10" i="26" s="1"/>
  <c r="I10" i="1"/>
  <c r="I10" i="26" s="1"/>
  <c r="I11" i="26" s="1"/>
  <c r="J10" i="1"/>
  <c r="J10" i="26" s="1"/>
  <c r="K10" i="1"/>
  <c r="K10" i="26" s="1"/>
  <c r="K11" i="26" s="1"/>
  <c r="C11" i="1"/>
  <c r="D11" i="1"/>
  <c r="E11" i="1"/>
  <c r="F11" i="1"/>
  <c r="G11" i="1"/>
  <c r="H11" i="1"/>
  <c r="I11" i="1"/>
  <c r="J11" i="1"/>
  <c r="K11" i="1"/>
  <c r="C12" i="1"/>
  <c r="C12" i="26" s="1"/>
  <c r="D12" i="1"/>
  <c r="D12" i="26" s="1"/>
  <c r="E12" i="1"/>
  <c r="E12" i="26" s="1"/>
  <c r="F12" i="1"/>
  <c r="F12" i="26" s="1"/>
  <c r="G12" i="1"/>
  <c r="G12" i="26" s="1"/>
  <c r="H12" i="1"/>
  <c r="H12" i="26" s="1"/>
  <c r="I12" i="1"/>
  <c r="I12" i="26" s="1"/>
  <c r="J12" i="1"/>
  <c r="J12" i="26" s="1"/>
  <c r="K12" i="1"/>
  <c r="K12" i="26" s="1"/>
  <c r="C15" i="1"/>
  <c r="D15" i="1"/>
  <c r="E15" i="1"/>
  <c r="F15" i="1"/>
  <c r="G15" i="1"/>
  <c r="H15" i="1"/>
  <c r="I15" i="1"/>
  <c r="J15" i="1"/>
  <c r="K15" i="1"/>
  <c r="B15" i="1"/>
  <c r="H13" i="1"/>
  <c r="I13" i="1"/>
  <c r="B7" i="1"/>
  <c r="B7" i="26" s="1"/>
  <c r="B4" i="1"/>
  <c r="A1" i="1"/>
  <c r="E1" i="6"/>
  <c r="O14" i="18" l="1"/>
  <c r="K13" i="26"/>
  <c r="K31" i="26"/>
  <c r="K30" i="26"/>
  <c r="G13" i="26"/>
  <c r="G31" i="26"/>
  <c r="G30" i="26"/>
  <c r="C13" i="26"/>
  <c r="C31" i="26"/>
  <c r="C30" i="26"/>
  <c r="C53" i="26"/>
  <c r="G23" i="26"/>
  <c r="G22" i="26"/>
  <c r="E19" i="26"/>
  <c r="I13" i="26"/>
  <c r="K19" i="26" s="1"/>
  <c r="I31" i="26"/>
  <c r="I30" i="26"/>
  <c r="E13" i="26"/>
  <c r="E31" i="26"/>
  <c r="E30" i="26"/>
  <c r="K53" i="26"/>
  <c r="G53" i="26"/>
  <c r="E53" i="26"/>
  <c r="K37" i="19"/>
  <c r="K23" i="26"/>
  <c r="K22" i="26"/>
  <c r="I23" i="26"/>
  <c r="I22" i="26"/>
  <c r="E23" i="26"/>
  <c r="E22" i="26"/>
  <c r="C22" i="26"/>
  <c r="L7" i="26"/>
  <c r="J31" i="26"/>
  <c r="J13" i="26"/>
  <c r="J30" i="26"/>
  <c r="H31" i="26"/>
  <c r="H13" i="26"/>
  <c r="I19" i="26" s="1"/>
  <c r="H30" i="26"/>
  <c r="F31" i="26"/>
  <c r="F13" i="26"/>
  <c r="G19" i="26" s="1"/>
  <c r="F30" i="26"/>
  <c r="D31" i="26"/>
  <c r="D13" i="26"/>
  <c r="D30" i="26"/>
  <c r="J11" i="26"/>
  <c r="H11" i="26"/>
  <c r="F11" i="26"/>
  <c r="D11" i="26"/>
  <c r="J53" i="26"/>
  <c r="J19" i="26"/>
  <c r="H53" i="26"/>
  <c r="H19" i="26"/>
  <c r="F53" i="26"/>
  <c r="F19" i="26"/>
  <c r="D53" i="26"/>
  <c r="J37" i="19"/>
  <c r="J22" i="26"/>
  <c r="J23" i="26"/>
  <c r="H37" i="19"/>
  <c r="H22" i="26"/>
  <c r="H23" i="26"/>
  <c r="F37" i="19"/>
  <c r="F22" i="26"/>
  <c r="F23" i="26"/>
  <c r="D37" i="19"/>
  <c r="D22" i="26"/>
  <c r="D23" i="26"/>
  <c r="K66" i="19"/>
  <c r="I66" i="19"/>
  <c r="G66" i="19"/>
  <c r="E66" i="19"/>
  <c r="J73" i="9"/>
  <c r="F55" i="9"/>
  <c r="F71" i="9"/>
  <c r="F56" i="9"/>
  <c r="M26" i="17"/>
  <c r="F29" i="18"/>
  <c r="F31" i="17"/>
  <c r="F33" i="17"/>
  <c r="F22" i="18"/>
  <c r="F31" i="18"/>
  <c r="F39" i="18"/>
  <c r="B14" i="7"/>
  <c r="E14" i="7" s="1"/>
  <c r="O18" i="8" s="1"/>
  <c r="B13" i="7"/>
  <c r="E13" i="7" s="1"/>
  <c r="O17" i="8" s="1"/>
  <c r="T7" i="9"/>
  <c r="C66" i="19"/>
  <c r="J66" i="19"/>
  <c r="H66" i="19"/>
  <c r="F66" i="19"/>
  <c r="D66" i="19"/>
  <c r="N109" i="13"/>
  <c r="M109" i="13"/>
  <c r="H61" i="19"/>
  <c r="I8" i="15"/>
  <c r="I85" i="14"/>
  <c r="I27" i="15"/>
  <c r="I28" i="15" s="1"/>
  <c r="I37" i="19"/>
  <c r="G27" i="15"/>
  <c r="G28" i="15" s="1"/>
  <c r="G37" i="19"/>
  <c r="E27" i="15"/>
  <c r="E28" i="15" s="1"/>
  <c r="E37" i="19"/>
  <c r="C27" i="15"/>
  <c r="C37" i="19"/>
  <c r="J71" i="19"/>
  <c r="H71" i="19"/>
  <c r="F71" i="19"/>
  <c r="D71" i="19"/>
  <c r="I11" i="15"/>
  <c r="G11" i="15"/>
  <c r="E11" i="15"/>
  <c r="I87" i="15"/>
  <c r="I113" i="15" s="1"/>
  <c r="G87" i="15"/>
  <c r="G113" i="15" s="1"/>
  <c r="E87" i="15"/>
  <c r="E113" i="15" s="1"/>
  <c r="C87" i="15"/>
  <c r="B32" i="8"/>
  <c r="E1" i="22"/>
  <c r="O19" i="18"/>
  <c r="K61" i="19"/>
  <c r="J87" i="15"/>
  <c r="J113" i="15" s="1"/>
  <c r="H87" i="15"/>
  <c r="H113" i="15" s="1"/>
  <c r="F87" i="15"/>
  <c r="F113" i="15" s="1"/>
  <c r="B58" i="10"/>
  <c r="D48" i="11"/>
  <c r="C28" i="15"/>
  <c r="H124" i="15"/>
  <c r="K13" i="1"/>
  <c r="K31" i="15"/>
  <c r="P7" i="15"/>
  <c r="K7" i="15"/>
  <c r="P18" i="13"/>
  <c r="K18" i="13"/>
  <c r="O7" i="15"/>
  <c r="Q18" i="13"/>
  <c r="K91" i="15"/>
  <c r="E13" i="1"/>
  <c r="E31" i="15"/>
  <c r="E7" i="15"/>
  <c r="E18" i="13"/>
  <c r="AW7" i="12" s="1"/>
  <c r="E91" i="15"/>
  <c r="L85" i="14"/>
  <c r="J85" i="14"/>
  <c r="F85" i="14"/>
  <c r="J13" i="1"/>
  <c r="J8" i="15" s="1"/>
  <c r="J31" i="15"/>
  <c r="J7" i="15"/>
  <c r="J18" i="13"/>
  <c r="AW12" i="12" s="1"/>
  <c r="J91" i="15"/>
  <c r="H31" i="15"/>
  <c r="H7" i="15"/>
  <c r="H18" i="13"/>
  <c r="AW10" i="12" s="1"/>
  <c r="H91" i="15"/>
  <c r="F13" i="1"/>
  <c r="F8" i="15" s="1"/>
  <c r="F31" i="15"/>
  <c r="F7" i="15"/>
  <c r="F18" i="13"/>
  <c r="AW8" i="12" s="1"/>
  <c r="F91" i="15"/>
  <c r="D13" i="1"/>
  <c r="D31" i="15"/>
  <c r="D7" i="15"/>
  <c r="D18" i="13"/>
  <c r="AW6" i="12" s="1"/>
  <c r="D91" i="15"/>
  <c r="J6" i="15"/>
  <c r="J30" i="15"/>
  <c r="H6" i="15"/>
  <c r="H30" i="15"/>
  <c r="F6" i="15"/>
  <c r="F30" i="15"/>
  <c r="D6" i="15"/>
  <c r="D30" i="15"/>
  <c r="K29" i="15"/>
  <c r="K111" i="15"/>
  <c r="I29" i="15"/>
  <c r="I111" i="15"/>
  <c r="G29" i="15"/>
  <c r="G111" i="15"/>
  <c r="E29" i="15"/>
  <c r="E111" i="15"/>
  <c r="C29" i="15"/>
  <c r="C111" i="15"/>
  <c r="J17" i="13"/>
  <c r="AV12" i="12" s="1"/>
  <c r="J3" i="15"/>
  <c r="J89" i="15"/>
  <c r="H17" i="13"/>
  <c r="AV10" i="12" s="1"/>
  <c r="H3" i="15"/>
  <c r="H89" i="15"/>
  <c r="F17" i="13"/>
  <c r="AV8" i="12" s="1"/>
  <c r="F3" i="15"/>
  <c r="F89" i="15"/>
  <c r="D17" i="13"/>
  <c r="AV6" i="12" s="1"/>
  <c r="D3" i="15"/>
  <c r="D89" i="15"/>
  <c r="J72" i="19"/>
  <c r="H72" i="19"/>
  <c r="F72" i="19"/>
  <c r="D72" i="19"/>
  <c r="K71" i="19"/>
  <c r="K72" i="19" s="1"/>
  <c r="I71" i="19"/>
  <c r="I72" i="19" s="1"/>
  <c r="G71" i="19"/>
  <c r="G72" i="19" s="1"/>
  <c r="E71" i="19"/>
  <c r="E72" i="19" s="1"/>
  <c r="C71" i="19"/>
  <c r="C72" i="19" s="1"/>
  <c r="K75" i="19"/>
  <c r="I75" i="19"/>
  <c r="G75" i="19"/>
  <c r="E75" i="19"/>
  <c r="C75" i="19"/>
  <c r="J11" i="15"/>
  <c r="H11" i="15"/>
  <c r="F11" i="15"/>
  <c r="D11" i="15"/>
  <c r="I44" i="15"/>
  <c r="I10" i="15"/>
  <c r="G44" i="15"/>
  <c r="G10" i="15"/>
  <c r="E44" i="15"/>
  <c r="E10" i="15"/>
  <c r="C44" i="15"/>
  <c r="D87" i="15"/>
  <c r="D113" i="15" s="1"/>
  <c r="J51" i="19"/>
  <c r="J54" i="19" s="1"/>
  <c r="J50" i="19"/>
  <c r="H51" i="19"/>
  <c r="H54" i="19" s="1"/>
  <c r="H50" i="19"/>
  <c r="F51" i="19"/>
  <c r="F54" i="19" s="1"/>
  <c r="F50" i="19"/>
  <c r="D51" i="19"/>
  <c r="D54" i="19" s="1"/>
  <c r="D50" i="19"/>
  <c r="J15" i="18"/>
  <c r="J20" i="18"/>
  <c r="H9" i="18"/>
  <c r="H10" i="18"/>
  <c r="I79" i="13"/>
  <c r="DC11" i="12" s="1"/>
  <c r="I38" i="17"/>
  <c r="I49" i="17"/>
  <c r="I28" i="17"/>
  <c r="I15" i="18"/>
  <c r="M15" i="18" s="1"/>
  <c r="I20" i="18"/>
  <c r="M20" i="18" s="1"/>
  <c r="G79" i="13"/>
  <c r="DC9" i="12" s="1"/>
  <c r="G38" i="17"/>
  <c r="G49" i="17"/>
  <c r="G28" i="17"/>
  <c r="M56" i="9"/>
  <c r="J23" i="18"/>
  <c r="K89" i="9"/>
  <c r="D12" i="9"/>
  <c r="E12" i="9" s="1"/>
  <c r="D14" i="9"/>
  <c r="E14" i="9" s="1"/>
  <c r="L91" i="14"/>
  <c r="K25" i="18" s="1"/>
  <c r="L87" i="14"/>
  <c r="C6" i="9" s="1"/>
  <c r="D30" i="9" s="1"/>
  <c r="L88" i="14"/>
  <c r="L82" i="14"/>
  <c r="L92" i="14"/>
  <c r="L89" i="9"/>
  <c r="L90" i="9" s="1"/>
  <c r="D11" i="9"/>
  <c r="E11" i="9" s="1"/>
  <c r="L93" i="14"/>
  <c r="L99" i="14"/>
  <c r="K16" i="13"/>
  <c r="D13" i="9"/>
  <c r="E13" i="9" s="1"/>
  <c r="L89" i="14"/>
  <c r="L90" i="14"/>
  <c r="G92" i="14"/>
  <c r="F89" i="9"/>
  <c r="G99" i="14"/>
  <c r="G88" i="14"/>
  <c r="G91" i="14"/>
  <c r="G93" i="14"/>
  <c r="F16" i="13"/>
  <c r="G82" i="14"/>
  <c r="G89" i="14"/>
  <c r="G90" i="14"/>
  <c r="G87" i="14"/>
  <c r="K92" i="14"/>
  <c r="J89" i="9"/>
  <c r="K90" i="14"/>
  <c r="K82" i="14"/>
  <c r="K87" i="14"/>
  <c r="K89" i="14"/>
  <c r="J16" i="13"/>
  <c r="K99" i="14"/>
  <c r="K91" i="14"/>
  <c r="J25" i="18" s="1"/>
  <c r="K88" i="14"/>
  <c r="K93" i="14"/>
  <c r="G33" i="17"/>
  <c r="I33" i="17"/>
  <c r="I23" i="18"/>
  <c r="K41" i="18"/>
  <c r="O41" i="18" s="1"/>
  <c r="K34" i="18"/>
  <c r="O34" i="18" s="1"/>
  <c r="K38" i="18"/>
  <c r="K43" i="18"/>
  <c r="M43" i="18" s="1"/>
  <c r="K17" i="18"/>
  <c r="I17" i="8"/>
  <c r="I19" i="8" s="1"/>
  <c r="I20" i="8" s="1"/>
  <c r="E17" i="8"/>
  <c r="E19" i="8" s="1"/>
  <c r="E20" i="8" s="1"/>
  <c r="J17" i="8"/>
  <c r="J19" i="8" s="1"/>
  <c r="J20" i="8" s="1"/>
  <c r="F17" i="8"/>
  <c r="F19" i="8" s="1"/>
  <c r="F20" i="8" s="1"/>
  <c r="C17" i="8"/>
  <c r="C19" i="8" s="1"/>
  <c r="C20" i="8" s="1"/>
  <c r="G17" i="8"/>
  <c r="G19" i="8" s="1"/>
  <c r="G20" i="8" s="1"/>
  <c r="H17" i="8"/>
  <c r="H19" i="8" s="1"/>
  <c r="H20" i="8" s="1"/>
  <c r="K17" i="8"/>
  <c r="K19" i="8" s="1"/>
  <c r="K20" i="8" s="1"/>
  <c r="D17" i="8"/>
  <c r="D19" i="8" s="1"/>
  <c r="D20" i="8" s="1"/>
  <c r="B17" i="8"/>
  <c r="B19" i="8" s="1"/>
  <c r="B20" i="8" s="1"/>
  <c r="B21" i="8" s="1"/>
  <c r="M34" i="18"/>
  <c r="E10" i="18"/>
  <c r="E9" i="18"/>
  <c r="I10" i="18"/>
  <c r="I9" i="18"/>
  <c r="M9" i="18" s="1"/>
  <c r="K42" i="18"/>
  <c r="N34" i="18"/>
  <c r="K10" i="18"/>
  <c r="D79" i="13"/>
  <c r="DC6" i="12" s="1"/>
  <c r="D28" i="17"/>
  <c r="D49" i="17"/>
  <c r="D38" i="17"/>
  <c r="H79" i="13"/>
  <c r="DC10" i="12" s="1"/>
  <c r="H38" i="17"/>
  <c r="H28" i="17"/>
  <c r="H49" i="17"/>
  <c r="K79" i="13"/>
  <c r="DC13" i="12" s="1"/>
  <c r="K38" i="17"/>
  <c r="K49" i="17"/>
  <c r="K28" i="17"/>
  <c r="I69" i="14"/>
  <c r="H12" i="18"/>
  <c r="E89" i="9"/>
  <c r="F91" i="14"/>
  <c r="E25" i="18" s="1"/>
  <c r="F87" i="14"/>
  <c r="F82" i="14"/>
  <c r="F88" i="14"/>
  <c r="E16" i="13"/>
  <c r="F93" i="14"/>
  <c r="F90" i="14"/>
  <c r="F89" i="14"/>
  <c r="F99" i="14"/>
  <c r="F101" i="14" s="1"/>
  <c r="E77" i="9" s="1"/>
  <c r="F92" i="14"/>
  <c r="M17" i="17"/>
  <c r="C89" i="9"/>
  <c r="D91" i="14"/>
  <c r="C25" i="18" s="1"/>
  <c r="D87" i="14"/>
  <c r="D88" i="14"/>
  <c r="D82" i="14"/>
  <c r="D92" i="14"/>
  <c r="D93" i="14"/>
  <c r="D99" i="14"/>
  <c r="D101" i="14" s="1"/>
  <c r="C77" i="9" s="1"/>
  <c r="C16" i="13"/>
  <c r="D89" i="14"/>
  <c r="D90" i="14"/>
  <c r="N17" i="17"/>
  <c r="C92" i="14"/>
  <c r="B89" i="9"/>
  <c r="C90" i="14"/>
  <c r="C82" i="14"/>
  <c r="C87" i="14"/>
  <c r="C89" i="14"/>
  <c r="B16" i="13"/>
  <c r="C88" i="14"/>
  <c r="C93" i="14"/>
  <c r="C99" i="14"/>
  <c r="C91" i="14"/>
  <c r="B25" i="18" s="1"/>
  <c r="O18" i="17"/>
  <c r="K85" i="14"/>
  <c r="E85" i="14"/>
  <c r="I31" i="15"/>
  <c r="K62" i="15" s="1"/>
  <c r="I7" i="15"/>
  <c r="I18" i="13"/>
  <c r="AW11" i="12" s="1"/>
  <c r="I91" i="15"/>
  <c r="G13" i="1"/>
  <c r="G8" i="15" s="1"/>
  <c r="G31" i="15"/>
  <c r="G7" i="15"/>
  <c r="G18" i="13"/>
  <c r="AW9" i="12" s="1"/>
  <c r="G91" i="15"/>
  <c r="C13" i="1"/>
  <c r="C31" i="15"/>
  <c r="E62" i="15" s="1"/>
  <c r="C91" i="15"/>
  <c r="K30" i="15"/>
  <c r="O6" i="15"/>
  <c r="P6" i="15"/>
  <c r="K6" i="15"/>
  <c r="T20" i="9"/>
  <c r="T19" i="9"/>
  <c r="I30" i="15"/>
  <c r="I6" i="15"/>
  <c r="G30" i="15"/>
  <c r="G6" i="15"/>
  <c r="E30" i="15"/>
  <c r="E6" i="15"/>
  <c r="C30" i="15"/>
  <c r="J29" i="15"/>
  <c r="J111" i="15"/>
  <c r="H29" i="15"/>
  <c r="H111" i="15"/>
  <c r="F29" i="15"/>
  <c r="F111" i="15"/>
  <c r="D29" i="15"/>
  <c r="D111" i="15"/>
  <c r="P3" i="15"/>
  <c r="N13" i="9" s="1"/>
  <c r="N3" i="15"/>
  <c r="K3" i="15"/>
  <c r="N14" i="9" s="1"/>
  <c r="Q17" i="13"/>
  <c r="O3" i="15"/>
  <c r="N12" i="9" s="1"/>
  <c r="R17" i="13"/>
  <c r="P17" i="13"/>
  <c r="K17" i="13"/>
  <c r="K89" i="15"/>
  <c r="I3" i="15"/>
  <c r="I17" i="13"/>
  <c r="AV11" i="12" s="1"/>
  <c r="I89" i="15"/>
  <c r="G3" i="15"/>
  <c r="G17" i="13"/>
  <c r="AV9" i="12" s="1"/>
  <c r="G89" i="15"/>
  <c r="E3" i="15"/>
  <c r="E17" i="13"/>
  <c r="AV7" i="12" s="1"/>
  <c r="E89" i="15"/>
  <c r="C3" i="15"/>
  <c r="C17" i="13"/>
  <c r="AV5" i="12" s="1"/>
  <c r="C89" i="15"/>
  <c r="J75" i="19"/>
  <c r="H75" i="19"/>
  <c r="F75" i="19"/>
  <c r="D75" i="19"/>
  <c r="J44" i="15"/>
  <c r="J10" i="15"/>
  <c r="H44" i="15"/>
  <c r="H10" i="15"/>
  <c r="F44" i="15"/>
  <c r="F10" i="15"/>
  <c r="D44" i="15"/>
  <c r="D10" i="15"/>
  <c r="L87" i="15"/>
  <c r="L113" i="15" s="1"/>
  <c r="K87" i="15"/>
  <c r="K113" i="15" s="1"/>
  <c r="C113" i="15"/>
  <c r="K51" i="19"/>
  <c r="K54" i="19" s="1"/>
  <c r="K50" i="19"/>
  <c r="K65" i="19" s="1"/>
  <c r="I51" i="19"/>
  <c r="I54" i="19" s="1"/>
  <c r="I50" i="19"/>
  <c r="I65" i="19" s="1"/>
  <c r="G51" i="19"/>
  <c r="G54" i="19" s="1"/>
  <c r="G50" i="19"/>
  <c r="G65" i="19" s="1"/>
  <c r="E51" i="19"/>
  <c r="E54" i="19" s="1"/>
  <c r="E50" i="19"/>
  <c r="E65" i="19" s="1"/>
  <c r="C51" i="19"/>
  <c r="C54" i="19" s="1"/>
  <c r="C50" i="19"/>
  <c r="R8" i="8"/>
  <c r="O8" i="8"/>
  <c r="D71" i="9"/>
  <c r="D9" i="18"/>
  <c r="D10" i="18"/>
  <c r="E79" i="13"/>
  <c r="DC7" i="12" s="1"/>
  <c r="E38" i="17"/>
  <c r="E49" i="17"/>
  <c r="E28" i="17"/>
  <c r="F15" i="18"/>
  <c r="F20" i="18"/>
  <c r="C79" i="13"/>
  <c r="DC5" i="12" s="1"/>
  <c r="C38" i="17"/>
  <c r="O38" i="17" s="1"/>
  <c r="C49" i="17"/>
  <c r="C28" i="17"/>
  <c r="O28" i="17" s="1"/>
  <c r="E15" i="18"/>
  <c r="E20" i="18"/>
  <c r="K27" i="15"/>
  <c r="E92" i="14"/>
  <c r="D89" i="9"/>
  <c r="D90" i="9" s="1"/>
  <c r="E90" i="14"/>
  <c r="E82" i="14"/>
  <c r="E91" i="14"/>
  <c r="D25" i="18" s="1"/>
  <c r="E88" i="14"/>
  <c r="E87" i="14"/>
  <c r="D16" i="13"/>
  <c r="E99" i="14"/>
  <c r="E101" i="14" s="1"/>
  <c r="D77" i="9" s="1"/>
  <c r="E93" i="14"/>
  <c r="I92" i="14"/>
  <c r="H89" i="9"/>
  <c r="I99" i="14"/>
  <c r="I88" i="14"/>
  <c r="I93" i="14"/>
  <c r="I87" i="14"/>
  <c r="I82" i="14"/>
  <c r="H16" i="13"/>
  <c r="I90" i="14"/>
  <c r="I91" i="14"/>
  <c r="H25" i="18" s="1"/>
  <c r="C33" i="17"/>
  <c r="O33" i="17" s="1"/>
  <c r="O43" i="18"/>
  <c r="M41" i="18"/>
  <c r="O6" i="18"/>
  <c r="E42" i="18"/>
  <c r="E36" i="18"/>
  <c r="E4" i="18"/>
  <c r="E6" i="18" s="1"/>
  <c r="E8" i="18" s="1"/>
  <c r="E35" i="18"/>
  <c r="E30" i="18"/>
  <c r="N6" i="18"/>
  <c r="I83" i="9"/>
  <c r="I42" i="18"/>
  <c r="M42" i="18" s="1"/>
  <c r="I36" i="18"/>
  <c r="I4" i="18"/>
  <c r="I6" i="18" s="1"/>
  <c r="I8" i="18" s="1"/>
  <c r="M8" i="18" s="1"/>
  <c r="I35" i="18"/>
  <c r="M35" i="18" s="1"/>
  <c r="M4" i="18"/>
  <c r="M6" i="18" s="1"/>
  <c r="I30" i="18"/>
  <c r="K36" i="18"/>
  <c r="N43" i="18"/>
  <c r="N41" i="18"/>
  <c r="H69" i="14"/>
  <c r="G12" i="18"/>
  <c r="O37" i="17"/>
  <c r="N37" i="17"/>
  <c r="D27" i="15"/>
  <c r="D28" i="15" s="1"/>
  <c r="H27" i="15"/>
  <c r="H28" i="15" s="1"/>
  <c r="I89" i="9"/>
  <c r="J91" i="14"/>
  <c r="I25" i="18" s="1"/>
  <c r="M25" i="18" s="1"/>
  <c r="J87" i="14"/>
  <c r="J82" i="14"/>
  <c r="J88" i="14"/>
  <c r="I16" i="13"/>
  <c r="J93" i="14"/>
  <c r="J90" i="14"/>
  <c r="J92" i="14"/>
  <c r="J89" i="14"/>
  <c r="J99" i="14"/>
  <c r="M18" i="17"/>
  <c r="G10" i="18"/>
  <c r="N10" i="18" s="1"/>
  <c r="G9" i="18"/>
  <c r="N9" i="18" s="1"/>
  <c r="F27" i="15"/>
  <c r="J27" i="15"/>
  <c r="J28" i="15" s="1"/>
  <c r="G89" i="9"/>
  <c r="G90" i="9" s="1"/>
  <c r="H91" i="14"/>
  <c r="G25" i="18" s="1"/>
  <c r="N25" i="18" s="1"/>
  <c r="H87" i="14"/>
  <c r="H88" i="14"/>
  <c r="H82" i="14"/>
  <c r="H92" i="14"/>
  <c r="H93" i="14"/>
  <c r="H99" i="14"/>
  <c r="G16" i="13"/>
  <c r="H89" i="14"/>
  <c r="H90" i="14"/>
  <c r="N18" i="17"/>
  <c r="O17" i="17"/>
  <c r="K11" i="15"/>
  <c r="L11" i="15"/>
  <c r="L44" i="15"/>
  <c r="N44" i="15" s="1"/>
  <c r="L10" i="15"/>
  <c r="K44" i="15"/>
  <c r="K10" i="15"/>
  <c r="O105" i="13"/>
  <c r="B61" i="11" s="1"/>
  <c r="M33" i="17"/>
  <c r="N33" i="17"/>
  <c r="N39" i="18"/>
  <c r="M39" i="18"/>
  <c r="O39" i="18"/>
  <c r="N32" i="17"/>
  <c r="M32" i="17"/>
  <c r="O32" i="17"/>
  <c r="M22" i="18"/>
  <c r="O22" i="18"/>
  <c r="N22" i="18"/>
  <c r="N31" i="18"/>
  <c r="M31" i="18"/>
  <c r="O31" i="18"/>
  <c r="M40" i="18"/>
  <c r="O40" i="18"/>
  <c r="N40" i="18"/>
  <c r="M31" i="17"/>
  <c r="O31" i="17"/>
  <c r="N31" i="17"/>
  <c r="M23" i="18"/>
  <c r="N30" i="17"/>
  <c r="M30" i="17"/>
  <c r="O30" i="17"/>
  <c r="M18" i="18"/>
  <c r="O18" i="18"/>
  <c r="N18" i="18"/>
  <c r="M24" i="18"/>
  <c r="O24" i="18"/>
  <c r="N24" i="18"/>
  <c r="N29" i="18"/>
  <c r="M29" i="18"/>
  <c r="O29" i="18"/>
  <c r="M32" i="18"/>
  <c r="O32" i="18"/>
  <c r="N32" i="18"/>
  <c r="M44" i="18"/>
  <c r="O44" i="18"/>
  <c r="N44" i="18"/>
  <c r="B68" i="11"/>
  <c r="B95" i="10"/>
  <c r="D73" i="11"/>
  <c r="B112" i="10"/>
  <c r="D56" i="11"/>
  <c r="B79" i="10"/>
  <c r="C30" i="11"/>
  <c r="B33" i="10"/>
  <c r="B34" i="10"/>
  <c r="D30" i="11"/>
  <c r="C67" i="11"/>
  <c r="B93" i="10"/>
  <c r="B72" i="11"/>
  <c r="B107" i="10"/>
  <c r="D72" i="11"/>
  <c r="B109" i="10"/>
  <c r="B56" i="11"/>
  <c r="B77" i="10"/>
  <c r="B73" i="11"/>
  <c r="B110" i="10"/>
  <c r="C69" i="11"/>
  <c r="B99" i="10"/>
  <c r="D55" i="11"/>
  <c r="B76" i="10"/>
  <c r="B32" i="10"/>
  <c r="B30" i="11"/>
  <c r="C71" i="11"/>
  <c r="B105" i="10"/>
  <c r="C68" i="11"/>
  <c r="B96" i="10"/>
  <c r="H73" i="9"/>
  <c r="H72" i="9"/>
  <c r="H71" i="9"/>
  <c r="G20" i="9"/>
  <c r="H33" i="9" s="1"/>
  <c r="B103" i="9"/>
  <c r="I87" i="9"/>
  <c r="G18" i="9"/>
  <c r="B87" i="9"/>
  <c r="I18" i="9" s="1"/>
  <c r="K88" i="9"/>
  <c r="J21" i="9"/>
  <c r="K18" i="9"/>
  <c r="K21" i="9"/>
  <c r="K19" i="9"/>
  <c r="K20" i="9"/>
  <c r="I21" i="9"/>
  <c r="I19" i="9"/>
  <c r="J27" i="9" s="1"/>
  <c r="I20" i="9"/>
  <c r="M57" i="9"/>
  <c r="K68" i="9"/>
  <c r="K67" i="9"/>
  <c r="G72" i="9"/>
  <c r="B104" i="9"/>
  <c r="G19" i="9"/>
  <c r="H27" i="9" s="1"/>
  <c r="G87" i="9"/>
  <c r="D91" i="9"/>
  <c r="C65" i="11"/>
  <c r="B84" i="10"/>
  <c r="C55" i="11"/>
  <c r="B75" i="10"/>
  <c r="D69" i="11"/>
  <c r="B100" i="10"/>
  <c r="D65" i="11"/>
  <c r="B85" i="10"/>
  <c r="D67" i="11"/>
  <c r="B94" i="10"/>
  <c r="C72" i="11"/>
  <c r="B108" i="10"/>
  <c r="B69" i="11"/>
  <c r="B98" i="10"/>
  <c r="B67" i="11"/>
  <c r="B92" i="10"/>
  <c r="O103" i="13"/>
  <c r="O114" i="13"/>
  <c r="C73" i="11"/>
  <c r="B111" i="10"/>
  <c r="N104" i="13"/>
  <c r="C60" i="11" s="1"/>
  <c r="N103" i="13"/>
  <c r="N114" i="13"/>
  <c r="M103" i="13"/>
  <c r="M114" i="13"/>
  <c r="B71" i="11"/>
  <c r="B104" i="10"/>
  <c r="D71" i="11"/>
  <c r="B106" i="10"/>
  <c r="D68" i="11"/>
  <c r="B97" i="10"/>
  <c r="B55" i="11"/>
  <c r="B74" i="10"/>
  <c r="L91" i="9"/>
  <c r="S7" i="9"/>
  <c r="B67" i="9"/>
  <c r="B68" i="9"/>
  <c r="D67" i="9"/>
  <c r="D68" i="9"/>
  <c r="F67" i="9"/>
  <c r="F68" i="9"/>
  <c r="H67" i="9"/>
  <c r="H68" i="9"/>
  <c r="J67" i="9"/>
  <c r="J68" i="9"/>
  <c r="C68" i="9"/>
  <c r="C67" i="9"/>
  <c r="I68" i="9"/>
  <c r="I67" i="9"/>
  <c r="B33" i="9"/>
  <c r="B27" i="9"/>
  <c r="L67" i="9"/>
  <c r="L68" i="9"/>
  <c r="M101" i="14"/>
  <c r="L101" i="14"/>
  <c r="K72" i="9"/>
  <c r="H18" i="9"/>
  <c r="I30" i="9"/>
  <c r="L72" i="9"/>
  <c r="H30" i="9"/>
  <c r="L33" i="9"/>
  <c r="Q7" i="9"/>
  <c r="M14" i="9"/>
  <c r="F7" i="8"/>
  <c r="M45" i="9"/>
  <c r="E68" i="9"/>
  <c r="E67" i="9"/>
  <c r="G68" i="9"/>
  <c r="G67" i="9"/>
  <c r="G91" i="9"/>
  <c r="E71" i="9"/>
  <c r="I71" i="9"/>
  <c r="I73" i="9"/>
  <c r="O104" i="13"/>
  <c r="B60" i="11" s="1"/>
  <c r="O109" i="13"/>
  <c r="O118" i="13"/>
  <c r="N105" i="13"/>
  <c r="C61" i="11" s="1"/>
  <c r="N118" i="13"/>
  <c r="M104" i="13"/>
  <c r="D60" i="11" s="1"/>
  <c r="M105" i="13"/>
  <c r="D61" i="11" s="1"/>
  <c r="M118" i="13"/>
  <c r="C16" i="8"/>
  <c r="C21" i="8" s="1"/>
  <c r="C24" i="8" s="1"/>
  <c r="B24" i="8"/>
  <c r="E23" i="8"/>
  <c r="E15" i="8"/>
  <c r="F14" i="8"/>
  <c r="G12" i="8"/>
  <c r="K14" i="1"/>
  <c r="I14" i="1"/>
  <c r="G14" i="1"/>
  <c r="E14" i="1"/>
  <c r="C14" i="1"/>
  <c r="J23" i="2"/>
  <c r="J14" i="1"/>
  <c r="H14" i="1"/>
  <c r="F14" i="1"/>
  <c r="D14" i="1"/>
  <c r="I23" i="2"/>
  <c r="E23" i="2"/>
  <c r="E1" i="2"/>
  <c r="E1" i="4"/>
  <c r="E1" i="3"/>
  <c r="H16" i="2"/>
  <c r="D16" i="2"/>
  <c r="D48" i="15" s="1"/>
  <c r="K23" i="2"/>
  <c r="G16" i="2"/>
  <c r="G48" i="15" s="1"/>
  <c r="F23" i="2"/>
  <c r="C23" i="2"/>
  <c r="I16" i="2"/>
  <c r="E16" i="2"/>
  <c r="E48" i="15" s="1"/>
  <c r="K16" i="2"/>
  <c r="C16" i="2"/>
  <c r="C48" i="15" s="1"/>
  <c r="G23" i="2"/>
  <c r="J16" i="2"/>
  <c r="J48" i="15" s="1"/>
  <c r="F16" i="2"/>
  <c r="F48" i="15" s="1"/>
  <c r="E6" i="1"/>
  <c r="E5" i="26" s="1"/>
  <c r="E39" i="26" s="1"/>
  <c r="H23" i="2"/>
  <c r="D23" i="2"/>
  <c r="I6" i="1"/>
  <c r="I5" i="26" s="1"/>
  <c r="I39" i="26" s="1"/>
  <c r="J6" i="1"/>
  <c r="J5" i="26" s="1"/>
  <c r="J39" i="26" s="1"/>
  <c r="F6" i="1"/>
  <c r="F5" i="26" s="1"/>
  <c r="F39" i="26" s="1"/>
  <c r="K6" i="1"/>
  <c r="K5" i="26" s="1"/>
  <c r="K39" i="26" s="1"/>
  <c r="G6" i="1"/>
  <c r="G5" i="26" s="1"/>
  <c r="G39" i="26" s="1"/>
  <c r="C6" i="1"/>
  <c r="C5" i="26" s="1"/>
  <c r="H6" i="1"/>
  <c r="H5" i="26" s="1"/>
  <c r="H39" i="26" s="1"/>
  <c r="D6" i="1"/>
  <c r="D5" i="26" s="1"/>
  <c r="D39" i="26" s="1"/>
  <c r="B6" i="1"/>
  <c r="B5" i="26" s="1"/>
  <c r="H1" i="1"/>
  <c r="E6" i="25" l="1"/>
  <c r="E66" i="26"/>
  <c r="F62" i="15"/>
  <c r="D61" i="15"/>
  <c r="D64" i="26" s="1"/>
  <c r="C5" i="25"/>
  <c r="C65" i="26"/>
  <c r="E5" i="25"/>
  <c r="E65" i="26"/>
  <c r="I53" i="26"/>
  <c r="D5" i="25"/>
  <c r="D65" i="26"/>
  <c r="I90" i="9"/>
  <c r="I91" i="9" s="1"/>
  <c r="J5" i="25"/>
  <c r="J65" i="26"/>
  <c r="H5" i="25"/>
  <c r="H65" i="26"/>
  <c r="K6" i="25"/>
  <c r="K66" i="26"/>
  <c r="G5" i="25"/>
  <c r="G65" i="26"/>
  <c r="I5" i="25"/>
  <c r="I65" i="26"/>
  <c r="M36" i="18"/>
  <c r="O8" i="18"/>
  <c r="O42" i="18"/>
  <c r="I62" i="15"/>
  <c r="D65" i="19"/>
  <c r="F65" i="19"/>
  <c r="H65" i="19"/>
  <c r="J65" i="19"/>
  <c r="H62" i="15"/>
  <c r="J7" i="25"/>
  <c r="J62" i="15"/>
  <c r="G62" i="15"/>
  <c r="E7" i="25"/>
  <c r="I7" i="25"/>
  <c r="C53" i="19"/>
  <c r="C27" i="19"/>
  <c r="C33" i="19" s="1"/>
  <c r="E53" i="19"/>
  <c r="E27" i="19"/>
  <c r="E33" i="19" s="1"/>
  <c r="E35" i="19" s="1"/>
  <c r="G53" i="19"/>
  <c r="G27" i="19"/>
  <c r="G33" i="19" s="1"/>
  <c r="G35" i="19" s="1"/>
  <c r="I53" i="19"/>
  <c r="I27" i="19"/>
  <c r="I33" i="19" s="1"/>
  <c r="K53" i="19"/>
  <c r="K27" i="19"/>
  <c r="K33" i="19" s="1"/>
  <c r="D53" i="19"/>
  <c r="D27" i="19"/>
  <c r="D33" i="19" s="1"/>
  <c r="F53" i="19"/>
  <c r="F27" i="19"/>
  <c r="F33" i="19" s="1"/>
  <c r="F35" i="19" s="1"/>
  <c r="H53" i="19"/>
  <c r="H27" i="19"/>
  <c r="H33" i="19" s="1"/>
  <c r="H35" i="19" s="1"/>
  <c r="J53" i="19"/>
  <c r="J27" i="19"/>
  <c r="J33" i="19" s="1"/>
  <c r="F4" i="9"/>
  <c r="O35" i="18"/>
  <c r="O36" i="18"/>
  <c r="O9" i="18"/>
  <c r="O87" i="15"/>
  <c r="D19" i="1"/>
  <c r="D6" i="26" s="1"/>
  <c r="D5" i="15"/>
  <c r="K19" i="1"/>
  <c r="K6" i="26" s="1"/>
  <c r="P5" i="15"/>
  <c r="N5" i="15"/>
  <c r="Q5" i="15" s="1"/>
  <c r="K5" i="15"/>
  <c r="O5" i="15"/>
  <c r="J49" i="15"/>
  <c r="J35" i="15"/>
  <c r="J90" i="15"/>
  <c r="J88" i="15"/>
  <c r="E90" i="15"/>
  <c r="E88" i="15"/>
  <c r="E49" i="15"/>
  <c r="E35" i="15"/>
  <c r="D49" i="15"/>
  <c r="D35" i="15"/>
  <c r="D90" i="15"/>
  <c r="D88" i="15"/>
  <c r="H19" i="1"/>
  <c r="H6" i="26" s="1"/>
  <c r="H5" i="15"/>
  <c r="G19" i="1"/>
  <c r="G6" i="26" s="1"/>
  <c r="G5" i="15"/>
  <c r="F19" i="1"/>
  <c r="F6" i="26" s="1"/>
  <c r="F5" i="15"/>
  <c r="I19" i="1"/>
  <c r="I6" i="26" s="1"/>
  <c r="I5" i="15"/>
  <c r="F49" i="15"/>
  <c r="F35" i="15"/>
  <c r="F90" i="15"/>
  <c r="F88" i="15"/>
  <c r="L48" i="15"/>
  <c r="K48" i="15"/>
  <c r="I24" i="2"/>
  <c r="I48" i="15"/>
  <c r="H24" i="2"/>
  <c r="H48" i="15"/>
  <c r="AU9" i="12"/>
  <c r="G120" i="13"/>
  <c r="G27" i="18"/>
  <c r="G26" i="18"/>
  <c r="K5" i="9"/>
  <c r="K4" i="9"/>
  <c r="K3" i="9"/>
  <c r="F28" i="15"/>
  <c r="I27" i="18"/>
  <c r="I26" i="18"/>
  <c r="N12" i="18"/>
  <c r="O12" i="18"/>
  <c r="N42" i="18"/>
  <c r="N35" i="18"/>
  <c r="H26" i="18"/>
  <c r="H27" i="18"/>
  <c r="Q113" i="15"/>
  <c r="P113" i="15"/>
  <c r="O113" i="15"/>
  <c r="N113" i="15"/>
  <c r="E2" i="11"/>
  <c r="AV13" i="12"/>
  <c r="B2" i="10"/>
  <c r="B2" i="11"/>
  <c r="C2" i="11"/>
  <c r="B3" i="10"/>
  <c r="N11" i="9"/>
  <c r="Q13" i="15"/>
  <c r="Q3" i="15"/>
  <c r="Q14" i="15"/>
  <c r="P4" i="9"/>
  <c r="P3" i="9"/>
  <c r="P5" i="9"/>
  <c r="C74" i="15"/>
  <c r="I74" i="15"/>
  <c r="I77" i="15" s="1"/>
  <c r="I61" i="15"/>
  <c r="I64" i="26" s="1"/>
  <c r="K86" i="14"/>
  <c r="J124" i="15"/>
  <c r="J127" i="15" s="1"/>
  <c r="AU7" i="12"/>
  <c r="E120" i="13"/>
  <c r="N36" i="18"/>
  <c r="M17" i="18"/>
  <c r="N17" i="18"/>
  <c r="O17" i="18"/>
  <c r="O38" i="18"/>
  <c r="M38" i="18"/>
  <c r="N38" i="18"/>
  <c r="J90" i="9"/>
  <c r="C4" i="9"/>
  <c r="C5" i="9"/>
  <c r="C3" i="9"/>
  <c r="AU8" i="12"/>
  <c r="F120" i="13"/>
  <c r="F25" i="18"/>
  <c r="O25" i="18" s="1"/>
  <c r="D5" i="9"/>
  <c r="D7" i="9" s="1"/>
  <c r="D3" i="9"/>
  <c r="D4" i="9"/>
  <c r="F5" i="9"/>
  <c r="F3" i="9"/>
  <c r="AU13" i="12"/>
  <c r="K120" i="13"/>
  <c r="E75" i="11" s="1"/>
  <c r="K26" i="18"/>
  <c r="K27" i="18"/>
  <c r="P20" i="9"/>
  <c r="P18" i="9"/>
  <c r="P21" i="9"/>
  <c r="P19" i="9"/>
  <c r="K90" i="9"/>
  <c r="K91" i="9" s="1"/>
  <c r="L19" i="9"/>
  <c r="L21" i="9"/>
  <c r="L20" i="9"/>
  <c r="L18" i="9"/>
  <c r="D8" i="15"/>
  <c r="N5" i="9"/>
  <c r="N4" i="9"/>
  <c r="N3" i="9"/>
  <c r="F74" i="15"/>
  <c r="F77" i="15" s="1"/>
  <c r="F61" i="15"/>
  <c r="F86" i="14"/>
  <c r="E124" i="15"/>
  <c r="J86" i="14"/>
  <c r="I124" i="15"/>
  <c r="I127" i="15" s="1"/>
  <c r="H8" i="15"/>
  <c r="H127" i="15" s="1"/>
  <c r="F4" i="8"/>
  <c r="E74" i="15"/>
  <c r="E77" i="15" s="1"/>
  <c r="E61" i="15"/>
  <c r="E64" i="26" s="1"/>
  <c r="D3" i="11"/>
  <c r="B7" i="10"/>
  <c r="O8" i="15"/>
  <c r="P8" i="15"/>
  <c r="O13" i="9" s="1"/>
  <c r="K8" i="15"/>
  <c r="O14" i="9" s="1"/>
  <c r="C19" i="1"/>
  <c r="C6" i="26" s="1"/>
  <c r="C5" i="15"/>
  <c r="J19" i="1"/>
  <c r="J6" i="26" s="1"/>
  <c r="J5" i="15"/>
  <c r="E19" i="1"/>
  <c r="E6" i="26" s="1"/>
  <c r="E5" i="15"/>
  <c r="C90" i="15"/>
  <c r="C88" i="15"/>
  <c r="C49" i="15"/>
  <c r="C35" i="15"/>
  <c r="G90" i="15"/>
  <c r="G88" i="15"/>
  <c r="G49" i="15"/>
  <c r="G35" i="15"/>
  <c r="AU11" i="12"/>
  <c r="I120" i="13"/>
  <c r="O10" i="18"/>
  <c r="G15" i="18"/>
  <c r="G20" i="18"/>
  <c r="G23" i="18"/>
  <c r="M30" i="18"/>
  <c r="N30" i="18"/>
  <c r="O30" i="18"/>
  <c r="AU10" i="12"/>
  <c r="H120" i="13"/>
  <c r="H90" i="9"/>
  <c r="D26" i="18"/>
  <c r="D27" i="18"/>
  <c r="AU6" i="12"/>
  <c r="D120" i="13"/>
  <c r="A24" i="9"/>
  <c r="K28" i="15"/>
  <c r="P87" i="15"/>
  <c r="Q87" i="15"/>
  <c r="B4" i="10"/>
  <c r="D2" i="11"/>
  <c r="G74" i="15"/>
  <c r="G77" i="15" s="1"/>
  <c r="G61" i="15"/>
  <c r="G64" i="26" s="1"/>
  <c r="E86" i="14"/>
  <c r="D124" i="15"/>
  <c r="B26" i="18"/>
  <c r="B27" i="18"/>
  <c r="AU4" i="12"/>
  <c r="B120" i="13"/>
  <c r="AU5" i="12"/>
  <c r="C120" i="13"/>
  <c r="C27" i="18"/>
  <c r="C26" i="18"/>
  <c r="E27" i="18"/>
  <c r="E26" i="18"/>
  <c r="E90" i="9"/>
  <c r="E91" i="9" s="1"/>
  <c r="H15" i="18"/>
  <c r="H20" i="18"/>
  <c r="O20" i="18" s="1"/>
  <c r="H23" i="18"/>
  <c r="M10" i="18"/>
  <c r="N8" i="18"/>
  <c r="J26" i="18"/>
  <c r="J27" i="18"/>
  <c r="AU12" i="12"/>
  <c r="J120" i="13"/>
  <c r="E5" i="9"/>
  <c r="E7" i="9" s="1"/>
  <c r="E3" i="9"/>
  <c r="E4" i="9"/>
  <c r="F26" i="18"/>
  <c r="F27" i="18"/>
  <c r="G4" i="9"/>
  <c r="G3" i="9"/>
  <c r="F90" i="9"/>
  <c r="F91" i="9" s="1"/>
  <c r="G101" i="14"/>
  <c r="F77" i="9" s="1"/>
  <c r="K101" i="14"/>
  <c r="J77" i="9" s="1"/>
  <c r="Q4" i="15"/>
  <c r="H101" i="14"/>
  <c r="G77" i="9" s="1"/>
  <c r="J101" i="14"/>
  <c r="I77" i="9" s="1"/>
  <c r="I101" i="14"/>
  <c r="H77" i="9" s="1"/>
  <c r="C101" i="14"/>
  <c r="B77" i="9" s="1"/>
  <c r="N28" i="17"/>
  <c r="N38" i="17"/>
  <c r="M28" i="17"/>
  <c r="M38" i="17"/>
  <c r="D74" i="15"/>
  <c r="D77" i="15" s="1"/>
  <c r="H74" i="15"/>
  <c r="H77" i="15" s="1"/>
  <c r="H61" i="15"/>
  <c r="J74" i="15"/>
  <c r="J77" i="15" s="1"/>
  <c r="J61" i="15"/>
  <c r="J64" i="26" s="1"/>
  <c r="D85" i="14"/>
  <c r="H85" i="14"/>
  <c r="L86" i="14"/>
  <c r="K124" i="15"/>
  <c r="K127" i="15" s="1"/>
  <c r="E8" i="15"/>
  <c r="C3" i="11"/>
  <c r="B6" i="10"/>
  <c r="E3" i="11"/>
  <c r="AW13" i="12"/>
  <c r="B24" i="9"/>
  <c r="F3" i="8" s="1"/>
  <c r="K74" i="15"/>
  <c r="K77" i="15" s="1"/>
  <c r="K61" i="15"/>
  <c r="K64" i="26" s="1"/>
  <c r="G85" i="14"/>
  <c r="I86" i="14"/>
  <c r="P44" i="15"/>
  <c r="Q44" i="15"/>
  <c r="O44" i="15"/>
  <c r="D74" i="11"/>
  <c r="B115" i="10"/>
  <c r="B65" i="11"/>
  <c r="B83" i="10"/>
  <c r="L77" i="9"/>
  <c r="K77" i="9"/>
  <c r="D70" i="11"/>
  <c r="B103" i="10"/>
  <c r="C70" i="11"/>
  <c r="B102" i="10"/>
  <c r="B59" i="11"/>
  <c r="B80" i="10"/>
  <c r="G88" i="9"/>
  <c r="J19" i="9"/>
  <c r="K27" i="9" s="1"/>
  <c r="H91" i="9"/>
  <c r="J30" i="9"/>
  <c r="J33" i="9"/>
  <c r="K30" i="9"/>
  <c r="B88" i="9"/>
  <c r="J18" i="9"/>
  <c r="I88" i="9"/>
  <c r="B107" i="9" s="1"/>
  <c r="J20" i="9"/>
  <c r="J91" i="9"/>
  <c r="C74" i="11"/>
  <c r="B114" i="10"/>
  <c r="B74" i="11"/>
  <c r="B113" i="10"/>
  <c r="D59" i="11"/>
  <c r="B82" i="10"/>
  <c r="C59" i="11"/>
  <c r="B81" i="10"/>
  <c r="B70" i="11"/>
  <c r="B101" i="10"/>
  <c r="C26" i="8"/>
  <c r="C25" i="8"/>
  <c r="B37" i="8"/>
  <c r="F23" i="8"/>
  <c r="F15" i="8"/>
  <c r="B36" i="8"/>
  <c r="D36" i="8" s="1"/>
  <c r="B26" i="8"/>
  <c r="C36" i="8" s="1"/>
  <c r="B25" i="8"/>
  <c r="H12" i="8"/>
  <c r="G14" i="8"/>
  <c r="D16" i="8"/>
  <c r="K24" i="2"/>
  <c r="J24" i="2"/>
  <c r="F24" i="2"/>
  <c r="D24" i="2"/>
  <c r="C24" i="2"/>
  <c r="E24" i="2"/>
  <c r="G24" i="2"/>
  <c r="C3" i="4"/>
  <c r="D3" i="4"/>
  <c r="E3" i="4"/>
  <c r="F3" i="4"/>
  <c r="G3" i="4"/>
  <c r="H3" i="4"/>
  <c r="I3" i="4"/>
  <c r="J3" i="4"/>
  <c r="K3" i="4"/>
  <c r="C3" i="2"/>
  <c r="D3" i="2"/>
  <c r="E3" i="2"/>
  <c r="F3" i="2"/>
  <c r="G3" i="2"/>
  <c r="H3" i="2"/>
  <c r="I3" i="2"/>
  <c r="J3" i="2"/>
  <c r="K3" i="2"/>
  <c r="C3" i="3"/>
  <c r="D3" i="3"/>
  <c r="E3" i="3"/>
  <c r="F3" i="3"/>
  <c r="G3" i="3"/>
  <c r="H3" i="3"/>
  <c r="I3" i="3"/>
  <c r="J3" i="3"/>
  <c r="K3" i="3"/>
  <c r="C3" i="1"/>
  <c r="C1" i="15" s="1"/>
  <c r="D3" i="1"/>
  <c r="D1" i="15" s="1"/>
  <c r="E3" i="1"/>
  <c r="E1" i="15" s="1"/>
  <c r="F3" i="1"/>
  <c r="F1" i="15" s="1"/>
  <c r="G3" i="1"/>
  <c r="G1" i="15" s="1"/>
  <c r="H3" i="1"/>
  <c r="H1" i="15" s="1"/>
  <c r="I3" i="1"/>
  <c r="I1" i="15" s="1"/>
  <c r="J3" i="1"/>
  <c r="J1" i="15" s="1"/>
  <c r="K3" i="1"/>
  <c r="K1" i="15" s="1"/>
  <c r="F4" i="25" l="1"/>
  <c r="F64" i="26"/>
  <c r="F5" i="25"/>
  <c r="H7" i="25" s="1"/>
  <c r="F65" i="26"/>
  <c r="E67" i="26"/>
  <c r="F67" i="26"/>
  <c r="F6" i="25"/>
  <c r="F66" i="26"/>
  <c r="H4" i="25"/>
  <c r="H64" i="26"/>
  <c r="G6" i="25"/>
  <c r="G66" i="26"/>
  <c r="I6" i="25"/>
  <c r="I66" i="26"/>
  <c r="I67" i="26"/>
  <c r="G67" i="26"/>
  <c r="H67" i="26"/>
  <c r="J67" i="26"/>
  <c r="K5" i="25"/>
  <c r="K7" i="25" s="1"/>
  <c r="K65" i="26"/>
  <c r="K67" i="26" s="1"/>
  <c r="J6" i="25"/>
  <c r="J66" i="26"/>
  <c r="H6" i="25"/>
  <c r="H66" i="26"/>
  <c r="Q48" i="15"/>
  <c r="G7" i="25"/>
  <c r="F7" i="25"/>
  <c r="E62" i="19"/>
  <c r="K46" i="18"/>
  <c r="K4" i="25"/>
  <c r="J46" i="18"/>
  <c r="J4" i="25"/>
  <c r="D46" i="18"/>
  <c r="D4" i="25"/>
  <c r="G46" i="18"/>
  <c r="G4" i="25"/>
  <c r="E46" i="18"/>
  <c r="E4" i="25"/>
  <c r="I46" i="18"/>
  <c r="I4" i="25"/>
  <c r="G62" i="19"/>
  <c r="F62" i="19"/>
  <c r="J35" i="19"/>
  <c r="J62" i="19"/>
  <c r="D35" i="19"/>
  <c r="D62" i="19"/>
  <c r="K35" i="19"/>
  <c r="K62" i="19"/>
  <c r="I35" i="19"/>
  <c r="I62" i="19"/>
  <c r="C35" i="19"/>
  <c r="C62" i="19"/>
  <c r="H62" i="19"/>
  <c r="K36" i="15"/>
  <c r="K64" i="15" s="1"/>
  <c r="K81" i="15" s="1"/>
  <c r="K109" i="15" s="1"/>
  <c r="K26" i="15"/>
  <c r="I36" i="15"/>
  <c r="I64" i="15" s="1"/>
  <c r="I81" i="15" s="1"/>
  <c r="I109" i="15" s="1"/>
  <c r="I26" i="15"/>
  <c r="G36" i="15"/>
  <c r="G64" i="15" s="1"/>
  <c r="G81" i="15" s="1"/>
  <c r="G109" i="15" s="1"/>
  <c r="G26" i="15"/>
  <c r="E36" i="15"/>
  <c r="E64" i="15" s="1"/>
  <c r="E81" i="15" s="1"/>
  <c r="E109" i="15" s="1"/>
  <c r="E26" i="15"/>
  <c r="C36" i="15"/>
  <c r="C64" i="15" s="1"/>
  <c r="C81" i="15" s="1"/>
  <c r="C109" i="15" s="1"/>
  <c r="C26" i="15"/>
  <c r="K33" i="9"/>
  <c r="B108" i="9"/>
  <c r="H86" i="14"/>
  <c r="G124" i="15"/>
  <c r="G127" i="15" s="1"/>
  <c r="O27" i="18"/>
  <c r="N23" i="18"/>
  <c r="O23" i="18"/>
  <c r="N15" i="18"/>
  <c r="M120" i="13"/>
  <c r="C27" i="9"/>
  <c r="F27" i="9" s="1"/>
  <c r="O12" i="9"/>
  <c r="R22" i="8"/>
  <c r="C7" i="9"/>
  <c r="C77" i="15"/>
  <c r="O15" i="18"/>
  <c r="M27" i="18"/>
  <c r="N27" i="18"/>
  <c r="L49" i="15"/>
  <c r="N49" i="15" s="1"/>
  <c r="N48" i="15"/>
  <c r="F53" i="15"/>
  <c r="F68" i="15" s="1"/>
  <c r="F52" i="15"/>
  <c r="F67" i="15" s="1"/>
  <c r="J53" i="15"/>
  <c r="J52" i="15"/>
  <c r="J36" i="15"/>
  <c r="J64" i="15" s="1"/>
  <c r="J81" i="15" s="1"/>
  <c r="J109" i="15" s="1"/>
  <c r="J26" i="15"/>
  <c r="H36" i="15"/>
  <c r="H64" i="15" s="1"/>
  <c r="H81" i="15" s="1"/>
  <c r="H109" i="15" s="1"/>
  <c r="H26" i="15"/>
  <c r="F36" i="15"/>
  <c r="F64" i="15" s="1"/>
  <c r="F81" i="15" s="1"/>
  <c r="F109" i="15" s="1"/>
  <c r="F26" i="15"/>
  <c r="D36" i="15"/>
  <c r="D64" i="15" s="1"/>
  <c r="D81" i="15" s="1"/>
  <c r="D109" i="15" s="1"/>
  <c r="D26" i="15"/>
  <c r="G86" i="14"/>
  <c r="F124" i="15"/>
  <c r="F127" i="15" s="1"/>
  <c r="B5" i="9"/>
  <c r="C124" i="15"/>
  <c r="H5" i="9"/>
  <c r="H46" i="18"/>
  <c r="O26" i="18"/>
  <c r="O120" i="13"/>
  <c r="D127" i="15"/>
  <c r="N46" i="18"/>
  <c r="N20" i="18"/>
  <c r="G53" i="15"/>
  <c r="G68" i="15" s="1"/>
  <c r="G52" i="15"/>
  <c r="G67" i="15" s="1"/>
  <c r="C53" i="15"/>
  <c r="C68" i="15" s="1"/>
  <c r="C52" i="15"/>
  <c r="C67" i="15" s="1"/>
  <c r="E127" i="15"/>
  <c r="F46" i="18"/>
  <c r="H4" i="9"/>
  <c r="H3" i="9"/>
  <c r="M46" i="18"/>
  <c r="M26" i="18"/>
  <c r="N26" i="18"/>
  <c r="N120" i="13"/>
  <c r="H49" i="15"/>
  <c r="H35" i="15"/>
  <c r="H90" i="15"/>
  <c r="H88" i="15"/>
  <c r="P48" i="15"/>
  <c r="I90" i="15"/>
  <c r="I88" i="15"/>
  <c r="I49" i="15"/>
  <c r="I35" i="15"/>
  <c r="K90" i="15"/>
  <c r="K88" i="15"/>
  <c r="L35" i="15"/>
  <c r="N35" i="15" s="1"/>
  <c r="I33" i="9" s="1"/>
  <c r="K49" i="15"/>
  <c r="K35" i="15"/>
  <c r="O48" i="15"/>
  <c r="D53" i="15"/>
  <c r="D52" i="15"/>
  <c r="E53" i="15"/>
  <c r="E68" i="15" s="1"/>
  <c r="E52" i="15"/>
  <c r="E67" i="15" s="1"/>
  <c r="D21" i="8"/>
  <c r="D24" i="8" s="1"/>
  <c r="G23" i="8"/>
  <c r="G15" i="8"/>
  <c r="G36" i="8"/>
  <c r="I36" i="8" s="1"/>
  <c r="B27" i="8"/>
  <c r="H36" i="8" s="1"/>
  <c r="G37" i="8"/>
  <c r="C27" i="8"/>
  <c r="H14" i="8"/>
  <c r="I12" i="8"/>
  <c r="C37" i="8"/>
  <c r="D37" i="8"/>
  <c r="B7" i="4"/>
  <c r="B6" i="4"/>
  <c r="B5" i="4"/>
  <c r="C11" i="15" s="1"/>
  <c r="B4" i="4"/>
  <c r="C10" i="15" s="1"/>
  <c r="B3" i="4"/>
  <c r="K21" i="2"/>
  <c r="J21" i="2"/>
  <c r="I21" i="2"/>
  <c r="H21" i="2"/>
  <c r="G21" i="2"/>
  <c r="F21" i="2"/>
  <c r="E21" i="2"/>
  <c r="D21" i="2"/>
  <c r="C21" i="2"/>
  <c r="B18" i="2"/>
  <c r="C23" i="26" s="1"/>
  <c r="B13" i="2"/>
  <c r="B12" i="2"/>
  <c r="B11" i="2"/>
  <c r="B26" i="26" s="1"/>
  <c r="B10" i="2"/>
  <c r="B8" i="2"/>
  <c r="B60" i="19" s="1"/>
  <c r="B61" i="19" s="1"/>
  <c r="B7" i="2"/>
  <c r="B6" i="2"/>
  <c r="B3" i="2"/>
  <c r="J14" i="3"/>
  <c r="H14" i="3"/>
  <c r="F14" i="3"/>
  <c r="D14" i="3"/>
  <c r="B12" i="3"/>
  <c r="B69" i="19" s="1"/>
  <c r="B11" i="3"/>
  <c r="B10" i="3"/>
  <c r="B9" i="3"/>
  <c r="B8" i="3"/>
  <c r="B7" i="3"/>
  <c r="B70" i="19" s="1"/>
  <c r="B4" i="3"/>
  <c r="B3" i="3"/>
  <c r="L15" i="1"/>
  <c r="B12" i="1"/>
  <c r="B12" i="26" s="1"/>
  <c r="B11" i="1"/>
  <c r="B10" i="1"/>
  <c r="B10" i="26" s="1"/>
  <c r="B9" i="1"/>
  <c r="B8" i="26" s="1"/>
  <c r="L8" i="26" s="1"/>
  <c r="L17" i="26" s="1"/>
  <c r="B8" i="1"/>
  <c r="B9" i="26" s="1"/>
  <c r="B20" i="2"/>
  <c r="B3" i="1"/>
  <c r="B52" i="26" l="1"/>
  <c r="L9" i="26"/>
  <c r="B11" i="26"/>
  <c r="B31" i="26"/>
  <c r="B48" i="26" s="1"/>
  <c r="L12" i="26"/>
  <c r="B13" i="26"/>
  <c r="B30" i="26"/>
  <c r="O49" i="15"/>
  <c r="O46" i="18"/>
  <c r="B21" i="2"/>
  <c r="B37" i="19"/>
  <c r="B75" i="19"/>
  <c r="B51" i="19"/>
  <c r="B54" i="19" s="1"/>
  <c r="B50" i="19"/>
  <c r="C65" i="19" s="1"/>
  <c r="D68" i="15"/>
  <c r="I53" i="15"/>
  <c r="I68" i="15" s="1"/>
  <c r="I52" i="15"/>
  <c r="I67" i="15" s="1"/>
  <c r="C75" i="11"/>
  <c r="B90" i="10"/>
  <c r="O20" i="8"/>
  <c r="J5" i="9"/>
  <c r="J67" i="15"/>
  <c r="N6" i="15"/>
  <c r="Q6" i="15" s="1"/>
  <c r="C6" i="15"/>
  <c r="N7" i="15"/>
  <c r="Q7" i="15" s="1"/>
  <c r="R18" i="13"/>
  <c r="C7" i="15"/>
  <c r="C18" i="13"/>
  <c r="AW5" i="12" s="1"/>
  <c r="B71" i="19"/>
  <c r="B72" i="19" s="1"/>
  <c r="E16" i="8"/>
  <c r="D67" i="15"/>
  <c r="L53" i="15"/>
  <c r="K52" i="15"/>
  <c r="K67" i="15" s="1"/>
  <c r="K53" i="15"/>
  <c r="K68" i="15" s="1"/>
  <c r="L52" i="15"/>
  <c r="H53" i="15"/>
  <c r="H52" i="15"/>
  <c r="P49" i="15"/>
  <c r="B75" i="11"/>
  <c r="B89" i="10"/>
  <c r="M30" i="9"/>
  <c r="G27" i="9"/>
  <c r="I3" i="9"/>
  <c r="I4" i="9"/>
  <c r="Q49" i="15"/>
  <c r="J68" i="15"/>
  <c r="R26" i="8"/>
  <c r="R27" i="8"/>
  <c r="D75" i="11"/>
  <c r="B91" i="10"/>
  <c r="O109" i="15"/>
  <c r="P109" i="15"/>
  <c r="Q109" i="15"/>
  <c r="J12" i="8"/>
  <c r="I14" i="8"/>
  <c r="E21" i="8"/>
  <c r="E24" i="8" s="1"/>
  <c r="H23" i="8"/>
  <c r="H15" i="8"/>
  <c r="I37" i="8"/>
  <c r="H37" i="8"/>
  <c r="B38" i="8"/>
  <c r="D26" i="8"/>
  <c r="D25" i="8"/>
  <c r="B13" i="1"/>
  <c r="B23" i="2"/>
  <c r="B16" i="2"/>
  <c r="B24" i="2" s="1"/>
  <c r="B14" i="3"/>
  <c r="E14" i="3"/>
  <c r="I14" i="3"/>
  <c r="C14" i="3"/>
  <c r="G14" i="3"/>
  <c r="K14" i="3"/>
  <c r="K23" i="1"/>
  <c r="G20" i="2"/>
  <c r="I20" i="2"/>
  <c r="K20" i="2"/>
  <c r="D20" i="2"/>
  <c r="F20" i="2"/>
  <c r="H20" i="2"/>
  <c r="J20" i="2"/>
  <c r="C20" i="2"/>
  <c r="E20" i="2"/>
  <c r="L12" i="1"/>
  <c r="K24" i="1"/>
  <c r="L11" i="1"/>
  <c r="L10" i="1"/>
  <c r="L9" i="1"/>
  <c r="L8" i="1"/>
  <c r="M8" i="1" s="1"/>
  <c r="L7" i="1"/>
  <c r="L6" i="1"/>
  <c r="L5" i="15" s="1"/>
  <c r="L4" i="1"/>
  <c r="A1" i="3"/>
  <c r="A1" i="2"/>
  <c r="A1" i="4" s="1"/>
  <c r="H23" i="1"/>
  <c r="I24" i="1"/>
  <c r="I23" i="1"/>
  <c r="J24" i="1"/>
  <c r="J23" i="1"/>
  <c r="B19" i="1"/>
  <c r="B6" i="26" l="1"/>
  <c r="B65" i="26"/>
  <c r="D67" i="26" s="1"/>
  <c r="H24" i="1"/>
  <c r="B5" i="25"/>
  <c r="D7" i="25" s="1"/>
  <c r="Q53" i="15"/>
  <c r="B53" i="19"/>
  <c r="B27" i="19"/>
  <c r="B33" i="19" s="1"/>
  <c r="B35" i="19" s="1"/>
  <c r="L6" i="15"/>
  <c r="L30" i="15"/>
  <c r="H68" i="15"/>
  <c r="P53" i="15"/>
  <c r="L68" i="15"/>
  <c r="N68" i="15" s="1"/>
  <c r="N53" i="15"/>
  <c r="Q52" i="15"/>
  <c r="R19" i="8"/>
  <c r="R17" i="8"/>
  <c r="R18" i="8"/>
  <c r="L23" i="1"/>
  <c r="L3" i="15"/>
  <c r="L89" i="15"/>
  <c r="L88" i="15"/>
  <c r="M9" i="1"/>
  <c r="L29" i="15"/>
  <c r="L111" i="15"/>
  <c r="L13" i="1"/>
  <c r="L31" i="15"/>
  <c r="L7" i="15"/>
  <c r="L91" i="15"/>
  <c r="L90" i="15"/>
  <c r="B14" i="1"/>
  <c r="C85" i="14"/>
  <c r="C8" i="15"/>
  <c r="N8" i="15"/>
  <c r="D86" i="14"/>
  <c r="H67" i="15"/>
  <c r="P52" i="15"/>
  <c r="L67" i="15"/>
  <c r="N67" i="15" s="1"/>
  <c r="N52" i="15"/>
  <c r="O52" i="15"/>
  <c r="B3" i="11"/>
  <c r="B5" i="10"/>
  <c r="O53" i="15"/>
  <c r="G38" i="8"/>
  <c r="D27" i="8"/>
  <c r="E26" i="8"/>
  <c r="E25" i="8"/>
  <c r="B39" i="8"/>
  <c r="I23" i="8"/>
  <c r="I15" i="8"/>
  <c r="C38" i="8"/>
  <c r="D38" i="8"/>
  <c r="F16" i="8"/>
  <c r="J14" i="8"/>
  <c r="K12" i="8"/>
  <c r="K14" i="8" s="1"/>
  <c r="L19" i="1"/>
  <c r="L24" i="1" s="1"/>
  <c r="M24" i="1" s="1"/>
  <c r="L5" i="1"/>
  <c r="N11" i="1"/>
  <c r="M11" i="1"/>
  <c r="M23" i="1"/>
  <c r="M4" i="1" s="1"/>
  <c r="N23" i="1"/>
  <c r="N4" i="1" s="1"/>
  <c r="N9" i="1"/>
  <c r="N8" i="1"/>
  <c r="N24" i="1" l="1"/>
  <c r="Q67" i="15"/>
  <c r="P67" i="15"/>
  <c r="O67" i="15"/>
  <c r="O11" i="9"/>
  <c r="Q8" i="15"/>
  <c r="O90" i="15"/>
  <c r="Q90" i="15"/>
  <c r="P90" i="15"/>
  <c r="L14" i="1"/>
  <c r="L8" i="15"/>
  <c r="B6" i="9"/>
  <c r="M85" i="14"/>
  <c r="N29" i="15"/>
  <c r="P29" i="15"/>
  <c r="O29" i="15"/>
  <c r="Q29" i="15"/>
  <c r="P88" i="15"/>
  <c r="O88" i="15"/>
  <c r="Q88" i="15"/>
  <c r="N30" i="15"/>
  <c r="P30" i="15"/>
  <c r="O30" i="15"/>
  <c r="Q30" i="15"/>
  <c r="L4" i="15"/>
  <c r="L27" i="15"/>
  <c r="O91" i="15"/>
  <c r="P91" i="15"/>
  <c r="Q91" i="15"/>
  <c r="N6" i="9"/>
  <c r="L74" i="15"/>
  <c r="N31" i="15"/>
  <c r="L61" i="15"/>
  <c r="H6" i="9" s="1"/>
  <c r="P31" i="15"/>
  <c r="Q31" i="15"/>
  <c r="O31" i="15"/>
  <c r="M31" i="15"/>
  <c r="M61" i="15" s="1"/>
  <c r="P6" i="9"/>
  <c r="P7" i="9" s="1"/>
  <c r="N111" i="15"/>
  <c r="O111" i="15"/>
  <c r="P111" i="15"/>
  <c r="Q111" i="15"/>
  <c r="P89" i="15"/>
  <c r="Q89" i="15"/>
  <c r="O89" i="15"/>
  <c r="O68" i="15"/>
  <c r="Q68" i="15"/>
  <c r="P68" i="15"/>
  <c r="J23" i="8"/>
  <c r="J15" i="8"/>
  <c r="C39" i="8"/>
  <c r="D39" i="8"/>
  <c r="K23" i="8"/>
  <c r="K15" i="8"/>
  <c r="F21" i="8"/>
  <c r="F24" i="8" s="1"/>
  <c r="G39" i="8"/>
  <c r="E27" i="8"/>
  <c r="I38" i="8"/>
  <c r="H38" i="8"/>
  <c r="M6" i="1"/>
  <c r="N6" i="1"/>
  <c r="G30" i="9" l="1"/>
  <c r="G33" i="9"/>
  <c r="N74" i="15"/>
  <c r="L77" i="15"/>
  <c r="P74" i="15"/>
  <c r="O74" i="15"/>
  <c r="Q74" i="15"/>
  <c r="M86" i="14"/>
  <c r="L124" i="15"/>
  <c r="B4" i="9"/>
  <c r="J3" i="9" s="1"/>
  <c r="B3" i="9"/>
  <c r="J4" i="9" s="1"/>
  <c r="D33" i="9"/>
  <c r="N7" i="9"/>
  <c r="C33" i="9"/>
  <c r="K6" i="9"/>
  <c r="K7" i="9" s="1"/>
  <c r="N27" i="15"/>
  <c r="L28" i="15"/>
  <c r="Q27" i="15"/>
  <c r="P27" i="15"/>
  <c r="O27" i="15"/>
  <c r="A30" i="9"/>
  <c r="B8" i="9"/>
  <c r="J6" i="9"/>
  <c r="B7" i="9"/>
  <c r="L25" i="1"/>
  <c r="H25" i="1"/>
  <c r="K25" i="1"/>
  <c r="M25" i="1" s="1"/>
  <c r="M14" i="1" s="1"/>
  <c r="J25" i="1"/>
  <c r="I25" i="1"/>
  <c r="B40" i="8"/>
  <c r="F26" i="8"/>
  <c r="F25" i="8"/>
  <c r="I39" i="8"/>
  <c r="H39" i="8"/>
  <c r="G16" i="8"/>
  <c r="M10" i="1"/>
  <c r="M12" i="1" s="1"/>
  <c r="M13" i="1" s="1"/>
  <c r="N10" i="1"/>
  <c r="N12" i="1" s="1"/>
  <c r="N13" i="1" s="1"/>
  <c r="N5" i="1"/>
  <c r="M5" i="1"/>
  <c r="N25" i="1" l="1"/>
  <c r="N14" i="1" s="1"/>
  <c r="N15" i="1" s="1"/>
  <c r="N77" i="15"/>
  <c r="Q77" i="15"/>
  <c r="O77" i="15"/>
  <c r="P77" i="15"/>
  <c r="J8" i="9"/>
  <c r="C30" i="9"/>
  <c r="J7" i="9"/>
  <c r="N28" i="15"/>
  <c r="P28" i="15"/>
  <c r="Q28" i="15"/>
  <c r="O28" i="15"/>
  <c r="L127" i="15"/>
  <c r="P124" i="15"/>
  <c r="Q124" i="15"/>
  <c r="O124" i="15"/>
  <c r="G21" i="8"/>
  <c r="G24" i="8" s="1"/>
  <c r="G40" i="8"/>
  <c r="F27" i="8"/>
  <c r="C40" i="8"/>
  <c r="D40" i="8"/>
  <c r="M15" i="1"/>
  <c r="H16" i="8" l="1"/>
  <c r="I6" i="9"/>
  <c r="P127" i="15"/>
  <c r="Q127" i="15"/>
  <c r="O127" i="15"/>
  <c r="G26" i="8"/>
  <c r="G25" i="8"/>
  <c r="B41" i="8"/>
  <c r="I40" i="8"/>
  <c r="H40" i="8"/>
  <c r="H21" i="8"/>
  <c r="H24" i="8" s="1"/>
  <c r="B30" i="9" l="1"/>
  <c r="I8" i="9"/>
  <c r="I7" i="9"/>
  <c r="I16" i="8"/>
  <c r="G41" i="8"/>
  <c r="G27" i="8"/>
  <c r="B42" i="8"/>
  <c r="H26" i="8"/>
  <c r="H25" i="8"/>
  <c r="C41" i="8"/>
  <c r="D41" i="8"/>
  <c r="I21" i="8" l="1"/>
  <c r="I24" i="8" s="1"/>
  <c r="I26" i="8" s="1"/>
  <c r="G42" i="8"/>
  <c r="H27" i="8"/>
  <c r="C42" i="8"/>
  <c r="D42" i="8"/>
  <c r="I41" i="8"/>
  <c r="H41" i="8"/>
  <c r="I25" i="8" l="1"/>
  <c r="G43" i="8" s="1"/>
  <c r="B43" i="8"/>
  <c r="D43" i="8" s="1"/>
  <c r="J16" i="8"/>
  <c r="J21" i="8" s="1"/>
  <c r="J24" i="8" s="1"/>
  <c r="I42" i="8"/>
  <c r="H42" i="8"/>
  <c r="C43" i="8"/>
  <c r="I27" i="8" l="1"/>
  <c r="K16" i="8"/>
  <c r="K21" i="8" s="1"/>
  <c r="K24" i="8" s="1"/>
  <c r="J26" i="8"/>
  <c r="B44" i="8"/>
  <c r="C44" i="8" s="1"/>
  <c r="J25" i="8"/>
  <c r="G44" i="8" s="1"/>
  <c r="K26" i="8"/>
  <c r="D44" i="8"/>
  <c r="I43" i="8"/>
  <c r="H43" i="8"/>
  <c r="K25" i="8" l="1"/>
  <c r="G45" i="8" s="1"/>
  <c r="I45" i="8" s="1"/>
  <c r="B45" i="8"/>
  <c r="J27" i="8"/>
  <c r="I44" i="8"/>
  <c r="H44" i="8"/>
  <c r="R4" i="8" l="1"/>
  <c r="R6" i="8" s="1"/>
  <c r="H45" i="8"/>
  <c r="C45" i="8"/>
  <c r="O4" i="8"/>
  <c r="O6" i="8" s="1"/>
  <c r="D45" i="8"/>
  <c r="O5" i="8" s="1"/>
  <c r="K27" i="8"/>
  <c r="R5" i="8"/>
  <c r="O7" i="8" l="1"/>
  <c r="R7" i="8"/>
  <c r="O9" i="8" l="1"/>
  <c r="O15" i="8" s="1"/>
  <c r="O10" i="8"/>
  <c r="O11" i="8"/>
  <c r="R9" i="8"/>
  <c r="R15" i="8" s="1"/>
  <c r="R11" i="8"/>
  <c r="R10" i="8"/>
</calcChain>
</file>

<file path=xl/comments1.xml><?xml version="1.0" encoding="utf-8"?>
<comments xmlns="http://schemas.openxmlformats.org/spreadsheetml/2006/main">
  <authors>
    <author>Kumar Saurabh</author>
  </authors>
  <commentList>
    <comment ref="B96" authorId="0">
      <text>
        <r>
          <rPr>
            <b/>
            <sz val="9"/>
            <color indexed="81"/>
            <rFont val="Tahoma"/>
            <family val="2"/>
          </rPr>
          <t>Kumar Saurabh:</t>
        </r>
        <r>
          <rPr>
            <sz val="9"/>
            <color indexed="81"/>
            <rFont val="Tahoma"/>
            <family val="2"/>
          </rPr>
          <t xml:space="preserve">
COGS or Sales?</t>
        </r>
      </text>
    </comment>
    <comment ref="B99" authorId="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authors>
    <author>Kumar Saurabh</author>
  </authors>
  <commentList>
    <comment ref="A59" authorId="0">
      <text>
        <r>
          <rPr>
            <b/>
            <sz val="9"/>
            <color indexed="81"/>
            <rFont val="Tahoma"/>
            <family val="2"/>
          </rPr>
          <t>Kumar Saurabh:</t>
        </r>
        <r>
          <rPr>
            <sz val="9"/>
            <color indexed="81"/>
            <rFont val="Tahoma"/>
            <family val="2"/>
          </rPr>
          <t xml:space="preserve">
Trades Receiavbles</t>
        </r>
      </text>
    </comment>
    <comment ref="A65" author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authors>
    <author>Kumar Saurabh</author>
    <author/>
  </authors>
  <commentList>
    <comment ref="A43" authorId="0">
      <text>
        <r>
          <rPr>
            <b/>
            <sz val="9"/>
            <color indexed="81"/>
            <rFont val="Tahoma"/>
            <family val="2"/>
          </rPr>
          <t>Kumar Saurabh:</t>
        </r>
        <r>
          <rPr>
            <sz val="9"/>
            <color indexed="81"/>
            <rFont val="Tahoma"/>
            <family val="2"/>
          </rPr>
          <t xml:space="preserve">
asset/(shareholder equity + liability)</t>
        </r>
      </text>
    </comment>
    <comment ref="A44" authorId="0">
      <text>
        <r>
          <rPr>
            <b/>
            <sz val="9"/>
            <color indexed="81"/>
            <rFont val="Tahoma"/>
            <family val="2"/>
          </rPr>
          <t>Kumar Saurabh:</t>
        </r>
        <r>
          <rPr>
            <sz val="9"/>
            <color indexed="81"/>
            <rFont val="Tahoma"/>
            <family val="2"/>
          </rPr>
          <t xml:space="preserve">
borrowing/pat</t>
        </r>
      </text>
    </comment>
    <comment ref="A45" authorId="0">
      <text>
        <r>
          <rPr>
            <b/>
            <sz val="9"/>
            <color indexed="81"/>
            <rFont val="Tahoma"/>
            <family val="2"/>
          </rPr>
          <t>Kumar Saurabh:</t>
        </r>
        <r>
          <rPr>
            <sz val="9"/>
            <color indexed="81"/>
            <rFont val="Tahoma"/>
            <family val="2"/>
          </rPr>
          <t xml:space="preserve">
working capital/pat</t>
        </r>
      </text>
    </comment>
    <comment ref="A46" authorId="1">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text>
        <r>
          <rPr>
            <sz val="9"/>
            <color indexed="8"/>
            <rFont val="Tahoma"/>
            <family val="2"/>
            <charset val="1"/>
          </rPr>
          <t xml:space="preserve">
</t>
        </r>
      </text>
    </comment>
    <comment ref="A50" authorId="0">
      <text>
        <r>
          <rPr>
            <b/>
            <sz val="9"/>
            <color indexed="81"/>
            <rFont val="Tahoma"/>
            <family val="2"/>
          </rPr>
          <t>Kumar Saurabh:</t>
        </r>
        <r>
          <rPr>
            <sz val="9"/>
            <color indexed="81"/>
            <rFont val="Tahoma"/>
            <family val="2"/>
          </rPr>
          <t xml:space="preserve">
how quickly cash is being collcted from debtors</t>
        </r>
      </text>
    </comment>
    <comment ref="A51" authorId="0">
      <text>
        <r>
          <rPr>
            <b/>
            <sz val="9"/>
            <color indexed="81"/>
            <rFont val="Tahoma"/>
            <family val="2"/>
          </rPr>
          <t>Kumar Saurabh:</t>
        </r>
        <r>
          <rPr>
            <sz val="9"/>
            <color indexed="81"/>
            <rFont val="Tahoma"/>
            <family val="2"/>
          </rPr>
          <t xml:space="preserve">
how quickly inventory is converted to sales</t>
        </r>
      </text>
    </comment>
    <comment ref="A52" authorId="1">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Vishal</author>
    <author>Safal Niveshak</author>
  </authors>
  <commentList>
    <comment ref="A10" author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<sst xmlns="http://schemas.openxmlformats.org/spreadsheetml/2006/main" count="1613" uniqueCount="1051">
  <si>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</si>
  <si>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</si>
  <si>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</si>
  <si>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</si>
  <si>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</si>
  <si>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</si>
  <si>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</si>
  <si>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</si>
  <si>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</si>
  <si>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</si>
  <si>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</si>
  <si>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</si>
  <si>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</si>
  <si>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</si>
  <si>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</si>
  <si>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</si>
  <si>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</si>
  <si>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</si>
  <si>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</si>
  <si>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</si>
  <si>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</si>
  <si>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</si>
  <si>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</si>
  <si>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</si>
  <si>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</si>
  <si>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</si>
  <si>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</si>
  <si>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</si>
  <si>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</si>
  <si>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</si>
  <si>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</si>
  <si>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</si>
  <si>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</si>
  <si>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</si>
  <si>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</si>
  <si>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</si>
  <si>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</si>
  <si>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</si>
  <si>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</si>
  <si>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</si>
  <si>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</si>
  <si>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</si>
  <si>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</si>
  <si>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</si>
  <si>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</si>
  <si>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</si>
  <si>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</si>
  <si>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</si>
  <si>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</si>
  <si>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</si>
  <si>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</si>
  <si>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</si>
  <si>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</si>
  <si>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</si>
  <si>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</si>
  <si>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</si>
  <si>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</si>
  <si>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</si>
  <si>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</si>
  <si>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</si>
  <si>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</si>
  <si>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</si>
  <si>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</si>
  <si>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</si>
  <si>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8K MILES SOFTWARE SERVICES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</si>
  <si>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</si>
  <si>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</si>
  <si>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</si>
  <si>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</si>
  <si>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</si>
  <si>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</si>
  <si>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</si>
  <si>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</si>
  <si>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</si>
  <si>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</si>
  <si>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</si>
  <si>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</si>
  <si>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</si>
  <si>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</si>
  <si>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</si>
  <si>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</si>
  <si>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</si>
  <si>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</si>
  <si>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</si>
  <si>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</si>
  <si>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</si>
  <si>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</si>
  <si>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</si>
  <si>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</si>
  <si>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</si>
  <si>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</si>
  <si>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</si>
  <si>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</si>
  <si>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</si>
  <si>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Share Price</t>
  </si>
  <si>
    <t>Growth Multiple Aggressive</t>
  </si>
  <si>
    <t>Next 2 Quarter Profit Aggressive</t>
  </si>
  <si>
    <t>No. of Shares</t>
  </si>
  <si>
    <t>Gorwth Multiple Moderate</t>
  </si>
  <si>
    <t>Next 2 Quarter Profit Moderate</t>
  </si>
  <si>
    <t>Last 2 Quarter Profit</t>
  </si>
  <si>
    <t>Gorwth Multiple Conservative</t>
  </si>
  <si>
    <t>Next 2 Quarter Profit Conservative</t>
  </si>
  <si>
    <t>Previous Year Next 2 Quarter Profit</t>
  </si>
  <si>
    <t>Last 2 Quarter Growth Rate</t>
  </si>
  <si>
    <t>Total Profit Forecast Aggesive</t>
  </si>
  <si>
    <t>Total Profit Forecast Moderate</t>
  </si>
  <si>
    <t>Total Profit Forecast Conservative</t>
  </si>
  <si>
    <t>EPS Forecast Aggressive</t>
  </si>
  <si>
    <t>Aggressive PE 2 Quarters Forward</t>
  </si>
  <si>
    <t>EPS Forecast Moderate</t>
  </si>
  <si>
    <t>Moderate PE 2 Quarters Forward</t>
  </si>
  <si>
    <t>EPS Forecast Conservative</t>
  </si>
  <si>
    <t>Conservative PE 2 Quarters Forward</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</si>
  <si>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</si>
  <si>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</si>
  <si>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</si>
  <si>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</si>
  <si>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</si>
  <si>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</si>
  <si>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</si>
  <si>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</si>
  <si>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</si>
  <si>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</si>
  <si>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</si>
  <si>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Net Fixed Asset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</si>
  <si>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</si>
  <si>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</si>
  <si>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</si>
  <si>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</si>
  <si>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</si>
  <si>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</si>
  <si>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</si>
  <si>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</si>
  <si>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</si>
  <si>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</si>
  <si>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</si>
  <si>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</si>
  <si>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</si>
  <si>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</si>
  <si>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Revenue Growth Rate</t>
  </si>
  <si>
    <t>TV Contribution</t>
  </si>
  <si>
    <t>Revenue</t>
  </si>
  <si>
    <t>PAT Margin</t>
  </si>
  <si>
    <t>Current Share Price</t>
  </si>
  <si>
    <t>PAT</t>
  </si>
  <si>
    <t>CFO</t>
  </si>
  <si>
    <t>Discount Moderate</t>
  </si>
  <si>
    <t>Discount Conservative</t>
  </si>
  <si>
    <t>Maintenance Capex %</t>
  </si>
  <si>
    <t>PE Attractiveness Aggressive</t>
  </si>
  <si>
    <t>Investment Capex Multiple</t>
  </si>
  <si>
    <t>PE Attractiveness Moderate</t>
  </si>
  <si>
    <t>Investment Capex %</t>
  </si>
  <si>
    <t>PE Attractiveness Conservative</t>
  </si>
  <si>
    <t>Total CAPEX as a % of NFA</t>
  </si>
  <si>
    <t>TTM PE Historical</t>
  </si>
  <si>
    <t>CAPEX</t>
  </si>
  <si>
    <t>Current P/B</t>
  </si>
  <si>
    <t>Dividend Growth</t>
  </si>
  <si>
    <t>PE Aggresion Multiple</t>
  </si>
  <si>
    <t>Histrorical P/B</t>
  </si>
  <si>
    <t>Dividend</t>
  </si>
  <si>
    <t>PE Normal Multiple</t>
  </si>
  <si>
    <t>Share Capital Annual Growth Rate</t>
  </si>
  <si>
    <t>FCF Normal</t>
  </si>
  <si>
    <t>PE Conservative Multiple</t>
  </si>
  <si>
    <t>Forward P/B</t>
  </si>
  <si>
    <t>FCF Conservative</t>
  </si>
  <si>
    <t>FCF Growth Rate Normal</t>
  </si>
  <si>
    <t>P/B Discount TTM</t>
  </si>
  <si>
    <t>FCF Growth Rate Conservative</t>
  </si>
  <si>
    <t>P/B Discount NTM</t>
  </si>
  <si>
    <t>Discount Rate Normal</t>
  </si>
  <si>
    <t>Discount Rate Conservative</t>
  </si>
  <si>
    <t>Terminal Growth Rate Normal</t>
  </si>
  <si>
    <t>Terminal Growth Rate Conservative</t>
  </si>
  <si>
    <t>Shares Outstanding (Crore)</t>
  </si>
  <si>
    <t>Net Debt Level</t>
  </si>
  <si>
    <t>MODERATE</t>
  </si>
  <si>
    <t>Year</t>
  </si>
  <si>
    <t>FCF</t>
  </si>
  <si>
    <t>Growth</t>
  </si>
  <si>
    <t>Present Value</t>
  </si>
  <si>
    <t>HISTORICAL VALUATIONS</t>
  </si>
  <si>
    <t>OPERATING AND FINANCIAL PARAMETERS</t>
  </si>
  <si>
    <t>P/E</t>
  </si>
  <si>
    <t>P/B</t>
  </si>
  <si>
    <t>EV/EBITDA</t>
  </si>
  <si>
    <t>P/SALES</t>
  </si>
  <si>
    <t>DIVIDEND YIELD</t>
  </si>
  <si>
    <t>Enterprise Value</t>
  </si>
  <si>
    <t>SSGR</t>
  </si>
  <si>
    <t>PEG</t>
  </si>
  <si>
    <t>Earnings Yield</t>
  </si>
  <si>
    <t>COGS</t>
  </si>
  <si>
    <t>EBITDA</t>
  </si>
  <si>
    <t>EBIT</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</si>
  <si>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</si>
  <si>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</si>
  <si>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</si>
  <si>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</si>
  <si>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</si>
  <si>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</si>
  <si>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</si>
  <si>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</si>
  <si>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</si>
  <si>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</si>
  <si>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</si>
  <si>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</si>
  <si>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</si>
  <si>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</si>
  <si>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</si>
  <si>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</si>
  <si>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</si>
  <si>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</si>
  <si>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</si>
  <si>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</si>
  <si>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</si>
  <si>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</si>
  <si>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</si>
  <si>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</si>
  <si>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</si>
  <si>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</si>
  <si>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</si>
  <si>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MCAP TO CFO</t>
  </si>
  <si>
    <t>DELTA NETWORTH</t>
  </si>
  <si>
    <t>DELTA MKTCAP</t>
  </si>
  <si>
    <t>IMPACT*</t>
  </si>
  <si>
    <t>CFO/PAT</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</si>
  <si>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</si>
  <si>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</si>
  <si>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</si>
  <si>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</si>
  <si>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</si>
  <si>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</si>
  <si>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</si>
  <si>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</si>
  <si>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</si>
  <si>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</si>
  <si>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</si>
  <si>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</si>
  <si>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</si>
  <si>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</si>
  <si>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</si>
  <si>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</si>
  <si>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</si>
  <si>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</si>
  <si>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</si>
  <si>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</si>
  <si>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</si>
  <si>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</si>
  <si>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</si>
  <si>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</si>
  <si>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</si>
  <si>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</si>
  <si>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</si>
  <si>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</si>
  <si>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</si>
  <si>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</si>
  <si>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</si>
  <si>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</si>
  <si>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Tax Rate</t>
  </si>
  <si>
    <t>Receivable as a % of Sales</t>
  </si>
  <si>
    <t>Inventory as a % of Sales</t>
  </si>
  <si>
    <t>Interest Coverage</t>
  </si>
  <si>
    <t>Debt/Equity</t>
  </si>
  <si>
    <t>Current Ratio</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</si>
  <si>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</si>
  <si>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</si>
  <si>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</si>
  <si>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</si>
  <si>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</si>
  <si>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</si>
  <si>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</si>
  <si>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</si>
  <si>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</si>
  <si>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</si>
  <si>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</si>
  <si>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</si>
  <si>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</si>
  <si>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</si>
  <si>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</si>
  <si>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</si>
  <si>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</si>
  <si>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</si>
  <si>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</si>
  <si>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</si>
  <si>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5 Year Sustainable SSGR</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</si>
  <si>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</si>
  <si>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</si>
  <si>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</si>
  <si>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</si>
  <si>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</si>
  <si>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</si>
  <si>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</si>
  <si>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</si>
  <si>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</si>
  <si>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</si>
  <si>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</si>
  <si>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</si>
  <si>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</si>
  <si>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</si>
  <si>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</si>
  <si>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</si>
  <si>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</si>
  <si>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</si>
  <si>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Financial Leverage</t>
  </si>
  <si>
    <t>Long term debt/Earning</t>
  </si>
  <si>
    <t>Current liablility/Earning</t>
  </si>
  <si>
    <t>Total liability/Earning</t>
  </si>
  <si>
    <t>Working Capital/Sales</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</si>
  <si>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</si>
  <si>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</si>
  <si>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</si>
  <si>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</si>
  <si>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</si>
  <si>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</si>
  <si>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</si>
  <si>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</si>
  <si>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</si>
  <si>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</si>
  <si>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</si>
  <si>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</si>
  <si>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</si>
  <si>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</si>
  <si>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</si>
  <si>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</si>
  <si>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</si>
  <si>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</si>
  <si>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</si>
  <si>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</si>
  <si>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Altman Z-Score</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</si>
  <si>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</si>
  <si>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</si>
  <si>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</si>
  <si>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</si>
  <si>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</si>
  <si>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</si>
  <si>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</si>
  <si>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</si>
  <si>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</si>
  <si>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</si>
  <si>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</si>
  <si>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WRONG</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</si>
  <si>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</si>
  <si>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</si>
  <si>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</si>
  <si>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</si>
  <si>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</si>
  <si>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</si>
  <si>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</si>
  <si>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</si>
  <si>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</si>
  <si>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</si>
  <si>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</si>
  <si>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</si>
  <si>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</si>
  <si>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</si>
  <si>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Parameter</t>
  </si>
  <si>
    <t>Values</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</si>
  <si>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</si>
  <si>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</si>
  <si>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</si>
  <si>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</si>
  <si>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</si>
  <si>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</si>
  <si>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</si>
  <si>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</si>
  <si>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</si>
  <si>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</si>
  <si>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</si>
  <si>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</si>
  <si>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</si>
  <si>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</si>
  <si>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</si>
  <si>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</si>
  <si>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</si>
  <si>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</si>
  <si>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</si>
  <si>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</si>
  <si>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</si>
  <si>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</si>
  <si>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</si>
  <si>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</si>
  <si>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</si>
  <si>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</si>
  <si>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</si>
  <si>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</si>
  <si>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</si>
  <si>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</si>
  <si>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</si>
  <si>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</si>
  <si>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</si>
  <si>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</si>
  <si>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</si>
  <si>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</si>
  <si>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</si>
  <si>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</si>
  <si>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Avg.</t>
  </si>
  <si>
    <t>Current Ratio Overall 5 Year Avg.</t>
  </si>
  <si>
    <t>Current Ratio Overall 3 Year Avg.</t>
  </si>
  <si>
    <t>Dep. to Gross Asset Overall Avg.</t>
  </si>
  <si>
    <t>Dep. to Gross Asset Overall 5 Year Avg.</t>
  </si>
  <si>
    <t>Debt to Equity Overall 3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</si>
  <si>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</si>
  <si>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</si>
  <si>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</si>
  <si>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</si>
  <si>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</si>
  <si>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</si>
  <si>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</si>
  <si>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</si>
  <si>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</si>
  <si>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</si>
  <si>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</si>
  <si>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</si>
  <si>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</si>
  <si>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</si>
  <si>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</si>
  <si>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</si>
  <si>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</si>
  <si>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</si>
  <si>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</si>
  <si>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</si>
  <si>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</si>
  <si>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</si>
  <si>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</si>
  <si>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</si>
  <si>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</si>
  <si>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</si>
  <si>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</si>
  <si>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</si>
  <si>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</si>
  <si>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</si>
  <si>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</si>
  <si>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</si>
  <si>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</si>
  <si>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</si>
  <si>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</si>
  <si>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</si>
  <si>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</si>
  <si>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</si>
  <si>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</si>
  <si>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</si>
  <si>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</si>
  <si>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</si>
  <si>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</si>
  <si>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</si>
  <si>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</si>
  <si>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</si>
  <si>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</si>
  <si>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</si>
  <si>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</si>
  <si>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</si>
  <si>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</si>
  <si>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</si>
  <si>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</si>
  <si>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</si>
  <si>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</si>
  <si>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</si>
  <si>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</si>
  <si>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</si>
  <si>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</si>
  <si>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</si>
  <si>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</si>
  <si>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</si>
  <si>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</si>
  <si>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</si>
  <si>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</si>
  <si>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</si>
  <si>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</si>
  <si>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</si>
  <si>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</si>
  <si>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</si>
  <si>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</si>
  <si>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</si>
  <si>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</si>
  <si>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</si>
  <si>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Overall</t>
  </si>
  <si>
    <t>5 Year</t>
  </si>
  <si>
    <t>3 Year</t>
  </si>
  <si>
    <t>Current</t>
  </si>
  <si>
    <t>Revenue Growth</t>
  </si>
  <si>
    <t>PAT Growth</t>
  </si>
  <si>
    <t>Receivables as a % of Sales</t>
  </si>
  <si>
    <t>CFO-PAT</t>
  </si>
  <si>
    <t>Profitability Ratios</t>
  </si>
  <si>
    <t>COGS/Sales</t>
  </si>
  <si>
    <t>Change in Inventory as a % of Sales</t>
  </si>
  <si>
    <t>Power and Fuel as a % of Sales</t>
  </si>
  <si>
    <t>Other Mfr. Exp as a % of Sales</t>
  </si>
  <si>
    <t>Employee Cost as a % of Sales</t>
  </si>
  <si>
    <t>Selling and admin as a % of Sales</t>
  </si>
  <si>
    <t>Other Expenses as a % of Sales</t>
  </si>
  <si>
    <t>Other Income as a % of Sales</t>
  </si>
  <si>
    <t>Depreciation as a % of Sales</t>
  </si>
  <si>
    <t>EBIT Margin</t>
  </si>
  <si>
    <t>Balance Sheet Ratios</t>
  </si>
  <si>
    <t>Gross Fixed Asset/Revenue</t>
  </si>
  <si>
    <t>Net Fixed Asset/Revenue</t>
  </si>
  <si>
    <t>Capex/Gross Fixed Asset</t>
  </si>
  <si>
    <t>Capex/Net Fixed Asset</t>
  </si>
  <si>
    <t>Capital Work in progress/Gross Fixed Asset</t>
  </si>
  <si>
    <t>Capital Work in progress/Net Fixed Asset</t>
  </si>
  <si>
    <t>Liquidity Ratios</t>
  </si>
  <si>
    <t>Debt to Equity</t>
  </si>
  <si>
    <t>Interest Coverage Ratio</t>
  </si>
  <si>
    <t>Leverage</t>
  </si>
  <si>
    <t>Quick Ratio</t>
  </si>
  <si>
    <t>Short term Debt Coverage</t>
  </si>
  <si>
    <t>Short Term/Long Term Debt</t>
  </si>
  <si>
    <t>Depreciation/Gross Asset</t>
  </si>
  <si>
    <t>Depreciation/Net Asset</t>
  </si>
  <si>
    <t>Operating Ratios</t>
  </si>
  <si>
    <t>Working Capital/Sales (including cash)</t>
  </si>
  <si>
    <t>Debtor Turnover</t>
  </si>
  <si>
    <t>Cash Return on Assets</t>
  </si>
  <si>
    <t>Return on Assets</t>
  </si>
  <si>
    <t>Asset Turnover</t>
  </si>
  <si>
    <t>Fixed Asset Turnover</t>
  </si>
  <si>
    <t>CFO/Sales</t>
  </si>
  <si>
    <t>CAPEX/PAT</t>
  </si>
  <si>
    <t>Dividend/PAT</t>
  </si>
  <si>
    <t>FCF/Sales</t>
  </si>
  <si>
    <t>Profit Margin</t>
  </si>
  <si>
    <t>Asset turnover</t>
  </si>
  <si>
    <t>Return on Capital</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</si>
  <si>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</si>
  <si>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</si>
  <si>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</si>
  <si>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</si>
  <si>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</si>
  <si>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</si>
  <si>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</si>
  <si>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</si>
  <si>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CFO/Enterprise Value</t>
  </si>
  <si>
    <t>Dividend Yield</t>
  </si>
  <si>
    <t>COMPANY_NAME</t>
  </si>
  <si>
    <t>DATE</t>
  </si>
  <si>
    <t>Invested Capital</t>
  </si>
  <si>
    <t>FCF including Dividend</t>
  </si>
  <si>
    <t>Gross Fixed Asset/Shareholder Equity</t>
  </si>
  <si>
    <t>Net Fixed Asset/Shareholder Equity</t>
  </si>
  <si>
    <t>Capex/Share Capital</t>
  </si>
  <si>
    <t>Gross Fixed Asset/Assets</t>
  </si>
  <si>
    <t>Net Fixed Asset/Asset</t>
  </si>
  <si>
    <t>Investment/Shareholder Equity</t>
  </si>
  <si>
    <t>Other Asset/Shareholder Equity</t>
  </si>
  <si>
    <t>Capital work in progress/Shareholder Equity</t>
  </si>
  <si>
    <t>Cash/Shareholders's Equity</t>
  </si>
  <si>
    <t>Cash to Long Term debt Ratio</t>
  </si>
  <si>
    <t>Cash to Short Term Debt Ratio</t>
  </si>
  <si>
    <t>cash to Market Cap</t>
  </si>
  <si>
    <t>Investments to Market Cap</t>
  </si>
  <si>
    <t>ID</t>
  </si>
  <si>
    <t>3 Year Average/Sum</t>
  </si>
  <si>
    <t>5 Year Average/Sum</t>
  </si>
  <si>
    <t>Overall Average/Sum</t>
  </si>
  <si>
    <t>3-Year CAGR</t>
  </si>
  <si>
    <t>5-Year CAGR</t>
  </si>
  <si>
    <t>Overall CAGR</t>
  </si>
  <si>
    <t>Expense</t>
  </si>
  <si>
    <t>Other Expense</t>
  </si>
  <si>
    <t>Return on Total Net Asset (EBIT)</t>
  </si>
  <si>
    <t>Return on Total Average Net Asset (EBIT)</t>
  </si>
  <si>
    <t>Return on Total Productive  Net Asset (EBIT)</t>
  </si>
  <si>
    <t>Return on Total Average Productive Net Asset (EBIT)</t>
  </si>
  <si>
    <t>1 Year forward Incremental Total Net Asset to Revenue Ratio</t>
  </si>
  <si>
    <t>2 Year forward Incremental Total Net Asset to Revenue Ratio</t>
  </si>
  <si>
    <t>1 Year forward Incremental Total Net Asset to EBIT Ratio</t>
  </si>
  <si>
    <t>2 Year forward Incremental Total Net Asset to EBIT Ratio</t>
  </si>
  <si>
    <t>1 Year forward Incremental Total Net Productive Asset to Revenue Ratio</t>
  </si>
  <si>
    <t>2 Year forward Incremental Total Net Productive Asset to Revenue Ratio</t>
  </si>
  <si>
    <t>1 Year forward Incremental Total Net Productive Asset to EBIT Ratio</t>
  </si>
  <si>
    <t>2 Year forward Incremental Total Net Productive Asset to EBIT Ratio</t>
  </si>
  <si>
    <t>Total Net Asset Turns</t>
  </si>
  <si>
    <t>Total Avregae Net Asset Turns</t>
  </si>
  <si>
    <t>Total Net Productive Asset Turns</t>
  </si>
  <si>
    <t>Total Avregae Net Productive Asset Turns</t>
  </si>
  <si>
    <t>COPY PASTE DATA FROM ANY FINANCIAL WEBSITE: ONLY FOR THE FIELDS MARKED GREEN BELOW</t>
  </si>
  <si>
    <t>TTM</t>
  </si>
  <si>
    <t>CONSOLIDATED</t>
  </si>
  <si>
    <t>Direct</t>
  </si>
  <si>
    <t>Cash &amp; Bank Balance</t>
  </si>
  <si>
    <t>Current Assets</t>
  </si>
  <si>
    <t>Current Liabilities</t>
  </si>
  <si>
    <t>Working Capital (check)</t>
  </si>
  <si>
    <t>Current Asset - Current Liability</t>
  </si>
  <si>
    <t>COPY PASTE DATA FROM ANNUAL REPORTS: ONLY FOR THE FIELDS MARKED ORANGE BELOW</t>
  </si>
  <si>
    <t>Operating Expenses/Capex</t>
  </si>
  <si>
    <t>Raw Materials</t>
  </si>
  <si>
    <t>Advertising and sales promotion</t>
  </si>
  <si>
    <t>Miscellaneous expenses</t>
  </si>
  <si>
    <t>Employee cost</t>
  </si>
  <si>
    <t>Freight, transport and distribution</t>
  </si>
  <si>
    <t>Royalty</t>
  </si>
  <si>
    <t>R&amp;D Cost</t>
  </si>
  <si>
    <t>Capex</t>
  </si>
  <si>
    <t>Change in NFA + Change in CWIP + Depreciation</t>
  </si>
  <si>
    <t>Gross Profit</t>
  </si>
  <si>
    <t>Sales-COGS</t>
  </si>
  <si>
    <t>GP-All Expenses + Change in Inventory + Other Income</t>
  </si>
  <si>
    <t>Depreciation &amp; Amortisation</t>
  </si>
  <si>
    <t>EBITDA - D&amp;A</t>
  </si>
  <si>
    <t>PBT</t>
  </si>
  <si>
    <t>EBIT - Interest</t>
  </si>
  <si>
    <t>PBT - Tax</t>
  </si>
  <si>
    <t>Dividends</t>
  </si>
  <si>
    <t>Market Cap</t>
  </si>
  <si>
    <t>Price*No. of Shares Outstanding</t>
  </si>
  <si>
    <t>Current Market Cap</t>
  </si>
  <si>
    <t>Equity</t>
  </si>
  <si>
    <t>Reserves &amp; Surplus</t>
  </si>
  <si>
    <t>Networth</t>
  </si>
  <si>
    <t>Equity + Reserves &amp; Surplus</t>
  </si>
  <si>
    <t>Secured Loans</t>
  </si>
  <si>
    <t>Unsecured Loans</t>
  </si>
  <si>
    <t>Current Asset</t>
  </si>
  <si>
    <t>Total Assets</t>
  </si>
  <si>
    <t>Net Block + CWIP + Investment + Other Assets</t>
  </si>
  <si>
    <t>Net Fixed Assets</t>
  </si>
  <si>
    <t>Cash</t>
  </si>
  <si>
    <t>Net Other Assets</t>
  </si>
  <si>
    <t>Equity + Reserves &amp; Surplus + Debt</t>
  </si>
  <si>
    <t>Average Invested Capital</t>
  </si>
  <si>
    <t>Capital Employed1 (Gross)</t>
  </si>
  <si>
    <t>Total Asset - Current Asset</t>
  </si>
  <si>
    <t>Capital Employed2 (Net)</t>
  </si>
  <si>
    <t>Capital Employed1 - CWIP</t>
  </si>
  <si>
    <t>Capital Employed3</t>
  </si>
  <si>
    <t>NFA + Investments + CA</t>
  </si>
  <si>
    <t>Average Capital Employed1 (Gross)</t>
  </si>
  <si>
    <t>(CE1 LY + CE1 CY)/2</t>
  </si>
  <si>
    <t>Average Capital Employed2 (Net)</t>
  </si>
  <si>
    <t>(CE2 LY + CE2 CY)/2</t>
  </si>
  <si>
    <t>Average Capital Employed3</t>
  </si>
  <si>
    <t>Current Liability</t>
  </si>
  <si>
    <t>Average Total Net Asset</t>
  </si>
  <si>
    <t>(Total Asset  LY + Total Asset CY)/2</t>
  </si>
  <si>
    <t>Total Productive Net Asset</t>
  </si>
  <si>
    <t>Net Block + CWIP</t>
  </si>
  <si>
    <t>Average Total Productive Net Asset</t>
  </si>
  <si>
    <t>(Total Productive Net Asset LY + Total Productive Net Asset LY)/2</t>
  </si>
  <si>
    <t>Operating Cash Flow</t>
  </si>
  <si>
    <t>Free Cash Flow</t>
  </si>
  <si>
    <t>CFO - CAPEX</t>
  </si>
  <si>
    <t>Tax/PBT</t>
  </si>
  <si>
    <t>NOPAT</t>
  </si>
  <si>
    <t>EBIT*(1-Tax Rate)</t>
  </si>
  <si>
    <t>MktCap+Dividend</t>
  </si>
  <si>
    <t>Retained Profit</t>
  </si>
  <si>
    <t>PAT - Dividend</t>
  </si>
  <si>
    <t>Price/EPS</t>
  </si>
  <si>
    <t>PE/Growth in EPS</t>
  </si>
  <si>
    <t>Price/Book</t>
  </si>
  <si>
    <t>Market Cap/(Equity + Reserves &amp; Surplus)</t>
  </si>
  <si>
    <t>Price/operating CashFlow</t>
  </si>
  <si>
    <t>Market Cap/ CFO</t>
  </si>
  <si>
    <t>Price/Free Cashflow</t>
  </si>
  <si>
    <t>Market Cap/FCF</t>
  </si>
  <si>
    <t>Price/Sales</t>
  </si>
  <si>
    <t>Market Cap/Revenue</t>
  </si>
  <si>
    <t>Enterprise Value/EBITDA</t>
  </si>
  <si>
    <t>Dividend/Market Cap</t>
  </si>
  <si>
    <t>Enterprise Value1</t>
  </si>
  <si>
    <t>Market Cap + Debt - Cash</t>
  </si>
  <si>
    <t>Enterprise Value2</t>
  </si>
  <si>
    <t>Market Cap + Debt - (Current Asset - Current Liability)</t>
  </si>
  <si>
    <t>Working Capital/Total Assets</t>
  </si>
  <si>
    <t>Retained Profits/Total Assets</t>
  </si>
  <si>
    <t>EBIT/Total Assets</t>
  </si>
  <si>
    <t>Market Cap/Total Liabilities</t>
  </si>
  <si>
    <t>Sales/Total Assets</t>
  </si>
  <si>
    <t>Z &gt; 2.99 -“Safe” Zones</t>
  </si>
  <si>
    <t>1.81 &lt; Z &lt; 2.99 -“Grey” Zones</t>
  </si>
  <si>
    <t>Z &lt; 1.81 -“Distress” Zones</t>
  </si>
  <si>
    <t>Growth Ratio</t>
  </si>
  <si>
    <t>Calculation</t>
  </si>
  <si>
    <t>CAGR Overall</t>
  </si>
  <si>
    <t>CAGR 5 Years</t>
  </si>
  <si>
    <t>CAGR 3 Years</t>
  </si>
  <si>
    <t>Indicator 1</t>
  </si>
  <si>
    <t>Indicator 2</t>
  </si>
  <si>
    <t>P&amp;L Items</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</si>
  <si>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</si>
  <si>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</si>
  <si>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</si>
  <si>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</si>
  <si>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</si>
  <si>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</si>
  <si>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</si>
  <si>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</si>
  <si>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</si>
  <si>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</si>
  <si>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</si>
  <si>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</si>
  <si>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</si>
  <si>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</si>
  <si>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</si>
  <si>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</si>
  <si>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</si>
  <si>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</si>
  <si>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</si>
  <si>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</si>
  <si>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</si>
  <si>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</si>
  <si>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</si>
  <si>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</si>
  <si>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</si>
  <si>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</si>
  <si>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</si>
  <si>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</si>
  <si>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</si>
  <si>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</si>
  <si>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</si>
  <si>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</si>
  <si>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</si>
  <si>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</si>
  <si>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</si>
  <si>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PAT/Net Revenue from Operations</t>
  </si>
  <si>
    <t>Accounts Receivable as a % of Revenue</t>
  </si>
  <si>
    <t>Inventory as a % of Revenue</t>
  </si>
  <si>
    <t>WC as a % of Revenue</t>
  </si>
  <si>
    <t>Derived Numbers</t>
  </si>
  <si>
    <t>High Price</t>
  </si>
  <si>
    <t>Low Price</t>
  </si>
  <si>
    <t>No. of Employees</t>
  </si>
  <si>
    <t>For IT Companies</t>
  </si>
  <si>
    <t>Share Price on Recorded Date</t>
  </si>
  <si>
    <t>No. of Shares Outstanding(Crores)</t>
  </si>
  <si>
    <t>Value</t>
  </si>
  <si>
    <t>Share Price* No. of Equity Shares</t>
  </si>
  <si>
    <t>Sum 9 Years</t>
  </si>
  <si>
    <t>Sum 5 Years</t>
  </si>
  <si>
    <t>Sum 3 Years</t>
  </si>
  <si>
    <t>Total Dividend Paid</t>
  </si>
  <si>
    <t>Operating Cash flow</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</si>
  <si>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</si>
  <si>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</si>
  <si>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</si>
  <si>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</si>
  <si>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</si>
  <si>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</si>
  <si>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</si>
  <si>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</si>
  <si>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</si>
  <si>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</si>
  <si>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</si>
  <si>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</si>
  <si>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Capital Employed</t>
  </si>
  <si>
    <t>(Total Asset - Current Liabilities) or (Shareholder's Equity + Debt Liabilities)</t>
  </si>
  <si>
    <t>Gross Asset</t>
  </si>
  <si>
    <t>Depreciation as a % of NPAT</t>
  </si>
  <si>
    <t>NFAT</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</si>
  <si>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</si>
  <si>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</si>
  <si>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</si>
  <si>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</si>
  <si>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</si>
  <si>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</si>
  <si>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</si>
  <si>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</si>
  <si>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</si>
  <si>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</si>
  <si>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</si>
  <si>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</si>
  <si>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PAT/Sales</t>
  </si>
  <si>
    <t>Sales/Asset</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</si>
  <si>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</si>
  <si>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</si>
  <si>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</si>
  <si>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</si>
  <si>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</si>
  <si>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</si>
  <si>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</si>
  <si>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</si>
  <si>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</si>
  <si>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</si>
  <si>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</si>
  <si>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</si>
  <si>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</si>
  <si>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</si>
  <si>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</si>
  <si>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</si>
  <si>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</si>
  <si>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</si>
  <si>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</si>
  <si>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</si>
  <si>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</si>
  <si>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</si>
  <si>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</si>
  <si>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</si>
  <si>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</si>
  <si>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</si>
  <si>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</si>
  <si>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</si>
  <si>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</si>
  <si>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</si>
  <si>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</si>
  <si>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</si>
  <si>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</si>
  <si>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</si>
  <si>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</si>
  <si>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</si>
  <si>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</si>
  <si>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</si>
  <si>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</si>
  <si>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</si>
  <si>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</si>
  <si>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</si>
  <si>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</si>
  <si>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CFO-Capex</t>
  </si>
  <si>
    <t>MCAP to CFO</t>
  </si>
  <si>
    <t>Leverage Ratio</t>
  </si>
  <si>
    <t>Debt Equity Ratio</t>
  </si>
  <si>
    <t>Total Debt/Total Equity</t>
  </si>
  <si>
    <t>EBIT/Interest Expense</t>
  </si>
  <si>
    <t>Cashflow to Debt Ratio</t>
  </si>
  <si>
    <t>Operating Cashflow/Total Debt</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</si>
  <si>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</si>
  <si>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</si>
  <si>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</si>
  <si>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</si>
  <si>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</si>
  <si>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</si>
  <si>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</si>
  <si>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</si>
  <si>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</si>
  <si>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</si>
  <si>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</si>
  <si>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</si>
  <si>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</si>
  <si>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</si>
  <si>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</si>
  <si>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</si>
  <si>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</si>
  <si>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</si>
  <si>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</si>
  <si>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</si>
  <si>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</si>
  <si>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</si>
  <si>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</si>
  <si>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</si>
  <si>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</si>
  <si>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</si>
  <si>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</si>
  <si>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</si>
  <si>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</si>
  <si>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</si>
  <si>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</si>
  <si>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</si>
  <si>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</si>
  <si>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</si>
  <si>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</si>
  <si>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</si>
  <si>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</si>
  <si>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</si>
  <si>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</si>
  <si>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</si>
  <si>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</si>
  <si>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</si>
  <si>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</si>
  <si>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</si>
  <si>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</si>
  <si>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CFO Return on Assets</t>
  </si>
  <si>
    <t>Cash Return on Total Average Productive Net Asset (FCF)</t>
  </si>
  <si>
    <t>Cash Return on Total Productive  Net Asset (FCF)</t>
  </si>
  <si>
    <t>Cash Return on Total Average Net Asset (FCF)</t>
  </si>
  <si>
    <t>Cash Return on Total Net Asset (FCF)</t>
  </si>
  <si>
    <t>Cash Return on Total Average Productive Net Asset (CFO)</t>
  </si>
  <si>
    <t>Cash Return on Total Productive  Net Asset (CFO)</t>
  </si>
  <si>
    <t>Cash Return on Total Average Net Asset (CFO)</t>
  </si>
  <si>
    <t>Cash Return on Total Net Asset (CFO)</t>
  </si>
  <si>
    <t>Asset Tunrover</t>
  </si>
  <si>
    <t>Finance Leverage</t>
  </si>
  <si>
    <t>Avg. ROIC</t>
  </si>
  <si>
    <t>ROCE1</t>
  </si>
  <si>
    <t>ROCE2</t>
  </si>
  <si>
    <t>ROCE3</t>
  </si>
  <si>
    <t>ROACE1</t>
  </si>
  <si>
    <t>ROACE2</t>
  </si>
  <si>
    <t>ROACE3</t>
  </si>
  <si>
    <t>CFO/Average Invested Capital</t>
  </si>
  <si>
    <t>FCF/Average Invested Capital</t>
  </si>
  <si>
    <t>CFO/Average Capital Employed1</t>
  </si>
  <si>
    <t>CFO/Average Capital Employed2</t>
  </si>
  <si>
    <t>CFO/Average Capital Employed3</t>
  </si>
  <si>
    <t>FCF/Average Capital Employed1</t>
  </si>
  <si>
    <t>FCF/Average Capital Employed2</t>
  </si>
  <si>
    <t>FCF/Average Capital Employed3</t>
  </si>
  <si>
    <t>EV/CFO</t>
  </si>
  <si>
    <t>EV/FCF</t>
  </si>
  <si>
    <t>Sales/Avg. Invested Capital</t>
  </si>
  <si>
    <t>PAT/Avg. invested Capital</t>
  </si>
  <si>
    <t>CFO/Avg. Invested Capital</t>
  </si>
  <si>
    <t>FCF/Avg. Invested Capital</t>
  </si>
  <si>
    <t>Sales Growth/Invested Capital Growth</t>
  </si>
  <si>
    <t>PAT Growth/Invested Capital Growth</t>
  </si>
  <si>
    <t>CFO Growth/Invested Capital Growth</t>
  </si>
  <si>
    <t>FCF Growth/Invested Capital Growth</t>
  </si>
  <si>
    <t>Possible Growth Rate</t>
  </si>
  <si>
    <t>Shareholders Funds (Equity + Reserves)</t>
  </si>
  <si>
    <t>Net Income (Net Profit)</t>
  </si>
  <si>
    <t>RoE = NetInc / (Avg of Sh.F btwn this &amp; prv yr)</t>
  </si>
  <si>
    <t>Gross Profit (Sales - RawMaterial + ChangeInInventory)</t>
  </si>
  <si>
    <t>Dividend (Paid)</t>
  </si>
  <si>
    <t>Divident Payout for AY 16, 17</t>
  </si>
  <si>
    <t>CFF equity</t>
  </si>
  <si>
    <t>CFF Debt</t>
  </si>
  <si>
    <t>CFO Interest</t>
  </si>
  <si>
    <t>PAT (P)</t>
  </si>
  <si>
    <t>Other Income (OI)</t>
  </si>
  <si>
    <t>Other Expenditure (OE)</t>
  </si>
  <si>
    <t>Tax Rate (TR)</t>
  </si>
  <si>
    <t>PAT Margin %</t>
  </si>
  <si>
    <t>Adj PAT = P - OI(1-TR)</t>
  </si>
  <si>
    <t>Ad PAT Margin %</t>
  </si>
  <si>
    <t>Extreme Adj PAT = P - OI(1-TR) + Exp(1-TR)</t>
  </si>
  <si>
    <t>Debt = Borr + Oth.L</t>
  </si>
  <si>
    <t>Comprehensive Debt = Borr + Oth.L + Recv</t>
  </si>
  <si>
    <t>Leverage = Debt / Sh.Funds</t>
  </si>
  <si>
    <t>Extreme.Leverage = Comp.Debt / Sh.Funds</t>
  </si>
  <si>
    <t>Quarterly</t>
  </si>
  <si>
    <t>Net Profit (PAT)</t>
  </si>
  <si>
    <t>Q - EPS (copy it from ratestar.in)</t>
  </si>
  <si>
    <t>Adj PAT = PAT - OI (1 - TR)</t>
  </si>
  <si>
    <t>TaxRate (TR)</t>
  </si>
  <si>
    <t>CFF (Issued Debt + Sell Equity - Dividend paid)</t>
  </si>
  <si>
    <t>Interest Paid (hopefully on borrowings)</t>
  </si>
  <si>
    <t>Month</t>
  </si>
  <si>
    <t>Serial</t>
  </si>
  <si>
    <t>For Beta calc via google finance</t>
  </si>
  <si>
    <t>NSE Beta</t>
  </si>
  <si>
    <t>NSE Rm</t>
  </si>
  <si>
    <t>BSE Beta</t>
  </si>
  <si>
    <t>BSE Rm</t>
  </si>
  <si>
    <t>Rf</t>
  </si>
  <si>
    <t>Cost of Equity (CAPM)</t>
  </si>
  <si>
    <t>Ratio of Equity raised while borrowing</t>
  </si>
  <si>
    <t>Ratio of Debt = 1 - Ratio-of-Equity</t>
  </si>
  <si>
    <t>Moat</t>
  </si>
  <si>
    <t>OperatingIncome * (1 - TR)</t>
  </si>
  <si>
    <t>Invested Capital (Debts - Long &amp; Short + Shareholders Equity - Cash - Goodwill)</t>
  </si>
  <si>
    <t>Moat (RoIC - WACC)?</t>
  </si>
  <si>
    <t xml:space="preserve">Cost of Capital for Interest Paid = (Int/Total.B) * (1 - TaxRate) </t>
  </si>
  <si>
    <t>For CF graphs</t>
  </si>
  <si>
    <t>For Gross graphs</t>
  </si>
  <si>
    <t>For RoE Graph</t>
  </si>
  <si>
    <t>For Moat graph</t>
  </si>
  <si>
    <t>For Leverage Graph</t>
  </si>
  <si>
    <t>For PAT and Adj PAT Graph</t>
  </si>
  <si>
    <t>Alternate Moat Calculation</t>
  </si>
  <si>
    <t>10 Yr Yield</t>
  </si>
  <si>
    <t>Average Risk Free Rate for a year</t>
  </si>
  <si>
    <t>Apr-08</t>
  </si>
  <si>
    <t>Apr-09</t>
  </si>
  <si>
    <t>Apr-10</t>
  </si>
  <si>
    <t>Apr-11</t>
  </si>
  <si>
    <t>Apr-12</t>
  </si>
  <si>
    <t>Apr-13</t>
  </si>
  <si>
    <t>Apr-14</t>
  </si>
  <si>
    <t>Apr-15</t>
  </si>
  <si>
    <t>Apr-16</t>
  </si>
  <si>
    <t>Apr-17</t>
  </si>
  <si>
    <t>CAPM Reqd Rate of Return = Rf + Beta*(Rm - Rf).          If beta*risk_premium is negative, then Rf is the base rate</t>
  </si>
  <si>
    <t>https://docs.google.com/spreadsheets/d/1dhpZDtGwki-T6OT_dwgBaiYAjTZxBRyWArqM1SDX64M/edit?usp=sharing</t>
  </si>
  <si>
    <t>Adjust Closing Price</t>
  </si>
  <si>
    <t>Date</t>
  </si>
  <si>
    <t>Mcap</t>
  </si>
  <si>
    <t>Outstanding Shares</t>
  </si>
  <si>
    <t>Capex = Change NFA + Change CWIP + Depr</t>
  </si>
  <si>
    <t>FCF (Direct) = CFO (Direct) - Capex</t>
  </si>
  <si>
    <t>FCF (Adj) = CFO (adj) - Capex</t>
  </si>
  <si>
    <t>9M LFY</t>
  </si>
  <si>
    <t>9M CFY</t>
  </si>
  <si>
    <t>9M LY</t>
  </si>
  <si>
    <t>9M CY</t>
  </si>
  <si>
    <t xml:space="preserve">CFO (adj) = CFO (Direct) - CFO Interest </t>
  </si>
  <si>
    <t>Growth Rate (OPM)</t>
  </si>
  <si>
    <t>Borrowings (absolute)</t>
  </si>
  <si>
    <t>Borrowings' Growth Rate</t>
  </si>
  <si>
    <t>Change in Borrowings From last year to this (Debt) +ve -&gt; Borrowed    -ve -&gt; Repaid</t>
  </si>
  <si>
    <t>Borrowings (debt; PrevY to CurrY) +ve -&gt; Borrowed   -ve -&gt; Repaid</t>
  </si>
  <si>
    <t>Other Liab (PrevY to CurrY) +ve -&gt; Borrowed   -ve -&gt; Repaid</t>
  </si>
  <si>
    <t>Other Liab Growth Rate</t>
  </si>
  <si>
    <t>Commentary: Company has witnessed an SSGR of -xy% to +ab% whereas the company has been growing at a rate of 10-12% over the years. As a result, it seems that the company is attempting to grow at a pace, which is higher than what the internal business cash generation is able to sustain. As a result, the company has resorted to raising external funds to meet its growth requirements as the debt has increased from ₹xyz cr in FY2008 to ₹abc cr in FY2017.</t>
  </si>
  <si>
    <t>10 Year Sum</t>
  </si>
  <si>
    <t>Interest Paid</t>
  </si>
  <si>
    <t>post the capital expenditure and the interest payment, the company had a cash deficit of ₹xyz cr (CFO – Int.Paid – Capex). Moreover, the company has paid out dividends over these years and has also made investments ……</t>
  </si>
  <si>
    <t>Free cash flow (FCF) and SSGR are the main pillars of assessing the margin of safety in the business model of any company</t>
  </si>
  <si>
    <t>SSGR (with 3 yr avg)</t>
  </si>
  <si>
    <t>SSGR (with 3yr avgs)</t>
  </si>
  <si>
    <t>Growth Rate (OPM, with 3yr avgs)</t>
  </si>
  <si>
    <t>Sales change %</t>
  </si>
  <si>
    <t>Debt change %</t>
  </si>
  <si>
    <t>Recv change %</t>
  </si>
  <si>
    <t>Manual Copy-Paste</t>
  </si>
  <si>
    <t>Profit Before Tax (PBT)</t>
  </si>
  <si>
    <t>Tax %</t>
  </si>
  <si>
    <t>Net Profit After Tax (PAT)</t>
  </si>
  <si>
    <t>Net Profit Margine (NPM %)</t>
  </si>
  <si>
    <t>Cash from Operating Activity (CFO)</t>
  </si>
  <si>
    <t>Capex (NFA + WIP change + Dep)</t>
  </si>
  <si>
    <t>Net Fixed Asset Turnover (Higher is better)</t>
  </si>
  <si>
    <t>Receivable Days (Lower is better)</t>
  </si>
  <si>
    <t>Inventory Turnover (High is better)</t>
  </si>
  <si>
    <t>Net Fixed Assets (NFA)</t>
  </si>
  <si>
    <t>Capital Work in Progress (CWIP)</t>
  </si>
  <si>
    <t>Share Capital</t>
  </si>
  <si>
    <t>Dividend Paid (Div) without DDT</t>
  </si>
  <si>
    <t>Divedend Payout (Div / PAT)</t>
  </si>
  <si>
    <t>Retained Earnings (RE=PAT - Div)</t>
  </si>
  <si>
    <t>Cash + Investments (CI + NCI)</t>
  </si>
  <si>
    <t>Total Debt (D)</t>
  </si>
  <si>
    <t>Total Equity ( E )</t>
  </si>
  <si>
    <t>Debt to Equity Ratio (D/E)</t>
  </si>
  <si>
    <t>Cost of Funds</t>
  </si>
  <si>
    <t>Interest outgo (Rs. Cr.)</t>
  </si>
  <si>
    <t>Interest Coverage (OP / Int. Out)</t>
  </si>
  <si>
    <t>Cash from Investing Activity (CFI)</t>
  </si>
  <si>
    <t>Cash from Financing Activity (CFF)</t>
  </si>
  <si>
    <t>Net Cash Flow (CFO + CFI + CFF)</t>
  </si>
  <si>
    <t>Cash and Eq at the end of year</t>
  </si>
  <si>
    <t>Total Retained Earnings (RE) in 10 years (A)</t>
  </si>
  <si>
    <t>Total Increase in Mcap in 10 years (B)</t>
  </si>
  <si>
    <t>Value created per INR of RE (B/A)</t>
  </si>
  <si>
    <t>Total 10 Years</t>
  </si>
  <si>
    <t>Depreciation as a % of NFA</t>
  </si>
  <si>
    <t>Self-Sustainable Growth Rate (SSGR) (3yr Avg)</t>
  </si>
  <si>
    <t>Total 10 years</t>
  </si>
  <si>
    <t>Standalone</t>
  </si>
  <si>
    <t>Consolidated</t>
  </si>
  <si>
    <t>FCFE (Post Int Exp)</t>
  </si>
  <si>
    <t>Operating Profit Margin (%) - Growth Rate</t>
  </si>
  <si>
    <t>SSGR (yearly)</t>
  </si>
  <si>
    <t>FCF Yearly</t>
  </si>
  <si>
    <t>Depreciation Graphs</t>
  </si>
  <si>
    <t>Net Block (NFA)</t>
  </si>
  <si>
    <t>Gross Block (GFA = NFA + Dep)</t>
  </si>
  <si>
    <t>Depreciation (Dep)</t>
  </si>
  <si>
    <t>Dep (as a % of GFA)</t>
  </si>
  <si>
    <t>Dep (as a % of NFA)</t>
  </si>
  <si>
    <t>Capex (as a % GFA)</t>
  </si>
  <si>
    <t>Capex (as a % NFA)</t>
  </si>
  <si>
    <t>Accumulated Depreciation (AD)</t>
  </si>
  <si>
    <t>AD (as a % GFA)</t>
  </si>
  <si>
    <t>AD (as a % NFA)</t>
  </si>
  <si>
    <t>CROIC</t>
  </si>
  <si>
    <t>FCF (Yearly, DrVM sheet)</t>
  </si>
  <si>
    <t>CRoIC</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</si>
</sst>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 #,##0.00_ ;_ * \-#,##0.00_ ;_ * &quot;-&quot;??_ ;_ @_ "/>
    <numFmt numFmtId="165" formatCode="[$-409]mmm\-yy;@"/>
    <numFmt numFmtId="166" formatCode="0.0"/>
    <numFmt numFmtId="167" formatCode="0.0%"/>
    <numFmt numFmtId="168" formatCode="_(* #,##0.0_);_(* \(#,##0.0\);_(* &quot;-&quot;??_);_(@_)"/>
    <numFmt numFmtId="169" formatCode="_(* #,##0_);_(* \(#,##0\);_(* &quot;-&quot;??_);_(@_)"/>
    <numFmt numFmtId="170" formatCode="0.000"/>
    <numFmt numFmtId="171" formatCode="[$-409]d\-mmm\-yy;@"/>
    <numFmt numFmtId="172" formatCode="_ * #,##0.0_ ;_ * \-#,##0.0_ ;_ * &quot;-&quot;??_ ;_ @_ "/>
    <numFmt numFmtId="173" formatCode="0.000%"/>
    <numFmt numFmtId="174" formatCode="#,##0_);[Red]\-#,##0"/>
    <numFmt numFmtId="175" formatCode="0;\-0;\-;"/>
  </numFmts>
  <fonts count="49"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sz val="11"/>
      <color rgb="FF9C0006"/>
      <name val="Calibri"/>
      <family val="2"/>
      <scheme val="minor"/>
    </font>
    <font>
      <sz val="10"/>
      <name val="Arial"/>
      <family val="2"/>
    </font>
    <font>
      <sz val="11"/>
      <color indexed="8"/>
      <name val="Calibri"/>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b/>
      <sz val="9"/>
      <color indexed="81"/>
      <name val="Tahoma"/>
      <family val="2"/>
    </font>
    <font>
      <sz val="9"/>
      <color indexed="81"/>
      <name val="Tahoma"/>
      <family val="2"/>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sz val="9"/>
      <color theme="1"/>
      <name val="Calibri"/>
      <family val="2"/>
      <scheme val="minor"/>
    </font>
    <font>
      <b/>
      <u/>
      <sz val="9"/>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sz val="9"/>
      <color indexed="59"/>
      <name val="Calibri"/>
      <family val="2"/>
      <charset val="1"/>
    </font>
    <font>
      <sz val="9"/>
      <name val="Arial"/>
      <family val="2"/>
      <charset val="1"/>
    </font>
    <font>
      <b/>
      <u/>
      <sz val="10"/>
      <color theme="1"/>
      <name val="Calibri"/>
      <family val="2"/>
      <scheme val="minor"/>
    </font>
    <font>
      <i/>
      <sz val="10"/>
      <color theme="1"/>
      <name val="Calibri"/>
      <family val="2"/>
      <scheme val="minor"/>
    </font>
    <font>
      <b/>
      <i/>
      <sz val="10"/>
      <color theme="1"/>
      <name val="Calibri"/>
      <family val="2"/>
      <scheme val="minor"/>
    </font>
    <font>
      <sz val="11"/>
      <color rgb="FF006100"/>
      <name val="Calibri"/>
      <family val="2"/>
      <scheme val="minor"/>
    </font>
    <font>
      <sz val="10"/>
      <color rgb="FF000000"/>
      <name val="Arial"/>
      <family val="2"/>
    </font>
    <font>
      <sz val="11"/>
      <color rgb="FF9C6500"/>
      <name val="Calibri"/>
      <family val="2"/>
      <scheme val="minor"/>
    </font>
  </fonts>
  <fills count="30">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rgb="FFFFC7CE"/>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
      <patternFill patternType="solid">
        <fgColor theme="0"/>
        <bgColor indexed="64"/>
      </patternFill>
    </fill>
    <fill>
      <patternFill patternType="solid">
        <fgColor indexed="30"/>
        <bgColor indexed="40"/>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23"/>
      </patternFill>
    </fill>
    <fill>
      <patternFill patternType="solid">
        <fgColor indexed="9"/>
        <bgColor indexed="27"/>
      </patternFill>
    </fill>
    <fill>
      <patternFill patternType="solid">
        <fgColor indexed="41"/>
        <bgColor indexed="31"/>
      </patternFill>
    </fill>
    <fill>
      <patternFill patternType="solid">
        <fgColor rgb="FF0275D8"/>
        <bgColor indexed="31"/>
      </patternFill>
    </fill>
    <fill>
      <patternFill patternType="solid">
        <fgColor rgb="FFFFFF00"/>
        <bgColor indexed="64"/>
      </patternFill>
    </fill>
    <fill>
      <patternFill patternType="solid">
        <fgColor rgb="FFFFC000"/>
        <bgColor indexed="64"/>
      </patternFill>
    </fill>
    <fill>
      <patternFill patternType="solid">
        <fgColor indexed="16"/>
        <bgColor indexed="37"/>
      </patternFill>
    </fill>
    <fill>
      <patternFill patternType="solid">
        <fgColor indexed="50"/>
        <bgColor indexed="55"/>
      </patternFill>
    </fill>
    <fill>
      <patternFill patternType="solid">
        <fgColor indexed="51"/>
        <bgColor indexed="52"/>
      </patternFill>
    </fill>
    <fill>
      <patternFill patternType="solid">
        <fgColor indexed="40"/>
        <bgColor indexed="30"/>
      </patternFill>
    </fill>
    <fill>
      <patternFill patternType="solid">
        <fgColor rgb="FFC6EFCE"/>
      </patternFill>
    </fill>
    <fill>
      <patternFill patternType="solid">
        <fgColor rgb="FFFFEB9C"/>
      </patternFill>
    </fill>
    <fill>
      <patternFill patternType="solid">
        <fgColor theme="7" tint="0.39997558519241921"/>
        <bgColor indexed="65"/>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10" fillId="6" borderId="0" applyNumberFormat="0" applyBorder="0" applyAlignment="0" applyProtection="0"/>
    <xf numFmtId="0" fontId="11" fillId="0" borderId="0"/>
    <xf numFmtId="9" fontId="12" fillId="0" borderId="0"/>
    <xf numFmtId="0" fontId="46" fillId="27" borderId="0" applyNumberFormat="0" applyBorder="0" applyAlignment="0" applyProtection="0"/>
    <xf numFmtId="0" fontId="48" fillId="28" borderId="0" applyNumberFormat="0" applyBorder="0" applyAlignment="0" applyProtection="0"/>
    <xf numFmtId="0" fontId="5" fillId="29" borderId="0" applyNumberFormat="0" applyBorder="0" applyAlignment="0" applyProtection="0"/>
  </cellStyleXfs>
  <cellXfs count="478">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0" fillId="0" borderId="0" xfId="0" applyAlignment="1">
      <alignment horizontal="center" vertical="center"/>
    </xf>
    <xf numFmtId="166" fontId="0" fillId="0" borderId="0" xfId="0" applyNumberFormat="1" applyAlignment="1">
      <alignment horizontal="center" vertical="center"/>
    </xf>
    <xf numFmtId="43" fontId="0" fillId="0" borderId="0" xfId="0" applyNumberFormat="1" applyAlignment="1">
      <alignment horizontal="center" vertical="center"/>
    </xf>
    <xf numFmtId="167" fontId="0" fillId="0" borderId="0" xfId="6" applyNumberFormat="1" applyFont="1" applyAlignment="1">
      <alignment horizontal="center" vertical="center"/>
    </xf>
    <xf numFmtId="168" fontId="0" fillId="0" borderId="0" xfId="0" applyNumberFormat="1" applyAlignment="1">
      <alignment horizontal="center" vertical="center"/>
    </xf>
    <xf numFmtId="0" fontId="14" fillId="0" borderId="0" xfId="0" applyFont="1"/>
    <xf numFmtId="166" fontId="0" fillId="0" borderId="0" xfId="0" applyNumberFormat="1"/>
    <xf numFmtId="0" fontId="16" fillId="0" borderId="0" xfId="0" applyFont="1" applyAlignment="1">
      <alignment horizontal="left" vertical="center"/>
    </xf>
    <xf numFmtId="9" fontId="0" fillId="8" borderId="0" xfId="6" applyFont="1" applyFill="1" applyAlignment="1">
      <alignment horizontal="center" vertical="center"/>
    </xf>
    <xf numFmtId="0" fontId="11" fillId="0" borderId="7" xfId="0" applyFont="1" applyBorder="1" applyAlignment="1">
      <alignment horizontal="left"/>
    </xf>
    <xf numFmtId="169" fontId="11" fillId="0" borderId="8" xfId="0" applyNumberFormat="1" applyFont="1" applyBorder="1" applyAlignment="1">
      <alignment horizontal="center"/>
    </xf>
    <xf numFmtId="0" fontId="17" fillId="0" borderId="0" xfId="0" applyFont="1"/>
    <xf numFmtId="9" fontId="14" fillId="8" borderId="0" xfId="0" applyNumberFormat="1" applyFont="1" applyFill="1" applyAlignment="1">
      <alignment horizontal="center" vertical="center"/>
    </xf>
    <xf numFmtId="9" fontId="0" fillId="0" borderId="0" xfId="0" applyNumberFormat="1" applyAlignment="1">
      <alignment horizontal="center" vertical="center"/>
    </xf>
    <xf numFmtId="164" fontId="0" fillId="8" borderId="0" xfId="0" applyNumberFormat="1" applyFill="1" applyAlignment="1">
      <alignment horizontal="center" vertical="center"/>
    </xf>
    <xf numFmtId="1" fontId="0" fillId="0" borderId="0" xfId="0" applyNumberFormat="1"/>
    <xf numFmtId="0" fontId="11" fillId="0" borderId="7" xfId="0" quotePrefix="1" applyFont="1" applyBorder="1" applyAlignment="1">
      <alignment horizontal="left"/>
    </xf>
    <xf numFmtId="9" fontId="14" fillId="9" borderId="0" xfId="0" applyNumberFormat="1" applyFont="1" applyFill="1" applyAlignment="1">
      <alignment horizontal="center" vertical="center"/>
    </xf>
    <xf numFmtId="10" fontId="0" fillId="0" borderId="0" xfId="0" applyNumberFormat="1" applyAlignment="1">
      <alignment horizontal="center" vertical="center"/>
    </xf>
    <xf numFmtId="9" fontId="0" fillId="9" borderId="0" xfId="0" applyNumberFormat="1" applyFill="1" applyAlignment="1">
      <alignment horizontal="center" vertical="center"/>
    </xf>
    <xf numFmtId="9" fontId="0" fillId="0" borderId="0" xfId="6" applyFont="1" applyAlignment="1">
      <alignment horizontal="center" vertical="center"/>
    </xf>
    <xf numFmtId="1" fontId="0" fillId="0" borderId="0" xfId="0" applyNumberFormat="1" applyAlignment="1">
      <alignment horizontal="center" vertical="center"/>
    </xf>
    <xf numFmtId="9" fontId="14" fillId="0" borderId="0" xfId="0" applyNumberFormat="1" applyFont="1" applyAlignment="1">
      <alignment horizontal="center" vertical="center"/>
    </xf>
    <xf numFmtId="43" fontId="11" fillId="0" borderId="8" xfId="0" applyNumberFormat="1" applyFont="1" applyBorder="1" applyAlignment="1">
      <alignment horizontal="center"/>
    </xf>
    <xf numFmtId="0" fontId="18" fillId="10" borderId="4" xfId="0" applyFont="1" applyFill="1" applyBorder="1" applyAlignment="1">
      <alignment horizontal="left"/>
    </xf>
    <xf numFmtId="169" fontId="18" fillId="10" borderId="6" xfId="0" applyNumberFormat="1" applyFont="1" applyFill="1" applyBorder="1" applyAlignment="1">
      <alignment horizontal="center"/>
    </xf>
    <xf numFmtId="0" fontId="17" fillId="0" borderId="0" xfId="0" applyFont="1" applyAlignment="1">
      <alignment horizontal="left"/>
    </xf>
    <xf numFmtId="0" fontId="13" fillId="8" borderId="9" xfId="0" applyNumberFormat="1" applyFont="1" applyFill="1" applyBorder="1" applyAlignment="1">
      <alignment horizontal="center"/>
    </xf>
    <xf numFmtId="0" fontId="13" fillId="8" borderId="10" xfId="0" applyNumberFormat="1" applyFont="1" applyFill="1" applyBorder="1" applyAlignment="1">
      <alignment horizontal="center"/>
    </xf>
    <xf numFmtId="49" fontId="13" fillId="8" borderId="9" xfId="0" applyNumberFormat="1" applyFont="1" applyFill="1" applyBorder="1" applyAlignment="1">
      <alignment horizontal="center"/>
    </xf>
    <xf numFmtId="0" fontId="11" fillId="0" borderId="11" xfId="0" applyFont="1" applyFill="1" applyBorder="1" applyAlignment="1">
      <alignment horizontal="left"/>
    </xf>
    <xf numFmtId="9" fontId="14" fillId="0" borderId="0" xfId="6" applyFont="1"/>
    <xf numFmtId="9" fontId="0" fillId="0" borderId="0" xfId="6" applyFont="1"/>
    <xf numFmtId="1" fontId="14" fillId="8" borderId="0" xfId="0" applyNumberFormat="1" applyFont="1" applyFill="1" applyAlignment="1">
      <alignment horizontal="center" vertical="center"/>
    </xf>
    <xf numFmtId="167" fontId="0" fillId="9" borderId="0" xfId="6" applyNumberFormat="1" applyFont="1" applyFill="1" applyAlignment="1">
      <alignment horizontal="center" vertical="center"/>
    </xf>
    <xf numFmtId="0" fontId="11" fillId="0" borderId="0" xfId="0" applyFont="1" applyFill="1" applyBorder="1" applyAlignment="1">
      <alignment horizontal="left"/>
    </xf>
    <xf numFmtId="1" fontId="0" fillId="0" borderId="0" xfId="0" applyNumberFormat="1" applyAlignment="1"/>
    <xf numFmtId="166" fontId="11" fillId="8" borderId="0" xfId="0" applyNumberFormat="1" applyFont="1" applyFill="1" applyBorder="1" applyAlignment="1">
      <alignment horizontal="center"/>
    </xf>
    <xf numFmtId="0" fontId="18" fillId="10" borderId="0" xfId="0" applyFont="1" applyFill="1" applyBorder="1" applyAlignment="1">
      <alignment horizontal="left"/>
    </xf>
    <xf numFmtId="9" fontId="2" fillId="10" borderId="0" xfId="6" applyFont="1" applyFill="1" applyAlignment="1">
      <alignment horizontal="center" vertical="center"/>
    </xf>
    <xf numFmtId="9" fontId="11" fillId="9" borderId="0" xfId="6" applyFont="1" applyFill="1" applyBorder="1" applyAlignment="1">
      <alignment horizontal="center"/>
    </xf>
    <xf numFmtId="0" fontId="2" fillId="10" borderId="0" xfId="0" applyFont="1" applyFill="1"/>
    <xf numFmtId="166" fontId="11" fillId="9" borderId="0" xfId="0" applyNumberFormat="1" applyFont="1" applyFill="1" applyBorder="1" applyAlignment="1">
      <alignment horizontal="center"/>
    </xf>
    <xf numFmtId="9" fontId="11" fillId="8" borderId="0" xfId="6" applyFont="1" applyFill="1" applyBorder="1" applyAlignment="1">
      <alignment horizontal="center"/>
    </xf>
    <xf numFmtId="2" fontId="0" fillId="0" borderId="0" xfId="6" applyNumberFormat="1" applyFont="1" applyAlignment="1">
      <alignment horizontal="center" vertical="center"/>
    </xf>
    <xf numFmtId="0" fontId="0" fillId="11" borderId="0" xfId="0" applyFont="1" applyFill="1"/>
    <xf numFmtId="9" fontId="3" fillId="9" borderId="0" xfId="6" applyFont="1" applyFill="1" applyAlignment="1">
      <alignment horizontal="center" vertical="center"/>
    </xf>
    <xf numFmtId="0" fontId="0" fillId="7" borderId="0" xfId="0" applyFill="1"/>
    <xf numFmtId="0" fontId="0" fillId="7" borderId="0" xfId="0" applyFill="1" applyAlignment="1">
      <alignment horizontal="center" vertical="center"/>
    </xf>
    <xf numFmtId="2" fontId="0" fillId="0" borderId="0" xfId="0" applyNumberFormat="1" applyAlignment="1">
      <alignment horizontal="center"/>
    </xf>
    <xf numFmtId="170" fontId="0" fillId="0" borderId="0" xfId="0" applyNumberFormat="1" applyAlignment="1">
      <alignment horizontal="center" vertical="center"/>
    </xf>
    <xf numFmtId="167" fontId="5" fillId="10" borderId="0" xfId="6" applyNumberFormat="1" applyFont="1" applyFill="1" applyAlignment="1">
      <alignment horizontal="center" vertical="center"/>
    </xf>
    <xf numFmtId="0" fontId="14" fillId="0" borderId="0" xfId="0" applyFont="1" applyAlignment="1">
      <alignment horizontal="center" vertical="center"/>
    </xf>
    <xf numFmtId="9" fontId="0" fillId="0" borderId="0" xfId="0" applyNumberFormat="1"/>
    <xf numFmtId="2" fontId="14" fillId="8" borderId="0" xfId="0" applyNumberFormat="1" applyFont="1" applyFill="1" applyAlignment="1">
      <alignment horizontal="center" vertical="center"/>
    </xf>
    <xf numFmtId="0" fontId="11" fillId="0" borderId="0" xfId="0" applyFont="1"/>
    <xf numFmtId="0" fontId="13" fillId="8" borderId="1" xfId="0" applyFont="1" applyFill="1" applyBorder="1" applyAlignment="1">
      <alignment horizontal="center"/>
    </xf>
    <xf numFmtId="0" fontId="13" fillId="8" borderId="2" xfId="0" applyFont="1" applyFill="1" applyBorder="1" applyAlignment="1">
      <alignment horizontal="center"/>
    </xf>
    <xf numFmtId="0" fontId="13" fillId="8" borderId="3" xfId="0" applyFont="1" applyFill="1" applyBorder="1" applyAlignment="1">
      <alignment horizontal="center"/>
    </xf>
    <xf numFmtId="0" fontId="11" fillId="0" borderId="7" xfId="0" applyFont="1" applyBorder="1" applyAlignment="1">
      <alignment horizontal="center"/>
    </xf>
    <xf numFmtId="38" fontId="11" fillId="0" borderId="13" xfId="0" applyNumberFormat="1" applyFont="1" applyBorder="1" applyAlignment="1">
      <alignment horizontal="center" vertical="center"/>
    </xf>
    <xf numFmtId="9" fontId="11" fillId="0" borderId="13" xfId="0" applyNumberFormat="1" applyFont="1" applyBorder="1" applyAlignment="1">
      <alignment horizontal="center" vertical="center"/>
    </xf>
    <xf numFmtId="168" fontId="11" fillId="0" borderId="8" xfId="0" applyNumberFormat="1" applyFont="1" applyBorder="1" applyAlignment="1">
      <alignment horizontal="center" vertical="center"/>
    </xf>
    <xf numFmtId="0" fontId="11" fillId="0" borderId="4" xfId="0" applyFont="1" applyBorder="1" applyAlignment="1">
      <alignment horizontal="center"/>
    </xf>
    <xf numFmtId="168" fontId="11" fillId="0" borderId="6" xfId="0" applyNumberFormat="1" applyFont="1" applyBorder="1" applyAlignment="1">
      <alignment horizontal="center" vertical="center"/>
    </xf>
    <xf numFmtId="38" fontId="11" fillId="0" borderId="5" xfId="0" applyNumberFormat="1" applyFont="1" applyBorder="1" applyAlignment="1">
      <alignment horizontal="center" vertical="center"/>
    </xf>
    <xf numFmtId="38" fontId="11" fillId="0" borderId="13" xfId="0" applyNumberFormat="1" applyFont="1" applyBorder="1" applyAlignment="1">
      <alignment horizontal="center"/>
    </xf>
    <xf numFmtId="9" fontId="11" fillId="0" borderId="13" xfId="0" applyNumberFormat="1" applyFont="1" applyBorder="1" applyAlignment="1">
      <alignment horizontal="center"/>
    </xf>
    <xf numFmtId="10" fontId="0" fillId="0" borderId="0" xfId="0" applyNumberFormat="1"/>
    <xf numFmtId="0" fontId="22" fillId="0" borderId="0" xfId="8" applyFont="1" applyAlignment="1">
      <alignment wrapText="1"/>
    </xf>
    <xf numFmtId="0" fontId="22" fillId="0" borderId="14" xfId="8" applyFont="1" applyBorder="1" applyAlignment="1">
      <alignment wrapText="1"/>
    </xf>
    <xf numFmtId="0" fontId="23" fillId="13" borderId="14" xfId="8" applyFont="1" applyFill="1" applyBorder="1" applyAlignment="1">
      <alignment horizontal="center" wrapText="1"/>
    </xf>
    <xf numFmtId="0" fontId="24" fillId="0" borderId="15" xfId="8" applyFont="1" applyBorder="1" applyAlignment="1">
      <alignment wrapText="1"/>
    </xf>
    <xf numFmtId="2" fontId="25" fillId="14" borderId="15" xfId="8" applyNumberFormat="1" applyFont="1" applyFill="1" applyBorder="1" applyAlignment="1">
      <alignment horizontal="center" wrapText="1"/>
    </xf>
    <xf numFmtId="10" fontId="25" fillId="14" borderId="15" xfId="8" applyNumberFormat="1" applyFont="1" applyFill="1" applyBorder="1" applyAlignment="1">
      <alignment horizontal="center" wrapText="1"/>
    </xf>
    <xf numFmtId="1" fontId="25" fillId="14" borderId="15" xfId="8" applyNumberFormat="1" applyFont="1" applyFill="1" applyBorder="1" applyAlignment="1">
      <alignment horizontal="center" wrapText="1"/>
    </xf>
    <xf numFmtId="2" fontId="25" fillId="14" borderId="0" xfId="8" applyNumberFormat="1" applyFont="1" applyFill="1" applyBorder="1" applyAlignment="1">
      <alignment horizontal="center" wrapText="1"/>
    </xf>
    <xf numFmtId="10" fontId="25" fillId="14" borderId="0" xfId="8" applyNumberFormat="1" applyFont="1" applyFill="1" applyBorder="1" applyAlignment="1">
      <alignment horizontal="center" wrapText="1"/>
    </xf>
    <xf numFmtId="166" fontId="25" fillId="14" borderId="0" xfId="8" applyNumberFormat="1" applyFont="1" applyFill="1" applyBorder="1" applyAlignment="1">
      <alignment horizontal="center" wrapText="1"/>
    </xf>
    <xf numFmtId="9" fontId="25" fillId="14" borderId="0" xfId="6" applyFont="1" applyFill="1" applyBorder="1" applyAlignment="1">
      <alignment horizontal="center" wrapText="1"/>
    </xf>
    <xf numFmtId="10" fontId="25" fillId="14" borderId="0" xfId="6" applyNumberFormat="1" applyFont="1" applyFill="1" applyBorder="1" applyAlignment="1">
      <alignment horizontal="center" wrapText="1"/>
    </xf>
    <xf numFmtId="166" fontId="25" fillId="14" borderId="15" xfId="8" applyNumberFormat="1" applyFont="1" applyFill="1" applyBorder="1" applyAlignment="1">
      <alignment horizontal="center" wrapText="1"/>
    </xf>
    <xf numFmtId="9" fontId="25" fillId="14" borderId="15" xfId="6" applyFont="1" applyFill="1" applyBorder="1" applyAlignment="1">
      <alignment horizontal="center" wrapText="1"/>
    </xf>
    <xf numFmtId="10" fontId="25" fillId="14" borderId="15" xfId="6" applyNumberFormat="1" applyFont="1" applyFill="1" applyBorder="1" applyAlignment="1">
      <alignment horizontal="center" wrapText="1"/>
    </xf>
    <xf numFmtId="0" fontId="24" fillId="0" borderId="13" xfId="8" applyFont="1" applyBorder="1" applyAlignment="1">
      <alignment wrapText="1"/>
    </xf>
    <xf numFmtId="2" fontId="25" fillId="14" borderId="13" xfId="8" applyNumberFormat="1" applyFont="1" applyFill="1" applyBorder="1" applyAlignment="1">
      <alignment horizontal="center" wrapText="1"/>
    </xf>
    <xf numFmtId="10" fontId="25" fillId="14" borderId="13" xfId="8" applyNumberFormat="1" applyFont="1" applyFill="1" applyBorder="1" applyAlignment="1">
      <alignment horizontal="center" wrapText="1"/>
    </xf>
    <xf numFmtId="0" fontId="22" fillId="0" borderId="13" xfId="8" applyFont="1" applyBorder="1" applyAlignment="1">
      <alignment wrapText="1"/>
    </xf>
    <xf numFmtId="166" fontId="25" fillId="14" borderId="13" xfId="8" applyNumberFormat="1" applyFont="1" applyFill="1" applyBorder="1" applyAlignment="1">
      <alignment horizontal="center" wrapText="1"/>
    </xf>
    <xf numFmtId="9" fontId="25" fillId="14" borderId="13" xfId="6" applyFont="1" applyFill="1" applyBorder="1" applyAlignment="1">
      <alignment horizontal="center" wrapText="1"/>
    </xf>
    <xf numFmtId="10" fontId="25" fillId="14" borderId="13" xfId="6" applyNumberFormat="1" applyFont="1" applyFill="1" applyBorder="1" applyAlignment="1">
      <alignment horizontal="center" wrapText="1"/>
    </xf>
    <xf numFmtId="0" fontId="24" fillId="0" borderId="16" xfId="8" applyFont="1" applyBorder="1" applyAlignment="1">
      <alignment wrapText="1"/>
    </xf>
    <xf numFmtId="2" fontId="25" fillId="14" borderId="16" xfId="8" applyNumberFormat="1" applyFont="1" applyFill="1" applyBorder="1" applyAlignment="1">
      <alignment horizontal="center" wrapText="1"/>
    </xf>
    <xf numFmtId="10" fontId="25" fillId="14" borderId="16" xfId="8" applyNumberFormat="1" applyFont="1" applyFill="1" applyBorder="1" applyAlignment="1">
      <alignment horizontal="center" wrapText="1"/>
    </xf>
    <xf numFmtId="1" fontId="25" fillId="14" borderId="16" xfId="8" applyNumberFormat="1" applyFont="1" applyFill="1" applyBorder="1" applyAlignment="1">
      <alignment horizontal="center" wrapText="1"/>
    </xf>
    <xf numFmtId="166" fontId="25" fillId="14" borderId="16" xfId="8" applyNumberFormat="1" applyFont="1" applyFill="1" applyBorder="1" applyAlignment="1">
      <alignment horizontal="center" wrapText="1"/>
    </xf>
    <xf numFmtId="9" fontId="25" fillId="14" borderId="16" xfId="6" applyFont="1" applyFill="1" applyBorder="1" applyAlignment="1">
      <alignment horizontal="center" wrapText="1"/>
    </xf>
    <xf numFmtId="10" fontId="25" fillId="14" borderId="16" xfId="6" applyNumberFormat="1" applyFont="1" applyFill="1" applyBorder="1" applyAlignment="1">
      <alignment horizontal="center" wrapText="1"/>
    </xf>
    <xf numFmtId="167" fontId="23" fillId="14" borderId="13" xfId="8" applyNumberFormat="1" applyFont="1" applyFill="1" applyBorder="1" applyAlignment="1">
      <alignment horizontal="center" vertical="center" wrapText="1"/>
    </xf>
    <xf numFmtId="167" fontId="23" fillId="15" borderId="13" xfId="8" applyNumberFormat="1" applyFont="1" applyFill="1" applyBorder="1" applyAlignment="1">
      <alignment horizontal="center" vertical="center" wrapText="1"/>
    </xf>
    <xf numFmtId="10" fontId="24" fillId="0" borderId="13" xfId="8" applyNumberFormat="1" applyFont="1" applyBorder="1" applyAlignment="1">
      <alignment horizontal="center" vertical="center" wrapText="1"/>
    </xf>
    <xf numFmtId="0" fontId="24" fillId="0" borderId="13" xfId="8" applyFont="1" applyBorder="1" applyAlignment="1">
      <alignment horizontal="center" vertical="center" wrapText="1"/>
    </xf>
    <xf numFmtId="2" fontId="24" fillId="0" borderId="13" xfId="8" applyNumberFormat="1" applyFont="1" applyBorder="1" applyAlignment="1">
      <alignment horizontal="center" vertical="center" wrapText="1"/>
    </xf>
    <xf numFmtId="167" fontId="24" fillId="0" borderId="13" xfId="8" applyNumberFormat="1" applyFont="1" applyBorder="1" applyAlignment="1">
      <alignment horizontal="center" vertical="center" wrapText="1"/>
    </xf>
    <xf numFmtId="0" fontId="22" fillId="0" borderId="0" xfId="8" applyFont="1" applyBorder="1" applyAlignment="1">
      <alignment horizontal="center" wrapText="1"/>
    </xf>
    <xf numFmtId="0" fontId="22" fillId="0" borderId="0" xfId="8" applyFont="1" applyBorder="1" applyAlignment="1">
      <alignment wrapText="1"/>
    </xf>
    <xf numFmtId="0" fontId="24" fillId="0" borderId="0" xfId="8" applyFont="1" applyBorder="1" applyAlignment="1">
      <alignment wrapText="1"/>
    </xf>
    <xf numFmtId="0" fontId="21" fillId="12" borderId="15" xfId="8" applyFont="1" applyFill="1" applyBorder="1" applyAlignment="1">
      <alignment horizontal="center" wrapText="1"/>
    </xf>
    <xf numFmtId="0" fontId="21" fillId="12" borderId="17" xfId="8" applyFont="1" applyFill="1" applyBorder="1" applyAlignment="1">
      <alignment horizontal="center" wrapText="1"/>
    </xf>
    <xf numFmtId="0" fontId="26" fillId="0" borderId="15" xfId="8" applyFont="1" applyFill="1" applyBorder="1" applyAlignment="1">
      <alignment horizontal="right" wrapText="1"/>
    </xf>
    <xf numFmtId="1" fontId="25" fillId="14" borderId="15" xfId="8" applyNumberFormat="1" applyFont="1" applyFill="1" applyBorder="1" applyAlignment="1">
      <alignment horizontal="center" vertical="center" wrapText="1"/>
    </xf>
    <xf numFmtId="2" fontId="25" fillId="14" borderId="15" xfId="8" applyNumberFormat="1" applyFont="1" applyFill="1" applyBorder="1" applyAlignment="1">
      <alignment horizontal="center" vertical="center" wrapText="1"/>
    </xf>
    <xf numFmtId="2" fontId="21" fillId="14" borderId="15" xfId="8" applyNumberFormat="1" applyFont="1" applyFill="1" applyBorder="1" applyAlignment="1">
      <alignment horizontal="center" wrapText="1"/>
    </xf>
    <xf numFmtId="166" fontId="21" fillId="14" borderId="15" xfId="8" applyNumberFormat="1" applyFont="1" applyFill="1" applyBorder="1" applyAlignment="1">
      <alignment horizontal="center" wrapText="1"/>
    </xf>
    <xf numFmtId="9" fontId="21" fillId="14" borderId="15" xfId="6" applyFont="1" applyFill="1" applyBorder="1" applyAlignment="1">
      <alignment horizontal="center" wrapText="1"/>
    </xf>
    <xf numFmtId="0" fontId="22" fillId="0" borderId="19" xfId="8" applyFont="1" applyBorder="1" applyAlignment="1">
      <alignment horizontal="left" wrapText="1"/>
    </xf>
    <xf numFmtId="164" fontId="21" fillId="12" borderId="20" xfId="8" applyNumberFormat="1" applyFont="1" applyFill="1" applyBorder="1" applyAlignment="1">
      <alignment horizontal="center" wrapText="1"/>
    </xf>
    <xf numFmtId="0" fontId="21" fillId="12" borderId="20" xfId="8" applyFont="1" applyFill="1" applyBorder="1" applyAlignment="1">
      <alignment horizontal="center" wrapText="1"/>
    </xf>
    <xf numFmtId="0" fontId="21" fillId="12" borderId="13" xfId="8" applyFont="1" applyFill="1" applyBorder="1" applyAlignment="1">
      <alignment horizontal="center" wrapText="1"/>
    </xf>
    <xf numFmtId="0" fontId="24" fillId="0" borderId="20" xfId="8" applyFont="1" applyBorder="1" applyAlignment="1">
      <alignment horizontal="right" wrapText="1"/>
    </xf>
    <xf numFmtId="167" fontId="21" fillId="16" borderId="15" xfId="8" applyNumberFormat="1" applyFont="1" applyFill="1" applyBorder="1" applyAlignment="1">
      <alignment horizontal="center" vertical="center" wrapText="1"/>
    </xf>
    <xf numFmtId="167" fontId="25" fillId="14" borderId="15" xfId="8" applyNumberFormat="1" applyFont="1" applyFill="1" applyBorder="1" applyAlignment="1">
      <alignment horizontal="center" wrapText="1"/>
    </xf>
    <xf numFmtId="0" fontId="25" fillId="14" borderId="15" xfId="8" applyFont="1" applyFill="1" applyBorder="1" applyAlignment="1">
      <alignment wrapText="1"/>
    </xf>
    <xf numFmtId="9" fontId="25" fillId="14" borderId="15" xfId="8" applyNumberFormat="1" applyFont="1" applyFill="1" applyBorder="1" applyAlignment="1">
      <alignment horizontal="center" wrapText="1"/>
    </xf>
    <xf numFmtId="0" fontId="25" fillId="14" borderId="0" xfId="8" applyFont="1" applyFill="1" applyAlignment="1">
      <alignment wrapText="1"/>
    </xf>
    <xf numFmtId="0" fontId="25" fillId="14" borderId="15" xfId="8" applyFont="1" applyFill="1" applyBorder="1" applyAlignment="1">
      <alignment horizontal="left" wrapText="1"/>
    </xf>
    <xf numFmtId="10" fontId="21" fillId="16" borderId="15" xfId="8" applyNumberFormat="1" applyFont="1" applyFill="1" applyBorder="1" applyAlignment="1">
      <alignment horizontal="center" vertical="center" wrapText="1"/>
    </xf>
    <xf numFmtId="0" fontId="24" fillId="11" borderId="0" xfId="8" applyFont="1" applyFill="1" applyBorder="1" applyAlignment="1">
      <alignment horizontal="right" wrapText="1"/>
    </xf>
    <xf numFmtId="167" fontId="23" fillId="15" borderId="0" xfId="8" applyNumberFormat="1" applyFont="1" applyFill="1" applyBorder="1" applyAlignment="1">
      <alignment horizontal="center" vertical="center" wrapText="1"/>
    </xf>
    <xf numFmtId="167" fontId="21" fillId="17" borderId="0" xfId="8" applyNumberFormat="1" applyFont="1" applyFill="1" applyBorder="1" applyAlignment="1">
      <alignment horizontal="center" vertical="center" wrapText="1"/>
    </xf>
    <xf numFmtId="167" fontId="25" fillId="15" borderId="0" xfId="8" applyNumberFormat="1" applyFont="1" applyFill="1" applyBorder="1" applyAlignment="1">
      <alignment horizontal="center" wrapText="1"/>
    </xf>
    <xf numFmtId="0" fontId="22" fillId="11" borderId="0" xfId="8" applyFont="1" applyFill="1" applyAlignment="1">
      <alignment wrapText="1"/>
    </xf>
    <xf numFmtId="0" fontId="21" fillId="12" borderId="13" xfId="8" applyFont="1" applyFill="1" applyBorder="1" applyAlignment="1">
      <alignment horizontal="center" vertical="center" wrapText="1"/>
    </xf>
    <xf numFmtId="166" fontId="23" fillId="15" borderId="13" xfId="8" applyNumberFormat="1" applyFont="1" applyFill="1" applyBorder="1" applyAlignment="1">
      <alignment horizontal="center" vertical="center" wrapText="1"/>
    </xf>
    <xf numFmtId="1" fontId="24" fillId="11" borderId="13" xfId="8" applyNumberFormat="1" applyFont="1" applyFill="1" applyBorder="1" applyAlignment="1">
      <alignment horizontal="center" vertical="center" wrapText="1"/>
    </xf>
    <xf numFmtId="166" fontId="24" fillId="11" borderId="13" xfId="8" applyNumberFormat="1" applyFont="1" applyFill="1" applyBorder="1" applyAlignment="1">
      <alignment horizontal="center" vertical="center" wrapText="1"/>
    </xf>
    <xf numFmtId="2" fontId="24" fillId="11" borderId="13" xfId="8" applyNumberFormat="1" applyFont="1" applyFill="1" applyBorder="1" applyAlignment="1">
      <alignment horizontal="center" vertical="center" wrapText="1"/>
    </xf>
    <xf numFmtId="167" fontId="27" fillId="15" borderId="13" xfId="8" applyNumberFormat="1" applyFont="1" applyFill="1" applyBorder="1" applyAlignment="1">
      <alignment horizontal="center" vertical="center" wrapText="1"/>
    </xf>
    <xf numFmtId="166" fontId="23" fillId="15" borderId="0" xfId="8" applyNumberFormat="1" applyFont="1" applyFill="1" applyBorder="1" applyAlignment="1">
      <alignment horizontal="center" vertical="center" wrapText="1"/>
    </xf>
    <xf numFmtId="1" fontId="24" fillId="11" borderId="0" xfId="8" applyNumberFormat="1" applyFont="1" applyFill="1" applyBorder="1" applyAlignment="1">
      <alignment horizontal="center" vertical="center" wrapText="1"/>
    </xf>
    <xf numFmtId="166" fontId="24" fillId="11" borderId="0" xfId="8" applyNumberFormat="1" applyFont="1" applyFill="1" applyBorder="1" applyAlignment="1">
      <alignment horizontal="center" vertical="center" wrapText="1"/>
    </xf>
    <xf numFmtId="2" fontId="24" fillId="11" borderId="0" xfId="8" applyNumberFormat="1" applyFont="1" applyFill="1" applyBorder="1" applyAlignment="1">
      <alignment horizontal="center" vertical="center" wrapText="1"/>
    </xf>
    <xf numFmtId="167" fontId="24" fillId="11" borderId="13" xfId="8" applyNumberFormat="1" applyFont="1" applyFill="1" applyBorder="1" applyAlignment="1">
      <alignment horizontal="center" vertical="center" wrapText="1"/>
    </xf>
    <xf numFmtId="0" fontId="22" fillId="11" borderId="13" xfId="8" applyFont="1" applyFill="1" applyBorder="1" applyAlignment="1">
      <alignment wrapText="1"/>
    </xf>
    <xf numFmtId="166" fontId="23" fillId="17" borderId="13" xfId="8" applyNumberFormat="1" applyFont="1" applyFill="1" applyBorder="1" applyAlignment="1">
      <alignment horizontal="center" vertical="center" wrapText="1"/>
    </xf>
    <xf numFmtId="167" fontId="23" fillId="17" borderId="13" xfId="8" applyNumberFormat="1" applyFont="1" applyFill="1" applyBorder="1" applyAlignment="1">
      <alignment horizontal="center" vertical="center" wrapText="1"/>
    </xf>
    <xf numFmtId="167" fontId="28" fillId="15" borderId="13" xfId="8" applyNumberFormat="1" applyFont="1" applyFill="1" applyBorder="1" applyAlignment="1">
      <alignment horizontal="center" wrapText="1"/>
    </xf>
    <xf numFmtId="167" fontId="25" fillId="15" borderId="13" xfId="8" applyNumberFormat="1" applyFont="1" applyFill="1" applyBorder="1" applyAlignment="1">
      <alignment horizontal="center" wrapText="1"/>
    </xf>
    <xf numFmtId="167" fontId="24" fillId="11" borderId="0" xfId="8" applyNumberFormat="1" applyFont="1" applyFill="1" applyBorder="1" applyAlignment="1">
      <alignment horizontal="center" vertical="center" wrapText="1"/>
    </xf>
    <xf numFmtId="0" fontId="22" fillId="11" borderId="0" xfId="8" applyFont="1" applyFill="1" applyBorder="1" applyAlignment="1">
      <alignment wrapText="1"/>
    </xf>
    <xf numFmtId="166" fontId="23" fillId="17" borderId="0" xfId="8" applyNumberFormat="1" applyFont="1" applyFill="1" applyBorder="1" applyAlignment="1">
      <alignment horizontal="center" vertical="center" wrapText="1"/>
    </xf>
    <xf numFmtId="167" fontId="23" fillId="17" borderId="0" xfId="8" applyNumberFormat="1" applyFont="1" applyFill="1" applyBorder="1" applyAlignment="1">
      <alignment horizontal="center" vertical="center" wrapText="1"/>
    </xf>
    <xf numFmtId="167" fontId="28" fillId="15" borderId="0" xfId="8" applyNumberFormat="1" applyFont="1" applyFill="1" applyBorder="1" applyAlignment="1">
      <alignment horizontal="center" wrapText="1"/>
    </xf>
    <xf numFmtId="166" fontId="24" fillId="0" borderId="13" xfId="8" applyNumberFormat="1" applyFont="1" applyBorder="1" applyAlignment="1">
      <alignment horizontal="center" vertical="center" wrapText="1"/>
    </xf>
    <xf numFmtId="167" fontId="22" fillId="0" borderId="13" xfId="8" applyNumberFormat="1" applyFont="1" applyBorder="1" applyAlignment="1">
      <alignment horizontal="center" vertical="center" wrapText="1"/>
    </xf>
    <xf numFmtId="166" fontId="24" fillId="0" borderId="0" xfId="8" applyNumberFormat="1" applyFont="1" applyBorder="1" applyAlignment="1">
      <alignment horizontal="center" vertical="center" wrapText="1"/>
    </xf>
    <xf numFmtId="2" fontId="24" fillId="0" borderId="0" xfId="8" applyNumberFormat="1" applyFont="1" applyAlignment="1">
      <alignment horizontal="center" vertical="center" wrapText="1"/>
    </xf>
    <xf numFmtId="10" fontId="24" fillId="0" borderId="0" xfId="8" applyNumberFormat="1" applyFont="1" applyAlignment="1">
      <alignment horizontal="center" vertical="center" wrapText="1"/>
    </xf>
    <xf numFmtId="167" fontId="24" fillId="0" borderId="0" xfId="8" applyNumberFormat="1" applyFont="1" applyAlignment="1">
      <alignment horizontal="center" vertical="center" wrapText="1"/>
    </xf>
    <xf numFmtId="167" fontId="22" fillId="0" borderId="0" xfId="8" applyNumberFormat="1" applyFont="1" applyAlignment="1">
      <alignment horizontal="center" wrapText="1"/>
    </xf>
    <xf numFmtId="0" fontId="24" fillId="0" borderId="0" xfId="8" applyFont="1" applyAlignment="1">
      <alignment horizontal="center" vertical="center" wrapText="1"/>
    </xf>
    <xf numFmtId="0" fontId="22" fillId="11" borderId="13" xfId="8" applyFont="1" applyFill="1" applyBorder="1" applyAlignment="1">
      <alignment horizontal="center" vertical="center" wrapText="1"/>
    </xf>
    <xf numFmtId="10" fontId="24" fillId="0" borderId="0" xfId="8" applyNumberFormat="1" applyFont="1" applyBorder="1" applyAlignment="1">
      <alignment wrapText="1"/>
    </xf>
    <xf numFmtId="14" fontId="21" fillId="12" borderId="20" xfId="8" applyNumberFormat="1" applyFont="1" applyFill="1" applyBorder="1" applyAlignment="1">
      <alignment horizontal="center" wrapText="1"/>
    </xf>
    <xf numFmtId="166" fontId="21" fillId="14" borderId="20" xfId="8" applyNumberFormat="1" applyFont="1" applyFill="1" applyBorder="1" applyAlignment="1">
      <alignment horizontal="center" vertical="center" wrapText="1"/>
    </xf>
    <xf numFmtId="9" fontId="22" fillId="0" borderId="0" xfId="6" applyFont="1" applyAlignment="1">
      <alignment wrapText="1"/>
    </xf>
    <xf numFmtId="0" fontId="24" fillId="18" borderId="20" xfId="8" applyFont="1" applyFill="1" applyBorder="1" applyAlignment="1">
      <alignment horizontal="right" wrapText="1"/>
    </xf>
    <xf numFmtId="0" fontId="24" fillId="0" borderId="0" xfId="8" applyFont="1" applyAlignment="1">
      <alignment wrapText="1"/>
    </xf>
    <xf numFmtId="1" fontId="21" fillId="14" borderId="20" xfId="8" applyNumberFormat="1" applyFont="1" applyFill="1" applyBorder="1" applyAlignment="1">
      <alignment horizontal="center" vertical="center" wrapText="1"/>
    </xf>
    <xf numFmtId="0" fontId="24" fillId="0" borderId="0" xfId="8" applyFont="1" applyBorder="1" applyAlignment="1">
      <alignment horizontal="right" wrapText="1"/>
    </xf>
    <xf numFmtId="0" fontId="24" fillId="0" borderId="0" xfId="8" applyFont="1" applyAlignment="1">
      <alignment horizontal="right" wrapText="1"/>
    </xf>
    <xf numFmtId="0" fontId="24" fillId="0" borderId="20" xfId="8" applyFont="1" applyFill="1" applyBorder="1" applyAlignment="1">
      <alignment horizontal="right" wrapText="1"/>
    </xf>
    <xf numFmtId="10" fontId="25" fillId="16" borderId="20" xfId="8" applyNumberFormat="1" applyFont="1" applyFill="1" applyBorder="1" applyAlignment="1">
      <alignment horizontal="center" vertical="center" wrapText="1"/>
    </xf>
    <xf numFmtId="167" fontId="25" fillId="16" borderId="20" xfId="8" applyNumberFormat="1" applyFont="1" applyFill="1" applyBorder="1" applyAlignment="1">
      <alignment horizontal="center" vertical="center" wrapText="1"/>
    </xf>
    <xf numFmtId="10" fontId="22" fillId="0" borderId="0" xfId="8" applyNumberFormat="1" applyFont="1" applyAlignment="1">
      <alignment wrapText="1"/>
    </xf>
    <xf numFmtId="10" fontId="21" fillId="16" borderId="20" xfId="8" applyNumberFormat="1" applyFont="1" applyFill="1" applyBorder="1" applyAlignment="1">
      <alignment horizontal="center" vertical="center" wrapText="1"/>
    </xf>
    <xf numFmtId="167" fontId="21" fillId="16" borderId="20" xfId="8" applyNumberFormat="1" applyFont="1" applyFill="1" applyBorder="1" applyAlignment="1">
      <alignment horizontal="center" vertical="center" wrapText="1"/>
    </xf>
    <xf numFmtId="2" fontId="21" fillId="14" borderId="20" xfId="8" applyNumberFormat="1" applyFont="1" applyFill="1" applyBorder="1" applyAlignment="1">
      <alignment horizontal="center" vertical="center" wrapText="1"/>
    </xf>
    <xf numFmtId="167" fontId="21" fillId="16" borderId="23" xfId="8" applyNumberFormat="1" applyFont="1" applyFill="1" applyBorder="1" applyAlignment="1">
      <alignment vertical="center" wrapText="1"/>
    </xf>
    <xf numFmtId="10" fontId="21" fillId="16" borderId="20" xfId="8" applyNumberFormat="1" applyFont="1" applyFill="1" applyBorder="1" applyAlignment="1">
      <alignment wrapText="1"/>
    </xf>
    <xf numFmtId="10" fontId="21" fillId="16" borderId="21" xfId="8" applyNumberFormat="1" applyFont="1" applyFill="1" applyBorder="1" applyAlignment="1">
      <alignment horizontal="center" wrapText="1"/>
    </xf>
    <xf numFmtId="10" fontId="21" fillId="16" borderId="22" xfId="8" applyNumberFormat="1" applyFont="1" applyFill="1" applyBorder="1" applyAlignment="1">
      <alignment horizontal="center" wrapText="1"/>
    </xf>
    <xf numFmtId="10" fontId="21" fillId="16" borderId="23" xfId="8" applyNumberFormat="1" applyFont="1" applyFill="1" applyBorder="1" applyAlignment="1">
      <alignment horizontal="center" wrapText="1"/>
    </xf>
    <xf numFmtId="0" fontId="22" fillId="20" borderId="20" xfId="8" applyFont="1" applyFill="1" applyBorder="1" applyAlignment="1">
      <alignment wrapText="1"/>
    </xf>
    <xf numFmtId="14" fontId="22" fillId="20" borderId="20" xfId="8" applyNumberFormat="1" applyFont="1" applyFill="1" applyBorder="1" applyAlignment="1">
      <alignment wrapText="1"/>
    </xf>
    <xf numFmtId="0" fontId="22" fillId="0" borderId="20" xfId="8" applyFont="1" applyFill="1" applyBorder="1" applyAlignment="1">
      <alignment horizontal="left" wrapText="1"/>
    </xf>
    <xf numFmtId="2" fontId="22" fillId="0" borderId="20" xfId="8" applyNumberFormat="1" applyFont="1" applyFill="1" applyBorder="1" applyAlignment="1">
      <alignment horizontal="center" vertical="center" wrapText="1"/>
    </xf>
    <xf numFmtId="166" fontId="22" fillId="0" borderId="20" xfId="8" applyNumberFormat="1" applyFont="1" applyFill="1" applyBorder="1" applyAlignment="1">
      <alignment horizontal="center" vertical="center" wrapText="1"/>
    </xf>
    <xf numFmtId="0" fontId="22" fillId="0" borderId="20" xfId="8" applyFont="1" applyBorder="1" applyAlignment="1">
      <alignment wrapText="1"/>
    </xf>
    <xf numFmtId="10" fontId="22" fillId="0" borderId="20" xfId="8" applyNumberFormat="1" applyFont="1" applyBorder="1" applyAlignment="1">
      <alignment horizontal="center" vertical="center" wrapText="1"/>
    </xf>
    <xf numFmtId="164" fontId="22" fillId="0" borderId="20" xfId="8" applyNumberFormat="1" applyFont="1" applyBorder="1" applyAlignment="1">
      <alignment horizontal="center" vertical="center" wrapText="1"/>
    </xf>
    <xf numFmtId="2" fontId="22" fillId="0" borderId="20" xfId="8" applyNumberFormat="1" applyFont="1" applyBorder="1" applyAlignment="1">
      <alignment horizontal="center" vertical="center" wrapText="1"/>
    </xf>
    <xf numFmtId="9" fontId="22" fillId="0" borderId="20" xfId="6" applyFont="1" applyBorder="1" applyAlignment="1">
      <alignment horizontal="center" vertical="center" wrapText="1"/>
    </xf>
    <xf numFmtId="164" fontId="22" fillId="0" borderId="20" xfId="6" applyNumberFormat="1" applyFont="1" applyBorder="1" applyAlignment="1">
      <alignment horizontal="center" vertical="center" wrapText="1"/>
    </xf>
    <xf numFmtId="9" fontId="22" fillId="0" borderId="0" xfId="8" applyNumberFormat="1" applyFont="1" applyAlignment="1">
      <alignment horizontal="center" vertical="center" wrapText="1"/>
    </xf>
    <xf numFmtId="0" fontId="22" fillId="0" borderId="20" xfId="8" applyFont="1" applyFill="1" applyBorder="1" applyAlignment="1">
      <alignment wrapText="1"/>
    </xf>
    <xf numFmtId="43" fontId="22" fillId="0" borderId="20" xfId="8" applyNumberFormat="1" applyFont="1" applyFill="1" applyBorder="1" applyAlignment="1">
      <alignment horizontal="center" vertical="center" wrapText="1"/>
    </xf>
    <xf numFmtId="0" fontId="22" fillId="0" borderId="15" xfId="8" applyFont="1" applyFill="1" applyBorder="1" applyAlignment="1">
      <alignment wrapText="1"/>
    </xf>
    <xf numFmtId="0" fontId="22" fillId="0" borderId="15" xfId="8" applyFont="1" applyFill="1" applyBorder="1" applyAlignment="1">
      <alignment horizontal="center" vertical="center" wrapText="1"/>
    </xf>
    <xf numFmtId="43" fontId="22" fillId="0" borderId="15" xfId="8" applyNumberFormat="1" applyFont="1" applyFill="1" applyBorder="1" applyAlignment="1">
      <alignment horizontal="center" vertical="center" wrapText="1"/>
    </xf>
    <xf numFmtId="0" fontId="22" fillId="0" borderId="15" xfId="8" applyFont="1" applyBorder="1" applyAlignment="1">
      <alignment wrapText="1"/>
    </xf>
    <xf numFmtId="2" fontId="22" fillId="0" borderId="15" xfId="8" applyNumberFormat="1" applyFont="1" applyBorder="1" applyAlignment="1">
      <alignment horizontal="center" vertical="center" wrapText="1"/>
    </xf>
    <xf numFmtId="2" fontId="22" fillId="0" borderId="0" xfId="8" applyNumberFormat="1" applyFont="1" applyBorder="1" applyAlignment="1">
      <alignment wrapText="1"/>
    </xf>
    <xf numFmtId="10" fontId="22" fillId="0" borderId="15" xfId="8" applyNumberFormat="1" applyFont="1" applyFill="1" applyBorder="1" applyAlignment="1">
      <alignment horizontal="center" vertical="center" wrapText="1"/>
    </xf>
    <xf numFmtId="9" fontId="22" fillId="21" borderId="0" xfId="6" applyFont="1" applyFill="1" applyBorder="1" applyAlignment="1">
      <alignment wrapText="1"/>
    </xf>
    <xf numFmtId="2" fontId="22" fillId="0" borderId="0" xfId="8" applyNumberFormat="1" applyFont="1" applyFill="1" applyBorder="1" applyAlignment="1">
      <alignment wrapText="1"/>
    </xf>
    <xf numFmtId="2" fontId="22" fillId="0" borderId="0" xfId="8" applyNumberFormat="1" applyFont="1" applyFill="1" applyAlignment="1">
      <alignment wrapText="1"/>
    </xf>
    <xf numFmtId="10" fontId="22" fillId="0" borderId="0" xfId="8" applyNumberFormat="1" applyFont="1" applyFill="1" applyAlignment="1">
      <alignment wrapText="1"/>
    </xf>
    <xf numFmtId="0" fontId="22" fillId="0" borderId="0" xfId="8" applyFont="1" applyFill="1" applyAlignment="1">
      <alignment wrapText="1"/>
    </xf>
    <xf numFmtId="0" fontId="22" fillId="0" borderId="0" xfId="8" applyFont="1" applyAlignment="1">
      <alignment horizontal="center" vertical="center" wrapText="1"/>
    </xf>
    <xf numFmtId="10" fontId="22" fillId="0" borderId="13" xfId="8" applyNumberFormat="1" applyFont="1" applyBorder="1" applyAlignment="1">
      <alignment horizontal="center" vertical="center" wrapText="1"/>
    </xf>
    <xf numFmtId="2" fontId="22" fillId="0" borderId="13" xfId="8" applyNumberFormat="1" applyFont="1" applyBorder="1" applyAlignment="1">
      <alignment horizontal="center" vertical="center" wrapText="1"/>
    </xf>
    <xf numFmtId="10" fontId="29" fillId="0" borderId="13" xfId="9" applyNumberFormat="1" applyFont="1" applyBorder="1" applyAlignment="1">
      <alignment horizontal="center" vertical="center" wrapText="1"/>
    </xf>
    <xf numFmtId="0" fontId="1" fillId="0" borderId="0" xfId="0" applyFont="1" applyAlignment="1">
      <alignment horizontal="center" vertical="center"/>
    </xf>
    <xf numFmtId="0" fontId="32" fillId="0" borderId="0" xfId="0" applyFont="1"/>
    <xf numFmtId="0" fontId="33" fillId="0" borderId="0" xfId="0" applyFont="1" applyAlignment="1">
      <alignment vertical="center"/>
    </xf>
    <xf numFmtId="164" fontId="32" fillId="0" borderId="0" xfId="1" applyFont="1" applyBorder="1"/>
    <xf numFmtId="0" fontId="33" fillId="0" borderId="0" xfId="0" applyFont="1"/>
    <xf numFmtId="2" fontId="0" fillId="0" borderId="0" xfId="0" applyNumberFormat="1"/>
    <xf numFmtId="0" fontId="34" fillId="0" borderId="0" xfId="0" applyFont="1" applyAlignment="1">
      <alignment horizontal="left" vertical="center"/>
    </xf>
    <xf numFmtId="0" fontId="35" fillId="0" borderId="0" xfId="0" applyFont="1"/>
    <xf numFmtId="164" fontId="35" fillId="0" borderId="0" xfId="1" applyFont="1" applyBorder="1"/>
    <xf numFmtId="0" fontId="36" fillId="0" borderId="0" xfId="0" applyFont="1" applyAlignment="1">
      <alignment horizontal="left" vertical="center"/>
    </xf>
    <xf numFmtId="171" fontId="0" fillId="0" borderId="0" xfId="0" applyNumberFormat="1"/>
    <xf numFmtId="167" fontId="0" fillId="0" borderId="0" xfId="6" applyNumberFormat="1" applyFont="1"/>
    <xf numFmtId="165" fontId="37" fillId="5" borderId="0" xfId="0" applyNumberFormat="1" applyFont="1" applyFill="1" applyBorder="1" applyAlignment="1">
      <alignment horizontal="center"/>
    </xf>
    <xf numFmtId="166" fontId="37" fillId="5" borderId="0" xfId="0" applyNumberFormat="1" applyFont="1" applyFill="1" applyBorder="1" applyAlignment="1">
      <alignment horizontal="center"/>
    </xf>
    <xf numFmtId="1" fontId="32" fillId="0" borderId="0" xfId="0" applyNumberFormat="1" applyFont="1" applyAlignment="1">
      <alignment horizontal="center" vertical="center"/>
    </xf>
    <xf numFmtId="166" fontId="32" fillId="0" borderId="0" xfId="0" applyNumberFormat="1" applyFont="1" applyAlignment="1">
      <alignment horizontal="center" vertical="center"/>
    </xf>
    <xf numFmtId="9" fontId="32" fillId="0" borderId="0" xfId="6" applyFont="1" applyAlignment="1">
      <alignment horizontal="center" vertical="center"/>
    </xf>
    <xf numFmtId="9" fontId="38" fillId="0" borderId="0" xfId="6" applyFont="1" applyAlignment="1">
      <alignment horizontal="center" vertical="center"/>
    </xf>
    <xf numFmtId="9" fontId="32" fillId="0" borderId="0" xfId="6" applyFont="1"/>
    <xf numFmtId="9" fontId="39" fillId="0" borderId="0" xfId="6" applyFont="1" applyAlignment="1">
      <alignment horizontal="center" vertical="center"/>
    </xf>
    <xf numFmtId="9" fontId="40" fillId="0" borderId="0" xfId="6" applyFont="1" applyAlignment="1">
      <alignment horizontal="center" vertical="center"/>
    </xf>
    <xf numFmtId="167" fontId="32" fillId="0" borderId="0" xfId="6" applyNumberFormat="1" applyFont="1" applyAlignment="1">
      <alignment horizontal="center" vertical="center"/>
    </xf>
    <xf numFmtId="167" fontId="39" fillId="0" borderId="0" xfId="6" applyNumberFormat="1" applyFont="1" applyAlignment="1">
      <alignment horizontal="center" vertical="center"/>
    </xf>
    <xf numFmtId="167" fontId="40" fillId="0" borderId="0" xfId="6" applyNumberFormat="1" applyFont="1" applyAlignment="1">
      <alignment horizontal="center" vertical="center"/>
    </xf>
    <xf numFmtId="9" fontId="32" fillId="0" borderId="0" xfId="0" applyNumberFormat="1" applyFont="1" applyAlignment="1">
      <alignment horizontal="center" vertical="center"/>
    </xf>
    <xf numFmtId="166" fontId="39" fillId="0" borderId="0" xfId="0" applyNumberFormat="1" applyFont="1" applyAlignment="1">
      <alignment horizontal="center" vertical="center"/>
    </xf>
    <xf numFmtId="1" fontId="39" fillId="0" borderId="0" xfId="0" applyNumberFormat="1" applyFont="1" applyAlignment="1">
      <alignment horizontal="center" vertical="center"/>
    </xf>
    <xf numFmtId="1" fontId="40" fillId="0" borderId="0" xfId="0" applyNumberFormat="1" applyFont="1" applyAlignment="1">
      <alignment horizontal="center" vertical="center"/>
    </xf>
    <xf numFmtId="9" fontId="32" fillId="0" borderId="0" xfId="6" applyNumberFormat="1" applyFont="1" applyAlignment="1">
      <alignment horizontal="center" vertical="center"/>
    </xf>
    <xf numFmtId="167" fontId="38" fillId="0" borderId="0" xfId="6" applyNumberFormat="1" applyFont="1" applyAlignment="1">
      <alignment horizontal="center" vertical="center"/>
    </xf>
    <xf numFmtId="166" fontId="40" fillId="0" borderId="0" xfId="0" applyNumberFormat="1" applyFont="1" applyAlignment="1">
      <alignment horizontal="center" vertical="center"/>
    </xf>
    <xf numFmtId="166" fontId="32" fillId="0" borderId="0" xfId="6" applyNumberFormat="1" applyFont="1" applyAlignment="1">
      <alignment horizontal="center" vertical="center"/>
    </xf>
    <xf numFmtId="166" fontId="40" fillId="0" borderId="0" xfId="6" applyNumberFormat="1" applyFont="1" applyAlignment="1">
      <alignment horizontal="center" vertical="center"/>
    </xf>
    <xf numFmtId="2" fontId="32" fillId="0" borderId="0" xfId="6" applyNumberFormat="1" applyFont="1" applyAlignment="1">
      <alignment horizontal="center" vertical="center"/>
    </xf>
    <xf numFmtId="2" fontId="40" fillId="0" borderId="0" xfId="6" applyNumberFormat="1" applyFont="1" applyAlignment="1">
      <alignment horizontal="center" vertical="center"/>
    </xf>
    <xf numFmtId="166" fontId="39" fillId="0" borderId="0" xfId="6" applyNumberFormat="1" applyFont="1" applyAlignment="1">
      <alignment horizontal="center" vertical="center"/>
    </xf>
    <xf numFmtId="164" fontId="24" fillId="0" borderId="0" xfId="0" applyNumberFormat="1" applyFont="1" applyBorder="1" applyAlignment="1">
      <alignment wrapText="1"/>
    </xf>
    <xf numFmtId="0" fontId="22" fillId="0" borderId="0" xfId="0" applyFont="1" applyBorder="1" applyAlignment="1">
      <alignment wrapText="1"/>
    </xf>
    <xf numFmtId="0" fontId="32" fillId="0" borderId="0" xfId="0" applyFont="1" applyAlignment="1">
      <alignment wrapText="1"/>
    </xf>
    <xf numFmtId="0" fontId="24" fillId="0" borderId="0" xfId="0" applyFont="1" applyBorder="1" applyAlignment="1">
      <alignment wrapText="1"/>
    </xf>
    <xf numFmtId="0" fontId="22" fillId="24" borderId="0" xfId="0" applyFont="1" applyFill="1" applyAlignment="1">
      <alignment wrapText="1"/>
    </xf>
    <xf numFmtId="0" fontId="22" fillId="0" borderId="0" xfId="0" applyFont="1" applyAlignment="1">
      <alignment wrapText="1"/>
    </xf>
    <xf numFmtId="164" fontId="21" fillId="12" borderId="20" xfId="0" applyNumberFormat="1" applyFont="1" applyFill="1" applyBorder="1" applyAlignment="1">
      <alignment horizontal="center" wrapText="1"/>
    </xf>
    <xf numFmtId="14" fontId="21" fillId="12" borderId="20" xfId="0" applyNumberFormat="1" applyFont="1" applyFill="1" applyBorder="1" applyAlignment="1">
      <alignment horizontal="center" wrapText="1"/>
    </xf>
    <xf numFmtId="0" fontId="24" fillId="0" borderId="20" xfId="0" applyFont="1" applyBorder="1" applyAlignment="1">
      <alignment wrapText="1"/>
    </xf>
    <xf numFmtId="0" fontId="22" fillId="0" borderId="20" xfId="0" applyFont="1" applyBorder="1" applyAlignment="1">
      <alignment wrapText="1"/>
    </xf>
    <xf numFmtId="0" fontId="22" fillId="0" borderId="20" xfId="0" applyFont="1" applyFill="1" applyBorder="1" applyAlignment="1">
      <alignment horizontal="left" wrapText="1"/>
    </xf>
    <xf numFmtId="0" fontId="22" fillId="0" borderId="0" xfId="0" applyFont="1" applyFill="1" applyBorder="1" applyAlignment="1">
      <alignment horizontal="left" wrapText="1"/>
    </xf>
    <xf numFmtId="4" fontId="41" fillId="0" borderId="13" xfId="0" applyNumberFormat="1" applyFont="1" applyFill="1" applyBorder="1" applyAlignment="1">
      <alignment horizontal="right" vertical="center" wrapText="1"/>
    </xf>
    <xf numFmtId="0" fontId="42" fillId="25" borderId="15" xfId="0" applyFont="1" applyFill="1" applyBorder="1" applyAlignment="1">
      <alignment horizontal="right" vertical="center" wrapText="1"/>
    </xf>
    <xf numFmtId="0" fontId="21" fillId="26" borderId="15" xfId="0" applyFont="1" applyFill="1" applyBorder="1" applyAlignment="1">
      <alignment wrapText="1"/>
    </xf>
    <xf numFmtId="14" fontId="21" fillId="12" borderId="15" xfId="0" applyNumberFormat="1" applyFont="1" applyFill="1" applyBorder="1" applyAlignment="1">
      <alignment horizontal="center" wrapText="1"/>
    </xf>
    <xf numFmtId="0" fontId="22" fillId="0" borderId="15" xfId="0" applyFont="1" applyFill="1" applyBorder="1" applyAlignment="1">
      <alignment wrapText="1"/>
    </xf>
    <xf numFmtId="2" fontId="22" fillId="0" borderId="15" xfId="0" applyNumberFormat="1" applyFont="1" applyFill="1" applyBorder="1" applyAlignment="1">
      <alignment wrapText="1"/>
    </xf>
    <xf numFmtId="164" fontId="32" fillId="0" borderId="0" xfId="1" applyFont="1" applyBorder="1" applyAlignment="1">
      <alignment wrapText="1"/>
    </xf>
    <xf numFmtId="2" fontId="22" fillId="0" borderId="15" xfId="0" applyNumberFormat="1" applyFont="1" applyFill="1" applyBorder="1" applyAlignment="1">
      <alignment horizontal="right" wrapText="1"/>
    </xf>
    <xf numFmtId="0" fontId="22" fillId="22" borderId="15" xfId="0" applyFont="1" applyFill="1" applyBorder="1" applyAlignment="1">
      <alignment wrapText="1"/>
    </xf>
    <xf numFmtId="164" fontId="21" fillId="12" borderId="24" xfId="0" applyNumberFormat="1" applyFont="1" applyFill="1" applyBorder="1" applyAlignment="1">
      <alignment horizontal="center" wrapText="1"/>
    </xf>
    <xf numFmtId="14" fontId="21" fillId="12" borderId="24" xfId="0" applyNumberFormat="1" applyFont="1" applyFill="1" applyBorder="1" applyAlignment="1">
      <alignment horizontal="center" wrapText="1"/>
    </xf>
    <xf numFmtId="0" fontId="22" fillId="0" borderId="13" xfId="0" applyFont="1" applyBorder="1" applyAlignment="1">
      <alignment wrapText="1"/>
    </xf>
    <xf numFmtId="164" fontId="22" fillId="0" borderId="13" xfId="0" applyNumberFormat="1" applyFont="1" applyBorder="1" applyAlignment="1">
      <alignment wrapText="1"/>
    </xf>
    <xf numFmtId="43" fontId="22" fillId="0" borderId="13" xfId="0" applyNumberFormat="1" applyFont="1" applyBorder="1" applyAlignment="1">
      <alignment wrapText="1"/>
    </xf>
    <xf numFmtId="0" fontId="22" fillId="24" borderId="25" xfId="0" applyFont="1" applyFill="1" applyBorder="1" applyAlignment="1">
      <alignment wrapText="1"/>
    </xf>
    <xf numFmtId="0" fontId="22" fillId="0" borderId="13" xfId="0" applyFont="1" applyFill="1" applyBorder="1" applyAlignment="1">
      <alignment wrapText="1"/>
    </xf>
    <xf numFmtId="0" fontId="22" fillId="22" borderId="13" xfId="0" applyFont="1" applyFill="1" applyBorder="1" applyAlignment="1">
      <alignment wrapText="1"/>
    </xf>
    <xf numFmtId="0" fontId="22" fillId="21" borderId="13" xfId="0" applyFont="1" applyFill="1" applyBorder="1" applyAlignment="1">
      <alignment wrapText="1"/>
    </xf>
    <xf numFmtId="164" fontId="22" fillId="0" borderId="13" xfId="0" applyNumberFormat="1" applyFont="1" applyFill="1" applyBorder="1" applyAlignment="1">
      <alignment wrapText="1"/>
    </xf>
    <xf numFmtId="1" fontId="22" fillId="0" borderId="13" xfId="0" applyNumberFormat="1" applyFont="1" applyBorder="1" applyAlignment="1">
      <alignment wrapText="1"/>
    </xf>
    <xf numFmtId="169" fontId="22" fillId="0" borderId="13" xfId="0" applyNumberFormat="1" applyFont="1" applyBorder="1" applyAlignment="1">
      <alignment wrapText="1"/>
    </xf>
    <xf numFmtId="0" fontId="22" fillId="21" borderId="0" xfId="0" applyFont="1" applyFill="1" applyBorder="1" applyAlignment="1">
      <alignment wrapText="1"/>
    </xf>
    <xf numFmtId="0" fontId="22" fillId="22" borderId="0" xfId="0" applyFont="1" applyFill="1" applyBorder="1" applyAlignment="1">
      <alignment wrapText="1"/>
    </xf>
    <xf numFmtId="1" fontId="22" fillId="0" borderId="0" xfId="0" applyNumberFormat="1" applyFont="1" applyBorder="1" applyAlignment="1">
      <alignment wrapText="1"/>
    </xf>
    <xf numFmtId="169" fontId="22" fillId="0" borderId="0" xfId="0" applyNumberFormat="1" applyFont="1" applyBorder="1" applyAlignment="1">
      <alignment horizontal="center" vertical="center" wrapText="1"/>
    </xf>
    <xf numFmtId="2" fontId="22" fillId="0" borderId="13" xfId="0" applyNumberFormat="1" applyFont="1" applyBorder="1" applyAlignment="1">
      <alignment wrapText="1"/>
    </xf>
    <xf numFmtId="9" fontId="29" fillId="0" borderId="13" xfId="6" applyFont="1" applyBorder="1" applyAlignment="1">
      <alignment wrapText="1"/>
    </xf>
    <xf numFmtId="0" fontId="22" fillId="0" borderId="15" xfId="0" applyFont="1" applyFill="1" applyBorder="1" applyAlignment="1">
      <alignment horizontal="left" wrapText="1"/>
    </xf>
    <xf numFmtId="0" fontId="22" fillId="0" borderId="15" xfId="0" applyFont="1" applyBorder="1" applyAlignment="1">
      <alignment wrapText="1"/>
    </xf>
    <xf numFmtId="2" fontId="22" fillId="0" borderId="13" xfId="0" applyNumberFormat="1" applyFont="1" applyFill="1" applyBorder="1" applyAlignment="1">
      <alignment horizontal="center" vertical="center" wrapText="1"/>
    </xf>
    <xf numFmtId="0" fontId="22" fillId="0" borderId="0" xfId="0" applyFont="1" applyFill="1" applyBorder="1" applyAlignment="1">
      <alignment wrapText="1"/>
    </xf>
    <xf numFmtId="2" fontId="22" fillId="0" borderId="13" xfId="0" applyNumberFormat="1" applyFont="1" applyBorder="1" applyAlignment="1">
      <alignment horizontal="center" vertical="center" wrapText="1"/>
    </xf>
    <xf numFmtId="10" fontId="22" fillId="0" borderId="13" xfId="0" applyNumberFormat="1" applyFont="1" applyBorder="1" applyAlignment="1">
      <alignment wrapText="1"/>
    </xf>
    <xf numFmtId="168" fontId="22" fillId="0" borderId="0" xfId="0" applyNumberFormat="1" applyFont="1" applyBorder="1" applyAlignment="1">
      <alignment wrapText="1"/>
    </xf>
    <xf numFmtId="0" fontId="43" fillId="0" borderId="0" xfId="0" applyFont="1" applyAlignment="1">
      <alignment horizontal="left" vertical="center"/>
    </xf>
    <xf numFmtId="0" fontId="16" fillId="0" borderId="0" xfId="0" applyFont="1" applyAlignment="1">
      <alignment wrapText="1"/>
    </xf>
    <xf numFmtId="171" fontId="16" fillId="0" borderId="0" xfId="0" applyNumberFormat="1" applyFont="1"/>
    <xf numFmtId="0" fontId="16" fillId="0" borderId="0" xfId="0" applyFont="1"/>
    <xf numFmtId="0" fontId="16" fillId="0" borderId="0" xfId="0" applyFont="1" applyAlignment="1">
      <alignment horizontal="center" vertical="center"/>
    </xf>
    <xf numFmtId="0" fontId="44" fillId="0" borderId="0" xfId="0" applyFont="1" applyAlignment="1">
      <alignment horizontal="left" vertical="center"/>
    </xf>
    <xf numFmtId="0" fontId="44" fillId="0" borderId="0" xfId="0" applyFont="1" applyAlignment="1">
      <alignment wrapText="1"/>
    </xf>
    <xf numFmtId="9" fontId="14" fillId="0" borderId="0" xfId="6" applyFont="1" applyAlignment="1">
      <alignment horizontal="center" vertical="center"/>
    </xf>
    <xf numFmtId="0" fontId="44" fillId="0" borderId="0" xfId="0" applyFont="1" applyFill="1" applyAlignment="1">
      <alignment horizontal="left" vertical="center"/>
    </xf>
    <xf numFmtId="171" fontId="16" fillId="0" borderId="0" xfId="0" applyNumberFormat="1" applyFont="1" applyAlignment="1">
      <alignment horizontal="center" vertical="center"/>
    </xf>
    <xf numFmtId="9" fontId="14" fillId="0" borderId="0" xfId="0" applyNumberFormat="1" applyFont="1"/>
    <xf numFmtId="164" fontId="14" fillId="0" borderId="0" xfId="6" applyNumberFormat="1" applyFont="1" applyAlignment="1">
      <alignment horizontal="center" vertical="center"/>
    </xf>
    <xf numFmtId="2" fontId="14" fillId="0" borderId="0" xfId="6" applyNumberFormat="1" applyFont="1" applyAlignment="1">
      <alignment horizontal="center" vertical="center"/>
    </xf>
    <xf numFmtId="10" fontId="14" fillId="0" borderId="0" xfId="6" applyNumberFormat="1" applyFont="1" applyAlignment="1">
      <alignment horizontal="center" vertical="center"/>
    </xf>
    <xf numFmtId="171" fontId="16" fillId="0" borderId="0" xfId="6" applyNumberFormat="1" applyFont="1" applyAlignment="1">
      <alignment horizontal="center" vertical="center"/>
    </xf>
    <xf numFmtId="1" fontId="14" fillId="0" borderId="0" xfId="6" applyNumberFormat="1" applyFont="1" applyAlignment="1">
      <alignment horizontal="center" vertical="center"/>
    </xf>
    <xf numFmtId="1" fontId="14" fillId="21" borderId="0" xfId="6" applyNumberFormat="1" applyFont="1" applyFill="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14" fillId="0" borderId="0" xfId="0" applyFont="1" applyAlignment="1">
      <alignment wrapText="1"/>
    </xf>
    <xf numFmtId="0" fontId="14" fillId="0" borderId="0" xfId="0" applyFont="1" applyFill="1" applyAlignment="1">
      <alignment horizontal="center"/>
    </xf>
    <xf numFmtId="164" fontId="14" fillId="0" borderId="0" xfId="0" applyNumberFormat="1" applyFont="1" applyFill="1" applyAlignment="1">
      <alignment horizontal="center"/>
    </xf>
    <xf numFmtId="1" fontId="14" fillId="0" borderId="0" xfId="0" applyNumberFormat="1" applyFont="1" applyFill="1" applyAlignment="1">
      <alignment horizontal="center" vertical="center"/>
    </xf>
    <xf numFmtId="166" fontId="14" fillId="0" borderId="0" xfId="0" applyNumberFormat="1" applyFont="1" applyFill="1" applyAlignment="1">
      <alignment horizontal="center" vertical="center"/>
    </xf>
    <xf numFmtId="166" fontId="14" fillId="0" borderId="0" xfId="6" applyNumberFormat="1" applyFont="1" applyAlignment="1">
      <alignment horizontal="center" vertical="center"/>
    </xf>
    <xf numFmtId="166" fontId="14" fillId="0" borderId="0" xfId="0" applyNumberFormat="1" applyFont="1"/>
    <xf numFmtId="9" fontId="14" fillId="0" borderId="0" xfId="6" applyFont="1" applyFill="1" applyAlignment="1">
      <alignment horizontal="center" vertical="center"/>
    </xf>
    <xf numFmtId="2" fontId="14" fillId="0" borderId="0" xfId="6" applyNumberFormat="1" applyFont="1" applyFill="1" applyAlignment="1">
      <alignment horizontal="center" vertical="center"/>
    </xf>
    <xf numFmtId="9" fontId="16" fillId="0" borderId="0" xfId="6" applyFont="1" applyAlignment="1">
      <alignment horizontal="center" vertical="center"/>
    </xf>
    <xf numFmtId="167" fontId="14" fillId="0" borderId="0" xfId="6" applyNumberFormat="1" applyFont="1" applyAlignment="1">
      <alignment horizontal="center" vertical="center"/>
    </xf>
    <xf numFmtId="0" fontId="45" fillId="0" borderId="0" xfId="0" applyFont="1" applyAlignment="1">
      <alignment wrapText="1"/>
    </xf>
    <xf numFmtId="2" fontId="14" fillId="0" borderId="0" xfId="0" applyNumberFormat="1" applyFont="1" applyAlignment="1">
      <alignment horizontal="center" vertical="center"/>
    </xf>
    <xf numFmtId="166" fontId="14" fillId="0" borderId="0" xfId="0" applyNumberFormat="1" applyFont="1" applyAlignment="1">
      <alignment horizontal="center" vertical="center"/>
    </xf>
    <xf numFmtId="164" fontId="14" fillId="0" borderId="0" xfId="0" applyNumberFormat="1" applyFont="1"/>
    <xf numFmtId="2" fontId="14" fillId="0" borderId="0" xfId="6" applyNumberFormat="1" applyFont="1"/>
    <xf numFmtId="0" fontId="14" fillId="0" borderId="0" xfId="0" applyFont="1" applyAlignment="1">
      <alignment horizontal="left" vertical="center"/>
    </xf>
    <xf numFmtId="1" fontId="14" fillId="0" borderId="0" xfId="0" applyNumberFormat="1" applyFont="1" applyAlignment="1">
      <alignment horizontal="center" vertical="center"/>
    </xf>
    <xf numFmtId="0" fontId="45" fillId="0" borderId="0" xfId="0" applyFont="1" applyAlignment="1">
      <alignment horizontal="left" vertical="center"/>
    </xf>
    <xf numFmtId="43" fontId="32" fillId="0" borderId="0" xfId="6" applyNumberFormat="1" applyFont="1"/>
    <xf numFmtId="43" fontId="32" fillId="0" borderId="0" xfId="0" applyNumberFormat="1" applyFont="1" applyAlignment="1">
      <alignment wrapText="1"/>
    </xf>
    <xf numFmtId="43" fontId="22" fillId="0" borderId="0" xfId="8" applyNumberFormat="1" applyFont="1" applyAlignment="1">
      <alignment wrapText="1"/>
    </xf>
    <xf numFmtId="9" fontId="32" fillId="0" borderId="0" xfId="6" applyFont="1" applyAlignment="1">
      <alignment horizontal="center"/>
    </xf>
    <xf numFmtId="9" fontId="0" fillId="0" borderId="0" xfId="6" applyFont="1" applyBorder="1"/>
    <xf numFmtId="9" fontId="0" fillId="0" borderId="0" xfId="6" applyFont="1" applyBorder="1" applyAlignment="1">
      <alignment horizontal="center" vertical="center"/>
    </xf>
    <xf numFmtId="172" fontId="0" fillId="0" borderId="0" xfId="1" applyNumberFormat="1" applyFont="1" applyBorder="1"/>
    <xf numFmtId="166" fontId="0" fillId="0" borderId="0" xfId="1" applyNumberFormat="1" applyFont="1" applyBorder="1" applyAlignment="1">
      <alignment horizontal="center" vertical="center"/>
    </xf>
    <xf numFmtId="166" fontId="32" fillId="0" borderId="0" xfId="0" applyNumberFormat="1" applyFont="1" applyAlignment="1">
      <alignment horizontal="center"/>
    </xf>
    <xf numFmtId="166" fontId="0" fillId="0" borderId="0" xfId="6" applyNumberFormat="1" applyFont="1" applyBorder="1"/>
    <xf numFmtId="166" fontId="0" fillId="0" borderId="0" xfId="6" applyNumberFormat="1" applyFont="1" applyBorder="1" applyAlignment="1">
      <alignment horizontal="center" vertical="center"/>
    </xf>
    <xf numFmtId="166" fontId="32" fillId="0" borderId="0" xfId="6" applyNumberFormat="1" applyFont="1" applyAlignment="1">
      <alignment horizontal="center"/>
    </xf>
    <xf numFmtId="0" fontId="32" fillId="0" borderId="0" xfId="0" applyFont="1" applyAlignment="1">
      <alignment horizontal="left" vertical="center"/>
    </xf>
    <xf numFmtId="0" fontId="0" fillId="0" borderId="0" xfId="0" applyAlignment="1">
      <alignment wrapText="1"/>
    </xf>
    <xf numFmtId="173" fontId="0" fillId="0" borderId="0" xfId="6" applyNumberFormat="1" applyFont="1"/>
    <xf numFmtId="10" fontId="0" fillId="0" borderId="0" xfId="6" applyNumberFormat="1" applyFont="1"/>
    <xf numFmtId="0" fontId="10" fillId="6" borderId="0" xfId="7"/>
    <xf numFmtId="0" fontId="0" fillId="0" borderId="0" xfId="0" applyAlignment="1">
      <alignment horizontal="right" vertical="center"/>
    </xf>
    <xf numFmtId="0" fontId="1" fillId="0" borderId="0" xfId="0" applyFont="1"/>
    <xf numFmtId="17" fontId="0" fillId="0" borderId="0" xfId="0" applyNumberFormat="1" applyAlignment="1">
      <alignment vertical="center" wrapText="1"/>
    </xf>
    <xf numFmtId="0" fontId="0" fillId="0" borderId="0" xfId="0" applyAlignment="1">
      <alignment vertical="center" wrapText="1"/>
    </xf>
    <xf numFmtId="17" fontId="0" fillId="0" borderId="0" xfId="0" applyNumberFormat="1" applyAlignment="1">
      <alignment vertical="center"/>
    </xf>
    <xf numFmtId="0" fontId="47" fillId="0" borderId="29" xfId="0" applyFont="1" applyBorder="1" applyAlignment="1">
      <alignment horizontal="right" wrapText="1"/>
    </xf>
    <xf numFmtId="10" fontId="17" fillId="0" borderId="29" xfId="0" applyNumberFormat="1" applyFont="1" applyBorder="1" applyAlignment="1">
      <alignment horizontal="right" wrapText="1"/>
    </xf>
    <xf numFmtId="10" fontId="17" fillId="0" borderId="29" xfId="0" applyNumberFormat="1" applyFont="1" applyFill="1" applyBorder="1" applyAlignment="1">
      <alignment horizontal="right" wrapText="1"/>
    </xf>
    <xf numFmtId="0" fontId="17" fillId="0" borderId="29" xfId="0" applyFont="1" applyFill="1" applyBorder="1" applyAlignment="1">
      <alignment horizontal="right" wrapText="1"/>
    </xf>
    <xf numFmtId="0" fontId="46" fillId="27" borderId="0" xfId="10" applyAlignment="1">
      <alignment vertical="center" wrapText="1"/>
    </xf>
    <xf numFmtId="0" fontId="22" fillId="0" borderId="0" xfId="0" applyFont="1" applyAlignment="1"/>
    <xf numFmtId="0" fontId="46" fillId="27" borderId="0" xfId="10"/>
    <xf numFmtId="0" fontId="46" fillId="27" borderId="0" xfId="10" applyAlignment="1">
      <alignment wrapText="1"/>
    </xf>
    <xf numFmtId="17" fontId="48" fillId="28" borderId="0" xfId="11" applyNumberFormat="1" applyAlignment="1">
      <alignment vertical="center"/>
    </xf>
    <xf numFmtId="0" fontId="48" fillId="28" borderId="0" xfId="11"/>
    <xf numFmtId="17" fontId="5" fillId="29" borderId="0" xfId="12" applyNumberFormat="1"/>
    <xf numFmtId="0" fontId="5" fillId="29" borderId="0" xfId="12" applyAlignment="1">
      <alignment vertical="center" wrapText="1"/>
    </xf>
    <xf numFmtId="10" fontId="17" fillId="0" borderId="30" xfId="0" applyNumberFormat="1" applyFont="1" applyFill="1" applyBorder="1" applyAlignment="1">
      <alignment horizontal="right" wrapText="1"/>
    </xf>
    <xf numFmtId="10" fontId="17" fillId="0" borderId="30" xfId="0" applyNumberFormat="1" applyFont="1" applyBorder="1" applyAlignment="1">
      <alignment horizontal="right" wrapText="1"/>
    </xf>
    <xf numFmtId="9" fontId="0" fillId="0" borderId="0" xfId="6" applyNumberFormat="1" applyFont="1"/>
    <xf numFmtId="22" fontId="0" fillId="0" borderId="0" xfId="0" applyNumberFormat="1"/>
    <xf numFmtId="43" fontId="0" fillId="0" borderId="0" xfId="0" applyNumberFormat="1"/>
    <xf numFmtId="0" fontId="0" fillId="0" borderId="0" xfId="0" applyAlignment="1">
      <alignment horizontal="center" wrapText="1"/>
    </xf>
    <xf numFmtId="9" fontId="14" fillId="0" borderId="0" xfId="6" quotePrefix="1" applyFont="1" applyFill="1" applyAlignment="1">
      <alignment horizontal="center" vertical="center"/>
    </xf>
    <xf numFmtId="0" fontId="0" fillId="0" borderId="0" xfId="0" applyAlignment="1">
      <alignment horizontal="center" wrapText="1"/>
    </xf>
    <xf numFmtId="0" fontId="46" fillId="27" borderId="0" xfId="10" applyAlignment="1">
      <alignment horizontal="center"/>
    </xf>
    <xf numFmtId="1" fontId="1" fillId="0" borderId="0" xfId="0" applyNumberFormat="1" applyFont="1"/>
    <xf numFmtId="0" fontId="0" fillId="0" borderId="0" xfId="0"/>
    <xf numFmtId="0" fontId="0" fillId="0" borderId="0" xfId="0"/>
    <xf numFmtId="0" fontId="0" fillId="0" borderId="0" xfId="0"/>
    <xf numFmtId="0" fontId="0" fillId="0" borderId="0" xfId="0" applyAlignment="1">
      <alignment horizontal="right" vertical="center"/>
    </xf>
    <xf numFmtId="0" fontId="0" fillId="0" borderId="0" xfId="0"/>
    <xf numFmtId="164" fontId="0" fillId="0" borderId="0" xfId="1" applyFont="1" applyBorder="1"/>
    <xf numFmtId="165" fontId="2" fillId="5" borderId="0" xfId="0" applyNumberFormat="1" applyFont="1" applyFill="1" applyBorder="1" applyAlignment="1">
      <alignment horizontal="center"/>
    </xf>
    <xf numFmtId="1" fontId="0" fillId="0" borderId="0" xfId="0" applyNumberFormat="1"/>
    <xf numFmtId="9" fontId="0" fillId="0" borderId="0" xfId="6" applyFont="1"/>
    <xf numFmtId="9" fontId="0" fillId="0" borderId="0" xfId="0" applyNumberFormat="1"/>
    <xf numFmtId="165" fontId="2" fillId="5" borderId="13" xfId="0" applyNumberFormat="1" applyFont="1" applyFill="1" applyBorder="1" applyAlignment="1">
      <alignment horizontal="center"/>
    </xf>
    <xf numFmtId="0" fontId="32" fillId="0" borderId="13" xfId="0" applyFont="1" applyBorder="1"/>
    <xf numFmtId="1" fontId="0" fillId="0" borderId="13" xfId="0" applyNumberFormat="1" applyBorder="1"/>
    <xf numFmtId="0" fontId="0" fillId="0" borderId="13" xfId="0" applyBorder="1"/>
    <xf numFmtId="0" fontId="35" fillId="0" borderId="13" xfId="0" applyFont="1" applyBorder="1"/>
    <xf numFmtId="9" fontId="1" fillId="0" borderId="13" xfId="0" applyNumberFormat="1" applyFont="1" applyBorder="1"/>
    <xf numFmtId="1" fontId="1" fillId="0" borderId="13" xfId="0" applyNumberFormat="1" applyFont="1" applyBorder="1"/>
    <xf numFmtId="9" fontId="0" fillId="0" borderId="13" xfId="6" applyFont="1" applyBorder="1"/>
    <xf numFmtId="1" fontId="0" fillId="0" borderId="13" xfId="0" applyNumberFormat="1" applyFont="1" applyBorder="1"/>
    <xf numFmtId="0" fontId="1" fillId="0" borderId="13" xfId="0" applyFont="1" applyBorder="1"/>
    <xf numFmtId="2" fontId="0" fillId="0" borderId="13" xfId="0" applyNumberFormat="1" applyBorder="1"/>
    <xf numFmtId="166" fontId="0" fillId="0" borderId="13" xfId="0" applyNumberFormat="1" applyBorder="1"/>
    <xf numFmtId="175" fontId="1" fillId="0" borderId="13" xfId="0" applyNumberFormat="1" applyFont="1" applyBorder="1" applyAlignment="1">
      <alignment horizontal="center"/>
    </xf>
    <xf numFmtId="175" fontId="0" fillId="0" borderId="13" xfId="0" applyNumberFormat="1" applyBorder="1" applyAlignment="1">
      <alignment horizontal="center"/>
    </xf>
    <xf numFmtId="174" fontId="0" fillId="0" borderId="13" xfId="0" applyNumberFormat="1" applyBorder="1"/>
    <xf numFmtId="174" fontId="1" fillId="0" borderId="31" xfId="0" applyNumberFormat="1" applyFont="1" applyBorder="1"/>
    <xf numFmtId="9" fontId="1" fillId="0" borderId="13" xfId="6" applyFont="1" applyBorder="1"/>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0" fillId="0" borderId="0" xfId="0" applyAlignment="1">
      <alignment vertical="center" wrapText="1"/>
    </xf>
    <xf numFmtId="0" fontId="0" fillId="0" borderId="0" xfId="0" applyAlignment="1">
      <alignment horizontal="center" wrapText="1"/>
    </xf>
    <xf numFmtId="0" fontId="1" fillId="0" borderId="32" xfId="0" applyFont="1" applyBorder="1" applyAlignment="1">
      <alignment horizontal="left"/>
    </xf>
    <xf numFmtId="0" fontId="1" fillId="0" borderId="31" xfId="0" applyFont="1" applyBorder="1" applyAlignment="1">
      <alignment horizontal="left"/>
    </xf>
    <xf numFmtId="0" fontId="22" fillId="19" borderId="25" xfId="0" applyFont="1" applyFill="1" applyBorder="1" applyAlignment="1">
      <alignment wrapText="1"/>
    </xf>
    <xf numFmtId="0" fontId="22" fillId="19" borderId="24" xfId="0" applyFont="1" applyFill="1" applyBorder="1" applyAlignment="1">
      <alignment wrapText="1"/>
    </xf>
    <xf numFmtId="0" fontId="21" fillId="23" borderId="0" xfId="0" applyFont="1" applyFill="1" applyBorder="1" applyAlignment="1">
      <alignment horizontal="center" wrapText="1"/>
    </xf>
    <xf numFmtId="0" fontId="22" fillId="19" borderId="20" xfId="0" applyFont="1" applyFill="1" applyBorder="1" applyAlignment="1">
      <alignment wrapText="1"/>
    </xf>
    <xf numFmtId="0" fontId="22" fillId="0" borderId="26" xfId="0" applyFont="1" applyBorder="1" applyAlignment="1">
      <alignment horizontal="center" wrapText="1"/>
    </xf>
    <xf numFmtId="0" fontId="22" fillId="0" borderId="19" xfId="0" applyFont="1" applyBorder="1" applyAlignment="1">
      <alignment horizontal="center" wrapText="1"/>
    </xf>
    <xf numFmtId="0" fontId="22" fillId="0" borderId="27" xfId="0" applyFont="1" applyBorder="1" applyAlignment="1">
      <alignment horizontal="center" wrapText="1"/>
    </xf>
    <xf numFmtId="0" fontId="22" fillId="19" borderId="28" xfId="0" applyFont="1" applyFill="1" applyBorder="1" applyAlignment="1">
      <alignment wrapText="1"/>
    </xf>
    <xf numFmtId="0" fontId="46" fillId="27" borderId="0" xfId="10" applyAlignment="1">
      <alignment horizontal="center"/>
    </xf>
    <xf numFmtId="0" fontId="10" fillId="6" borderId="0" xfId="7" applyAlignment="1">
      <alignment horizontal="center"/>
    </xf>
    <xf numFmtId="167" fontId="21" fillId="16" borderId="21" xfId="8" applyNumberFormat="1" applyFont="1" applyFill="1" applyBorder="1" applyAlignment="1">
      <alignment horizontal="center" vertical="center" wrapText="1"/>
    </xf>
    <xf numFmtId="167" fontId="21" fillId="16" borderId="22" xfId="8" applyNumberFormat="1" applyFont="1" applyFill="1" applyBorder="1" applyAlignment="1">
      <alignment horizontal="center" vertical="center" wrapText="1"/>
    </xf>
    <xf numFmtId="167" fontId="21" fillId="16" borderId="23" xfId="8" applyNumberFormat="1" applyFont="1" applyFill="1" applyBorder="1" applyAlignment="1">
      <alignment horizontal="center" vertical="center" wrapText="1"/>
    </xf>
    <xf numFmtId="0" fontId="21" fillId="12" borderId="13" xfId="8" applyFont="1" applyFill="1" applyBorder="1" applyAlignment="1">
      <alignment horizontal="center" vertical="center" wrapText="1"/>
    </xf>
    <xf numFmtId="0" fontId="22" fillId="0" borderId="18" xfId="8" applyFont="1" applyBorder="1" applyAlignment="1">
      <alignment horizontal="center" wrapText="1"/>
    </xf>
    <xf numFmtId="0" fontId="22" fillId="19" borderId="20" xfId="8" applyFont="1" applyFill="1" applyBorder="1" applyAlignment="1">
      <alignment horizontal="right" wrapText="1"/>
    </xf>
    <xf numFmtId="0" fontId="16" fillId="0" borderId="0" xfId="0" applyFont="1" applyAlignment="1">
      <alignment horizontal="left" vertical="center"/>
    </xf>
    <xf numFmtId="0" fontId="16" fillId="7" borderId="12" xfId="0" applyFont="1" applyFill="1" applyBorder="1" applyAlignment="1">
      <alignment horizontal="center"/>
    </xf>
    <xf numFmtId="0" fontId="13" fillId="7" borderId="1"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5" fillId="0" borderId="0" xfId="0" applyFont="1" applyBorder="1" applyAlignment="1">
      <alignment horizontal="center"/>
    </xf>
    <xf numFmtId="0" fontId="13" fillId="8" borderId="1" xfId="0" applyFont="1" applyFill="1" applyBorder="1" applyAlignment="1">
      <alignment horizontal="center"/>
    </xf>
    <xf numFmtId="0" fontId="13" fillId="8" borderId="3" xfId="0" applyFont="1" applyFill="1" applyBorder="1" applyAlignment="1">
      <alignment horizontal="center"/>
    </xf>
    <xf numFmtId="0" fontId="0" fillId="0" borderId="13" xfId="0" applyBorder="1" applyAlignment="1">
      <alignment horizontal="center"/>
    </xf>
    <xf numFmtId="0" fontId="0" fillId="0" borderId="0" xfId="0"/>
    <xf numFmtId="0" fontId="0" fillId="0" borderId="0" xfId="0"/>
    <xf numFmtId="164" fontId="0" fillId="0" borderId="0" xfId="1" applyFont="1" applyBorder="1"/>
    <xf numFmtId="0" fontId="0" fillId="0" borderId="0" xfId="0"/>
    <xf numFmtId="164" fontId="1" fillId="0" borderId="0" xfId="1" applyFont="1" applyBorder="1"/>
    <xf numFmtId="43" fontId="0" fillId="0" borderId="0" xfId="1" applyNumberFormat="1" applyFont="1" applyBorder="1"/>
    <xf numFmtId="9" fontId="0" fillId="0" borderId="0" xfId="6" applyFont="1"/>
    <xf numFmtId="0" fontId="46" fillId="27" borderId="0" xfId="10"/>
  </cellXfs>
  <cellStyles count="13">
    <cellStyle name="60% - Accent1" xfId="3" builtinId="32"/>
    <cellStyle name="60% - Accent3" xfId="4" builtinId="40"/>
    <cellStyle name="60% - Accent4" xfId="12" builtinId="44"/>
    <cellStyle name="Accent6" xfId="5" builtinId="49"/>
    <cellStyle name="Bad" xfId="7" builtinId="27"/>
    <cellStyle name="Comma" xfId="1" builtinId="3"/>
    <cellStyle name="Good" xfId="10" builtinId="26"/>
    <cellStyle name="Hyperlink" xfId="2" builtinId="8"/>
    <cellStyle name="Neutral" xfId="11" builtinId="28"/>
    <cellStyle name="Normal" xfId="0" builtinId="0"/>
    <cellStyle name="Normal 2" xfId="8"/>
    <cellStyle name="Percent" xfId="6" builtinId="5"/>
    <cellStyle name="Percent 2" xfId="9"/>
  </cellStyles>
  <dxfs count="18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color theme="0"/>
      </font>
      <fill>
        <patternFill>
          <bgColor theme="5"/>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border outline="0">
        <bottom style="medium">
          <color rgb="FFCCCCCC"/>
        </bottom>
      </border>
    </dxf>
    <dxf>
      <numFmt numFmtId="22" formatCode="mmm/yy"/>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4" formatCode="0.0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11"/>
        <color theme="1"/>
        <name val="Calibri"/>
        <scheme val="minor"/>
      </font>
    </dxf>
    <dxf>
      <numFmt numFmtId="13" formatCode="0%"/>
    </dxf>
    <dxf>
      <numFmt numFmtId="0" formatCode="Genera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4" formatCode="0.0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11"/>
        <color rgb="FF000000"/>
        <name val="Calibri"/>
        <scheme val="none"/>
      </font>
    </dxf>
    <dxf>
      <numFmt numFmtId="13" formatCode="0%"/>
    </dxf>
    <dxf>
      <numFmt numFmtId="0" formatCode="General"/>
    </dxf>
    <dxf>
      <font>
        <b val="0"/>
        <i val="0"/>
        <strike val="0"/>
        <condense val="0"/>
        <extend val="0"/>
        <outline val="0"/>
        <shadow val="0"/>
        <u val="none"/>
        <vertAlign val="baseline"/>
        <sz val="9"/>
        <color theme="1"/>
        <name val="Calibri"/>
        <scheme val="minor"/>
      </font>
    </dxf>
  </dxfs>
  <tableStyles count="0" defaultTableStyle="TableStyleMedium9" defaultPivotStyle="PivotStyleLight16"/>
  <colors>
    <mruColors>
      <color rgb="FFC2E8C7"/>
      <color rgb="FFB1CFC4"/>
      <color rgb="FF0275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Sales</c:v>
          </c:tx>
          <c:spPr>
            <a:solidFill>
              <a:srgbClr val="92D050"/>
            </a:solidFill>
          </c:spPr>
          <c:invertIfNegative val="1"/>
          <c:dLbls>
            <c:numFmt formatCode="#,##0" sourceLinked="0"/>
            <c:txPr>
              <a:bodyPr/>
              <a:lstStyle/>
              <a:p>
                <a:pPr>
                  <a:defRPr sz="800"/>
                </a:pPr>
                <a:endParaRPr lang="en-US"/>
              </a:p>
            </c:txPr>
            <c:showLegendKey val="0"/>
            <c:showVal val="1"/>
            <c:showCatName val="0"/>
            <c:showSerName val="0"/>
            <c:showPercent val="0"/>
            <c:showBubbleSize val="0"/>
            <c:showLeaderLines val="0"/>
          </c:dLbls>
          <c:cat>
            <c:numRef>
              <c:f>'Data Sheet'!$B$16:$K$16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Sheet'!$B$17:$K$17</c:f>
              <c:numCache>
                <c:formatCode>General</c:formatCode>
                <c:ptCount val="10"/>
                <c:pt idx="2">
                  <c:v>16.32</c:v>
                </c:pt>
                <c:pt idx="3">
                  <c:v>21.06</c:v>
                </c:pt>
                <c:pt idx="4">
                  <c:v>26.21</c:v>
                </c:pt>
                <c:pt idx="5">
                  <c:v>44.06</c:v>
                </c:pt>
                <c:pt idx="6">
                  <c:v>124.85</c:v>
                </c:pt>
                <c:pt idx="7">
                  <c:v>271.93</c:v>
                </c:pt>
                <c:pt idx="8">
                  <c:v>528.34</c:v>
                </c:pt>
                <c:pt idx="9">
                  <c:v>849.24</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95045248"/>
        <c:axId val="176050944"/>
      </c:barChart>
      <c:catAx>
        <c:axId val="195045248"/>
        <c:scaling>
          <c:orientation val="minMax"/>
        </c:scaling>
        <c:delete val="0"/>
        <c:axPos val="b"/>
        <c:numFmt formatCode="yy;@" sourceLinked="0"/>
        <c:majorTickMark val="out"/>
        <c:minorTickMark val="none"/>
        <c:tickLblPos val="nextTo"/>
        <c:txPr>
          <a:bodyPr/>
          <a:lstStyle/>
          <a:p>
            <a:pPr>
              <a:defRPr sz="800"/>
            </a:pPr>
            <a:endParaRPr lang="en-US"/>
          </a:p>
        </c:txPr>
        <c:crossAx val="176050944"/>
        <c:crosses val="autoZero"/>
        <c:auto val="0"/>
        <c:lblAlgn val="ctr"/>
        <c:lblOffset val="100"/>
        <c:noMultiLvlLbl val="0"/>
      </c:catAx>
      <c:valAx>
        <c:axId val="176050944"/>
        <c:scaling>
          <c:orientation val="minMax"/>
        </c:scaling>
        <c:delete val="1"/>
        <c:axPos val="l"/>
        <c:majorGridlines>
          <c:spPr>
            <a:ln>
              <a:noFill/>
            </a:ln>
          </c:spPr>
        </c:majorGridlines>
        <c:numFmt formatCode="General" sourceLinked="1"/>
        <c:majorTickMark val="none"/>
        <c:minorTickMark val="none"/>
        <c:tickLblPos val="none"/>
        <c:crossAx val="195045248"/>
        <c:crosses val="autoZero"/>
        <c:crossBetween val="between"/>
      </c:valAx>
      <c:spPr>
        <a:noFill/>
        <a:ln w="25400">
          <a:noFill/>
        </a:ln>
      </c:spPr>
    </c:plotArea>
    <c:legend>
      <c:legendPos val="r"/>
      <c:layout>
        <c:manualLayout>
          <c:xMode val="edge"/>
          <c:yMode val="edge"/>
          <c:x val="7.398170094821771E-2"/>
          <c:y val="3.9101979003010767E-2"/>
          <c:w val="0.19546184870643013"/>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Fixed Asset Turn</a:t>
            </a:r>
          </a:p>
        </c:rich>
      </c:tx>
      <c:layout>
        <c:manualLayout>
          <c:xMode val="edge"/>
          <c:yMode val="edge"/>
          <c:x val="5.296996901299489E-3"/>
          <c:y val="2.7777777777777776E-2"/>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Fixed Asset Turn</c:v>
          </c:tx>
          <c:spPr>
            <a:solidFill>
              <a:srgbClr val="DEF5FA">
                <a:lumMod val="90000"/>
              </a:srgbClr>
            </a:solidFill>
          </c:spPr>
          <c:invertIfNegative val="0"/>
          <c:dLbls>
            <c:numFmt formatCode="#,##0.0" sourceLinked="0"/>
            <c:txPr>
              <a:bodyPr/>
              <a:lstStyle/>
              <a:p>
                <a:pPr>
                  <a:defRPr sz="800"/>
                </a:pPr>
                <a:endParaRPr lang="en-US"/>
              </a:p>
            </c:txPr>
            <c:dLblPos val="inEnd"/>
            <c:showLegendKey val="0"/>
            <c:showVal val="1"/>
            <c:showCatName val="0"/>
            <c:showSerName val="0"/>
            <c:showPercent val="0"/>
            <c:showBubbleSize val="0"/>
            <c:showLeaderLines val="0"/>
          </c:dLbls>
          <c:cat>
            <c:numRef>
              <c:f>Asset_Ratio!$B$1:$K$1</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Asset_Ratio!$B$54:$K$54</c:f>
              <c:numCache>
                <c:formatCode>0.0</c:formatCode>
                <c:ptCount val="10"/>
                <c:pt idx="0">
                  <c:v>0</c:v>
                </c:pt>
                <c:pt idx="1">
                  <c:v>0</c:v>
                </c:pt>
                <c:pt idx="2">
                  <c:v>2.697520661157025</c:v>
                </c:pt>
                <c:pt idx="3">
                  <c:v>3.5217391304347823</c:v>
                </c:pt>
                <c:pt idx="4">
                  <c:v>35.904109589041099</c:v>
                </c:pt>
                <c:pt idx="5">
                  <c:v>0.84325358851674648</c:v>
                </c:pt>
                <c:pt idx="6">
                  <c:v>1.5779828109201213</c:v>
                </c:pt>
                <c:pt idx="7">
                  <c:v>1.8578260572521692</c:v>
                </c:pt>
                <c:pt idx="8">
                  <c:v>2.8193169690501603</c:v>
                </c:pt>
                <c:pt idx="9">
                  <c:v>2.3699280013395101</c:v>
                </c:pt>
              </c:numCache>
            </c:numRef>
          </c:val>
        </c:ser>
        <c:dLbls>
          <c:showLegendKey val="0"/>
          <c:showVal val="1"/>
          <c:showCatName val="0"/>
          <c:showSerName val="0"/>
          <c:showPercent val="0"/>
          <c:showBubbleSize val="0"/>
        </c:dLbls>
        <c:gapWidth val="25"/>
        <c:overlap val="1"/>
        <c:axId val="199123328"/>
        <c:axId val="199126016"/>
      </c:barChart>
      <c:catAx>
        <c:axId val="199123328"/>
        <c:scaling>
          <c:orientation val="minMax"/>
        </c:scaling>
        <c:delete val="0"/>
        <c:axPos val="b"/>
        <c:numFmt formatCode="yy;@" sourceLinked="0"/>
        <c:majorTickMark val="out"/>
        <c:minorTickMark val="none"/>
        <c:tickLblPos val="nextTo"/>
        <c:crossAx val="199126016"/>
        <c:crosses val="autoZero"/>
        <c:auto val="0"/>
        <c:lblAlgn val="ctr"/>
        <c:lblOffset val="100"/>
        <c:noMultiLvlLbl val="0"/>
      </c:catAx>
      <c:valAx>
        <c:axId val="199126016"/>
        <c:scaling>
          <c:orientation val="minMax"/>
        </c:scaling>
        <c:delete val="1"/>
        <c:axPos val="l"/>
        <c:majorGridlines>
          <c:spPr>
            <a:ln>
              <a:noFill/>
            </a:ln>
          </c:spPr>
        </c:majorGridlines>
        <c:numFmt formatCode="0.0" sourceLinked="1"/>
        <c:majorTickMark val="none"/>
        <c:minorTickMark val="none"/>
        <c:tickLblPos val="none"/>
        <c:crossAx val="199123328"/>
        <c:crosses val="autoZero"/>
        <c:crossBetween val="between"/>
      </c:valAx>
      <c:spPr>
        <a:noFill/>
        <a:ln w="25400">
          <a:noFill/>
        </a:ln>
      </c:spPr>
    </c:plotArea>
    <c:plotVisOnly val="1"/>
    <c:dispBlanksAs val="gap"/>
    <c:showDLblsOverMax val="0"/>
  </c:chart>
  <c:spPr>
    <a:ln w="3175"/>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CFI</a:t>
            </a:r>
          </a:p>
        </c:rich>
      </c:tx>
      <c:layout>
        <c:manualLayout>
          <c:xMode val="edge"/>
          <c:yMode val="edge"/>
          <c:x val="4.9813948314956428E-4"/>
          <c:y val="0"/>
        </c:manualLayout>
      </c:layout>
      <c:overlay val="1"/>
    </c:title>
    <c:autoTitleDeleted val="0"/>
    <c:plotArea>
      <c:layout>
        <c:manualLayout>
          <c:layoutTarget val="inner"/>
          <c:xMode val="edge"/>
          <c:yMode val="edge"/>
          <c:x val="1.2787245656366472E-2"/>
          <c:y val="2.745844269466317E-2"/>
          <c:w val="0.9639871697662179"/>
          <c:h val="0.8488779527559055"/>
        </c:manualLayout>
      </c:layout>
      <c:barChart>
        <c:barDir val="col"/>
        <c:grouping val="clustered"/>
        <c:varyColors val="0"/>
        <c:ser>
          <c:idx val="0"/>
          <c:order val="0"/>
          <c:tx>
            <c:v>CFI</c:v>
          </c:tx>
          <c:spPr>
            <a:solidFill>
              <a:srgbClr val="92D050"/>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'Data Sheet'!$B$81:$K$81</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Sheet'!$B$83:$K$83</c:f>
              <c:numCache>
                <c:formatCode>General</c:formatCode>
                <c:ptCount val="10"/>
                <c:pt idx="2">
                  <c:v>-18.8</c:v>
                </c:pt>
                <c:pt idx="3">
                  <c:v>-3.77</c:v>
                </c:pt>
                <c:pt idx="4">
                  <c:v>-2.0699999999999998</c:v>
                </c:pt>
                <c:pt idx="5">
                  <c:v>-57.5</c:v>
                </c:pt>
                <c:pt idx="6">
                  <c:v>-36.65</c:v>
                </c:pt>
                <c:pt idx="7">
                  <c:v>-85.71</c:v>
                </c:pt>
                <c:pt idx="8">
                  <c:v>-56.67</c:v>
                </c:pt>
                <c:pt idx="9">
                  <c:v>-238.07</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99145344"/>
        <c:axId val="199176960"/>
      </c:barChart>
      <c:catAx>
        <c:axId val="199145344"/>
        <c:scaling>
          <c:orientation val="minMax"/>
        </c:scaling>
        <c:delete val="0"/>
        <c:axPos val="b"/>
        <c:numFmt formatCode="yy;@" sourceLinked="0"/>
        <c:majorTickMark val="out"/>
        <c:minorTickMark val="none"/>
        <c:tickLblPos val="low"/>
        <c:txPr>
          <a:bodyPr/>
          <a:lstStyle/>
          <a:p>
            <a:pPr>
              <a:defRPr sz="800"/>
            </a:pPr>
            <a:endParaRPr lang="en-US"/>
          </a:p>
        </c:txPr>
        <c:crossAx val="199176960"/>
        <c:crosses val="autoZero"/>
        <c:auto val="0"/>
        <c:lblAlgn val="ctr"/>
        <c:lblOffset val="100"/>
        <c:noMultiLvlLbl val="0"/>
      </c:catAx>
      <c:valAx>
        <c:axId val="199176960"/>
        <c:scaling>
          <c:orientation val="minMax"/>
        </c:scaling>
        <c:delete val="1"/>
        <c:axPos val="l"/>
        <c:majorGridlines>
          <c:spPr>
            <a:ln>
              <a:noFill/>
            </a:ln>
          </c:spPr>
        </c:majorGridlines>
        <c:numFmt formatCode="General" sourceLinked="1"/>
        <c:majorTickMark val="none"/>
        <c:minorTickMark val="none"/>
        <c:tickLblPos val="none"/>
        <c:crossAx val="19914534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93713199912510936"/>
        </c:manualLayout>
      </c:layout>
      <c:barChart>
        <c:barDir val="col"/>
        <c:grouping val="clustered"/>
        <c:varyColors val="0"/>
        <c:ser>
          <c:idx val="0"/>
          <c:order val="0"/>
          <c:tx>
            <c:v>RoE</c:v>
          </c:tx>
          <c:spPr>
            <a:solidFill>
              <a:srgbClr val="B5E9F4"/>
            </a:solidFill>
          </c:spPr>
          <c:invertIfNegative val="1"/>
          <c:dLbls>
            <c:numFmt formatCode="0%;\(0%\)" sourceLinked="0"/>
            <c:txPr>
              <a:bodyPr rot="5400000" vert="horz"/>
              <a:lstStyle/>
              <a:p>
                <a:pPr>
                  <a:defRPr sz="1000"/>
                </a:pPr>
                <a:endParaRPr lang="en-US"/>
              </a:p>
            </c:txPr>
            <c:dLblPos val="inEnd"/>
            <c:showLegendKey val="0"/>
            <c:showVal val="1"/>
            <c:showCatName val="0"/>
            <c:showSerName val="0"/>
            <c:showPercent val="0"/>
            <c:showBubbleSize val="0"/>
            <c:showLeaderLines val="0"/>
          </c:dLbls>
          <c:cat>
            <c:numRef>
              <c:f>'Financial Analysis'!$C$64:$K$64</c:f>
              <c:numCache>
                <c:formatCode>[$-409]d\-mmm\-yy;@</c:formatCode>
                <c:ptCount val="9"/>
                <c:pt idx="0">
                  <c:v>40268</c:v>
                </c:pt>
                <c:pt idx="1">
                  <c:v>40633</c:v>
                </c:pt>
                <c:pt idx="2">
                  <c:v>40999</c:v>
                </c:pt>
                <c:pt idx="3">
                  <c:v>41364</c:v>
                </c:pt>
                <c:pt idx="4">
                  <c:v>41729</c:v>
                </c:pt>
                <c:pt idx="5">
                  <c:v>42094</c:v>
                </c:pt>
                <c:pt idx="6">
                  <c:v>42460</c:v>
                </c:pt>
                <c:pt idx="7">
                  <c:v>42825</c:v>
                </c:pt>
                <c:pt idx="8">
                  <c:v>43190</c:v>
                </c:pt>
              </c:numCache>
            </c:numRef>
          </c:cat>
          <c:val>
            <c:numRef>
              <c:f>Others!$C$5:$K$5</c:f>
              <c:numCache>
                <c:formatCode>0.00%</c:formatCode>
                <c:ptCount val="9"/>
                <c:pt idx="0">
                  <c:v>6.1919504643962852E-3</c:v>
                </c:pt>
                <c:pt idx="1">
                  <c:v>0.15384615384615383</c:v>
                </c:pt>
                <c:pt idx="2">
                  <c:v>0.15151515151515152</c:v>
                </c:pt>
                <c:pt idx="3">
                  <c:v>0.1495291902071563</c:v>
                </c:pt>
                <c:pt idx="4">
                  <c:v>0.13572943408862595</c:v>
                </c:pt>
                <c:pt idx="5">
                  <c:v>0.23463963407096056</c:v>
                </c:pt>
                <c:pt idx="6">
                  <c:v>0.26026361634289846</c:v>
                </c:pt>
                <c:pt idx="7">
                  <c:v>0.39843630816170861</c:v>
                </c:pt>
                <c:pt idx="8">
                  <c:v>0.42320448800937061</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ser>
          <c:idx val="1"/>
          <c:order val="1"/>
          <c:tx>
            <c:v>RoCE</c:v>
          </c:tx>
          <c:spPr>
            <a:solidFill>
              <a:srgbClr val="F2A4A7"/>
            </a:solidFill>
          </c:spPr>
          <c:invertIfNegative val="1"/>
          <c:dLbls>
            <c:numFmt formatCode="0%;\(0%\)" sourceLinked="0"/>
            <c:txPr>
              <a:bodyPr rot="5400000" vert="horz"/>
              <a:lstStyle/>
              <a:p>
                <a:pPr>
                  <a:defRPr sz="1000"/>
                </a:pPr>
                <a:endParaRPr lang="en-US"/>
              </a:p>
            </c:txPr>
            <c:dLblPos val="inEnd"/>
            <c:showLegendKey val="0"/>
            <c:showVal val="1"/>
            <c:showCatName val="0"/>
            <c:showSerName val="0"/>
            <c:showPercent val="0"/>
            <c:showBubbleSize val="0"/>
            <c:showLeaderLines val="0"/>
          </c:dLbls>
          <c:cat>
            <c:numRef>
              <c:f>'Financial Analysis'!$C$64:$K$64</c:f>
              <c:numCache>
                <c:formatCode>[$-409]d\-mmm\-yy;@</c:formatCode>
                <c:ptCount val="9"/>
                <c:pt idx="0">
                  <c:v>40268</c:v>
                </c:pt>
                <c:pt idx="1">
                  <c:v>40633</c:v>
                </c:pt>
                <c:pt idx="2">
                  <c:v>40999</c:v>
                </c:pt>
                <c:pt idx="3">
                  <c:v>41364</c:v>
                </c:pt>
                <c:pt idx="4">
                  <c:v>41729</c:v>
                </c:pt>
                <c:pt idx="5">
                  <c:v>42094</c:v>
                </c:pt>
                <c:pt idx="6">
                  <c:v>42460</c:v>
                </c:pt>
                <c:pt idx="7">
                  <c:v>42825</c:v>
                </c:pt>
                <c:pt idx="8">
                  <c:v>43190</c:v>
                </c:pt>
              </c:numCache>
            </c:numRef>
          </c:cat>
          <c:val>
            <c:numRef>
              <c:f>'Financial Analysis'!$C$71:$K$71</c:f>
              <c:numCache>
                <c:formatCode>0.0%</c:formatCode>
                <c:ptCount val="9"/>
                <c:pt idx="0">
                  <c:v>6.1728395061728392E-3</c:v>
                </c:pt>
                <c:pt idx="1">
                  <c:v>0.11764705882352941</c:v>
                </c:pt>
                <c:pt idx="2">
                  <c:v>0.14978902953586495</c:v>
                </c:pt>
                <c:pt idx="3">
                  <c:v>0.15824915824915825</c:v>
                </c:pt>
                <c:pt idx="4">
                  <c:v>0.1448768622681666</c:v>
                </c:pt>
                <c:pt idx="5">
                  <c:v>0.29484226339509262</c:v>
                </c:pt>
                <c:pt idx="6">
                  <c:v>0.33064632910170394</c:v>
                </c:pt>
                <c:pt idx="7">
                  <c:v>0.47729666796030373</c:v>
                </c:pt>
                <c:pt idx="8">
                  <c:v>0.47894663942657312</c:v>
                </c:pt>
              </c:numCache>
            </c:numRef>
          </c:val>
          <c:extLst>
            <c:ext xmlns:c14="http://schemas.microsoft.com/office/drawing/2007/8/2/chart" uri="{6F2FDCE9-48DA-4B69-8628-5D25D57E5C99}">
              <c14:invertSolidFillFmt>
                <c14:spPr xmlns:c14="http://schemas.microsoft.com/office/drawing/2007/8/2/chart">
                  <a:solidFill>
                    <a:srgbClr val="FFC000"/>
                  </a:solidFill>
                </c14:spPr>
              </c14:invertSolidFillFmt>
            </c:ext>
          </c:extLst>
        </c:ser>
        <c:dLbls>
          <c:showLegendKey val="0"/>
          <c:showVal val="1"/>
          <c:showCatName val="0"/>
          <c:showSerName val="0"/>
          <c:showPercent val="0"/>
          <c:showBubbleSize val="0"/>
        </c:dLbls>
        <c:gapWidth val="25"/>
        <c:overlap val="1"/>
        <c:axId val="199210880"/>
        <c:axId val="199212416"/>
      </c:barChart>
      <c:catAx>
        <c:axId val="199210880"/>
        <c:scaling>
          <c:orientation val="minMax"/>
        </c:scaling>
        <c:delete val="0"/>
        <c:axPos val="b"/>
        <c:numFmt formatCode="yy;@" sourceLinked="0"/>
        <c:majorTickMark val="out"/>
        <c:minorTickMark val="none"/>
        <c:tickLblPos val="low"/>
        <c:txPr>
          <a:bodyPr/>
          <a:lstStyle/>
          <a:p>
            <a:pPr>
              <a:defRPr sz="800"/>
            </a:pPr>
            <a:endParaRPr lang="en-US"/>
          </a:p>
        </c:txPr>
        <c:crossAx val="199212416"/>
        <c:crosses val="autoZero"/>
        <c:auto val="0"/>
        <c:lblAlgn val="ctr"/>
        <c:lblOffset val="100"/>
        <c:noMultiLvlLbl val="0"/>
      </c:catAx>
      <c:valAx>
        <c:axId val="199212416"/>
        <c:scaling>
          <c:orientation val="minMax"/>
        </c:scaling>
        <c:delete val="1"/>
        <c:axPos val="l"/>
        <c:majorGridlines>
          <c:spPr>
            <a:ln>
              <a:noFill/>
            </a:ln>
          </c:spPr>
        </c:majorGridlines>
        <c:numFmt formatCode="0.00%" sourceLinked="1"/>
        <c:majorTickMark val="none"/>
        <c:minorTickMark val="none"/>
        <c:tickLblPos val="none"/>
        <c:crossAx val="199210880"/>
        <c:crosses val="autoZero"/>
        <c:crossBetween val="between"/>
      </c:valAx>
      <c:spPr>
        <a:noFill/>
        <a:ln w="25400">
          <a:noFill/>
        </a:ln>
      </c:spPr>
    </c:plotArea>
    <c:legend>
      <c:legendPos val="r"/>
      <c:layout>
        <c:manualLayout>
          <c:xMode val="edge"/>
          <c:yMode val="edge"/>
          <c:x val="1.009273840769904E-2"/>
          <c:y val="2.0583624963546224E-2"/>
          <c:w val="0.16240497604517495"/>
          <c:h val="0.25115157480314959"/>
        </c:manualLayout>
      </c:layout>
      <c:overlay val="0"/>
    </c:legend>
    <c:plotVisOnly val="1"/>
    <c:dispBlanksAs val="gap"/>
    <c:showDLblsOverMax val="0"/>
  </c:chart>
  <c:spPr>
    <a:ln w="3175"/>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93221128608923898"/>
        </c:manualLayout>
      </c:layout>
      <c:barChart>
        <c:barDir val="col"/>
        <c:grouping val="clustered"/>
        <c:varyColors val="0"/>
        <c:ser>
          <c:idx val="9"/>
          <c:order val="0"/>
          <c:tx>
            <c:v>Operating Profit</c:v>
          </c:tx>
          <c:spPr>
            <a:solidFill>
              <a:srgbClr val="B1CFC4"/>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'Profit &amp; Loss'!$B$3:$K$3</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'Profit &amp; Loss'!$B$6:$K$6</c:f>
              <c:numCache>
                <c:formatCode>_ * #,##0.00_ ;_ * \-#,##0.00_ ;_ * "-"??_ ;_ @_ </c:formatCode>
                <c:ptCount val="10"/>
                <c:pt idx="0">
                  <c:v>-0.1</c:v>
                </c:pt>
                <c:pt idx="1">
                  <c:v>-0.05</c:v>
                </c:pt>
                <c:pt idx="2">
                  <c:v>3.2300000000000004</c:v>
                </c:pt>
                <c:pt idx="3">
                  <c:v>4.9999999999999964</c:v>
                </c:pt>
                <c:pt idx="4">
                  <c:v>5.4400000000000013</c:v>
                </c:pt>
                <c:pt idx="5">
                  <c:v>13.810000000000002</c:v>
                </c:pt>
                <c:pt idx="6">
                  <c:v>38.269999999999996</c:v>
                </c:pt>
                <c:pt idx="7">
                  <c:v>88.509999999999991</c:v>
                </c:pt>
                <c:pt idx="8">
                  <c:v>184.8</c:v>
                </c:pt>
                <c:pt idx="9">
                  <c:v>293.37</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98793472"/>
        <c:axId val="198796416"/>
      </c:barChart>
      <c:catAx>
        <c:axId val="198793472"/>
        <c:scaling>
          <c:orientation val="minMax"/>
        </c:scaling>
        <c:delete val="0"/>
        <c:axPos val="b"/>
        <c:numFmt formatCode="yy;@" sourceLinked="0"/>
        <c:majorTickMark val="out"/>
        <c:minorTickMark val="none"/>
        <c:tickLblPos val="low"/>
        <c:txPr>
          <a:bodyPr/>
          <a:lstStyle/>
          <a:p>
            <a:pPr>
              <a:defRPr sz="800"/>
            </a:pPr>
            <a:endParaRPr lang="en-US"/>
          </a:p>
        </c:txPr>
        <c:crossAx val="198796416"/>
        <c:crosses val="autoZero"/>
        <c:auto val="0"/>
        <c:lblAlgn val="ctr"/>
        <c:lblOffset val="100"/>
        <c:noMultiLvlLbl val="0"/>
      </c:catAx>
      <c:valAx>
        <c:axId val="198796416"/>
        <c:scaling>
          <c:orientation val="minMax"/>
        </c:scaling>
        <c:delete val="1"/>
        <c:axPos val="l"/>
        <c:majorGridlines>
          <c:spPr>
            <a:ln>
              <a:noFill/>
            </a:ln>
          </c:spPr>
        </c:majorGridlines>
        <c:numFmt formatCode="_ * #,##0.00_ ;_ * \-#,##0.00_ ;_ * &quot;-&quot;??_ ;_ @_ " sourceLinked="1"/>
        <c:majorTickMark val="none"/>
        <c:minorTickMark val="none"/>
        <c:tickLblPos val="none"/>
        <c:crossAx val="198793472"/>
        <c:crosses val="autoZero"/>
        <c:crossBetween val="between"/>
      </c:valAx>
      <c:spPr>
        <a:noFill/>
        <a:ln w="25400">
          <a:noFill/>
        </a:ln>
      </c:spPr>
    </c:plotArea>
    <c:legend>
      <c:legendPos val="r"/>
      <c:layout>
        <c:manualLayout>
          <c:xMode val="edge"/>
          <c:yMode val="edge"/>
          <c:x val="0.1098339816890264"/>
          <c:y val="3.9101979003010767E-2"/>
          <c:w val="0.48740324067613966"/>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Operating Margin</c:v>
          </c:tx>
          <c:spPr>
            <a:solidFill>
              <a:srgbClr val="B1CFC4"/>
            </a:solidFill>
          </c:spPr>
          <c:invertIfNegative val="1"/>
          <c:dLbls>
            <c:numFmt formatCode="0%" sourceLinked="0"/>
            <c:txPr>
              <a:bodyPr/>
              <a:lstStyle/>
              <a:p>
                <a:pPr>
                  <a:defRPr sz="800"/>
                </a:pPr>
                <a:endParaRPr lang="en-US"/>
              </a:p>
            </c:txPr>
            <c:dLblPos val="inEnd"/>
            <c:showLegendKey val="0"/>
            <c:showVal val="1"/>
            <c:showCatName val="0"/>
            <c:showSerName val="0"/>
            <c:showPercent val="0"/>
            <c:showBubbleSize val="0"/>
            <c:showLeaderLines val="0"/>
          </c:dLbls>
          <c:cat>
            <c:numRef>
              <c:f>'Profit &amp; Loss'!$B$3:$K$3</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'Profit &amp; Loss'!$B$19:$K$19</c:f>
              <c:numCache>
                <c:formatCode>0.00%</c:formatCode>
                <c:ptCount val="10"/>
                <c:pt idx="0">
                  <c:v>0</c:v>
                </c:pt>
                <c:pt idx="1">
                  <c:v>0</c:v>
                </c:pt>
                <c:pt idx="2">
                  <c:v>0.19791666666666669</c:v>
                </c:pt>
                <c:pt idx="3">
                  <c:v>0.23741690408357061</c:v>
                </c:pt>
                <c:pt idx="4">
                  <c:v>0.20755436856161774</c:v>
                </c:pt>
                <c:pt idx="5">
                  <c:v>0.31343622333182031</c:v>
                </c:pt>
                <c:pt idx="6">
                  <c:v>0.30652783340008005</c:v>
                </c:pt>
                <c:pt idx="7">
                  <c:v>0.32548817710440181</c:v>
                </c:pt>
                <c:pt idx="8">
                  <c:v>0.34977476624900633</c:v>
                </c:pt>
                <c:pt idx="9">
                  <c:v>0.34545004945598418</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98709248"/>
        <c:axId val="198711936"/>
      </c:barChart>
      <c:catAx>
        <c:axId val="198709248"/>
        <c:scaling>
          <c:orientation val="minMax"/>
        </c:scaling>
        <c:delete val="0"/>
        <c:axPos val="b"/>
        <c:numFmt formatCode="yy;@" sourceLinked="0"/>
        <c:majorTickMark val="out"/>
        <c:minorTickMark val="none"/>
        <c:tickLblPos val="nextTo"/>
        <c:txPr>
          <a:bodyPr/>
          <a:lstStyle/>
          <a:p>
            <a:pPr>
              <a:defRPr sz="800"/>
            </a:pPr>
            <a:endParaRPr lang="en-US"/>
          </a:p>
        </c:txPr>
        <c:crossAx val="198711936"/>
        <c:crosses val="autoZero"/>
        <c:auto val="0"/>
        <c:lblAlgn val="ctr"/>
        <c:lblOffset val="100"/>
        <c:noMultiLvlLbl val="0"/>
      </c:catAx>
      <c:valAx>
        <c:axId val="198711936"/>
        <c:scaling>
          <c:orientation val="minMax"/>
        </c:scaling>
        <c:delete val="1"/>
        <c:axPos val="l"/>
        <c:majorGridlines>
          <c:spPr>
            <a:ln>
              <a:noFill/>
            </a:ln>
          </c:spPr>
        </c:majorGridlines>
        <c:numFmt formatCode="0.00%" sourceLinked="1"/>
        <c:majorTickMark val="none"/>
        <c:minorTickMark val="none"/>
        <c:tickLblPos val="none"/>
        <c:crossAx val="198709248"/>
        <c:crosses val="autoZero"/>
        <c:crossBetween val="between"/>
      </c:valAx>
      <c:spPr>
        <a:noFill/>
        <a:ln w="25400">
          <a:noFill/>
        </a:ln>
      </c:spPr>
    </c:plotArea>
    <c:legend>
      <c:legendPos val="r"/>
      <c:layout>
        <c:manualLayout>
          <c:xMode val="edge"/>
          <c:yMode val="edge"/>
          <c:x val="2.2656935132535593E-2"/>
          <c:y val="3.9101979003010767E-2"/>
          <c:w val="0.64712155930860848"/>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9"/>
          <c:order val="0"/>
          <c:tx>
            <c:v>Q - Operating Profit</c:v>
          </c:tx>
          <c:spPr>
            <a:solidFill>
              <a:srgbClr val="B1CFC4"/>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Quarters!$B$3:$K$3</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Quarters!$B$6:$K$6</c:f>
              <c:numCache>
                <c:formatCode>_ * #,##0.00_ ;_ * \-#,##0.00_ ;_ * "-"??_ ;_ @_ </c:formatCode>
                <c:ptCount val="10"/>
                <c:pt idx="0">
                  <c:v>26.21</c:v>
                </c:pt>
                <c:pt idx="1">
                  <c:v>36.75</c:v>
                </c:pt>
                <c:pt idx="2">
                  <c:v>42.39</c:v>
                </c:pt>
                <c:pt idx="3">
                  <c:v>48.76</c:v>
                </c:pt>
                <c:pt idx="4">
                  <c:v>58.29</c:v>
                </c:pt>
                <c:pt idx="5">
                  <c:v>63.62</c:v>
                </c:pt>
                <c:pt idx="6">
                  <c:v>70.05</c:v>
                </c:pt>
                <c:pt idx="7">
                  <c:v>76.75</c:v>
                </c:pt>
                <c:pt idx="8">
                  <c:v>81.150000000000006</c:v>
                </c:pt>
                <c:pt idx="9">
                  <c:v>83.7</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98743552"/>
        <c:axId val="198746496"/>
      </c:barChart>
      <c:catAx>
        <c:axId val="198743552"/>
        <c:scaling>
          <c:orientation val="minMax"/>
        </c:scaling>
        <c:delete val="0"/>
        <c:axPos val="b"/>
        <c:numFmt formatCode="[$-409]mmmmm-yy;@" sourceLinked="0"/>
        <c:majorTickMark val="out"/>
        <c:minorTickMark val="none"/>
        <c:tickLblPos val="low"/>
        <c:txPr>
          <a:bodyPr/>
          <a:lstStyle/>
          <a:p>
            <a:pPr>
              <a:defRPr sz="800"/>
            </a:pPr>
            <a:endParaRPr lang="en-US"/>
          </a:p>
        </c:txPr>
        <c:crossAx val="198746496"/>
        <c:crosses val="autoZero"/>
        <c:auto val="0"/>
        <c:lblAlgn val="ctr"/>
        <c:lblOffset val="100"/>
        <c:noMultiLvlLbl val="0"/>
      </c:catAx>
      <c:valAx>
        <c:axId val="198746496"/>
        <c:scaling>
          <c:orientation val="minMax"/>
        </c:scaling>
        <c:delete val="1"/>
        <c:axPos val="l"/>
        <c:majorGridlines>
          <c:spPr>
            <a:ln>
              <a:noFill/>
            </a:ln>
          </c:spPr>
        </c:majorGridlines>
        <c:numFmt formatCode="_ * #,##0.00_ ;_ * \-#,##0.00_ ;_ * &quot;-&quot;??_ ;_ @_ " sourceLinked="1"/>
        <c:majorTickMark val="none"/>
        <c:minorTickMark val="none"/>
        <c:tickLblPos val="none"/>
        <c:crossAx val="198743552"/>
        <c:crosses val="autoZero"/>
        <c:crossBetween val="between"/>
      </c:valAx>
      <c:spPr>
        <a:noFill/>
        <a:ln w="25400">
          <a:noFill/>
        </a:ln>
      </c:spPr>
    </c:plotArea>
    <c:legend>
      <c:legendPos val="r"/>
      <c:layout>
        <c:manualLayout>
          <c:xMode val="edge"/>
          <c:yMode val="edge"/>
          <c:x val="7.398170094821771E-2"/>
          <c:y val="3.9101979003010767E-2"/>
          <c:w val="0.56278698746854439"/>
          <c:h val="0.10458442694663167"/>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Inventory Days</a:t>
            </a:r>
          </a:p>
        </c:rich>
      </c:tx>
      <c:layout>
        <c:manualLayout>
          <c:xMode val="edge"/>
          <c:yMode val="edge"/>
          <c:x val="5.7388397990246101E-4"/>
          <c:y val="0"/>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Inventory Days</c:v>
          </c:tx>
          <c:spPr>
            <a:solidFill>
              <a:srgbClr val="474B78">
                <a:lumMod val="40000"/>
                <a:lumOff val="60000"/>
              </a:srgbClr>
            </a:solidFill>
          </c:spPr>
          <c:invertIfNegative val="0"/>
          <c:dLbls>
            <c:numFmt formatCode="#,##0" sourceLinked="0"/>
            <c:txPr>
              <a:bodyPr/>
              <a:lstStyle/>
              <a:p>
                <a:pPr>
                  <a:defRPr sz="800"/>
                </a:pPr>
                <a:endParaRPr lang="en-US"/>
              </a:p>
            </c:txPr>
            <c:dLblPos val="inEnd"/>
            <c:showLegendKey val="0"/>
            <c:showVal val="1"/>
            <c:showCatName val="0"/>
            <c:showSerName val="0"/>
            <c:showPercent val="0"/>
            <c:showBubbleSize val="0"/>
            <c:showLeaderLines val="0"/>
          </c:dLbls>
          <c:cat>
            <c:numRef>
              <c:f>'Balance Sheet'!$B$3:$K$3</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Others!$B$37:$K$37</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25"/>
        <c:overlap val="1"/>
        <c:axId val="198765568"/>
        <c:axId val="199251840"/>
      </c:barChart>
      <c:catAx>
        <c:axId val="198765568"/>
        <c:scaling>
          <c:orientation val="minMax"/>
        </c:scaling>
        <c:delete val="0"/>
        <c:axPos val="b"/>
        <c:numFmt formatCode="yy;@" sourceLinked="0"/>
        <c:majorTickMark val="out"/>
        <c:minorTickMark val="none"/>
        <c:tickLblPos val="nextTo"/>
        <c:txPr>
          <a:bodyPr/>
          <a:lstStyle/>
          <a:p>
            <a:pPr>
              <a:defRPr sz="800"/>
            </a:pPr>
            <a:endParaRPr lang="en-US"/>
          </a:p>
        </c:txPr>
        <c:crossAx val="199251840"/>
        <c:crosses val="autoZero"/>
        <c:auto val="0"/>
        <c:lblAlgn val="ctr"/>
        <c:lblOffset val="100"/>
        <c:noMultiLvlLbl val="0"/>
      </c:catAx>
      <c:valAx>
        <c:axId val="199251840"/>
        <c:scaling>
          <c:orientation val="minMax"/>
        </c:scaling>
        <c:delete val="1"/>
        <c:axPos val="l"/>
        <c:majorGridlines>
          <c:spPr>
            <a:ln>
              <a:noFill/>
            </a:ln>
          </c:spPr>
        </c:majorGridlines>
        <c:numFmt formatCode="0" sourceLinked="1"/>
        <c:majorTickMark val="none"/>
        <c:minorTickMark val="none"/>
        <c:tickLblPos val="none"/>
        <c:crossAx val="198765568"/>
        <c:crosses val="autoZero"/>
        <c:crossBetween val="between"/>
      </c:valAx>
      <c:spPr>
        <a:noFill/>
        <a:ln w="25400">
          <a:noFill/>
        </a:ln>
      </c:spPr>
    </c:plotArea>
    <c:plotVisOnly val="1"/>
    <c:dispBlanksAs val="gap"/>
    <c:showDLblsOverMax val="0"/>
  </c:chart>
  <c:spPr>
    <a:ln w="3175"/>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Recv Days</a:t>
            </a:r>
          </a:p>
        </c:rich>
      </c:tx>
      <c:layout>
        <c:manualLayout>
          <c:xMode val="edge"/>
          <c:yMode val="edge"/>
          <c:x val="1.511170948505345E-2"/>
          <c:y val="0"/>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Debtor Days</c:v>
          </c:tx>
          <c:spPr>
            <a:solidFill>
              <a:srgbClr val="EB641B">
                <a:lumMod val="40000"/>
                <a:lumOff val="60000"/>
              </a:srgbClr>
            </a:solidFill>
          </c:spPr>
          <c:invertIfNegative val="0"/>
          <c:dLbls>
            <c:numFmt formatCode="#,##0" sourceLinked="0"/>
            <c:txPr>
              <a:bodyPr/>
              <a:lstStyle/>
              <a:p>
                <a:pPr>
                  <a:defRPr sz="800"/>
                </a:pPr>
                <a:endParaRPr lang="en-US"/>
              </a:p>
            </c:txPr>
            <c:dLblPos val="inEnd"/>
            <c:showLegendKey val="0"/>
            <c:showVal val="1"/>
            <c:showCatName val="0"/>
            <c:showSerName val="0"/>
            <c:showPercent val="0"/>
            <c:showBubbleSize val="0"/>
            <c:showLeaderLines val="0"/>
          </c:dLbls>
          <c:cat>
            <c:numRef>
              <c:f>'Balance Sheet'!$B$3:$K$3</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'Balance Sheet'!$B$20:$K$20</c:f>
              <c:numCache>
                <c:formatCode>_ * #,##0.00_ ;_ * \-#,##0.00_ ;_ * "-"??_ ;_ @_ </c:formatCode>
                <c:ptCount val="10"/>
                <c:pt idx="0">
                  <c:v>0</c:v>
                </c:pt>
                <c:pt idx="1">
                  <c:v>0</c:v>
                </c:pt>
                <c:pt idx="2">
                  <c:v>245.12254901960785</c:v>
                </c:pt>
                <c:pt idx="3">
                  <c:v>224.44207027540361</c:v>
                </c:pt>
                <c:pt idx="4">
                  <c:v>192.5963372758489</c:v>
                </c:pt>
                <c:pt idx="5">
                  <c:v>111.17339990921471</c:v>
                </c:pt>
                <c:pt idx="6">
                  <c:v>82.26752102523028</c:v>
                </c:pt>
                <c:pt idx="7">
                  <c:v>107.6624498951936</c:v>
                </c:pt>
                <c:pt idx="8">
                  <c:v>89.450353938751547</c:v>
                </c:pt>
                <c:pt idx="9">
                  <c:v>108.53209928877585</c:v>
                </c:pt>
              </c:numCache>
            </c:numRef>
          </c:val>
        </c:ser>
        <c:dLbls>
          <c:showLegendKey val="0"/>
          <c:showVal val="1"/>
          <c:showCatName val="0"/>
          <c:showSerName val="0"/>
          <c:showPercent val="0"/>
          <c:showBubbleSize val="0"/>
        </c:dLbls>
        <c:gapWidth val="25"/>
        <c:overlap val="1"/>
        <c:axId val="199287552"/>
        <c:axId val="199290240"/>
      </c:barChart>
      <c:catAx>
        <c:axId val="199287552"/>
        <c:scaling>
          <c:orientation val="minMax"/>
        </c:scaling>
        <c:delete val="0"/>
        <c:axPos val="b"/>
        <c:numFmt formatCode="yy;@" sourceLinked="0"/>
        <c:majorTickMark val="out"/>
        <c:minorTickMark val="none"/>
        <c:tickLblPos val="nextTo"/>
        <c:txPr>
          <a:bodyPr/>
          <a:lstStyle/>
          <a:p>
            <a:pPr>
              <a:defRPr sz="800"/>
            </a:pPr>
            <a:endParaRPr lang="en-US"/>
          </a:p>
        </c:txPr>
        <c:crossAx val="199290240"/>
        <c:crosses val="autoZero"/>
        <c:auto val="0"/>
        <c:lblAlgn val="ctr"/>
        <c:lblOffset val="100"/>
        <c:noMultiLvlLbl val="0"/>
      </c:catAx>
      <c:valAx>
        <c:axId val="199290240"/>
        <c:scaling>
          <c:orientation val="minMax"/>
        </c:scaling>
        <c:delete val="1"/>
        <c:axPos val="l"/>
        <c:majorGridlines>
          <c:spPr>
            <a:ln>
              <a:noFill/>
            </a:ln>
          </c:spPr>
        </c:majorGridlines>
        <c:numFmt formatCode="_ * #,##0.00_ ;_ * \-#,##0.00_ ;_ * &quot;-&quot;??_ ;_ @_ " sourceLinked="1"/>
        <c:majorTickMark val="none"/>
        <c:minorTickMark val="none"/>
        <c:tickLblPos val="none"/>
        <c:crossAx val="199287552"/>
        <c:crosses val="autoZero"/>
        <c:crossBetween val="between"/>
      </c:valAx>
      <c:spPr>
        <a:noFill/>
        <a:ln w="25400">
          <a:noFill/>
        </a:ln>
      </c:spPr>
    </c:plotArea>
    <c:plotVisOnly val="1"/>
    <c:dispBlanksAs val="gap"/>
    <c:showDLblsOverMax val="0"/>
  </c:chart>
  <c:spPr>
    <a:ln w="3175"/>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CFF</a:t>
            </a:r>
          </a:p>
        </c:rich>
      </c:tx>
      <c:layout>
        <c:manualLayout>
          <c:xMode val="edge"/>
          <c:yMode val="edge"/>
          <c:x val="6.6054660231340946E-4"/>
          <c:y val="0"/>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CFF</c:v>
          </c:tx>
          <c:spPr>
            <a:solidFill>
              <a:srgbClr val="DEF5FA">
                <a:lumMod val="90000"/>
              </a:srgbClr>
            </a:solidFill>
          </c:spPr>
          <c:invertIfNegative val="0"/>
          <c:dLbls>
            <c:numFmt formatCode="#,##0_);\(#,##0\)" sourceLinked="0"/>
            <c:txPr>
              <a:bodyPr/>
              <a:lstStyle/>
              <a:p>
                <a:pPr>
                  <a:defRPr sz="800"/>
                </a:pPr>
                <a:endParaRPr lang="en-US"/>
              </a:p>
            </c:txPr>
            <c:showLegendKey val="0"/>
            <c:showVal val="1"/>
            <c:showCatName val="0"/>
            <c:showSerName val="0"/>
            <c:showPercent val="0"/>
            <c:showBubbleSize val="0"/>
            <c:showLeaderLines val="0"/>
          </c:dLbls>
          <c:cat>
            <c:numRef>
              <c:f>Others!$C$2:$K$2</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Others!$C$17:$K$17</c:f>
              <c:numCache>
                <c:formatCode>General</c:formatCode>
                <c:ptCount val="9"/>
                <c:pt idx="0">
                  <c:v>-1.31</c:v>
                </c:pt>
                <c:pt idx="1">
                  <c:v>5.0599999999999996</c:v>
                </c:pt>
                <c:pt idx="2">
                  <c:v>1.86</c:v>
                </c:pt>
                <c:pt idx="3">
                  <c:v>3.669999999999999</c:v>
                </c:pt>
                <c:pt idx="4">
                  <c:v>1.67</c:v>
                </c:pt>
                <c:pt idx="5">
                  <c:v>-3.4099999999999993</c:v>
                </c:pt>
                <c:pt idx="6">
                  <c:v>3.2000000000000011</c:v>
                </c:pt>
                <c:pt idx="7">
                  <c:v>39.39</c:v>
                </c:pt>
                <c:pt idx="8">
                  <c:v>45.690000000000005</c:v>
                </c:pt>
              </c:numCache>
            </c:numRef>
          </c:val>
        </c:ser>
        <c:dLbls>
          <c:showLegendKey val="0"/>
          <c:showVal val="1"/>
          <c:showCatName val="0"/>
          <c:showSerName val="0"/>
          <c:showPercent val="0"/>
          <c:showBubbleSize val="0"/>
        </c:dLbls>
        <c:gapWidth val="25"/>
        <c:overlap val="1"/>
        <c:axId val="198867200"/>
        <c:axId val="198870144"/>
      </c:barChart>
      <c:catAx>
        <c:axId val="198867200"/>
        <c:scaling>
          <c:orientation val="minMax"/>
        </c:scaling>
        <c:delete val="0"/>
        <c:axPos val="b"/>
        <c:numFmt formatCode="yy;@" sourceLinked="0"/>
        <c:majorTickMark val="out"/>
        <c:minorTickMark val="none"/>
        <c:tickLblPos val="low"/>
        <c:txPr>
          <a:bodyPr/>
          <a:lstStyle/>
          <a:p>
            <a:pPr>
              <a:defRPr sz="800"/>
            </a:pPr>
            <a:endParaRPr lang="en-US"/>
          </a:p>
        </c:txPr>
        <c:crossAx val="198870144"/>
        <c:crosses val="autoZero"/>
        <c:auto val="0"/>
        <c:lblAlgn val="ctr"/>
        <c:lblOffset val="100"/>
        <c:noMultiLvlLbl val="0"/>
      </c:catAx>
      <c:valAx>
        <c:axId val="198870144"/>
        <c:scaling>
          <c:orientation val="minMax"/>
        </c:scaling>
        <c:delete val="1"/>
        <c:axPos val="l"/>
        <c:majorGridlines>
          <c:spPr>
            <a:ln>
              <a:noFill/>
            </a:ln>
          </c:spPr>
        </c:majorGridlines>
        <c:numFmt formatCode="General" sourceLinked="1"/>
        <c:majorTickMark val="none"/>
        <c:minorTickMark val="none"/>
        <c:tickLblPos val="none"/>
        <c:crossAx val="19886720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CFF Equity</a:t>
            </a:r>
          </a:p>
        </c:rich>
      </c:tx>
      <c:layout>
        <c:manualLayout>
          <c:xMode val="edge"/>
          <c:yMode val="edge"/>
          <c:x val="1.2522748938382879E-2"/>
          <c:y val="4.1666666666666664E-2"/>
        </c:manualLayout>
      </c:layout>
      <c:overlay val="1"/>
    </c:title>
    <c:autoTitleDeleted val="0"/>
    <c:plotArea>
      <c:layout>
        <c:manualLayout>
          <c:layoutTarget val="inner"/>
          <c:xMode val="edge"/>
          <c:yMode val="edge"/>
          <c:x val="1.2787326955344343E-2"/>
          <c:y val="4.1347331583552055E-2"/>
          <c:w val="0.9639871697662179"/>
          <c:h val="0.82110001175226233"/>
        </c:manualLayout>
      </c:layout>
      <c:barChart>
        <c:barDir val="col"/>
        <c:grouping val="clustered"/>
        <c:varyColors val="0"/>
        <c:ser>
          <c:idx val="0"/>
          <c:order val="0"/>
          <c:tx>
            <c:v>CFF Equity</c:v>
          </c:tx>
          <c:spPr>
            <a:solidFill>
              <a:srgbClr val="00B0F0"/>
            </a:solidFill>
          </c:spPr>
          <c:invertIfNegative val="1"/>
          <c:dLbls>
            <c:numFmt formatCode="#,##0.0_);\(#,##0.0\)" sourceLinked="0"/>
            <c:dLblPos val="inEnd"/>
            <c:showLegendKey val="0"/>
            <c:showVal val="1"/>
            <c:showCatName val="0"/>
            <c:showSerName val="0"/>
            <c:showPercent val="0"/>
            <c:showBubbleSize val="0"/>
            <c:showLeaderLines val="0"/>
          </c:dLbls>
          <c:cat>
            <c:numRef>
              <c:f>Others!$C$2:$K$2</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Others!$C$15:$K$15</c:f>
              <c:numCache>
                <c:formatCode>General</c:formatCode>
                <c:ptCount val="9"/>
                <c:pt idx="0">
                  <c:v>0</c:v>
                </c:pt>
                <c:pt idx="1">
                  <c:v>3.9899999999999998</c:v>
                </c:pt>
                <c:pt idx="2">
                  <c:v>0</c:v>
                </c:pt>
                <c:pt idx="3">
                  <c:v>4.4899999999999993</c:v>
                </c:pt>
                <c:pt idx="4">
                  <c:v>0</c:v>
                </c:pt>
                <c:pt idx="5">
                  <c:v>0.30000000000000071</c:v>
                </c:pt>
                <c:pt idx="6">
                  <c:v>0.55000000000000071</c:v>
                </c:pt>
                <c:pt idx="7">
                  <c:v>4.3699999999999992</c:v>
                </c:pt>
                <c:pt idx="8">
                  <c:v>0</c:v>
                </c:pt>
              </c:numCache>
            </c:numRef>
          </c:val>
          <c:extLst>
            <c:ext xmlns:c14="http://schemas.microsoft.com/office/drawing/2007/8/2/chart" uri="{6F2FDCE9-48DA-4B69-8628-5D25D57E5C99}">
              <c14:invertSolidFillFmt>
                <c14:spPr xmlns:c14="http://schemas.microsoft.com/office/drawing/2007/8/2/chart">
                  <a:solidFill>
                    <a:srgbClr val="00B050"/>
                  </a:solidFill>
                </c14:spPr>
              </c14:invertSolidFillFmt>
            </c:ext>
          </c:extLst>
        </c:ser>
        <c:dLbls>
          <c:showLegendKey val="0"/>
          <c:showVal val="1"/>
          <c:showCatName val="0"/>
          <c:showSerName val="0"/>
          <c:showPercent val="0"/>
          <c:showBubbleSize val="0"/>
        </c:dLbls>
        <c:gapWidth val="25"/>
        <c:overlap val="1"/>
        <c:axId val="199364608"/>
        <c:axId val="199367296"/>
      </c:barChart>
      <c:catAx>
        <c:axId val="199364608"/>
        <c:scaling>
          <c:orientation val="minMax"/>
        </c:scaling>
        <c:delete val="0"/>
        <c:axPos val="b"/>
        <c:numFmt formatCode="yy;@" sourceLinked="0"/>
        <c:majorTickMark val="out"/>
        <c:minorTickMark val="none"/>
        <c:tickLblPos val="low"/>
        <c:crossAx val="199367296"/>
        <c:crosses val="autoZero"/>
        <c:auto val="0"/>
        <c:lblAlgn val="ctr"/>
        <c:lblOffset val="100"/>
        <c:noMultiLvlLbl val="0"/>
      </c:catAx>
      <c:valAx>
        <c:axId val="199367296"/>
        <c:scaling>
          <c:orientation val="minMax"/>
        </c:scaling>
        <c:delete val="1"/>
        <c:axPos val="l"/>
        <c:majorGridlines>
          <c:spPr>
            <a:ln>
              <a:noFill/>
            </a:ln>
          </c:spPr>
        </c:majorGridlines>
        <c:numFmt formatCode="General" sourceLinked="1"/>
        <c:majorTickMark val="none"/>
        <c:minorTickMark val="none"/>
        <c:tickLblPos val="none"/>
        <c:crossAx val="199364608"/>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3233306280654802E-2"/>
          <c:y val="0"/>
          <c:w val="0.97414342986344282"/>
          <c:h val="0.86075240594925639"/>
        </c:manualLayout>
      </c:layout>
      <c:barChart>
        <c:barDir val="col"/>
        <c:grouping val="clustered"/>
        <c:varyColors val="0"/>
        <c:ser>
          <c:idx val="0"/>
          <c:order val="0"/>
          <c:tx>
            <c:v>OtherIncome</c:v>
          </c:tx>
          <c:spPr>
            <a:solidFill>
              <a:srgbClr val="FF0000"/>
            </a:solidFill>
          </c:spPr>
          <c:invertIfNegative val="0"/>
          <c:dLbls>
            <c:numFmt formatCode="#,##0_);\(#,##0\)" sourceLinked="0"/>
            <c:txPr>
              <a:bodyPr/>
              <a:lstStyle/>
              <a:p>
                <a:pPr>
                  <a:defRPr sz="800"/>
                </a:pPr>
                <a:endParaRPr lang="en-US"/>
              </a:p>
            </c:txPr>
            <c:showLegendKey val="0"/>
            <c:showVal val="1"/>
            <c:showCatName val="0"/>
            <c:showSerName val="0"/>
            <c:showPercent val="0"/>
            <c:showBubbleSize val="0"/>
            <c:showLeaderLines val="0"/>
          </c:dLbls>
          <c:cat>
            <c:numRef>
              <c:f>'Data Sheet'!$B$16:$K$16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Sheet'!$B$25:$K$25</c:f>
              <c:numCache>
                <c:formatCode>General</c:formatCode>
                <c:ptCount val="10"/>
                <c:pt idx="0">
                  <c:v>1.35</c:v>
                </c:pt>
                <c:pt idx="1">
                  <c:v>0.09</c:v>
                </c:pt>
                <c:pt idx="2">
                  <c:v>0.02</c:v>
                </c:pt>
                <c:pt idx="3">
                  <c:v>0.06</c:v>
                </c:pt>
                <c:pt idx="4">
                  <c:v>7.0000000000000007E-2</c:v>
                </c:pt>
                <c:pt idx="5">
                  <c:v>0.05</c:v>
                </c:pt>
                <c:pt idx="6">
                  <c:v>0.28999999999999998</c:v>
                </c:pt>
                <c:pt idx="7">
                  <c:v>0.21</c:v>
                </c:pt>
                <c:pt idx="8">
                  <c:v>0.9</c:v>
                </c:pt>
                <c:pt idx="9">
                  <c:v>8.4499999999999993</c:v>
                </c:pt>
              </c:numCache>
            </c:numRef>
          </c:val>
        </c:ser>
        <c:dLbls>
          <c:showLegendKey val="0"/>
          <c:showVal val="1"/>
          <c:showCatName val="0"/>
          <c:showSerName val="0"/>
          <c:showPercent val="0"/>
          <c:showBubbleSize val="0"/>
        </c:dLbls>
        <c:gapWidth val="25"/>
        <c:axId val="176061824"/>
        <c:axId val="176093440"/>
      </c:barChart>
      <c:catAx>
        <c:axId val="176061824"/>
        <c:scaling>
          <c:orientation val="minMax"/>
        </c:scaling>
        <c:delete val="0"/>
        <c:axPos val="b"/>
        <c:numFmt formatCode="yy;@" sourceLinked="0"/>
        <c:majorTickMark val="out"/>
        <c:minorTickMark val="none"/>
        <c:tickLblPos val="nextTo"/>
        <c:txPr>
          <a:bodyPr/>
          <a:lstStyle/>
          <a:p>
            <a:pPr>
              <a:defRPr sz="800"/>
            </a:pPr>
            <a:endParaRPr lang="en-US"/>
          </a:p>
        </c:txPr>
        <c:crossAx val="176093440"/>
        <c:crosses val="autoZero"/>
        <c:auto val="0"/>
        <c:lblAlgn val="ctr"/>
        <c:lblOffset val="100"/>
        <c:noMultiLvlLbl val="0"/>
      </c:catAx>
      <c:valAx>
        <c:axId val="176093440"/>
        <c:scaling>
          <c:orientation val="minMax"/>
        </c:scaling>
        <c:delete val="1"/>
        <c:axPos val="l"/>
        <c:majorGridlines>
          <c:spPr>
            <a:ln>
              <a:noFill/>
            </a:ln>
          </c:spPr>
        </c:majorGridlines>
        <c:numFmt formatCode="General" sourceLinked="1"/>
        <c:majorTickMark val="out"/>
        <c:minorTickMark val="none"/>
        <c:tickLblPos val="nextTo"/>
        <c:crossAx val="176061824"/>
        <c:crosses val="autoZero"/>
        <c:crossBetween val="between"/>
      </c:valAx>
    </c:plotArea>
    <c:legend>
      <c:legendPos val="r"/>
      <c:layout>
        <c:manualLayout>
          <c:xMode val="edge"/>
          <c:yMode val="edge"/>
          <c:x val="8.1197506561679789E-2"/>
          <c:y val="4.7530985710119565E-2"/>
          <c:w val="0.44530530959894604"/>
          <c:h val="9.2075313502478842E-2"/>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CFF Debt</a:t>
            </a:r>
          </a:p>
        </c:rich>
      </c:tx>
      <c:layout>
        <c:manualLayout>
          <c:xMode val="edge"/>
          <c:yMode val="edge"/>
          <c:x val="8.3953562482044532E-3"/>
          <c:y val="6.9444444444444441E-3"/>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CFF Debt</c:v>
          </c:tx>
          <c:spPr>
            <a:solidFill>
              <a:srgbClr val="FF0000"/>
            </a:solidFill>
          </c:spPr>
          <c:invertIfNegative val="0"/>
          <c:dLbls>
            <c:numFmt formatCode="#,##0_);\(#,##0\)" sourceLinked="0"/>
            <c:txPr>
              <a:bodyPr/>
              <a:lstStyle/>
              <a:p>
                <a:pPr>
                  <a:defRPr sz="800"/>
                </a:pPr>
                <a:endParaRPr lang="en-US"/>
              </a:p>
            </c:txPr>
            <c:showLegendKey val="0"/>
            <c:showVal val="1"/>
            <c:showCatName val="0"/>
            <c:showSerName val="0"/>
            <c:showPercent val="0"/>
            <c:showBubbleSize val="0"/>
            <c:showLeaderLines val="0"/>
          </c:dLbls>
          <c:cat>
            <c:numRef>
              <c:f>Others!$C$2:$K$2</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Others!$C$16:$K$16</c:f>
              <c:numCache>
                <c:formatCode>General</c:formatCode>
                <c:ptCount val="9"/>
                <c:pt idx="0">
                  <c:v>-1.31</c:v>
                </c:pt>
                <c:pt idx="1">
                  <c:v>1.07</c:v>
                </c:pt>
                <c:pt idx="2">
                  <c:v>1.86</c:v>
                </c:pt>
                <c:pt idx="3">
                  <c:v>-0.82000000000000028</c:v>
                </c:pt>
                <c:pt idx="4">
                  <c:v>1.67</c:v>
                </c:pt>
                <c:pt idx="5">
                  <c:v>-3.71</c:v>
                </c:pt>
                <c:pt idx="6">
                  <c:v>2.6500000000000004</c:v>
                </c:pt>
                <c:pt idx="7">
                  <c:v>38.07</c:v>
                </c:pt>
                <c:pt idx="8">
                  <c:v>45.690000000000005</c:v>
                </c:pt>
              </c:numCache>
            </c:numRef>
          </c:val>
        </c:ser>
        <c:dLbls>
          <c:showLegendKey val="0"/>
          <c:showVal val="1"/>
          <c:showCatName val="0"/>
          <c:showSerName val="0"/>
          <c:showPercent val="0"/>
          <c:showBubbleSize val="0"/>
        </c:dLbls>
        <c:gapWidth val="25"/>
        <c:overlap val="1"/>
        <c:axId val="199403008"/>
        <c:axId val="199405952"/>
      </c:barChart>
      <c:catAx>
        <c:axId val="199403008"/>
        <c:scaling>
          <c:orientation val="minMax"/>
        </c:scaling>
        <c:delete val="0"/>
        <c:axPos val="b"/>
        <c:numFmt formatCode="yy;@" sourceLinked="0"/>
        <c:majorTickMark val="out"/>
        <c:minorTickMark val="none"/>
        <c:tickLblPos val="low"/>
        <c:txPr>
          <a:bodyPr/>
          <a:lstStyle/>
          <a:p>
            <a:pPr>
              <a:defRPr sz="800"/>
            </a:pPr>
            <a:endParaRPr lang="en-US"/>
          </a:p>
        </c:txPr>
        <c:crossAx val="199405952"/>
        <c:crosses val="autoZero"/>
        <c:auto val="0"/>
        <c:lblAlgn val="ctr"/>
        <c:lblOffset val="100"/>
        <c:noMultiLvlLbl val="0"/>
      </c:catAx>
      <c:valAx>
        <c:axId val="199405952"/>
        <c:scaling>
          <c:orientation val="minMax"/>
        </c:scaling>
        <c:delete val="1"/>
        <c:axPos val="l"/>
        <c:majorGridlines>
          <c:spPr>
            <a:ln>
              <a:noFill/>
            </a:ln>
          </c:spPr>
        </c:majorGridlines>
        <c:numFmt formatCode="General" sourceLinked="1"/>
        <c:majorTickMark val="none"/>
        <c:minorTickMark val="none"/>
        <c:tickLblPos val="none"/>
        <c:crossAx val="199403008"/>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CFF Interest</a:t>
            </a:r>
          </a:p>
        </c:rich>
      </c:tx>
      <c:layout>
        <c:manualLayout>
          <c:xMode val="edge"/>
          <c:yMode val="edge"/>
          <c:x val="2.0517205260079992E-2"/>
          <c:y val="0.77083333333333337"/>
        </c:manualLayout>
      </c:layout>
      <c:overlay val="1"/>
    </c:title>
    <c:autoTitleDeleted val="0"/>
    <c:plotArea>
      <c:layout>
        <c:manualLayout>
          <c:layoutTarget val="inner"/>
          <c:xMode val="edge"/>
          <c:yMode val="edge"/>
          <c:x val="1.2787245656366472E-2"/>
          <c:y val="2.745844269466317E-2"/>
          <c:w val="0.9639871697662179"/>
          <c:h val="0.8488779527559055"/>
        </c:manualLayout>
      </c:layout>
      <c:barChart>
        <c:barDir val="col"/>
        <c:grouping val="clustered"/>
        <c:varyColors val="0"/>
        <c:ser>
          <c:idx val="0"/>
          <c:order val="0"/>
          <c:tx>
            <c:v>CFF Interest</c:v>
          </c:tx>
          <c:spPr>
            <a:solidFill>
              <a:srgbClr val="FF0000"/>
            </a:solidFill>
          </c:spPr>
          <c:invertIfNegative val="0"/>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Others!$B$18:$K$18</c:f>
              <c:numCache>
                <c:formatCode>General</c:formatCode>
                <c:ptCount val="10"/>
                <c:pt idx="0">
                  <c:v>0</c:v>
                </c:pt>
                <c:pt idx="1">
                  <c:v>0</c:v>
                </c:pt>
                <c:pt idx="2">
                  <c:v>-0.02</c:v>
                </c:pt>
                <c:pt idx="3">
                  <c:v>-0.05</c:v>
                </c:pt>
                <c:pt idx="4">
                  <c:v>-0.17</c:v>
                </c:pt>
                <c:pt idx="5">
                  <c:v>-0.37</c:v>
                </c:pt>
                <c:pt idx="6">
                  <c:v>-0.45</c:v>
                </c:pt>
                <c:pt idx="7">
                  <c:v>-0.21</c:v>
                </c:pt>
                <c:pt idx="8">
                  <c:v>-1.64</c:v>
                </c:pt>
                <c:pt idx="9">
                  <c:v>-10.66</c:v>
                </c:pt>
              </c:numCache>
            </c:numRef>
          </c:val>
        </c:ser>
        <c:dLbls>
          <c:showLegendKey val="0"/>
          <c:showVal val="1"/>
          <c:showCatName val="0"/>
          <c:showSerName val="0"/>
          <c:showPercent val="0"/>
          <c:showBubbleSize val="0"/>
        </c:dLbls>
        <c:gapWidth val="25"/>
        <c:overlap val="1"/>
        <c:axId val="199416832"/>
        <c:axId val="230901632"/>
      </c:barChart>
      <c:catAx>
        <c:axId val="199416832"/>
        <c:scaling>
          <c:orientation val="minMax"/>
        </c:scaling>
        <c:delete val="0"/>
        <c:axPos val="b"/>
        <c:numFmt formatCode="yy;@" sourceLinked="0"/>
        <c:majorTickMark val="out"/>
        <c:minorTickMark val="none"/>
        <c:tickLblPos val="low"/>
        <c:txPr>
          <a:bodyPr/>
          <a:lstStyle/>
          <a:p>
            <a:pPr>
              <a:defRPr sz="800"/>
            </a:pPr>
            <a:endParaRPr lang="en-US"/>
          </a:p>
        </c:txPr>
        <c:crossAx val="230901632"/>
        <c:crosses val="autoZero"/>
        <c:auto val="0"/>
        <c:lblAlgn val="ctr"/>
        <c:lblOffset val="100"/>
        <c:noMultiLvlLbl val="0"/>
      </c:catAx>
      <c:valAx>
        <c:axId val="230901632"/>
        <c:scaling>
          <c:orientation val="minMax"/>
        </c:scaling>
        <c:delete val="1"/>
        <c:axPos val="l"/>
        <c:majorGridlines>
          <c:spPr>
            <a:ln>
              <a:noFill/>
            </a:ln>
          </c:spPr>
        </c:majorGridlines>
        <c:numFmt formatCode="General" sourceLinked="1"/>
        <c:majorTickMark val="none"/>
        <c:minorTickMark val="none"/>
        <c:tickLblPos val="none"/>
        <c:crossAx val="19941683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RoA</a:t>
            </a:r>
          </a:p>
        </c:rich>
      </c:tx>
      <c:layout>
        <c:manualLayout>
          <c:xMode val="edge"/>
          <c:yMode val="edge"/>
          <c:x val="3.9636867231329087E-3"/>
          <c:y val="2.0833333333333332E-2"/>
        </c:manualLayout>
      </c:layout>
      <c:overlay val="1"/>
    </c:title>
    <c:autoTitleDeleted val="0"/>
    <c:plotArea>
      <c:layout>
        <c:manualLayout>
          <c:layoutTarget val="inner"/>
          <c:xMode val="edge"/>
          <c:yMode val="edge"/>
          <c:x val="1.2787245656366472E-2"/>
          <c:y val="5.523641634347945E-2"/>
          <c:w val="0.9639871697662179"/>
          <c:h val="0.82110017497812771"/>
        </c:manualLayout>
      </c:layout>
      <c:barChart>
        <c:barDir val="col"/>
        <c:grouping val="clustered"/>
        <c:varyColors val="0"/>
        <c:ser>
          <c:idx val="0"/>
          <c:order val="0"/>
          <c:tx>
            <c:v>RoA</c:v>
          </c:tx>
          <c:spPr>
            <a:solidFill>
              <a:srgbClr val="B5E9F4"/>
            </a:solidFill>
          </c:spPr>
          <c:invertIfNegative val="1"/>
          <c:dLbls>
            <c:numFmt formatCode="0%;\(0%\)" sourceLinked="0"/>
            <c:txPr>
              <a:bodyPr/>
              <a:lstStyle/>
              <a:p>
                <a:pPr>
                  <a:defRPr sz="800"/>
                </a:pPr>
                <a:endParaRPr lang="en-US"/>
              </a:p>
            </c:txPr>
            <c:showLegendKey val="0"/>
            <c:showVal val="1"/>
            <c:showCatName val="0"/>
            <c:showSerName val="0"/>
            <c:showPercent val="0"/>
            <c:showBubbleSize val="0"/>
            <c:showLeaderLines val="0"/>
          </c:dLbls>
          <c:cat>
            <c:numRef>
              <c:f>Investment_Ratio!$B$1:$K$1</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Investment_Ratio!$B$6:$K$6</c:f>
              <c:numCache>
                <c:formatCode>0%</c:formatCode>
                <c:ptCount val="10"/>
                <c:pt idx="0">
                  <c:v>0</c:v>
                </c:pt>
                <c:pt idx="1">
                  <c:v>0</c:v>
                </c:pt>
                <c:pt idx="2">
                  <c:v>5.9156524200396264E-2</c:v>
                </c:pt>
                <c:pt idx="3">
                  <c:v>7.9036253096149478E-2</c:v>
                </c:pt>
                <c:pt idx="4">
                  <c:v>8.8918677390527293E-2</c:v>
                </c:pt>
                <c:pt idx="5">
                  <c:v>7.4829248694254794E-2</c:v>
                </c:pt>
                <c:pt idx="6">
                  <c:v>0.15205795192624294</c:v>
                </c:pt>
                <c:pt idx="7">
                  <c:v>0.16946292700009555</c:v>
                </c:pt>
                <c:pt idx="8">
                  <c:v>0.25254638227991644</c:v>
                </c:pt>
                <c:pt idx="9">
                  <c:v>0.25014003555685427</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230933248"/>
        <c:axId val="230935936"/>
      </c:barChart>
      <c:catAx>
        <c:axId val="230933248"/>
        <c:scaling>
          <c:orientation val="minMax"/>
        </c:scaling>
        <c:delete val="0"/>
        <c:axPos val="b"/>
        <c:numFmt formatCode="yy;@" sourceLinked="0"/>
        <c:majorTickMark val="out"/>
        <c:minorTickMark val="none"/>
        <c:tickLblPos val="low"/>
        <c:txPr>
          <a:bodyPr/>
          <a:lstStyle/>
          <a:p>
            <a:pPr>
              <a:defRPr sz="800"/>
            </a:pPr>
            <a:endParaRPr lang="en-US"/>
          </a:p>
        </c:txPr>
        <c:crossAx val="230935936"/>
        <c:crosses val="autoZero"/>
        <c:auto val="0"/>
        <c:lblAlgn val="ctr"/>
        <c:lblOffset val="100"/>
        <c:noMultiLvlLbl val="0"/>
      </c:catAx>
      <c:valAx>
        <c:axId val="230935936"/>
        <c:scaling>
          <c:orientation val="minMax"/>
        </c:scaling>
        <c:delete val="1"/>
        <c:axPos val="l"/>
        <c:majorGridlines>
          <c:spPr>
            <a:ln>
              <a:noFill/>
            </a:ln>
          </c:spPr>
        </c:majorGridlines>
        <c:numFmt formatCode="0%" sourceLinked="1"/>
        <c:majorTickMark val="none"/>
        <c:minorTickMark val="none"/>
        <c:tickLblPos val="none"/>
        <c:crossAx val="230933248"/>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Net Margin</a:t>
            </a:r>
          </a:p>
        </c:rich>
      </c:tx>
      <c:layout>
        <c:manualLayout>
          <c:xMode val="edge"/>
          <c:yMode val="edge"/>
          <c:x val="3.8119323919108584E-3"/>
          <c:y val="0"/>
        </c:manualLayout>
      </c:layout>
      <c:overlay val="1"/>
    </c:title>
    <c:autoTitleDeleted val="0"/>
    <c:plotArea>
      <c:layout>
        <c:manualLayout>
          <c:layoutTarget val="inner"/>
          <c:xMode val="edge"/>
          <c:yMode val="edge"/>
          <c:x val="1.2787245656366472E-2"/>
          <c:y val="5.523641634347945E-2"/>
          <c:w val="0.9639871697662179"/>
          <c:h val="0.86568241469816276"/>
        </c:manualLayout>
      </c:layout>
      <c:barChart>
        <c:barDir val="col"/>
        <c:grouping val="clustered"/>
        <c:varyColors val="0"/>
        <c:ser>
          <c:idx val="0"/>
          <c:order val="0"/>
          <c:tx>
            <c:v>Net Margin</c:v>
          </c:tx>
          <c:spPr>
            <a:solidFill>
              <a:srgbClr val="B5E9F4"/>
            </a:solidFill>
          </c:spPr>
          <c:invertIfNegative val="1"/>
          <c:dLbls>
            <c:numFmt formatCode="0%;\(0%\)" sourceLinked="0"/>
            <c:txPr>
              <a:bodyPr/>
              <a:lstStyle/>
              <a:p>
                <a:pPr>
                  <a:defRPr sz="800"/>
                </a:pPr>
                <a:endParaRPr lang="en-US"/>
              </a:p>
            </c:txPr>
            <c:dLblPos val="inEnd"/>
            <c:showLegendKey val="0"/>
            <c:showVal val="1"/>
            <c:showCatName val="0"/>
            <c:showSerName val="0"/>
            <c:showPercent val="0"/>
            <c:showBubbleSize val="0"/>
            <c:showLeaderLines val="0"/>
          </c:dLbls>
          <c:cat>
            <c:numRef>
              <c:f>Investment_Ratio!$B$1:$K$1</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Investment_Ratio!$B$4:$K$4</c:f>
              <c:numCache>
                <c:formatCode>0%</c:formatCode>
                <c:ptCount val="10"/>
                <c:pt idx="0">
                  <c:v>0</c:v>
                </c:pt>
                <c:pt idx="1">
                  <c:v>0</c:v>
                </c:pt>
                <c:pt idx="2">
                  <c:v>0.12806372549019607</c:v>
                </c:pt>
                <c:pt idx="3">
                  <c:v>0.16666666666666657</c:v>
                </c:pt>
                <c:pt idx="4">
                  <c:v>0.15185043876383064</c:v>
                </c:pt>
                <c:pt idx="5">
                  <c:v>0.16908760780753535</c:v>
                </c:pt>
                <c:pt idx="6">
                  <c:v>0.18494193031637957</c:v>
                </c:pt>
                <c:pt idx="7">
                  <c:v>0.19574890596844782</c:v>
                </c:pt>
                <c:pt idx="8">
                  <c:v>0.24450164666691915</c:v>
                </c:pt>
                <c:pt idx="9">
                  <c:v>0.24188686354858449</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230992128"/>
        <c:axId val="230995072"/>
      </c:barChart>
      <c:catAx>
        <c:axId val="230992128"/>
        <c:scaling>
          <c:orientation val="minMax"/>
        </c:scaling>
        <c:delete val="0"/>
        <c:axPos val="b"/>
        <c:numFmt formatCode="yy;@" sourceLinked="0"/>
        <c:majorTickMark val="out"/>
        <c:minorTickMark val="none"/>
        <c:tickLblPos val="low"/>
        <c:txPr>
          <a:bodyPr/>
          <a:lstStyle/>
          <a:p>
            <a:pPr>
              <a:defRPr sz="800"/>
            </a:pPr>
            <a:endParaRPr lang="en-US"/>
          </a:p>
        </c:txPr>
        <c:crossAx val="230995072"/>
        <c:crosses val="autoZero"/>
        <c:auto val="0"/>
        <c:lblAlgn val="ctr"/>
        <c:lblOffset val="100"/>
        <c:noMultiLvlLbl val="0"/>
      </c:catAx>
      <c:valAx>
        <c:axId val="230995072"/>
        <c:scaling>
          <c:orientation val="minMax"/>
        </c:scaling>
        <c:delete val="1"/>
        <c:axPos val="l"/>
        <c:majorGridlines>
          <c:spPr>
            <a:ln>
              <a:noFill/>
            </a:ln>
          </c:spPr>
        </c:majorGridlines>
        <c:numFmt formatCode="0%" sourceLinked="1"/>
        <c:majorTickMark val="none"/>
        <c:minorTickMark val="none"/>
        <c:tickLblPos val="none"/>
        <c:crossAx val="230992128"/>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Asset Turn</a:t>
            </a:r>
          </a:p>
        </c:rich>
      </c:tx>
      <c:layout>
        <c:manualLayout>
          <c:xMode val="edge"/>
          <c:yMode val="edge"/>
          <c:x val="1.862997553856589E-3"/>
          <c:y val="3.4722222222222224E-2"/>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Asset Turn</c:v>
          </c:tx>
          <c:spPr>
            <a:solidFill>
              <a:srgbClr val="B5E9F4"/>
            </a:solidFill>
          </c:spPr>
          <c:invertIfNegative val="1"/>
          <c:dLbls>
            <c:numFmt formatCode="#,##0.0_);[Red]\(#,##0.0\)" sourceLinked="0"/>
            <c:txPr>
              <a:bodyPr/>
              <a:lstStyle/>
              <a:p>
                <a:pPr>
                  <a:defRPr sz="800"/>
                </a:pPr>
                <a:endParaRPr lang="en-US"/>
              </a:p>
            </c:txPr>
            <c:dLblPos val="inEnd"/>
            <c:showLegendKey val="0"/>
            <c:showVal val="1"/>
            <c:showCatName val="0"/>
            <c:showSerName val="0"/>
            <c:showPercent val="0"/>
            <c:showBubbleSize val="0"/>
            <c:showLeaderLines val="0"/>
          </c:dLbls>
          <c:cat>
            <c:numRef>
              <c:f>Investment_Ratio!$B$1:$K$1</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Investment_Ratio!$B$5:$K$5</c:f>
              <c:numCache>
                <c:formatCode>_ * #,##0.0_ ;_ * \-#,##0.0_ ;_ * "-"??_ ;_ @_ </c:formatCode>
                <c:ptCount val="10"/>
                <c:pt idx="0">
                  <c:v>0</c:v>
                </c:pt>
                <c:pt idx="1">
                  <c:v>0</c:v>
                </c:pt>
                <c:pt idx="2">
                  <c:v>0.46193037078969718</c:v>
                </c:pt>
                <c:pt idx="3">
                  <c:v>0.47421751857689709</c:v>
                </c:pt>
                <c:pt idx="4">
                  <c:v>0.58556747095621098</c:v>
                </c:pt>
                <c:pt idx="5">
                  <c:v>0.44254720771394135</c:v>
                </c:pt>
                <c:pt idx="6">
                  <c:v>0.82219295357260458</c:v>
                </c:pt>
                <c:pt idx="7">
                  <c:v>0.86571583203336411</c:v>
                </c:pt>
                <c:pt idx="8">
                  <c:v>1.0329025825497058</c:v>
                </c:pt>
                <c:pt idx="9">
                  <c:v>1.0341199678527069</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231034880"/>
        <c:axId val="231037568"/>
      </c:barChart>
      <c:catAx>
        <c:axId val="231034880"/>
        <c:scaling>
          <c:orientation val="minMax"/>
        </c:scaling>
        <c:delete val="0"/>
        <c:axPos val="b"/>
        <c:numFmt formatCode="yy;@" sourceLinked="0"/>
        <c:majorTickMark val="out"/>
        <c:minorTickMark val="none"/>
        <c:tickLblPos val="nextTo"/>
        <c:txPr>
          <a:bodyPr/>
          <a:lstStyle/>
          <a:p>
            <a:pPr>
              <a:defRPr sz="800"/>
            </a:pPr>
            <a:endParaRPr lang="en-US"/>
          </a:p>
        </c:txPr>
        <c:crossAx val="231037568"/>
        <c:crosses val="autoZero"/>
        <c:auto val="0"/>
        <c:lblAlgn val="ctr"/>
        <c:lblOffset val="100"/>
        <c:noMultiLvlLbl val="0"/>
      </c:catAx>
      <c:valAx>
        <c:axId val="231037568"/>
        <c:scaling>
          <c:orientation val="minMax"/>
        </c:scaling>
        <c:delete val="1"/>
        <c:axPos val="l"/>
        <c:majorGridlines>
          <c:spPr>
            <a:ln>
              <a:noFill/>
            </a:ln>
          </c:spPr>
        </c:majorGridlines>
        <c:numFmt formatCode="_ * #,##0.0_ ;_ * \-#,##0.0_ ;_ * &quot;-&quot;??_ ;_ @_ " sourceLinked="1"/>
        <c:majorTickMark val="none"/>
        <c:minorTickMark val="none"/>
        <c:tickLblPos val="none"/>
        <c:crossAx val="23103488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1.7736617664688516E-2"/>
          <c:w val="0.9639871697662179"/>
          <c:h val="0.88651574803149602"/>
        </c:manualLayout>
      </c:layout>
      <c:barChart>
        <c:barDir val="col"/>
        <c:grouping val="clustered"/>
        <c:varyColors val="0"/>
        <c:ser>
          <c:idx val="0"/>
          <c:order val="0"/>
          <c:tx>
            <c:v>EBITDA</c:v>
          </c:tx>
          <c:spPr>
            <a:solidFill>
              <a:srgbClr val="92D050"/>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Other_input_data!$C$31:$L$31</c:f>
              <c:numCache>
                <c:formatCode>dd-mm-yy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Other_input_data!$C$35:$L$35</c:f>
              <c:numCache>
                <c:formatCode>_ * #,##0.00_ ;_ * \-#,##0.00_ ;_ * "-"??_ ;_ @_ </c:formatCode>
                <c:ptCount val="10"/>
                <c:pt idx="0">
                  <c:v>1.25</c:v>
                </c:pt>
                <c:pt idx="1">
                  <c:v>3.9999999999999994E-2</c:v>
                </c:pt>
                <c:pt idx="2">
                  <c:v>3.25</c:v>
                </c:pt>
                <c:pt idx="3">
                  <c:v>5.0599999999999978</c:v>
                </c:pt>
                <c:pt idx="4">
                  <c:v>5.5100000000000007</c:v>
                </c:pt>
                <c:pt idx="5">
                  <c:v>13.860000000000008</c:v>
                </c:pt>
                <c:pt idx="6">
                  <c:v>38.559999999999988</c:v>
                </c:pt>
                <c:pt idx="7">
                  <c:v>88.720000000000013</c:v>
                </c:pt>
                <c:pt idx="8">
                  <c:v>185.70000000000007</c:v>
                </c:pt>
                <c:pt idx="9">
                  <c:v>301.81999999999994</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231069184"/>
        <c:axId val="231072128"/>
      </c:barChart>
      <c:catAx>
        <c:axId val="231069184"/>
        <c:scaling>
          <c:orientation val="minMax"/>
        </c:scaling>
        <c:delete val="0"/>
        <c:axPos val="b"/>
        <c:numFmt formatCode="yy;@" sourceLinked="0"/>
        <c:majorTickMark val="out"/>
        <c:minorTickMark val="none"/>
        <c:tickLblPos val="low"/>
        <c:txPr>
          <a:bodyPr/>
          <a:lstStyle/>
          <a:p>
            <a:pPr>
              <a:defRPr sz="800"/>
            </a:pPr>
            <a:endParaRPr lang="en-US"/>
          </a:p>
        </c:txPr>
        <c:crossAx val="231072128"/>
        <c:crosses val="autoZero"/>
        <c:auto val="0"/>
        <c:lblAlgn val="ctr"/>
        <c:lblOffset val="100"/>
        <c:noMultiLvlLbl val="0"/>
      </c:catAx>
      <c:valAx>
        <c:axId val="231072128"/>
        <c:scaling>
          <c:orientation val="minMax"/>
        </c:scaling>
        <c:delete val="1"/>
        <c:axPos val="l"/>
        <c:majorGridlines>
          <c:spPr>
            <a:ln>
              <a:noFill/>
            </a:ln>
          </c:spPr>
        </c:majorGridlines>
        <c:numFmt formatCode="_ * #,##0.00_ ;_ * \-#,##0.00_ ;_ * &quot;-&quot;??_ ;_ @_ " sourceLinked="1"/>
        <c:majorTickMark val="none"/>
        <c:minorTickMark val="none"/>
        <c:tickLblPos val="none"/>
        <c:crossAx val="231069184"/>
        <c:crosses val="autoZero"/>
        <c:crossBetween val="between"/>
      </c:valAx>
      <c:spPr>
        <a:noFill/>
        <a:ln w="25400">
          <a:noFill/>
        </a:ln>
      </c:spPr>
    </c:plotArea>
    <c:legend>
      <c:legendPos val="r"/>
      <c:layout>
        <c:manualLayout>
          <c:xMode val="edge"/>
          <c:yMode val="edge"/>
          <c:x val="1.7691651838671413E-2"/>
          <c:y val="3.9101979003010767E-2"/>
          <c:w val="0.25175195987415544"/>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4.0283122780928361E-2"/>
          <c:w val="0.9639871697662179"/>
          <c:h val="0.95563156167979002"/>
        </c:manualLayout>
      </c:layout>
      <c:barChart>
        <c:barDir val="col"/>
        <c:grouping val="clustered"/>
        <c:varyColors val="0"/>
        <c:ser>
          <c:idx val="1"/>
          <c:order val="0"/>
          <c:tx>
            <c:v>EBITDA Margin</c:v>
          </c:tx>
          <c:spPr>
            <a:solidFill>
              <a:srgbClr val="92D050"/>
            </a:solidFill>
          </c:spPr>
          <c:invertIfNegative val="1"/>
          <c:dLbls>
            <c:numFmt formatCode="0%" sourceLinked="0"/>
            <c:txPr>
              <a:bodyPr rot="0" vert="horz"/>
              <a:lstStyle/>
              <a:p>
                <a:pPr>
                  <a:defRPr sz="800"/>
                </a:pPr>
                <a:endParaRPr lang="en-US"/>
              </a:p>
            </c:txPr>
            <c:dLblPos val="inEnd"/>
            <c:showLegendKey val="0"/>
            <c:showVal val="1"/>
            <c:showCatName val="0"/>
            <c:showSerName val="0"/>
            <c:showPercent val="0"/>
            <c:showBubbleSize val="0"/>
            <c:showLeaderLines val="0"/>
          </c:dLbls>
          <c:cat>
            <c:numRef>
              <c:f>Analysis2!$B$42:$K$42</c:f>
              <c:numCache>
                <c:formatCode>dd-mm-yy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Analysis2!$B$60:$K$60</c:f>
              <c:numCache>
                <c:formatCode>0.0%</c:formatCode>
                <c:ptCount val="10"/>
                <c:pt idx="0" formatCode="0.00%">
                  <c:v>0</c:v>
                </c:pt>
                <c:pt idx="1">
                  <c:v>0</c:v>
                </c:pt>
                <c:pt idx="2">
                  <c:v>0.19914215686274508</c:v>
                </c:pt>
                <c:pt idx="3">
                  <c:v>0.24026590693257352</c:v>
                </c:pt>
                <c:pt idx="4">
                  <c:v>0.21022510492178559</c:v>
                </c:pt>
                <c:pt idx="5">
                  <c:v>0.31457103949160253</c:v>
                </c:pt>
                <c:pt idx="6">
                  <c:v>0.30885062074489378</c:v>
                </c:pt>
                <c:pt idx="7">
                  <c:v>0.32626043467068733</c:v>
                </c:pt>
                <c:pt idx="8">
                  <c:v>0.35147821478593344</c:v>
                </c:pt>
                <c:pt idx="9">
                  <c:v>0.35540012246243691</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231078912"/>
        <c:axId val="231245696"/>
      </c:barChart>
      <c:catAx>
        <c:axId val="231078912"/>
        <c:scaling>
          <c:orientation val="minMax"/>
        </c:scaling>
        <c:delete val="0"/>
        <c:axPos val="b"/>
        <c:numFmt formatCode="yy;@" sourceLinked="0"/>
        <c:majorTickMark val="out"/>
        <c:minorTickMark val="none"/>
        <c:tickLblPos val="low"/>
        <c:txPr>
          <a:bodyPr/>
          <a:lstStyle/>
          <a:p>
            <a:pPr>
              <a:defRPr sz="800"/>
            </a:pPr>
            <a:endParaRPr lang="en-US"/>
          </a:p>
        </c:txPr>
        <c:crossAx val="231245696"/>
        <c:crosses val="autoZero"/>
        <c:auto val="0"/>
        <c:lblAlgn val="ctr"/>
        <c:lblOffset val="100"/>
        <c:noMultiLvlLbl val="0"/>
      </c:catAx>
      <c:valAx>
        <c:axId val="231245696"/>
        <c:scaling>
          <c:orientation val="minMax"/>
        </c:scaling>
        <c:delete val="1"/>
        <c:axPos val="l"/>
        <c:majorGridlines>
          <c:spPr>
            <a:ln>
              <a:noFill/>
            </a:ln>
          </c:spPr>
        </c:majorGridlines>
        <c:numFmt formatCode="0.00%" sourceLinked="1"/>
        <c:majorTickMark val="none"/>
        <c:minorTickMark val="none"/>
        <c:tickLblPos val="none"/>
        <c:crossAx val="231078912"/>
        <c:crosses val="autoZero"/>
        <c:crossBetween val="between"/>
      </c:valAx>
      <c:spPr>
        <a:noFill/>
        <a:ln w="25400">
          <a:noFill/>
        </a:ln>
      </c:spPr>
    </c:plotArea>
    <c:legend>
      <c:legendPos val="r"/>
      <c:layout>
        <c:manualLayout>
          <c:xMode val="edge"/>
          <c:yMode val="edge"/>
          <c:x val="0"/>
          <c:y val="2.4148915565336007E-2"/>
          <c:w val="0.61653460729391296"/>
          <c:h val="7.2177019539224258E-2"/>
        </c:manualLayout>
      </c:layout>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1744533225049212E-2"/>
          <c:y val="3.2523616090536986E-2"/>
          <c:w val="0.94977690166629436"/>
          <c:h val="0.83108541119860013"/>
        </c:manualLayout>
      </c:layout>
      <c:barChart>
        <c:barDir val="col"/>
        <c:grouping val="clustered"/>
        <c:varyColors val="0"/>
        <c:ser>
          <c:idx val="0"/>
          <c:order val="0"/>
          <c:tx>
            <c:v>Q - EBITDA</c:v>
          </c:tx>
          <c:spPr>
            <a:solidFill>
              <a:srgbClr val="92D050"/>
            </a:solidFill>
          </c:spPr>
          <c:invertIfNegative val="1"/>
          <c:dLbls>
            <c:numFmt formatCode="#,##0_);\(#,##0\)" sourceLinked="0"/>
            <c:txPr>
              <a:bodyPr/>
              <a:lstStyle/>
              <a:p>
                <a:pPr>
                  <a:defRPr sz="900"/>
                </a:pPr>
                <a:endParaRPr lang="en-US"/>
              </a:p>
            </c:txPr>
            <c:dLblPos val="inEnd"/>
            <c:showLegendKey val="0"/>
            <c:showVal val="1"/>
            <c:showCatName val="0"/>
            <c:showSerName val="0"/>
            <c:showPercent val="0"/>
            <c:showBubbleSize val="0"/>
            <c:showLeaderLines val="0"/>
          </c:dLbls>
          <c:cat>
            <c:numRef>
              <c:f>Quarters!$B$3:$K$3</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Others!$B$75:$K$75</c:f>
              <c:numCache>
                <c:formatCode>0</c:formatCode>
                <c:ptCount val="10"/>
                <c:pt idx="0">
                  <c:v>26.34</c:v>
                </c:pt>
                <c:pt idx="1">
                  <c:v>36.78</c:v>
                </c:pt>
                <c:pt idx="2">
                  <c:v>42.43</c:v>
                </c:pt>
                <c:pt idx="3">
                  <c:v>48.79999999999999</c:v>
                </c:pt>
                <c:pt idx="4">
                  <c:v>58.339999999999989</c:v>
                </c:pt>
                <c:pt idx="5">
                  <c:v>63.979999999999976</c:v>
                </c:pt>
                <c:pt idx="6">
                  <c:v>70.550000000000011</c:v>
                </c:pt>
                <c:pt idx="7">
                  <c:v>77.34</c:v>
                </c:pt>
                <c:pt idx="8">
                  <c:v>82.580000000000013</c:v>
                </c:pt>
                <c:pt idx="9">
                  <c:v>88.559999999999988</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231289600"/>
        <c:axId val="231292288"/>
      </c:barChart>
      <c:catAx>
        <c:axId val="231289600"/>
        <c:scaling>
          <c:orientation val="minMax"/>
        </c:scaling>
        <c:delete val="0"/>
        <c:axPos val="b"/>
        <c:numFmt formatCode="[$-409]mmmmm-yy;@" sourceLinked="0"/>
        <c:majorTickMark val="out"/>
        <c:minorTickMark val="none"/>
        <c:tickLblPos val="low"/>
        <c:txPr>
          <a:bodyPr/>
          <a:lstStyle/>
          <a:p>
            <a:pPr>
              <a:defRPr sz="800"/>
            </a:pPr>
            <a:endParaRPr lang="en-US"/>
          </a:p>
        </c:txPr>
        <c:crossAx val="231292288"/>
        <c:crosses val="autoZero"/>
        <c:auto val="0"/>
        <c:lblAlgn val="ctr"/>
        <c:lblOffset val="100"/>
        <c:noMultiLvlLbl val="0"/>
      </c:catAx>
      <c:valAx>
        <c:axId val="231292288"/>
        <c:scaling>
          <c:orientation val="minMax"/>
        </c:scaling>
        <c:delete val="1"/>
        <c:axPos val="l"/>
        <c:majorGridlines>
          <c:spPr>
            <a:ln>
              <a:noFill/>
            </a:ln>
          </c:spPr>
        </c:majorGridlines>
        <c:numFmt formatCode="0" sourceLinked="1"/>
        <c:majorTickMark val="none"/>
        <c:minorTickMark val="none"/>
        <c:tickLblPos val="none"/>
        <c:crossAx val="231289600"/>
        <c:crosses val="autoZero"/>
        <c:crossBetween val="between"/>
      </c:valAx>
      <c:spPr>
        <a:noFill/>
        <a:ln w="25400">
          <a:noFill/>
        </a:ln>
      </c:spPr>
    </c:plotArea>
    <c:legend>
      <c:legendPos val="r"/>
      <c:layout>
        <c:manualLayout>
          <c:xMode val="edge"/>
          <c:yMode val="edge"/>
          <c:x val="0"/>
          <c:y val="1.8739063867016623E-3"/>
          <c:w val="0.26534101617789424"/>
          <c:h val="8.838090551181102E-2"/>
        </c:manualLayout>
      </c:layou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2.745844269466317E-2"/>
          <c:w val="0.9639871697662179"/>
          <c:h val="0.95998906386701666"/>
        </c:manualLayout>
      </c:layout>
      <c:barChart>
        <c:barDir val="col"/>
        <c:grouping val="clustered"/>
        <c:varyColors val="0"/>
        <c:ser>
          <c:idx val="0"/>
          <c:order val="0"/>
          <c:tx>
            <c:v>UnAdj EPS</c:v>
          </c:tx>
          <c:spPr>
            <a:solidFill>
              <a:srgbClr val="92D050"/>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'Profit &amp; Loss'!$B$3:$K$3</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'Profit &amp; Loss'!$B$13:$K$13</c:f>
              <c:numCache>
                <c:formatCode>_ * #,##0.00_ ;_ * \-#,##0.00_ ;_ * "-"??_ ;_ @_ </c:formatCode>
                <c:ptCount val="10"/>
                <c:pt idx="0">
                  <c:v>0.55812434144118328</c:v>
                </c:pt>
                <c:pt idx="1">
                  <c:v>1.7859978926117865E-2</c:v>
                </c:pt>
                <c:pt idx="2">
                  <c:v>0.91846476285767165</c:v>
                </c:pt>
                <c:pt idx="3">
                  <c:v>1.5380988851683497</c:v>
                </c:pt>
                <c:pt idx="4">
                  <c:v>1.4323026827173559</c:v>
                </c:pt>
                <c:pt idx="5">
                  <c:v>2.1935517155973612</c:v>
                </c:pt>
                <c:pt idx="6">
                  <c:v>6.7025442299940261</c:v>
                </c:pt>
                <c:pt idx="7">
                  <c:v>13.457927659304692</c:v>
                </c:pt>
                <c:pt idx="8">
                  <c:v>34.232699453315554</c:v>
                </c:pt>
                <c:pt idx="9">
                  <c:v>56.236392075983687</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231319808"/>
        <c:axId val="231322752"/>
      </c:barChart>
      <c:catAx>
        <c:axId val="231319808"/>
        <c:scaling>
          <c:orientation val="minMax"/>
        </c:scaling>
        <c:delete val="0"/>
        <c:axPos val="b"/>
        <c:numFmt formatCode="yy;@" sourceLinked="0"/>
        <c:majorTickMark val="out"/>
        <c:minorTickMark val="none"/>
        <c:tickLblPos val="low"/>
        <c:txPr>
          <a:bodyPr/>
          <a:lstStyle/>
          <a:p>
            <a:pPr>
              <a:defRPr sz="800"/>
            </a:pPr>
            <a:endParaRPr lang="en-US"/>
          </a:p>
        </c:txPr>
        <c:crossAx val="231322752"/>
        <c:crosses val="autoZero"/>
        <c:auto val="0"/>
        <c:lblAlgn val="ctr"/>
        <c:lblOffset val="100"/>
        <c:noMultiLvlLbl val="0"/>
      </c:catAx>
      <c:valAx>
        <c:axId val="231322752"/>
        <c:scaling>
          <c:orientation val="minMax"/>
        </c:scaling>
        <c:delete val="1"/>
        <c:axPos val="l"/>
        <c:majorGridlines>
          <c:spPr>
            <a:ln>
              <a:noFill/>
            </a:ln>
          </c:spPr>
        </c:majorGridlines>
        <c:numFmt formatCode="_ * #,##0.00_ ;_ * \-#,##0.00_ ;_ * &quot;-&quot;??_ ;_ @_ " sourceLinked="1"/>
        <c:majorTickMark val="none"/>
        <c:minorTickMark val="none"/>
        <c:tickLblPos val="none"/>
        <c:crossAx val="231319808"/>
        <c:crosses val="autoZero"/>
        <c:crossBetween val="between"/>
      </c:valAx>
      <c:spPr>
        <a:noFill/>
        <a:ln w="25400">
          <a:noFill/>
        </a:ln>
      </c:spPr>
    </c:plotArea>
    <c:legend>
      <c:legendPos val="r"/>
      <c:layout>
        <c:manualLayout>
          <c:xMode val="edge"/>
          <c:yMode val="edge"/>
          <c:x val="7.398170094821771E-2"/>
          <c:y val="3.9101979003010767E-2"/>
          <c:w val="0.37426132078317798"/>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Sh Out</c:v>
          </c:tx>
          <c:spPr>
            <a:solidFill>
              <a:srgbClr val="00B0F0"/>
            </a:solidFill>
          </c:spPr>
          <c:invertIfNegative val="0"/>
          <c:dLbls>
            <c:numFmt formatCode="0.0" sourceLinked="0"/>
            <c:txPr>
              <a:bodyPr/>
              <a:lstStyle/>
              <a:p>
                <a:pPr>
                  <a:defRPr sz="800"/>
                </a:pPr>
                <a:endParaRPr lang="en-US"/>
              </a:p>
            </c:txPr>
            <c:showLegendKey val="0"/>
            <c:showVal val="1"/>
            <c:showCatName val="0"/>
            <c:showSerName val="0"/>
            <c:showPercent val="0"/>
            <c:showBubbleSize val="0"/>
            <c:showLeaderLines val="0"/>
          </c:dLbls>
          <c:cat>
            <c:numRef>
              <c:f>'Data Sheet'!$B$81:$K$81</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Sheet'!$B$93:$K$93</c:f>
              <c:numCache>
                <c:formatCode>_(* #,##0.00_);_(* \(#,##0.00\);_(* "-"??_);_(@_)</c:formatCode>
                <c:ptCount val="10"/>
                <c:pt idx="0">
                  <c:v>2.2396443000000001</c:v>
                </c:pt>
                <c:pt idx="1">
                  <c:v>2.2396443000000001</c:v>
                </c:pt>
                <c:pt idx="2">
                  <c:v>2.2755364</c:v>
                </c:pt>
                <c:pt idx="3">
                  <c:v>2.2755364</c:v>
                </c:pt>
                <c:pt idx="4">
                  <c:v>2.7717605000000001</c:v>
                </c:pt>
                <c:pt idx="5">
                  <c:v>2.7717605000000001</c:v>
                </c:pt>
                <c:pt idx="6">
                  <c:v>2.8317605000000001</c:v>
                </c:pt>
                <c:pt idx="7">
                  <c:v>2.9417605</c:v>
                </c:pt>
                <c:pt idx="8">
                  <c:v>3.0517604999999999</c:v>
                </c:pt>
                <c:pt idx="9">
                  <c:v>3.0517604999999999</c:v>
                </c:pt>
              </c:numCache>
            </c:numRef>
          </c:val>
        </c:ser>
        <c:dLbls>
          <c:showLegendKey val="0"/>
          <c:showVal val="1"/>
          <c:showCatName val="0"/>
          <c:showSerName val="0"/>
          <c:showPercent val="0"/>
          <c:showBubbleSize val="0"/>
        </c:dLbls>
        <c:gapWidth val="25"/>
        <c:overlap val="1"/>
        <c:axId val="231362560"/>
        <c:axId val="231365248"/>
      </c:barChart>
      <c:catAx>
        <c:axId val="231362560"/>
        <c:scaling>
          <c:orientation val="minMax"/>
        </c:scaling>
        <c:delete val="0"/>
        <c:axPos val="b"/>
        <c:numFmt formatCode="yy;@" sourceLinked="0"/>
        <c:majorTickMark val="out"/>
        <c:minorTickMark val="none"/>
        <c:tickLblPos val="nextTo"/>
        <c:txPr>
          <a:bodyPr/>
          <a:lstStyle/>
          <a:p>
            <a:pPr>
              <a:defRPr sz="800"/>
            </a:pPr>
            <a:endParaRPr lang="en-US"/>
          </a:p>
        </c:txPr>
        <c:crossAx val="231365248"/>
        <c:crosses val="autoZero"/>
        <c:auto val="0"/>
        <c:lblAlgn val="ctr"/>
        <c:lblOffset val="100"/>
        <c:noMultiLvlLbl val="0"/>
      </c:catAx>
      <c:valAx>
        <c:axId val="231365248"/>
        <c:scaling>
          <c:orientation val="minMax"/>
        </c:scaling>
        <c:delete val="1"/>
        <c:axPos val="l"/>
        <c:majorGridlines>
          <c:spPr>
            <a:ln>
              <a:noFill/>
            </a:ln>
          </c:spPr>
        </c:majorGridlines>
        <c:numFmt formatCode="_(* #,##0.00_);_(* \(#,##0.00\);_(* &quot;-&quot;??_);_(@_)" sourceLinked="1"/>
        <c:majorTickMark val="none"/>
        <c:minorTickMark val="none"/>
        <c:tickLblPos val="none"/>
        <c:crossAx val="231362560"/>
        <c:crosses val="autoZero"/>
        <c:crossBetween val="between"/>
      </c:valAx>
      <c:spPr>
        <a:noFill/>
        <a:ln w="25400">
          <a:noFill/>
        </a:ln>
      </c:spPr>
    </c:plotArea>
    <c:legend>
      <c:legendPos val="r"/>
      <c:layout>
        <c:manualLayout>
          <c:xMode val="edge"/>
          <c:yMode val="edge"/>
          <c:x val="7.398170094821771E-2"/>
          <c:y val="3.9101979003010767E-2"/>
          <c:w val="0.30246800643241628"/>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3066072552623842E-2"/>
          <c:y val="2.2422398927302207E-2"/>
          <c:w val="0.9654321507412732"/>
          <c:h val="0.83831747594050743"/>
        </c:manualLayout>
      </c:layout>
      <c:barChart>
        <c:barDir val="col"/>
        <c:grouping val="clustered"/>
        <c:varyColors val="0"/>
        <c:ser>
          <c:idx val="0"/>
          <c:order val="0"/>
          <c:tx>
            <c:v>Q-Sales</c:v>
          </c:tx>
          <c:spPr>
            <a:solidFill>
              <a:srgbClr val="92D050"/>
            </a:solidFill>
          </c:spPr>
          <c:invertIfNegative val="1"/>
          <c:dLbls>
            <c:numFmt formatCode="#,##0_);\(#,##0\)" sourceLinked="0"/>
            <c:txPr>
              <a:bodyPr/>
              <a:lstStyle/>
              <a:p>
                <a:pPr>
                  <a:defRPr sz="800"/>
                </a:pPr>
                <a:endParaRPr lang="en-US"/>
              </a:p>
            </c:txPr>
            <c:showLegendKey val="0"/>
            <c:showVal val="1"/>
            <c:showCatName val="0"/>
            <c:showSerName val="0"/>
            <c:showPercent val="0"/>
            <c:showBubbleSize val="0"/>
            <c:showLeaderLines val="0"/>
          </c:dLbls>
          <c:cat>
            <c:numRef>
              <c:f>Quarters!$D$3:$K$3</c:f>
              <c:numCache>
                <c:formatCode>[$-409]mmm\-yy;@</c:formatCode>
                <c:ptCount val="8"/>
                <c:pt idx="0">
                  <c:v>42643</c:v>
                </c:pt>
                <c:pt idx="1">
                  <c:v>42735</c:v>
                </c:pt>
                <c:pt idx="2">
                  <c:v>42825</c:v>
                </c:pt>
                <c:pt idx="3">
                  <c:v>42916</c:v>
                </c:pt>
                <c:pt idx="4">
                  <c:v>43008</c:v>
                </c:pt>
                <c:pt idx="5">
                  <c:v>43100</c:v>
                </c:pt>
                <c:pt idx="6">
                  <c:v>43190</c:v>
                </c:pt>
                <c:pt idx="7">
                  <c:v>43281</c:v>
                </c:pt>
              </c:numCache>
            </c:numRef>
          </c:cat>
          <c:val>
            <c:numRef>
              <c:f>Quarters!$D$4:$K$4</c:f>
              <c:numCache>
                <c:formatCode>_ * #,##0.00_ ;_ * \-#,##0.00_ ;_ * "-"??_ ;_ @_ </c:formatCode>
                <c:ptCount val="8"/>
                <c:pt idx="0">
                  <c:v>122.18</c:v>
                </c:pt>
                <c:pt idx="1">
                  <c:v>141.72999999999999</c:v>
                </c:pt>
                <c:pt idx="2">
                  <c:v>166.6</c:v>
                </c:pt>
                <c:pt idx="3">
                  <c:v>195.42</c:v>
                </c:pt>
                <c:pt idx="4">
                  <c:v>210.62</c:v>
                </c:pt>
                <c:pt idx="5">
                  <c:v>223.88</c:v>
                </c:pt>
                <c:pt idx="6">
                  <c:v>227.19</c:v>
                </c:pt>
                <c:pt idx="7">
                  <c:v>240.22</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axId val="195982464"/>
        <c:axId val="195989504"/>
      </c:barChart>
      <c:catAx>
        <c:axId val="195982464"/>
        <c:scaling>
          <c:orientation val="minMax"/>
        </c:scaling>
        <c:delete val="0"/>
        <c:axPos val="b"/>
        <c:numFmt formatCode="[$-409]mmmmm-yy;@" sourceLinked="0"/>
        <c:majorTickMark val="out"/>
        <c:minorTickMark val="none"/>
        <c:tickLblPos val="nextTo"/>
        <c:txPr>
          <a:bodyPr/>
          <a:lstStyle/>
          <a:p>
            <a:pPr>
              <a:defRPr sz="800"/>
            </a:pPr>
            <a:endParaRPr lang="en-US"/>
          </a:p>
        </c:txPr>
        <c:crossAx val="195989504"/>
        <c:crosses val="autoZero"/>
        <c:auto val="0"/>
        <c:lblAlgn val="ctr"/>
        <c:lblOffset val="100"/>
        <c:noMultiLvlLbl val="0"/>
      </c:catAx>
      <c:valAx>
        <c:axId val="195989504"/>
        <c:scaling>
          <c:orientation val="minMax"/>
        </c:scaling>
        <c:delete val="1"/>
        <c:axPos val="l"/>
        <c:majorGridlines>
          <c:spPr>
            <a:ln>
              <a:noFill/>
            </a:ln>
          </c:spPr>
        </c:majorGridlines>
        <c:numFmt formatCode="#,##0" sourceLinked="0"/>
        <c:majorTickMark val="out"/>
        <c:minorTickMark val="none"/>
        <c:tickLblPos val="nextTo"/>
        <c:crossAx val="195982464"/>
        <c:crosses val="autoZero"/>
        <c:crossBetween val="between"/>
      </c:valAx>
    </c:plotArea>
    <c:legend>
      <c:legendPos val="r"/>
      <c:layout>
        <c:manualLayout>
          <c:xMode val="edge"/>
          <c:yMode val="edge"/>
          <c:x val="0.15692128901617086"/>
          <c:y val="3.1954447251436126E-2"/>
          <c:w val="0.25091762177534754"/>
          <c:h val="5.1978850469778237E-2"/>
        </c:manualLayout>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Liabilities</a:t>
            </a:r>
          </a:p>
        </c:rich>
      </c:tx>
      <c:layout/>
      <c:overlay val="0"/>
    </c:title>
    <c:autoTitleDeleted val="0"/>
    <c:plotArea>
      <c:layout>
        <c:manualLayout>
          <c:layoutTarget val="inner"/>
          <c:xMode val="edge"/>
          <c:yMode val="edge"/>
          <c:x val="5.2516339869281045E-2"/>
          <c:y val="3.6921478565179355E-2"/>
          <c:w val="0.91130718954248369"/>
          <c:h val="0.89871034639188618"/>
        </c:manualLayout>
      </c:layout>
      <c:areaChart>
        <c:grouping val="stacked"/>
        <c:varyColors val="0"/>
        <c:ser>
          <c:idx val="0"/>
          <c:order val="0"/>
          <c:tx>
            <c:v>Eq</c:v>
          </c:tx>
          <c:spPr>
            <a:solidFill>
              <a:srgbClr val="92D050"/>
            </a:solidFill>
          </c:spPr>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Sheet'!$B$57:$K$57</c:f>
              <c:numCache>
                <c:formatCode>General</c:formatCode>
                <c:ptCount val="10"/>
                <c:pt idx="0">
                  <c:v>1.56</c:v>
                </c:pt>
                <c:pt idx="1">
                  <c:v>1.56</c:v>
                </c:pt>
                <c:pt idx="2">
                  <c:v>5.55</c:v>
                </c:pt>
                <c:pt idx="3">
                  <c:v>5.55</c:v>
                </c:pt>
                <c:pt idx="4">
                  <c:v>10.039999999999999</c:v>
                </c:pt>
                <c:pt idx="5">
                  <c:v>10.039999999999999</c:v>
                </c:pt>
                <c:pt idx="6">
                  <c:v>10.34</c:v>
                </c:pt>
                <c:pt idx="7">
                  <c:v>10.89</c:v>
                </c:pt>
                <c:pt idx="8">
                  <c:v>15.26</c:v>
                </c:pt>
                <c:pt idx="9">
                  <c:v>15.26</c:v>
                </c:pt>
              </c:numCache>
            </c:numRef>
          </c:val>
        </c:ser>
        <c:ser>
          <c:idx val="1"/>
          <c:order val="1"/>
          <c:tx>
            <c:v>Rsrv</c:v>
          </c:tx>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Sheet'!$B$58:$K$58</c:f>
              <c:numCache>
                <c:formatCode>General</c:formatCode>
                <c:ptCount val="10"/>
                <c:pt idx="0">
                  <c:v>4.88</c:v>
                </c:pt>
                <c:pt idx="1">
                  <c:v>4.92</c:v>
                </c:pt>
                <c:pt idx="2">
                  <c:v>15.14</c:v>
                </c:pt>
                <c:pt idx="3">
                  <c:v>19.96</c:v>
                </c:pt>
                <c:pt idx="4">
                  <c:v>17.55</c:v>
                </c:pt>
                <c:pt idx="5">
                  <c:v>51.96</c:v>
                </c:pt>
                <c:pt idx="6">
                  <c:v>89.44</c:v>
                </c:pt>
                <c:pt idx="7">
                  <c:v>193.56</c:v>
                </c:pt>
                <c:pt idx="8">
                  <c:v>304.69</c:v>
                </c:pt>
                <c:pt idx="9">
                  <c:v>475.84</c:v>
                </c:pt>
              </c:numCache>
            </c:numRef>
          </c:val>
        </c:ser>
        <c:ser>
          <c:idx val="2"/>
          <c:order val="2"/>
          <c:tx>
            <c:v>Borw</c:v>
          </c:tx>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Sheet'!$B$59:$K$59</c:f>
              <c:numCache>
                <c:formatCode>General</c:formatCode>
                <c:ptCount val="10"/>
                <c:pt idx="0">
                  <c:v>1.31</c:v>
                </c:pt>
                <c:pt idx="2">
                  <c:v>1.07</c:v>
                </c:pt>
                <c:pt idx="3">
                  <c:v>2.93</c:v>
                </c:pt>
                <c:pt idx="4">
                  <c:v>2.11</c:v>
                </c:pt>
                <c:pt idx="5">
                  <c:v>3.78</c:v>
                </c:pt>
                <c:pt idx="6">
                  <c:v>7.0000000000000007E-2</c:v>
                </c:pt>
                <c:pt idx="7">
                  <c:v>2.72</c:v>
                </c:pt>
                <c:pt idx="8">
                  <c:v>40.79</c:v>
                </c:pt>
                <c:pt idx="9">
                  <c:v>86.48</c:v>
                </c:pt>
              </c:numCache>
            </c:numRef>
          </c:val>
        </c:ser>
        <c:ser>
          <c:idx val="3"/>
          <c:order val="3"/>
          <c:tx>
            <c:v>Oth.L</c:v>
          </c:tx>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Sheet'!$B$60:$K$60</c:f>
              <c:numCache>
                <c:formatCode>General</c:formatCode>
                <c:ptCount val="10"/>
                <c:pt idx="0">
                  <c:v>0.16</c:v>
                </c:pt>
                <c:pt idx="1">
                  <c:v>0.15</c:v>
                </c:pt>
                <c:pt idx="2">
                  <c:v>13.57</c:v>
                </c:pt>
                <c:pt idx="3">
                  <c:v>15.97</c:v>
                </c:pt>
                <c:pt idx="4">
                  <c:v>15.06</c:v>
                </c:pt>
                <c:pt idx="5">
                  <c:v>33.78</c:v>
                </c:pt>
                <c:pt idx="6">
                  <c:v>52</c:v>
                </c:pt>
                <c:pt idx="7">
                  <c:v>106.94</c:v>
                </c:pt>
                <c:pt idx="8">
                  <c:v>150.77000000000001</c:v>
                </c:pt>
                <c:pt idx="9">
                  <c:v>243.64</c:v>
                </c:pt>
              </c:numCache>
            </c:numRef>
          </c:val>
        </c:ser>
        <c:ser>
          <c:idx val="4"/>
          <c:order val="4"/>
          <c:tx>
            <c:v>Total</c:v>
          </c:tx>
          <c:spPr>
            <a:solidFill>
              <a:srgbClr val="00B050"/>
            </a:solidFill>
          </c:spPr>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Sheet'!$B$61:$K$61</c:f>
              <c:numCache>
                <c:formatCode>General</c:formatCode>
                <c:ptCount val="10"/>
                <c:pt idx="0">
                  <c:v>7.91</c:v>
                </c:pt>
                <c:pt idx="1">
                  <c:v>6.63</c:v>
                </c:pt>
                <c:pt idx="2">
                  <c:v>35.33</c:v>
                </c:pt>
                <c:pt idx="3">
                  <c:v>44.41</c:v>
                </c:pt>
                <c:pt idx="4">
                  <c:v>44.76</c:v>
                </c:pt>
                <c:pt idx="5">
                  <c:v>99.56</c:v>
                </c:pt>
                <c:pt idx="6">
                  <c:v>151.85</c:v>
                </c:pt>
                <c:pt idx="7">
                  <c:v>314.11</c:v>
                </c:pt>
                <c:pt idx="8">
                  <c:v>511.51</c:v>
                </c:pt>
                <c:pt idx="9">
                  <c:v>821.22</c:v>
                </c:pt>
              </c:numCache>
            </c:numRef>
          </c:val>
        </c:ser>
        <c:dLbls>
          <c:showLegendKey val="0"/>
          <c:showVal val="0"/>
          <c:showCatName val="0"/>
          <c:showSerName val="0"/>
          <c:showPercent val="0"/>
          <c:showBubbleSize val="0"/>
        </c:dLbls>
        <c:axId val="231147008"/>
        <c:axId val="231148544"/>
      </c:areaChart>
      <c:catAx>
        <c:axId val="231147008"/>
        <c:scaling>
          <c:orientation val="minMax"/>
        </c:scaling>
        <c:delete val="0"/>
        <c:axPos val="b"/>
        <c:numFmt formatCode="yy;@" sourceLinked="0"/>
        <c:majorTickMark val="none"/>
        <c:minorTickMark val="none"/>
        <c:tickLblPos val="nextTo"/>
        <c:txPr>
          <a:bodyPr/>
          <a:lstStyle/>
          <a:p>
            <a:pPr>
              <a:defRPr sz="800"/>
            </a:pPr>
            <a:endParaRPr lang="en-US"/>
          </a:p>
        </c:txPr>
        <c:crossAx val="231148544"/>
        <c:crosses val="autoZero"/>
        <c:auto val="0"/>
        <c:lblAlgn val="ctr"/>
        <c:lblOffset val="100"/>
        <c:noMultiLvlLbl val="0"/>
      </c:catAx>
      <c:valAx>
        <c:axId val="231148544"/>
        <c:scaling>
          <c:orientation val="minMax"/>
        </c:scaling>
        <c:delete val="0"/>
        <c:axPos val="r"/>
        <c:majorGridlines>
          <c:spPr>
            <a:ln>
              <a:noFill/>
            </a:ln>
          </c:spPr>
        </c:majorGridlines>
        <c:numFmt formatCode="General" sourceLinked="1"/>
        <c:majorTickMark val="none"/>
        <c:minorTickMark val="none"/>
        <c:tickLblPos val="nextTo"/>
        <c:txPr>
          <a:bodyPr/>
          <a:lstStyle/>
          <a:p>
            <a:pPr>
              <a:defRPr sz="800"/>
            </a:pPr>
            <a:endParaRPr lang="en-US"/>
          </a:p>
        </c:txPr>
        <c:crossAx val="231147008"/>
        <c:crosses val="max"/>
        <c:crossBetween val="midCat"/>
      </c:valAx>
      <c:spPr>
        <a:noFill/>
        <a:ln w="25400">
          <a:noFill/>
        </a:ln>
      </c:spPr>
    </c:plotArea>
    <c:legend>
      <c:legendPos val="r"/>
      <c:layout>
        <c:manualLayout>
          <c:xMode val="edge"/>
          <c:yMode val="edge"/>
          <c:x val="4.9195319335083122E-2"/>
          <c:y val="0.14481590842811315"/>
          <c:w val="0.45913801399825022"/>
          <c:h val="0.15469706911636044"/>
        </c:manualLayout>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Assets</a:t>
            </a:r>
          </a:p>
        </c:rich>
      </c:tx>
      <c:layout>
        <c:manualLayout>
          <c:xMode val="edge"/>
          <c:yMode val="edge"/>
          <c:x val="0.36302607628591882"/>
          <c:y val="2.2153841859945855E-2"/>
        </c:manualLayout>
      </c:layout>
      <c:overlay val="0"/>
    </c:title>
    <c:autoTitleDeleted val="0"/>
    <c:plotArea>
      <c:layout>
        <c:manualLayout>
          <c:layoutTarget val="inner"/>
          <c:xMode val="edge"/>
          <c:yMode val="edge"/>
          <c:x val="5.2516339869281045E-2"/>
          <c:y val="1.674389466748755E-2"/>
          <c:w val="0.91130718954248369"/>
          <c:h val="0.92721449942214018"/>
        </c:manualLayout>
      </c:layout>
      <c:areaChart>
        <c:grouping val="stacked"/>
        <c:varyColors val="0"/>
        <c:ser>
          <c:idx val="0"/>
          <c:order val="0"/>
          <c:tx>
            <c:v>NetBlk</c:v>
          </c:tx>
          <c:spPr>
            <a:ln w="25400">
              <a:noFill/>
            </a:ln>
          </c:spPr>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Sheet'!$B$62:$K$62</c:f>
              <c:numCache>
                <c:formatCode>General</c:formatCode>
                <c:ptCount val="10"/>
                <c:pt idx="0">
                  <c:v>0.11</c:v>
                </c:pt>
                <c:pt idx="1">
                  <c:v>0.09</c:v>
                </c:pt>
                <c:pt idx="2">
                  <c:v>6.05</c:v>
                </c:pt>
                <c:pt idx="3">
                  <c:v>5.98</c:v>
                </c:pt>
                <c:pt idx="4">
                  <c:v>0.73</c:v>
                </c:pt>
                <c:pt idx="5">
                  <c:v>52.25</c:v>
                </c:pt>
                <c:pt idx="6">
                  <c:v>79.12</c:v>
                </c:pt>
                <c:pt idx="7">
                  <c:v>146.37</c:v>
                </c:pt>
                <c:pt idx="8">
                  <c:v>187.4</c:v>
                </c:pt>
                <c:pt idx="9">
                  <c:v>358.34</c:v>
                </c:pt>
              </c:numCache>
            </c:numRef>
          </c:val>
        </c:ser>
        <c:ser>
          <c:idx val="1"/>
          <c:order val="1"/>
          <c:tx>
            <c:v>CWIP</c:v>
          </c:tx>
          <c:spPr>
            <a:ln w="25400">
              <a:noFill/>
            </a:ln>
          </c:spPr>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Sheet'!$B$63:$K$63</c:f>
              <c:numCache>
                <c:formatCode>General</c:formatCode>
                <c:ptCount val="10"/>
                <c:pt idx="2">
                  <c:v>12.59</c:v>
                </c:pt>
                <c:pt idx="3">
                  <c:v>16.43</c:v>
                </c:pt>
                <c:pt idx="4">
                  <c:v>17.48</c:v>
                </c:pt>
                <c:pt idx="5">
                  <c:v>19.579999999999998</c:v>
                </c:pt>
                <c:pt idx="6">
                  <c:v>19.899999999999999</c:v>
                </c:pt>
                <c:pt idx="7">
                  <c:v>18.13</c:v>
                </c:pt>
                <c:pt idx="8">
                  <c:v>20.72</c:v>
                </c:pt>
                <c:pt idx="9">
                  <c:v>28.06</c:v>
                </c:pt>
              </c:numCache>
            </c:numRef>
          </c:val>
        </c:ser>
        <c:ser>
          <c:idx val="2"/>
          <c:order val="2"/>
          <c:tx>
            <c:v>Inv</c:v>
          </c:tx>
          <c:spPr>
            <a:ln w="25400">
              <a:noFill/>
            </a:ln>
          </c:spPr>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Sheet'!$B$64:$K$64</c:f>
              <c:numCache>
                <c:formatCode>General</c:formatCode>
                <c:ptCount val="10"/>
                <c:pt idx="0">
                  <c:v>0.71</c:v>
                </c:pt>
              </c:numCache>
            </c:numRef>
          </c:val>
        </c:ser>
        <c:ser>
          <c:idx val="3"/>
          <c:order val="3"/>
          <c:tx>
            <c:v>Oth.A</c:v>
          </c:tx>
          <c:spPr>
            <a:ln w="25400">
              <a:noFill/>
            </a:ln>
          </c:spPr>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Sheet'!$B$65:$K$65</c:f>
              <c:numCache>
                <c:formatCode>General</c:formatCode>
                <c:ptCount val="10"/>
                <c:pt idx="0">
                  <c:v>7.09</c:v>
                </c:pt>
                <c:pt idx="1">
                  <c:v>6.54</c:v>
                </c:pt>
                <c:pt idx="2">
                  <c:v>16.690000000000001</c:v>
                </c:pt>
                <c:pt idx="3">
                  <c:v>22</c:v>
                </c:pt>
                <c:pt idx="4">
                  <c:v>26.55</c:v>
                </c:pt>
                <c:pt idx="5">
                  <c:v>27.73</c:v>
                </c:pt>
                <c:pt idx="6">
                  <c:v>52.83</c:v>
                </c:pt>
                <c:pt idx="7">
                  <c:v>149.61000000000001</c:v>
                </c:pt>
                <c:pt idx="8">
                  <c:v>303.39</c:v>
                </c:pt>
                <c:pt idx="9">
                  <c:v>434.82</c:v>
                </c:pt>
              </c:numCache>
            </c:numRef>
          </c:val>
        </c:ser>
        <c:ser>
          <c:idx val="4"/>
          <c:order val="4"/>
          <c:tx>
            <c:v>Total</c:v>
          </c:tx>
          <c:spPr>
            <a:solidFill>
              <a:srgbClr val="92D050"/>
            </a:solidFill>
            <a:ln w="25400">
              <a:noFill/>
            </a:ln>
          </c:spPr>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Sheet'!$B$66:$K$66</c:f>
              <c:numCache>
                <c:formatCode>General</c:formatCode>
                <c:ptCount val="10"/>
                <c:pt idx="0">
                  <c:v>7.91</c:v>
                </c:pt>
                <c:pt idx="1">
                  <c:v>6.63</c:v>
                </c:pt>
                <c:pt idx="2">
                  <c:v>35.33</c:v>
                </c:pt>
                <c:pt idx="3">
                  <c:v>44.41</c:v>
                </c:pt>
                <c:pt idx="4">
                  <c:v>44.76</c:v>
                </c:pt>
                <c:pt idx="5">
                  <c:v>99.56</c:v>
                </c:pt>
                <c:pt idx="6">
                  <c:v>151.85</c:v>
                </c:pt>
                <c:pt idx="7">
                  <c:v>314.11</c:v>
                </c:pt>
                <c:pt idx="8">
                  <c:v>511.51</c:v>
                </c:pt>
                <c:pt idx="9">
                  <c:v>821.22</c:v>
                </c:pt>
              </c:numCache>
            </c:numRef>
          </c:val>
        </c:ser>
        <c:dLbls>
          <c:showLegendKey val="0"/>
          <c:showVal val="0"/>
          <c:showCatName val="0"/>
          <c:showSerName val="0"/>
          <c:showPercent val="0"/>
          <c:showBubbleSize val="0"/>
        </c:dLbls>
        <c:axId val="231209216"/>
        <c:axId val="231415808"/>
      </c:areaChart>
      <c:catAx>
        <c:axId val="231209216"/>
        <c:scaling>
          <c:orientation val="minMax"/>
        </c:scaling>
        <c:delete val="0"/>
        <c:axPos val="b"/>
        <c:numFmt formatCode="yy;@" sourceLinked="0"/>
        <c:majorTickMark val="none"/>
        <c:minorTickMark val="none"/>
        <c:tickLblPos val="nextTo"/>
        <c:txPr>
          <a:bodyPr/>
          <a:lstStyle/>
          <a:p>
            <a:pPr>
              <a:defRPr sz="800"/>
            </a:pPr>
            <a:endParaRPr lang="en-US"/>
          </a:p>
        </c:txPr>
        <c:crossAx val="231415808"/>
        <c:crosses val="autoZero"/>
        <c:auto val="0"/>
        <c:lblAlgn val="ctr"/>
        <c:lblOffset val="100"/>
        <c:noMultiLvlLbl val="0"/>
      </c:catAx>
      <c:valAx>
        <c:axId val="231415808"/>
        <c:scaling>
          <c:orientation val="minMax"/>
        </c:scaling>
        <c:delete val="0"/>
        <c:axPos val="r"/>
        <c:majorGridlines>
          <c:spPr>
            <a:ln>
              <a:noFill/>
            </a:ln>
          </c:spPr>
        </c:majorGridlines>
        <c:numFmt formatCode="General" sourceLinked="1"/>
        <c:majorTickMark val="none"/>
        <c:minorTickMark val="none"/>
        <c:tickLblPos val="nextTo"/>
        <c:txPr>
          <a:bodyPr/>
          <a:lstStyle/>
          <a:p>
            <a:pPr>
              <a:defRPr sz="800"/>
            </a:pPr>
            <a:endParaRPr lang="en-US"/>
          </a:p>
        </c:txPr>
        <c:crossAx val="231209216"/>
        <c:crosses val="max"/>
        <c:crossBetween val="midCat"/>
      </c:valAx>
      <c:spPr>
        <a:noFill/>
        <a:ln w="25400">
          <a:noFill/>
        </a:ln>
      </c:spPr>
    </c:plotArea>
    <c:legend>
      <c:legendPos val="r"/>
      <c:layout>
        <c:manualLayout>
          <c:xMode val="edge"/>
          <c:yMode val="edge"/>
          <c:x val="1.8026383065753139E-2"/>
          <c:y val="5.9892707955380653E-2"/>
          <c:w val="0.35994641578893555"/>
          <c:h val="0.23783835487082158"/>
        </c:manualLayout>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Int. Cov. Rat</a:t>
            </a:r>
          </a:p>
        </c:rich>
      </c:tx>
      <c:layout>
        <c:manualLayout>
          <c:xMode val="edge"/>
          <c:yMode val="edge"/>
          <c:x val="1.7321606356532741E-2"/>
          <c:y val="4.1666666666666664E-2"/>
        </c:manualLayout>
      </c:layout>
      <c:overlay val="1"/>
    </c:title>
    <c:autoTitleDeleted val="0"/>
    <c:plotArea>
      <c:layout>
        <c:manualLayout>
          <c:layoutTarget val="inner"/>
          <c:xMode val="edge"/>
          <c:yMode val="edge"/>
          <c:x val="3.239493592712675E-2"/>
          <c:y val="5.5236392394182175E-2"/>
          <c:w val="0.9639871697662179"/>
          <c:h val="0.82110001175226233"/>
        </c:manualLayout>
      </c:layout>
      <c:barChart>
        <c:barDir val="col"/>
        <c:grouping val="clustered"/>
        <c:varyColors val="0"/>
        <c:ser>
          <c:idx val="0"/>
          <c:order val="0"/>
          <c:tx>
            <c:v>Int. Cov. Rat</c:v>
          </c:tx>
          <c:spPr>
            <a:solidFill>
              <a:srgbClr val="92D050"/>
            </a:solidFill>
          </c:spPr>
          <c:invertIfNegative val="0"/>
          <c:dLbls>
            <c:numFmt formatCode="#,##0_);[Red]\(#,##0\)" sourceLinked="0"/>
            <c:txPr>
              <a:bodyPr/>
              <a:lstStyle/>
              <a:p>
                <a:pPr>
                  <a:defRPr sz="800"/>
                </a:pPr>
                <a:endParaRPr lang="en-US"/>
              </a:p>
            </c:txPr>
            <c:showLegendKey val="0"/>
            <c:showVal val="1"/>
            <c:showCatName val="0"/>
            <c:showSerName val="0"/>
            <c:showPercent val="0"/>
            <c:showBubbleSize val="0"/>
            <c:showLeaderLines val="0"/>
          </c:dLbls>
          <c:cat>
            <c:numRef>
              <c:f>Trend!$B$1:$K$1</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Trend!$B$56:$K$56</c:f>
              <c:numCache>
                <c:formatCode>0.0</c:formatCode>
                <c:ptCount val="10"/>
                <c:pt idx="0">
                  <c:v>0</c:v>
                </c:pt>
                <c:pt idx="1">
                  <c:v>0</c:v>
                </c:pt>
                <c:pt idx="2">
                  <c:v>128</c:v>
                </c:pt>
                <c:pt idx="3">
                  <c:v>85.199999999999989</c:v>
                </c:pt>
                <c:pt idx="4">
                  <c:v>27.647058823529409</c:v>
                </c:pt>
                <c:pt idx="5">
                  <c:v>25.756756756756754</c:v>
                </c:pt>
                <c:pt idx="6">
                  <c:v>65.422222222222217</c:v>
                </c:pt>
                <c:pt idx="7">
                  <c:v>326.1904761904762</c:v>
                </c:pt>
                <c:pt idx="8">
                  <c:v>104.98780487804878</c:v>
                </c:pt>
                <c:pt idx="9">
                  <c:v>25.950281425891188</c:v>
                </c:pt>
              </c:numCache>
            </c:numRef>
          </c:val>
        </c:ser>
        <c:dLbls>
          <c:showLegendKey val="0"/>
          <c:showVal val="1"/>
          <c:showCatName val="0"/>
          <c:showSerName val="0"/>
          <c:showPercent val="0"/>
          <c:showBubbleSize val="0"/>
        </c:dLbls>
        <c:gapWidth val="25"/>
        <c:overlap val="1"/>
        <c:axId val="231423360"/>
        <c:axId val="231450880"/>
      </c:barChart>
      <c:catAx>
        <c:axId val="231423360"/>
        <c:scaling>
          <c:orientation val="minMax"/>
        </c:scaling>
        <c:delete val="0"/>
        <c:axPos val="b"/>
        <c:numFmt formatCode="yy;@" sourceLinked="0"/>
        <c:majorTickMark val="out"/>
        <c:minorTickMark val="none"/>
        <c:tickLblPos val="low"/>
        <c:txPr>
          <a:bodyPr/>
          <a:lstStyle/>
          <a:p>
            <a:pPr>
              <a:defRPr sz="800"/>
            </a:pPr>
            <a:endParaRPr lang="en-US"/>
          </a:p>
        </c:txPr>
        <c:crossAx val="231450880"/>
        <c:crosses val="autoZero"/>
        <c:auto val="0"/>
        <c:lblAlgn val="ctr"/>
        <c:lblOffset val="100"/>
        <c:noMultiLvlLbl val="0"/>
      </c:catAx>
      <c:valAx>
        <c:axId val="231450880"/>
        <c:scaling>
          <c:orientation val="minMax"/>
        </c:scaling>
        <c:delete val="1"/>
        <c:axPos val="l"/>
        <c:majorGridlines>
          <c:spPr>
            <a:ln>
              <a:noFill/>
            </a:ln>
          </c:spPr>
        </c:majorGridlines>
        <c:numFmt formatCode="0.0" sourceLinked="1"/>
        <c:majorTickMark val="none"/>
        <c:minorTickMark val="none"/>
        <c:tickLblPos val="none"/>
        <c:crossAx val="23142336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678513637484054"/>
          <c:h val="0.81682633420822393"/>
        </c:manualLayout>
      </c:layout>
      <c:barChart>
        <c:barDir val="col"/>
        <c:grouping val="clustered"/>
        <c:varyColors val="0"/>
        <c:dLbls>
          <c:showLegendKey val="0"/>
          <c:showVal val="1"/>
          <c:showCatName val="0"/>
          <c:showSerName val="0"/>
          <c:showPercent val="0"/>
          <c:showBubbleSize val="0"/>
        </c:dLbls>
        <c:gapWidth val="100"/>
        <c:overlap val="1"/>
        <c:axId val="230630528"/>
        <c:axId val="230637568"/>
      </c:barChart>
      <c:catAx>
        <c:axId val="230630528"/>
        <c:scaling>
          <c:orientation val="minMax"/>
        </c:scaling>
        <c:delete val="0"/>
        <c:axPos val="b"/>
        <c:numFmt formatCode="yy;@" sourceLinked="0"/>
        <c:majorTickMark val="out"/>
        <c:minorTickMark val="none"/>
        <c:tickLblPos val="low"/>
        <c:txPr>
          <a:bodyPr/>
          <a:lstStyle/>
          <a:p>
            <a:pPr>
              <a:defRPr sz="800"/>
            </a:pPr>
            <a:endParaRPr lang="en-US"/>
          </a:p>
        </c:txPr>
        <c:crossAx val="230637568"/>
        <c:crosses val="autoZero"/>
        <c:auto val="0"/>
        <c:lblAlgn val="ctr"/>
        <c:lblOffset val="100"/>
        <c:noMultiLvlLbl val="0"/>
      </c:catAx>
      <c:valAx>
        <c:axId val="230637568"/>
        <c:scaling>
          <c:orientation val="minMax"/>
        </c:scaling>
        <c:delete val="1"/>
        <c:axPos val="l"/>
        <c:majorGridlines>
          <c:spPr>
            <a:ln>
              <a:noFill/>
            </a:ln>
          </c:spPr>
        </c:majorGridlines>
        <c:numFmt formatCode="0%" sourceLinked="1"/>
        <c:majorTickMark val="none"/>
        <c:minorTickMark val="none"/>
        <c:tickLblPos val="none"/>
        <c:crossAx val="230630528"/>
        <c:crosses val="autoZero"/>
        <c:crossBetween val="between"/>
      </c:valAx>
      <c:spPr>
        <a:noFill/>
        <a:ln w="25400">
          <a:noFill/>
        </a:ln>
      </c:spPr>
    </c:plotArea>
    <c:legend>
      <c:legendPos val="r"/>
      <c:layout>
        <c:manualLayout>
          <c:xMode val="edge"/>
          <c:yMode val="edge"/>
          <c:x val="0"/>
          <c:y val="3.9101979003010767E-2"/>
          <c:w val="0.33981906321108141"/>
          <c:h val="0.2933940288713911"/>
        </c:manualLayout>
      </c:layout>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stacked"/>
        <c:varyColors val="0"/>
        <c:ser>
          <c:idx val="0"/>
          <c:order val="0"/>
          <c:tx>
            <c:v>PAT</c:v>
          </c:tx>
          <c:spPr>
            <a:solidFill>
              <a:srgbClr val="DEF5FA">
                <a:lumMod val="90000"/>
              </a:srgbClr>
            </a:solidFill>
          </c:spPr>
          <c:invertIfNegative val="0"/>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Others!$B$40:$K$40</c:f>
              <c:numCache>
                <c:formatCode>0</c:formatCode>
                <c:ptCount val="10"/>
                <c:pt idx="0">
                  <c:v>1.25</c:v>
                </c:pt>
                <c:pt idx="1">
                  <c:v>0.04</c:v>
                </c:pt>
                <c:pt idx="2">
                  <c:v>2.09</c:v>
                </c:pt>
                <c:pt idx="3">
                  <c:v>3.5</c:v>
                </c:pt>
                <c:pt idx="4">
                  <c:v>3.97</c:v>
                </c:pt>
                <c:pt idx="5">
                  <c:v>6.08</c:v>
                </c:pt>
                <c:pt idx="6">
                  <c:v>18.98</c:v>
                </c:pt>
                <c:pt idx="7">
                  <c:v>39.590000000000003</c:v>
                </c:pt>
                <c:pt idx="8">
                  <c:v>104.47</c:v>
                </c:pt>
                <c:pt idx="9">
                  <c:v>171.62</c:v>
                </c:pt>
              </c:numCache>
            </c:numRef>
          </c:val>
        </c:ser>
        <c:ser>
          <c:idx val="1"/>
          <c:order val="1"/>
          <c:tx>
            <c:v>PAT (Adj using OI)</c:v>
          </c:tx>
          <c:spPr>
            <a:solidFill>
              <a:srgbClr val="EB641B">
                <a:lumMod val="40000"/>
                <a:lumOff val="60000"/>
              </a:srgbClr>
            </a:solidFill>
          </c:spPr>
          <c:invertIfNegative val="0"/>
          <c:dLbls>
            <c:numFmt formatCode="[Blue]#,##0;[Blue]\(#,##0\)" sourceLinked="0"/>
            <c:spPr>
              <a:ln w="3175"/>
            </c:spPr>
            <c:txPr>
              <a:bodyPr/>
              <a:lstStyle/>
              <a:p>
                <a:pPr>
                  <a:defRPr sz="800"/>
                </a:pPr>
                <a:endParaRPr lang="en-US"/>
              </a:p>
            </c:txPr>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Others!$B$45:$K$45</c:f>
              <c:numCache>
                <c:formatCode>0</c:formatCode>
                <c:ptCount val="10"/>
                <c:pt idx="0">
                  <c:v>-0.10000000000000009</c:v>
                </c:pt>
                <c:pt idx="1">
                  <c:v>-4.9999999999999996E-2</c:v>
                </c:pt>
                <c:pt idx="2">
                  <c:v>2.0735433070866138</c:v>
                </c:pt>
                <c:pt idx="3">
                  <c:v>3.4499762470308788</c:v>
                </c:pt>
                <c:pt idx="4">
                  <c:v>3.9084988962472407</c:v>
                </c:pt>
                <c:pt idx="5">
                  <c:v>6.039443231441048</c:v>
                </c:pt>
                <c:pt idx="6">
                  <c:v>18.749020351845463</c:v>
                </c:pt>
                <c:pt idx="7">
                  <c:v>39.426280568165183</c:v>
                </c:pt>
                <c:pt idx="8">
                  <c:v>103.78827137328486</c:v>
                </c:pt>
                <c:pt idx="9">
                  <c:v>165.0937038011806</c:v>
                </c:pt>
              </c:numCache>
            </c:numRef>
          </c:val>
        </c:ser>
        <c:dLbls>
          <c:showLegendKey val="0"/>
          <c:showVal val="1"/>
          <c:showCatName val="0"/>
          <c:showSerName val="0"/>
          <c:showPercent val="0"/>
          <c:showBubbleSize val="0"/>
        </c:dLbls>
        <c:gapWidth val="25"/>
        <c:overlap val="100"/>
        <c:axId val="230679680"/>
        <c:axId val="230681216"/>
      </c:barChart>
      <c:catAx>
        <c:axId val="230679680"/>
        <c:scaling>
          <c:orientation val="minMax"/>
        </c:scaling>
        <c:delete val="0"/>
        <c:axPos val="b"/>
        <c:numFmt formatCode="yy;@" sourceLinked="0"/>
        <c:majorTickMark val="out"/>
        <c:minorTickMark val="none"/>
        <c:tickLblPos val="low"/>
        <c:crossAx val="230681216"/>
        <c:crosses val="autoZero"/>
        <c:auto val="0"/>
        <c:lblAlgn val="ctr"/>
        <c:lblOffset val="100"/>
        <c:noMultiLvlLbl val="0"/>
      </c:catAx>
      <c:valAx>
        <c:axId val="230681216"/>
        <c:scaling>
          <c:orientation val="minMax"/>
        </c:scaling>
        <c:delete val="1"/>
        <c:axPos val="l"/>
        <c:majorGridlines>
          <c:spPr>
            <a:ln>
              <a:noFill/>
            </a:ln>
          </c:spPr>
        </c:majorGridlines>
        <c:numFmt formatCode="0" sourceLinked="1"/>
        <c:majorTickMark val="none"/>
        <c:minorTickMark val="none"/>
        <c:tickLblPos val="none"/>
        <c:crossAx val="230679680"/>
        <c:crosses val="autoZero"/>
        <c:crossBetween val="between"/>
      </c:valAx>
      <c:spPr>
        <a:noFill/>
        <a:ln w="25400">
          <a:noFill/>
        </a:ln>
      </c:spPr>
    </c:plotArea>
    <c:legend>
      <c:legendPos val="r"/>
      <c:layout>
        <c:manualLayout>
          <c:xMode val="edge"/>
          <c:yMode val="edge"/>
          <c:x val="7.398170094821771E-2"/>
          <c:y val="3.9101979003010767E-2"/>
          <c:w val="0.50271363026186611"/>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b="0"/>
              <a:t>Margin %</a:t>
            </a:r>
          </a:p>
        </c:rich>
      </c:tx>
      <c:layout>
        <c:manualLayout>
          <c:xMode val="edge"/>
          <c:yMode val="edge"/>
          <c:x val="8.8634375248548333E-3"/>
          <c:y val="0"/>
        </c:manualLayout>
      </c:layout>
      <c:overlay val="0"/>
    </c:title>
    <c:autoTitleDeleted val="0"/>
    <c:plotArea>
      <c:layout>
        <c:manualLayout>
          <c:layoutTarget val="inner"/>
          <c:xMode val="edge"/>
          <c:yMode val="edge"/>
          <c:x val="1.2787245656366472E-2"/>
          <c:y val="5.523641634347945E-2"/>
          <c:w val="0.9639871697662179"/>
          <c:h val="0.94476377952755908"/>
        </c:manualLayout>
      </c:layout>
      <c:barChart>
        <c:barDir val="col"/>
        <c:grouping val="clustered"/>
        <c:varyColors val="0"/>
        <c:ser>
          <c:idx val="0"/>
          <c:order val="0"/>
          <c:tx>
            <c:v>PAT</c:v>
          </c:tx>
          <c:spPr>
            <a:solidFill>
              <a:srgbClr val="DEF5FA">
                <a:lumMod val="90000"/>
              </a:srgbClr>
            </a:solidFill>
          </c:spPr>
          <c:invertIfNegative val="0"/>
          <c:dLbls>
            <c:numFmt formatCode="#,##0.0_);\(#,##0.0\)" sourceLinked="0"/>
            <c:txPr>
              <a:bodyPr rot="5400000" vert="horz"/>
              <a:lstStyle/>
              <a:p>
                <a:pPr>
                  <a:defRPr/>
                </a:pPr>
                <a:endParaRPr lang="en-US"/>
              </a:p>
            </c:txPr>
            <c:dLblPos val="inBase"/>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Others!$B$44:$K$44</c:f>
              <c:numCache>
                <c:formatCode>0.0</c:formatCode>
                <c:ptCount val="10"/>
                <c:pt idx="0">
                  <c:v>0</c:v>
                </c:pt>
                <c:pt idx="1">
                  <c:v>0</c:v>
                </c:pt>
                <c:pt idx="2">
                  <c:v>12.806372549019606</c:v>
                </c:pt>
                <c:pt idx="3">
                  <c:v>16.619183285849953</c:v>
                </c:pt>
                <c:pt idx="4">
                  <c:v>15.146890499809233</c:v>
                </c:pt>
                <c:pt idx="5">
                  <c:v>13.799364502950521</c:v>
                </c:pt>
                <c:pt idx="6">
                  <c:v>15.202242691229477</c:v>
                </c:pt>
                <c:pt idx="7">
                  <c:v>14.558893832971721</c:v>
                </c:pt>
                <c:pt idx="8">
                  <c:v>19.773252072529051</c:v>
                </c:pt>
                <c:pt idx="9">
                  <c:v>20.208657152277333</c:v>
                </c:pt>
              </c:numCache>
            </c:numRef>
          </c:val>
        </c:ser>
        <c:ser>
          <c:idx val="1"/>
          <c:order val="1"/>
          <c:tx>
            <c:v>PAT (Adj)</c:v>
          </c:tx>
          <c:spPr>
            <a:solidFill>
              <a:srgbClr val="EB641B">
                <a:lumMod val="40000"/>
                <a:lumOff val="60000"/>
              </a:srgbClr>
            </a:solidFill>
          </c:spPr>
          <c:invertIfNegative val="0"/>
          <c:dLbls>
            <c:numFmt formatCode="#,##0.0_);\(#,##0.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Others!$B$46:$K$46</c:f>
              <c:numCache>
                <c:formatCode>0.0</c:formatCode>
                <c:ptCount val="10"/>
                <c:pt idx="0">
                  <c:v>0</c:v>
                </c:pt>
                <c:pt idx="1">
                  <c:v>0</c:v>
                </c:pt>
                <c:pt idx="2">
                  <c:v>12.705534969893467</c:v>
                </c:pt>
                <c:pt idx="3">
                  <c:v>16.381653594638554</c:v>
                </c:pt>
                <c:pt idx="4">
                  <c:v>14.912243022690731</c:v>
                </c:pt>
                <c:pt idx="5">
                  <c:v>13.707315550252037</c:v>
                </c:pt>
                <c:pt idx="6">
                  <c:v>15.017236965835373</c:v>
                </c:pt>
                <c:pt idx="7">
                  <c:v>14.498687371075343</c:v>
                </c:pt>
                <c:pt idx="8">
                  <c:v>19.64421989122248</c:v>
                </c:pt>
                <c:pt idx="9">
                  <c:v>19.440170481981607</c:v>
                </c:pt>
              </c:numCache>
            </c:numRef>
          </c:val>
        </c:ser>
        <c:dLbls>
          <c:showLegendKey val="0"/>
          <c:showVal val="1"/>
          <c:showCatName val="0"/>
          <c:showSerName val="0"/>
          <c:showPercent val="0"/>
          <c:showBubbleSize val="0"/>
        </c:dLbls>
        <c:gapWidth val="25"/>
        <c:overlap val="1"/>
        <c:axId val="230600704"/>
        <c:axId val="230602240"/>
      </c:barChart>
      <c:catAx>
        <c:axId val="230600704"/>
        <c:scaling>
          <c:orientation val="minMax"/>
        </c:scaling>
        <c:delete val="0"/>
        <c:axPos val="b"/>
        <c:numFmt formatCode="yy;@" sourceLinked="0"/>
        <c:majorTickMark val="out"/>
        <c:minorTickMark val="none"/>
        <c:tickLblPos val="low"/>
        <c:crossAx val="230602240"/>
        <c:crosses val="autoZero"/>
        <c:auto val="0"/>
        <c:lblAlgn val="ctr"/>
        <c:lblOffset val="100"/>
        <c:noMultiLvlLbl val="0"/>
      </c:catAx>
      <c:valAx>
        <c:axId val="230602240"/>
        <c:scaling>
          <c:orientation val="minMax"/>
        </c:scaling>
        <c:delete val="1"/>
        <c:axPos val="l"/>
        <c:majorGridlines>
          <c:spPr>
            <a:ln>
              <a:noFill/>
            </a:ln>
          </c:spPr>
        </c:majorGridlines>
        <c:numFmt formatCode="0.0" sourceLinked="1"/>
        <c:majorTickMark val="none"/>
        <c:minorTickMark val="none"/>
        <c:tickLblPos val="none"/>
        <c:crossAx val="230600704"/>
        <c:crosses val="autoZero"/>
        <c:crossBetween val="between"/>
      </c:valAx>
      <c:spPr>
        <a:noFill/>
        <a:ln w="25400">
          <a:noFill/>
        </a:ln>
      </c:spPr>
    </c:plotArea>
    <c:legend>
      <c:legendPos val="r"/>
      <c:layout>
        <c:manualLayout>
          <c:xMode val="edge"/>
          <c:yMode val="edge"/>
          <c:x val="0.23559770937723692"/>
          <c:y val="1.6485298888200698E-3"/>
          <c:w val="0.45736687565312173"/>
          <c:h val="0.14378864951794301"/>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Q - Adj PAT</c:v>
          </c:tx>
          <c:spPr>
            <a:solidFill>
              <a:srgbClr val="DEF5FA">
                <a:lumMod val="90000"/>
              </a:srgbClr>
            </a:solidFill>
          </c:spPr>
          <c:invertIfNegative val="0"/>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Others!$B$68:$K$68</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Others!$B$72:$K$72</c:f>
              <c:numCache>
                <c:formatCode>0</c:formatCode>
                <c:ptCount val="10"/>
                <c:pt idx="0">
                  <c:v>16.257700817700819</c:v>
                </c:pt>
                <c:pt idx="1">
                  <c:v>24.126709511568123</c:v>
                </c:pt>
                <c:pt idx="2">
                  <c:v>28.639661375661376</c:v>
                </c:pt>
                <c:pt idx="3">
                  <c:v>32.570029878188926</c:v>
                </c:pt>
                <c:pt idx="4">
                  <c:v>40.141581866870695</c:v>
                </c:pt>
                <c:pt idx="5">
                  <c:v>43.871255699754471</c:v>
                </c:pt>
                <c:pt idx="6">
                  <c:v>47.323433803273375</c:v>
                </c:pt>
                <c:pt idx="7">
                  <c:v>51.04404261704682</c:v>
                </c:pt>
                <c:pt idx="8">
                  <c:v>54.646955280685056</c:v>
                </c:pt>
                <c:pt idx="9">
                  <c:v>54.694994646680939</c:v>
                </c:pt>
              </c:numCache>
            </c:numRef>
          </c:val>
        </c:ser>
        <c:dLbls>
          <c:showLegendKey val="0"/>
          <c:showVal val="1"/>
          <c:showCatName val="0"/>
          <c:showSerName val="0"/>
          <c:showPercent val="0"/>
          <c:showBubbleSize val="0"/>
        </c:dLbls>
        <c:gapWidth val="25"/>
        <c:overlap val="1"/>
        <c:axId val="231486208"/>
        <c:axId val="231488896"/>
      </c:barChart>
      <c:catAx>
        <c:axId val="231486208"/>
        <c:scaling>
          <c:orientation val="minMax"/>
        </c:scaling>
        <c:delete val="0"/>
        <c:axPos val="b"/>
        <c:numFmt formatCode="[$-409]mmmmm-yy;@" sourceLinked="0"/>
        <c:majorTickMark val="out"/>
        <c:minorTickMark val="none"/>
        <c:tickLblPos val="low"/>
        <c:crossAx val="231488896"/>
        <c:crosses val="autoZero"/>
        <c:auto val="0"/>
        <c:lblAlgn val="ctr"/>
        <c:lblOffset val="100"/>
        <c:noMultiLvlLbl val="0"/>
      </c:catAx>
      <c:valAx>
        <c:axId val="231488896"/>
        <c:scaling>
          <c:orientation val="minMax"/>
        </c:scaling>
        <c:delete val="1"/>
        <c:axPos val="l"/>
        <c:majorGridlines>
          <c:spPr>
            <a:ln>
              <a:noFill/>
            </a:ln>
          </c:spPr>
        </c:majorGridlines>
        <c:numFmt formatCode="0" sourceLinked="1"/>
        <c:majorTickMark val="none"/>
        <c:minorTickMark val="none"/>
        <c:tickLblPos val="none"/>
        <c:crossAx val="231486208"/>
        <c:crosses val="autoZero"/>
        <c:crossBetween val="between"/>
      </c:valAx>
      <c:spPr>
        <a:noFill/>
        <a:ln w="25400">
          <a:noFill/>
        </a:ln>
      </c:spPr>
    </c:plotArea>
    <c:legend>
      <c:legendPos val="r"/>
      <c:layout>
        <c:manualLayout>
          <c:xMode val="edge"/>
          <c:yMode val="edge"/>
          <c:x val="4.5088203798681181E-3"/>
          <c:y val="3.9102143482064741E-2"/>
          <c:w val="0.40941535757422032"/>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Q - EPS (manual - VERIFY)</c:v>
          </c:tx>
          <c:invertIfNegative val="0"/>
          <c:dLbls>
            <c:numFmt formatCode="#,##0_);[Red]\(#,##0\)" sourceLinked="0"/>
            <c:showLegendKey val="0"/>
            <c:showVal val="1"/>
            <c:showCatName val="0"/>
            <c:showSerName val="0"/>
            <c:showPercent val="0"/>
            <c:showBubbleSize val="0"/>
            <c:showLeaderLines val="0"/>
          </c:dLbls>
          <c:cat>
            <c:numRef>
              <c:f>Others!$B$68:$K$68</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Others!$B$73:$K$73</c:f>
              <c:numCache>
                <c:formatCode>General</c:formatCode>
                <c:ptCount val="10"/>
              </c:numCache>
            </c:numRef>
          </c:val>
        </c:ser>
        <c:dLbls>
          <c:showLegendKey val="0"/>
          <c:showVal val="1"/>
          <c:showCatName val="0"/>
          <c:showSerName val="0"/>
          <c:showPercent val="0"/>
          <c:showBubbleSize val="0"/>
        </c:dLbls>
        <c:gapWidth val="25"/>
        <c:overlap val="1"/>
        <c:axId val="231520896"/>
        <c:axId val="231527936"/>
      </c:barChart>
      <c:catAx>
        <c:axId val="231520896"/>
        <c:scaling>
          <c:orientation val="minMax"/>
        </c:scaling>
        <c:delete val="0"/>
        <c:axPos val="b"/>
        <c:numFmt formatCode="[$-409]mmmmm-yy;@" sourceLinked="0"/>
        <c:majorTickMark val="out"/>
        <c:minorTickMark val="none"/>
        <c:tickLblPos val="nextTo"/>
        <c:txPr>
          <a:bodyPr/>
          <a:lstStyle/>
          <a:p>
            <a:pPr>
              <a:defRPr sz="800"/>
            </a:pPr>
            <a:endParaRPr lang="en-US"/>
          </a:p>
        </c:txPr>
        <c:crossAx val="231527936"/>
        <c:crosses val="autoZero"/>
        <c:auto val="0"/>
        <c:lblAlgn val="ctr"/>
        <c:lblOffset val="100"/>
        <c:noMultiLvlLbl val="0"/>
      </c:catAx>
      <c:valAx>
        <c:axId val="231527936"/>
        <c:scaling>
          <c:orientation val="minMax"/>
        </c:scaling>
        <c:delete val="1"/>
        <c:axPos val="l"/>
        <c:majorGridlines>
          <c:spPr>
            <a:ln>
              <a:noFill/>
            </a:ln>
          </c:spPr>
        </c:majorGridlines>
        <c:numFmt formatCode="General" sourceLinked="1"/>
        <c:majorTickMark val="none"/>
        <c:minorTickMark val="none"/>
        <c:tickLblPos val="none"/>
        <c:crossAx val="231520896"/>
        <c:crosses val="autoZero"/>
        <c:crossBetween val="between"/>
      </c:valAx>
      <c:spPr>
        <a:noFill/>
        <a:ln w="25400">
          <a:noFill/>
        </a:ln>
      </c:spPr>
    </c:plotArea>
    <c:legend>
      <c:legendPos val="r"/>
      <c:layout>
        <c:manualLayout>
          <c:xMode val="edge"/>
          <c:yMode val="edge"/>
          <c:x val="0"/>
          <c:y val="6.6945538057742796E-3"/>
          <c:w val="0.5041770351225181"/>
          <c:h val="9.3088910761154858E-2"/>
        </c:manualLayout>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91137795275590561"/>
        </c:manualLayout>
      </c:layout>
      <c:barChart>
        <c:barDir val="col"/>
        <c:grouping val="clustered"/>
        <c:varyColors val="0"/>
        <c:ser>
          <c:idx val="0"/>
          <c:order val="0"/>
          <c:tx>
            <c:v>Q-GrossProfit</c:v>
          </c:tx>
          <c:spPr>
            <a:solidFill>
              <a:srgbClr val="C2E8C7"/>
            </a:solidFill>
          </c:spPr>
          <c:invertIfNegative val="1"/>
          <c:dLbls>
            <c:numFmt formatCode="#,##0_);\(#,##0\)" sourceLinked="0"/>
            <c:txPr>
              <a:bodyPr/>
              <a:lstStyle/>
              <a:p>
                <a:pPr>
                  <a:defRPr sz="800">
                    <a:solidFill>
                      <a:schemeClr val="tx1"/>
                    </a:solidFill>
                  </a:defRPr>
                </a:pPr>
                <a:endParaRPr lang="en-US"/>
              </a:p>
            </c:txPr>
            <c:dLblPos val="inEnd"/>
            <c:showLegendKey val="0"/>
            <c:showVal val="1"/>
            <c:showCatName val="0"/>
            <c:showSerName val="0"/>
            <c:showPercent val="0"/>
            <c:showBubbleSize val="0"/>
            <c:showLeaderLines val="0"/>
          </c:dLbls>
          <c:cat>
            <c:numRef>
              <c:f>Others!$B$68:$K$68</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Others!$B$75:$K$75</c:f>
              <c:numCache>
                <c:formatCode>0</c:formatCode>
                <c:ptCount val="10"/>
                <c:pt idx="0">
                  <c:v>26.34</c:v>
                </c:pt>
                <c:pt idx="1">
                  <c:v>36.78</c:v>
                </c:pt>
                <c:pt idx="2">
                  <c:v>42.43</c:v>
                </c:pt>
                <c:pt idx="3">
                  <c:v>48.79999999999999</c:v>
                </c:pt>
                <c:pt idx="4">
                  <c:v>58.339999999999989</c:v>
                </c:pt>
                <c:pt idx="5">
                  <c:v>63.979999999999976</c:v>
                </c:pt>
                <c:pt idx="6">
                  <c:v>70.550000000000011</c:v>
                </c:pt>
                <c:pt idx="7">
                  <c:v>77.34</c:v>
                </c:pt>
                <c:pt idx="8">
                  <c:v>82.580000000000013</c:v>
                </c:pt>
                <c:pt idx="9">
                  <c:v>88.559999999999988</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236876160"/>
        <c:axId val="236878848"/>
      </c:barChart>
      <c:catAx>
        <c:axId val="236876160"/>
        <c:scaling>
          <c:orientation val="minMax"/>
        </c:scaling>
        <c:delete val="0"/>
        <c:axPos val="b"/>
        <c:numFmt formatCode="[$-409]mmmmm-yy;@" sourceLinked="0"/>
        <c:majorTickMark val="out"/>
        <c:minorTickMark val="none"/>
        <c:tickLblPos val="low"/>
        <c:crossAx val="236878848"/>
        <c:crosses val="autoZero"/>
        <c:auto val="0"/>
        <c:lblAlgn val="ctr"/>
        <c:lblOffset val="100"/>
        <c:noMultiLvlLbl val="0"/>
      </c:catAx>
      <c:valAx>
        <c:axId val="236878848"/>
        <c:scaling>
          <c:orientation val="minMax"/>
        </c:scaling>
        <c:delete val="1"/>
        <c:axPos val="l"/>
        <c:majorGridlines>
          <c:spPr>
            <a:ln>
              <a:noFill/>
            </a:ln>
          </c:spPr>
        </c:majorGridlines>
        <c:numFmt formatCode="0" sourceLinked="1"/>
        <c:majorTickMark val="none"/>
        <c:minorTickMark val="none"/>
        <c:tickLblPos val="none"/>
        <c:crossAx val="236876160"/>
        <c:crosses val="autoZero"/>
        <c:crossBetween val="between"/>
      </c:valAx>
      <c:spPr>
        <a:noFill/>
        <a:ln w="25400">
          <a:noFill/>
        </a:ln>
      </c:spPr>
    </c:plotArea>
    <c:legend>
      <c:legendPos val="r"/>
      <c:layout>
        <c:manualLayout>
          <c:xMode val="edge"/>
          <c:yMode val="edge"/>
          <c:x val="0.20500881768709728"/>
          <c:y val="5.2991032370953629E-2"/>
          <c:w val="0.40096023672341208"/>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Leverage</c:v>
          </c:tx>
          <c:spPr>
            <a:solidFill>
              <a:srgbClr val="FFC000"/>
            </a:solidFill>
          </c:spPr>
          <c:invertIfNegative val="0"/>
          <c:dLbls>
            <c:numFmt formatCode="#,##0.0" sourceLinked="0"/>
            <c:txPr>
              <a:bodyPr rot="5400000" vert="horz"/>
              <a:lstStyle/>
              <a:p>
                <a:pPr>
                  <a:defRPr sz="800"/>
                </a:pPr>
                <a:endParaRPr lang="en-US"/>
              </a:p>
            </c:txPr>
            <c:dLblPos val="inBase"/>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Others!$B$53:$K$53</c:f>
              <c:numCache>
                <c:formatCode>0.0</c:formatCode>
                <c:ptCount val="10"/>
                <c:pt idx="0">
                  <c:v>0.22826086956521741</c:v>
                </c:pt>
                <c:pt idx="1">
                  <c:v>2.3148148148148147E-2</c:v>
                </c:pt>
                <c:pt idx="2">
                  <c:v>0.70758820686321888</c:v>
                </c:pt>
                <c:pt idx="3">
                  <c:v>0.74088592708741674</c:v>
                </c:pt>
                <c:pt idx="4">
                  <c:v>0.62232693004711859</c:v>
                </c:pt>
                <c:pt idx="5">
                  <c:v>0.60580645161290325</c:v>
                </c:pt>
                <c:pt idx="6">
                  <c:v>0.52184806574463816</c:v>
                </c:pt>
                <c:pt idx="7">
                  <c:v>0.53636585962337979</c:v>
                </c:pt>
                <c:pt idx="8">
                  <c:v>0.59871854977340211</c:v>
                </c:pt>
                <c:pt idx="9">
                  <c:v>0.67220525351252292</c:v>
                </c:pt>
              </c:numCache>
            </c:numRef>
          </c:val>
        </c:ser>
        <c:ser>
          <c:idx val="1"/>
          <c:order val="1"/>
          <c:tx>
            <c:v>Extreme.L</c:v>
          </c:tx>
          <c:spPr>
            <a:solidFill>
              <a:srgbClr val="DA1F28">
                <a:lumMod val="40000"/>
                <a:lumOff val="60000"/>
              </a:srgbClr>
            </a:solidFill>
          </c:spPr>
          <c:invertIfNegative val="0"/>
          <c:dLbls>
            <c:txPr>
              <a:bodyPr rot="5400000" vert="horz"/>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Others!$B$54:$K$54</c:f>
              <c:numCache>
                <c:formatCode>0.0</c:formatCode>
                <c:ptCount val="10"/>
                <c:pt idx="0">
                  <c:v>0.6568322981366459</c:v>
                </c:pt>
                <c:pt idx="1">
                  <c:v>0.44907407407407401</c:v>
                </c:pt>
                <c:pt idx="2">
                  <c:v>1.237312711454809</c:v>
                </c:pt>
                <c:pt idx="3">
                  <c:v>1.2485299882399059</c:v>
                </c:pt>
                <c:pt idx="4">
                  <c:v>1.1235955056179776</c:v>
                </c:pt>
                <c:pt idx="5">
                  <c:v>0.82225806451612915</c:v>
                </c:pt>
                <c:pt idx="6">
                  <c:v>0.803868510723592</c:v>
                </c:pt>
                <c:pt idx="7">
                  <c:v>0.92868672046955258</c:v>
                </c:pt>
                <c:pt idx="8">
                  <c:v>1.0034067823097359</c:v>
                </c:pt>
                <c:pt idx="9">
                  <c:v>1.1863978823050296</c:v>
                </c:pt>
              </c:numCache>
            </c:numRef>
          </c:val>
        </c:ser>
        <c:dLbls>
          <c:showLegendKey val="0"/>
          <c:showVal val="1"/>
          <c:showCatName val="0"/>
          <c:showSerName val="0"/>
          <c:showPercent val="0"/>
          <c:showBubbleSize val="0"/>
        </c:dLbls>
        <c:gapWidth val="25"/>
        <c:overlap val="1"/>
        <c:axId val="236663168"/>
        <c:axId val="236664704"/>
      </c:barChart>
      <c:catAx>
        <c:axId val="236663168"/>
        <c:scaling>
          <c:orientation val="minMax"/>
        </c:scaling>
        <c:delete val="0"/>
        <c:axPos val="b"/>
        <c:numFmt formatCode="yy;@" sourceLinked="0"/>
        <c:majorTickMark val="out"/>
        <c:minorTickMark val="none"/>
        <c:tickLblPos val="nextTo"/>
        <c:txPr>
          <a:bodyPr/>
          <a:lstStyle/>
          <a:p>
            <a:pPr>
              <a:defRPr sz="800"/>
            </a:pPr>
            <a:endParaRPr lang="en-US"/>
          </a:p>
        </c:txPr>
        <c:crossAx val="236664704"/>
        <c:crosses val="autoZero"/>
        <c:auto val="0"/>
        <c:lblAlgn val="ctr"/>
        <c:lblOffset val="100"/>
        <c:noMultiLvlLbl val="0"/>
      </c:catAx>
      <c:valAx>
        <c:axId val="236664704"/>
        <c:scaling>
          <c:orientation val="minMax"/>
        </c:scaling>
        <c:delete val="1"/>
        <c:axPos val="l"/>
        <c:majorGridlines>
          <c:spPr>
            <a:ln>
              <a:noFill/>
            </a:ln>
          </c:spPr>
        </c:majorGridlines>
        <c:numFmt formatCode="0.0" sourceLinked="1"/>
        <c:majorTickMark val="none"/>
        <c:minorTickMark val="none"/>
        <c:tickLblPos val="none"/>
        <c:crossAx val="236663168"/>
        <c:crosses val="autoZero"/>
        <c:crossBetween val="between"/>
      </c:valAx>
      <c:spPr>
        <a:noFill/>
        <a:ln w="25400">
          <a:noFill/>
        </a:ln>
      </c:spPr>
    </c:plotArea>
    <c:legend>
      <c:legendPos val="r"/>
      <c:layout>
        <c:manualLayout>
          <c:xMode val="edge"/>
          <c:yMode val="edge"/>
          <c:x val="7.3149606299212615E-3"/>
          <c:y val="1.5953995333916594E-2"/>
          <c:w val="0.94838905388370587"/>
          <c:h val="0.1294608441951208"/>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Shareholders Funds</a:t>
            </a:r>
          </a:p>
        </c:rich>
      </c:tx>
      <c:layout>
        <c:manualLayout>
          <c:xMode val="edge"/>
          <c:yMode val="edge"/>
          <c:x val="2.3613858649851084E-3"/>
          <c:y val="6.9444444444444441E-3"/>
        </c:manualLayout>
      </c:layout>
      <c:overlay val="1"/>
    </c:title>
    <c:autoTitleDeleted val="0"/>
    <c:plotArea>
      <c:layout>
        <c:manualLayout>
          <c:layoutTarget val="inner"/>
          <c:xMode val="edge"/>
          <c:yMode val="edge"/>
          <c:x val="9.111634982603093E-3"/>
          <c:y val="2.2422398927302207E-2"/>
          <c:w val="0.98177673003479382"/>
          <c:h val="0.85380796150481186"/>
        </c:manualLayout>
      </c:layout>
      <c:barChart>
        <c:barDir val="col"/>
        <c:grouping val="clustered"/>
        <c:varyColors val="0"/>
        <c:ser>
          <c:idx val="0"/>
          <c:order val="0"/>
          <c:tx>
            <c:v>Shareholders Funds</c:v>
          </c:tx>
          <c:spPr>
            <a:solidFill>
              <a:srgbClr val="00B0F0"/>
            </a:solidFill>
          </c:spPr>
          <c:invertIfNegative val="0"/>
          <c:dLbls>
            <c:numFmt formatCode="0" sourceLinked="0"/>
            <c:txPr>
              <a:bodyPr/>
              <a:lstStyle/>
              <a:p>
                <a:pPr>
                  <a:defRPr sz="800"/>
                </a:pPr>
                <a:endParaRPr lang="en-US"/>
              </a:p>
            </c:txPr>
            <c:dLblPos val="out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Others!$B$3:$K$3</c:f>
              <c:numCache>
                <c:formatCode>General</c:formatCode>
                <c:ptCount val="10"/>
                <c:pt idx="0">
                  <c:v>6.4399999999999995</c:v>
                </c:pt>
                <c:pt idx="1">
                  <c:v>6.48</c:v>
                </c:pt>
                <c:pt idx="2">
                  <c:v>20.69</c:v>
                </c:pt>
                <c:pt idx="3">
                  <c:v>25.51</c:v>
                </c:pt>
                <c:pt idx="4">
                  <c:v>27.59</c:v>
                </c:pt>
                <c:pt idx="5">
                  <c:v>62</c:v>
                </c:pt>
                <c:pt idx="6">
                  <c:v>99.78</c:v>
                </c:pt>
                <c:pt idx="7">
                  <c:v>204.45</c:v>
                </c:pt>
                <c:pt idx="8">
                  <c:v>319.95</c:v>
                </c:pt>
                <c:pt idx="9">
                  <c:v>491.09999999999997</c:v>
                </c:pt>
              </c:numCache>
            </c:numRef>
          </c:val>
        </c:ser>
        <c:dLbls>
          <c:showLegendKey val="0"/>
          <c:showVal val="0"/>
          <c:showCatName val="0"/>
          <c:showSerName val="0"/>
          <c:showPercent val="0"/>
          <c:showBubbleSize val="0"/>
        </c:dLbls>
        <c:gapWidth val="25"/>
        <c:axId val="198918144"/>
        <c:axId val="198919680"/>
      </c:barChart>
      <c:catAx>
        <c:axId val="198918144"/>
        <c:scaling>
          <c:orientation val="minMax"/>
        </c:scaling>
        <c:delete val="0"/>
        <c:axPos val="b"/>
        <c:numFmt formatCode="yy;@" sourceLinked="0"/>
        <c:majorTickMark val="out"/>
        <c:minorTickMark val="none"/>
        <c:tickLblPos val="nextTo"/>
        <c:txPr>
          <a:bodyPr/>
          <a:lstStyle/>
          <a:p>
            <a:pPr>
              <a:defRPr sz="800"/>
            </a:pPr>
            <a:endParaRPr lang="en-US"/>
          </a:p>
        </c:txPr>
        <c:crossAx val="198919680"/>
        <c:crosses val="autoZero"/>
        <c:auto val="0"/>
        <c:lblAlgn val="ctr"/>
        <c:lblOffset val="100"/>
        <c:noMultiLvlLbl val="0"/>
      </c:catAx>
      <c:valAx>
        <c:axId val="198919680"/>
        <c:scaling>
          <c:orientation val="minMax"/>
        </c:scaling>
        <c:delete val="1"/>
        <c:axPos val="l"/>
        <c:majorGridlines>
          <c:spPr>
            <a:ln>
              <a:noFill/>
            </a:ln>
          </c:spPr>
        </c:majorGridlines>
        <c:numFmt formatCode="General" sourceLinked="1"/>
        <c:majorTickMark val="out"/>
        <c:minorTickMark val="none"/>
        <c:tickLblPos val="nextTo"/>
        <c:crossAx val="19891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Manual: MCap</a:t>
            </a:r>
          </a:p>
        </c:rich>
      </c:tx>
      <c:layout>
        <c:manualLayout>
          <c:xMode val="edge"/>
          <c:yMode val="edge"/>
          <c:x val="7.8644623880806796E-3"/>
          <c:y val="2.7777777777777776E-2"/>
        </c:manualLayout>
      </c:layout>
      <c:overlay val="1"/>
    </c:title>
    <c:autoTitleDeleted val="0"/>
    <c:plotArea>
      <c:layout>
        <c:manualLayout>
          <c:layoutTarget val="inner"/>
          <c:xMode val="edge"/>
          <c:yMode val="edge"/>
          <c:x val="3.296434010563494E-2"/>
          <c:y val="7.5573053368328966E-2"/>
          <c:w val="0.85926378222783883"/>
          <c:h val="0.81094269466316715"/>
        </c:manualLayout>
      </c:layout>
      <c:lineChart>
        <c:grouping val="standard"/>
        <c:varyColors val="0"/>
        <c:ser>
          <c:idx val="0"/>
          <c:order val="0"/>
          <c:tx>
            <c:v>MCap</c:v>
          </c:tx>
          <c:spPr>
            <a:ln w="25400">
              <a:solidFill>
                <a:srgbClr val="FF0000"/>
              </a:solidFill>
              <a:prstDash val="sysDot"/>
            </a:ln>
          </c:spPr>
          <c:marker>
            <c:symbol val="none"/>
          </c:marker>
          <c:cat>
            <c:numRef>
              <c:f>Price!$A$4:$A$1977</c:f>
              <c:numCache>
                <c:formatCode>dd-mm-yy\ h:mm</c:formatCode>
                <c:ptCount val="1974"/>
              </c:numCache>
            </c:numRef>
          </c:cat>
          <c:val>
            <c:numRef>
              <c:f>Price!$C$4:$C$1977</c:f>
              <c:numCache>
                <c:formatCode>General</c:formatCode>
                <c:ptCount val="1974"/>
              </c:numCache>
            </c:numRef>
          </c:val>
          <c:smooth val="1"/>
        </c:ser>
        <c:dLbls>
          <c:showLegendKey val="0"/>
          <c:showVal val="0"/>
          <c:showCatName val="0"/>
          <c:showSerName val="0"/>
          <c:showPercent val="0"/>
          <c:showBubbleSize val="0"/>
        </c:dLbls>
        <c:marker val="1"/>
        <c:smooth val="0"/>
        <c:axId val="236697088"/>
        <c:axId val="236698624"/>
      </c:lineChart>
      <c:catAx>
        <c:axId val="236697088"/>
        <c:scaling>
          <c:orientation val="minMax"/>
        </c:scaling>
        <c:delete val="0"/>
        <c:axPos val="b"/>
        <c:numFmt formatCode="[$-409]mmmmm-yy;@" sourceLinked="0"/>
        <c:majorTickMark val="out"/>
        <c:minorTickMark val="none"/>
        <c:tickLblPos val="nextTo"/>
        <c:txPr>
          <a:bodyPr/>
          <a:lstStyle/>
          <a:p>
            <a:pPr>
              <a:defRPr sz="800"/>
            </a:pPr>
            <a:endParaRPr lang="en-US"/>
          </a:p>
        </c:txPr>
        <c:crossAx val="236698624"/>
        <c:crosses val="autoZero"/>
        <c:auto val="1"/>
        <c:lblAlgn val="ctr"/>
        <c:lblOffset val="100"/>
        <c:noMultiLvlLbl val="1"/>
      </c:catAx>
      <c:valAx>
        <c:axId val="236698624"/>
        <c:scaling>
          <c:orientation val="minMax"/>
        </c:scaling>
        <c:delete val="0"/>
        <c:axPos val="r"/>
        <c:numFmt formatCode="General" sourceLinked="1"/>
        <c:majorTickMark val="out"/>
        <c:minorTickMark val="none"/>
        <c:tickLblPos val="nextTo"/>
        <c:spPr>
          <a:ln>
            <a:noFill/>
          </a:ln>
        </c:spPr>
        <c:txPr>
          <a:bodyPr/>
          <a:lstStyle/>
          <a:p>
            <a:pPr>
              <a:defRPr sz="800"/>
            </a:pPr>
            <a:endParaRPr lang="en-US"/>
          </a:p>
        </c:txPr>
        <c:crossAx val="236697088"/>
        <c:crosses val="max"/>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Moat = RoIC - CostOfCap</c:v>
          </c:tx>
          <c:invertIfNegative val="0"/>
          <c:dLbls>
            <c:numFmt formatCode="0%;\(0%\)" sourceLinked="0"/>
            <c:showLegendKey val="0"/>
            <c:showVal val="1"/>
            <c:showCatName val="0"/>
            <c:showSerName val="0"/>
            <c:showPercent val="0"/>
            <c:showBubbleSize val="0"/>
            <c:showLeaderLines val="0"/>
          </c:dLbls>
          <c:cat>
            <c:numRef>
              <c:f>Others!$C$2:$K$2</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Others!$C$35:$K$35</c:f>
              <c:numCache>
                <c:formatCode>0%</c:formatCode>
                <c:ptCount val="9"/>
                <c:pt idx="0">
                  <c:v>0</c:v>
                </c:pt>
                <c:pt idx="1">
                  <c:v>-1.5711163230749814</c:v>
                </c:pt>
                <c:pt idx="2">
                  <c:v>-0.5684469011747979</c:v>
                </c:pt>
                <c:pt idx="3">
                  <c:v>-0.76204728504353225</c:v>
                </c:pt>
                <c:pt idx="4">
                  <c:v>-1.4448576658655963</c:v>
                </c:pt>
                <c:pt idx="5">
                  <c:v>-361.34536979910843</c:v>
                </c:pt>
                <c:pt idx="6">
                  <c:v>-5.3669734901741233</c:v>
                </c:pt>
                <c:pt idx="7">
                  <c:v>-1.0999637508739608</c:v>
                </c:pt>
                <c:pt idx="8">
                  <c:v>0.13029352238924913</c:v>
                </c:pt>
              </c:numCache>
            </c:numRef>
          </c:val>
        </c:ser>
        <c:dLbls>
          <c:showLegendKey val="0"/>
          <c:showVal val="1"/>
          <c:showCatName val="0"/>
          <c:showSerName val="0"/>
          <c:showPercent val="0"/>
          <c:showBubbleSize val="0"/>
        </c:dLbls>
        <c:gapWidth val="25"/>
        <c:overlap val="1"/>
        <c:axId val="195138688"/>
        <c:axId val="195178496"/>
      </c:barChart>
      <c:catAx>
        <c:axId val="195138688"/>
        <c:scaling>
          <c:orientation val="minMax"/>
        </c:scaling>
        <c:delete val="0"/>
        <c:axPos val="b"/>
        <c:numFmt formatCode="yy;@" sourceLinked="0"/>
        <c:majorTickMark val="out"/>
        <c:minorTickMark val="none"/>
        <c:tickLblPos val="low"/>
        <c:crossAx val="195178496"/>
        <c:crosses val="autoZero"/>
        <c:auto val="0"/>
        <c:lblAlgn val="ctr"/>
        <c:lblOffset val="100"/>
        <c:noMultiLvlLbl val="0"/>
      </c:catAx>
      <c:valAx>
        <c:axId val="195178496"/>
        <c:scaling>
          <c:orientation val="minMax"/>
        </c:scaling>
        <c:delete val="1"/>
        <c:axPos val="l"/>
        <c:majorGridlines>
          <c:spPr>
            <a:ln>
              <a:noFill/>
            </a:ln>
          </c:spPr>
        </c:majorGridlines>
        <c:numFmt formatCode="0%" sourceLinked="1"/>
        <c:majorTickMark val="none"/>
        <c:minorTickMark val="none"/>
        <c:tickLblPos val="none"/>
        <c:crossAx val="195138688"/>
        <c:crosses val="autoZero"/>
        <c:crossBetween val="between"/>
      </c:valAx>
      <c:spPr>
        <a:noFill/>
        <a:ln w="25400">
          <a:noFill/>
        </a:ln>
      </c:spPr>
    </c:plotArea>
    <c:legend>
      <c:legendPos val="r"/>
      <c:layout>
        <c:manualLayout>
          <c:xMode val="edge"/>
          <c:yMode val="edge"/>
          <c:x val="7.398170094821771E-2"/>
          <c:y val="3.9101979003010767E-2"/>
          <c:w val="0.19546184870643013"/>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RoIC</c:v>
          </c:tx>
          <c:invertIfNegative val="0"/>
          <c:dLbls>
            <c:numFmt formatCode="0%" sourceLinked="0"/>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Others!$B$61:$K$61</c:f>
              <c:numCache>
                <c:formatCode>0%</c:formatCode>
                <c:ptCount val="10"/>
                <c:pt idx="0">
                  <c:v>-1.2642225031605574E-2</c:v>
                </c:pt>
                <c:pt idx="1">
                  <c:v>-7.5414781297134248E-3</c:v>
                </c:pt>
                <c:pt idx="2">
                  <c:v>7.2459666006227011E-2</c:v>
                </c:pt>
                <c:pt idx="3">
                  <c:v>9.573660679663315E-2</c:v>
                </c:pt>
                <c:pt idx="4">
                  <c:v>0.10696735298585344</c:v>
                </c:pt>
                <c:pt idx="5">
                  <c:v>9.8529161498365811E-2</c:v>
                </c:pt>
                <c:pt idx="6">
                  <c:v>0.19471476488151246</c:v>
                </c:pt>
                <c:pt idx="7">
                  <c:v>0.21804463404539812</c:v>
                </c:pt>
                <c:pt idx="8">
                  <c:v>0.33770704859418249</c:v>
                </c:pt>
                <c:pt idx="9">
                  <c:v>0.33893095329799988</c:v>
                </c:pt>
              </c:numCache>
            </c:numRef>
          </c:val>
        </c:ser>
        <c:dLbls>
          <c:showLegendKey val="0"/>
          <c:showVal val="1"/>
          <c:showCatName val="0"/>
          <c:showSerName val="0"/>
          <c:showPercent val="0"/>
          <c:showBubbleSize val="0"/>
        </c:dLbls>
        <c:gapWidth val="25"/>
        <c:overlap val="1"/>
        <c:axId val="195193856"/>
        <c:axId val="195221376"/>
      </c:barChart>
      <c:catAx>
        <c:axId val="195193856"/>
        <c:scaling>
          <c:orientation val="minMax"/>
        </c:scaling>
        <c:delete val="0"/>
        <c:axPos val="b"/>
        <c:numFmt formatCode="yy;@" sourceLinked="0"/>
        <c:majorTickMark val="out"/>
        <c:minorTickMark val="none"/>
        <c:tickLblPos val="low"/>
        <c:crossAx val="195221376"/>
        <c:crosses val="autoZero"/>
        <c:auto val="0"/>
        <c:lblAlgn val="ctr"/>
        <c:lblOffset val="100"/>
        <c:noMultiLvlLbl val="0"/>
      </c:catAx>
      <c:valAx>
        <c:axId val="195221376"/>
        <c:scaling>
          <c:orientation val="minMax"/>
        </c:scaling>
        <c:delete val="1"/>
        <c:axPos val="l"/>
        <c:majorGridlines>
          <c:spPr>
            <a:ln>
              <a:noFill/>
            </a:ln>
          </c:spPr>
        </c:majorGridlines>
        <c:numFmt formatCode="0%" sourceLinked="1"/>
        <c:majorTickMark val="none"/>
        <c:minorTickMark val="none"/>
        <c:tickLblPos val="none"/>
        <c:crossAx val="195193856"/>
        <c:crosses val="autoZero"/>
        <c:crossBetween val="between"/>
      </c:valAx>
      <c:spPr>
        <a:noFill/>
        <a:ln w="25400">
          <a:noFill/>
        </a:ln>
      </c:spPr>
    </c:plotArea>
    <c:legend>
      <c:legendPos val="r"/>
      <c:layout>
        <c:manualLayout>
          <c:xMode val="edge"/>
          <c:yMode val="edge"/>
          <c:x val="7.398170094821771E-2"/>
          <c:y val="3.9101979003010767E-2"/>
          <c:w val="0.19546184870643013"/>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1"/>
          <c:order val="0"/>
          <c:tx>
            <c:v>FCF : Direct</c:v>
          </c:tx>
          <c:spPr>
            <a:solidFill>
              <a:srgbClr val="DEF5FA">
                <a:lumMod val="75000"/>
              </a:srgbClr>
            </a:solidFill>
          </c:spPr>
          <c:invertIfNegative val="0"/>
          <c:dLbls>
            <c:numFmt formatCode="0_);\(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Others!$B$22:$K$22</c:f>
              <c:numCache>
                <c:formatCode>General</c:formatCode>
                <c:ptCount val="10"/>
                <c:pt idx="0">
                  <c:v>0</c:v>
                </c:pt>
                <c:pt idx="1">
                  <c:v>2.0000000000000004E-2</c:v>
                </c:pt>
                <c:pt idx="2">
                  <c:v>-7.8400000000000016</c:v>
                </c:pt>
                <c:pt idx="3">
                  <c:v>-7.92</c:v>
                </c:pt>
                <c:pt idx="4">
                  <c:v>-4.0300000000000011</c:v>
                </c:pt>
                <c:pt idx="5">
                  <c:v>-45.77000000000001</c:v>
                </c:pt>
                <c:pt idx="6">
                  <c:v>-10.230000000000004</c:v>
                </c:pt>
                <c:pt idx="7">
                  <c:v>-66.820000000000007</c:v>
                </c:pt>
                <c:pt idx="8">
                  <c:v>14.590000000000003</c:v>
                </c:pt>
                <c:pt idx="9">
                  <c:v>-78.369999999999976</c:v>
                </c:pt>
              </c:numCache>
            </c:numRef>
          </c:val>
        </c:ser>
        <c:ser>
          <c:idx val="2"/>
          <c:order val="1"/>
          <c:tx>
            <c:v>Adj</c:v>
          </c:tx>
          <c:invertIfNegative val="0"/>
          <c:dLbls>
            <c:numFmt formatCode="0_);\(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Others!$B$23:$K$23</c:f>
              <c:numCache>
                <c:formatCode>General</c:formatCode>
                <c:ptCount val="10"/>
                <c:pt idx="0">
                  <c:v>0</c:v>
                </c:pt>
                <c:pt idx="1">
                  <c:v>2.0000000000000004E-2</c:v>
                </c:pt>
                <c:pt idx="2">
                  <c:v>-7.8600000000000012</c:v>
                </c:pt>
                <c:pt idx="3">
                  <c:v>-7.9700000000000006</c:v>
                </c:pt>
                <c:pt idx="4">
                  <c:v>-4.2000000000000011</c:v>
                </c:pt>
                <c:pt idx="5">
                  <c:v>-46.140000000000008</c:v>
                </c:pt>
                <c:pt idx="6">
                  <c:v>-10.680000000000003</c:v>
                </c:pt>
                <c:pt idx="7">
                  <c:v>-67.03</c:v>
                </c:pt>
                <c:pt idx="8">
                  <c:v>12.950000000000003</c:v>
                </c:pt>
                <c:pt idx="9">
                  <c:v>-89.029999999999973</c:v>
                </c:pt>
              </c:numCache>
            </c:numRef>
          </c:val>
        </c:ser>
        <c:dLbls>
          <c:showLegendKey val="0"/>
          <c:showVal val="1"/>
          <c:showCatName val="0"/>
          <c:showSerName val="0"/>
          <c:showPercent val="0"/>
          <c:showBubbleSize val="0"/>
        </c:dLbls>
        <c:gapWidth val="25"/>
        <c:overlap val="1"/>
        <c:axId val="195333504"/>
        <c:axId val="195335296"/>
      </c:barChart>
      <c:catAx>
        <c:axId val="195333504"/>
        <c:scaling>
          <c:orientation val="minMax"/>
        </c:scaling>
        <c:delete val="0"/>
        <c:axPos val="b"/>
        <c:numFmt formatCode="yy;@" sourceLinked="0"/>
        <c:majorTickMark val="out"/>
        <c:minorTickMark val="none"/>
        <c:tickLblPos val="low"/>
        <c:txPr>
          <a:bodyPr/>
          <a:lstStyle/>
          <a:p>
            <a:pPr>
              <a:defRPr sz="800"/>
            </a:pPr>
            <a:endParaRPr lang="en-US"/>
          </a:p>
        </c:txPr>
        <c:crossAx val="195335296"/>
        <c:crosses val="autoZero"/>
        <c:auto val="0"/>
        <c:lblAlgn val="ctr"/>
        <c:lblOffset val="100"/>
        <c:noMultiLvlLbl val="0"/>
      </c:catAx>
      <c:valAx>
        <c:axId val="195335296"/>
        <c:scaling>
          <c:orientation val="minMax"/>
        </c:scaling>
        <c:delete val="1"/>
        <c:axPos val="l"/>
        <c:majorGridlines>
          <c:spPr>
            <a:ln>
              <a:noFill/>
            </a:ln>
          </c:spPr>
        </c:majorGridlines>
        <c:numFmt formatCode="General" sourceLinked="1"/>
        <c:majorTickMark val="none"/>
        <c:minorTickMark val="none"/>
        <c:tickLblPos val="none"/>
        <c:crossAx val="195333504"/>
        <c:crosses val="autoZero"/>
        <c:crossBetween val="between"/>
      </c:valAx>
      <c:spPr>
        <a:noFill/>
        <a:ln w="25400">
          <a:noFill/>
        </a:ln>
      </c:spPr>
    </c:plotArea>
    <c:legend>
      <c:legendPos val="r"/>
      <c:layout>
        <c:manualLayout>
          <c:xMode val="edge"/>
          <c:yMode val="edge"/>
          <c:x val="0.20731496062992125"/>
          <c:y val="3.9101820457496196E-2"/>
          <c:w val="0.19546184870643013"/>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Deadly Trinity</a:t>
            </a:r>
          </a:p>
        </c:rich>
      </c:tx>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Debt</c:v>
          </c:tx>
          <c:spPr>
            <a:solidFill>
              <a:srgbClr val="EB641B">
                <a:lumMod val="40000"/>
                <a:lumOff val="60000"/>
              </a:srgbClr>
            </a:solidFill>
          </c:spPr>
          <c:invertIfNegative val="0"/>
          <c:dLbls>
            <c:numFmt formatCode="0_);\(0\)" sourceLinked="0"/>
            <c:txPr>
              <a:bodyPr rot="5400000" vert="horz"/>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Others!$B$50:$K$50</c:f>
              <c:numCache>
                <c:formatCode>General</c:formatCode>
                <c:ptCount val="10"/>
                <c:pt idx="0">
                  <c:v>1.47</c:v>
                </c:pt>
                <c:pt idx="1">
                  <c:v>0.15</c:v>
                </c:pt>
                <c:pt idx="2">
                  <c:v>14.64</c:v>
                </c:pt>
                <c:pt idx="3">
                  <c:v>18.900000000000002</c:v>
                </c:pt>
                <c:pt idx="4">
                  <c:v>17.170000000000002</c:v>
                </c:pt>
                <c:pt idx="5">
                  <c:v>37.56</c:v>
                </c:pt>
                <c:pt idx="6">
                  <c:v>52.07</c:v>
                </c:pt>
                <c:pt idx="7">
                  <c:v>109.66</c:v>
                </c:pt>
                <c:pt idx="8">
                  <c:v>191.56</c:v>
                </c:pt>
                <c:pt idx="9">
                  <c:v>330.12</c:v>
                </c:pt>
              </c:numCache>
            </c:numRef>
          </c:val>
        </c:ser>
        <c:ser>
          <c:idx val="1"/>
          <c:order val="1"/>
          <c:tx>
            <c:v>Sales</c:v>
          </c:tx>
          <c:spPr>
            <a:solidFill>
              <a:srgbClr val="92D050"/>
            </a:solidFill>
          </c:spPr>
          <c:invertIfNegative val="0"/>
          <c:dLbls>
            <c:numFmt formatCode="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'Alt D S'!$B$17:$K$17</c:f>
              <c:numCache>
                <c:formatCode>General</c:formatCode>
                <c:ptCount val="10"/>
                <c:pt idx="0">
                  <c:v>0</c:v>
                </c:pt>
                <c:pt idx="1">
                  <c:v>0</c:v>
                </c:pt>
                <c:pt idx="2">
                  <c:v>16.32</c:v>
                </c:pt>
                <c:pt idx="3">
                  <c:v>21.06</c:v>
                </c:pt>
                <c:pt idx="4">
                  <c:v>26.21</c:v>
                </c:pt>
                <c:pt idx="5">
                  <c:v>44.06</c:v>
                </c:pt>
                <c:pt idx="6">
                  <c:v>124.85</c:v>
                </c:pt>
                <c:pt idx="7">
                  <c:v>271.93</c:v>
                </c:pt>
                <c:pt idx="8">
                  <c:v>528.34</c:v>
                </c:pt>
                <c:pt idx="9">
                  <c:v>849.24</c:v>
                </c:pt>
              </c:numCache>
            </c:numRef>
          </c:val>
        </c:ser>
        <c:ser>
          <c:idx val="2"/>
          <c:order val="2"/>
          <c:tx>
            <c:v>Recv.</c:v>
          </c:tx>
          <c:spPr>
            <a:solidFill>
              <a:srgbClr val="FF0000"/>
            </a:solidFill>
          </c:spPr>
          <c:invertIfNegative val="0"/>
          <c:dLbls>
            <c:numFmt formatCode="#,##0_);\(#,##0\)" sourceLinked="0"/>
            <c:txPr>
              <a:bodyPr/>
              <a:lstStyle/>
              <a:p>
                <a:pPr>
                  <a:defRPr sz="800"/>
                </a:pPr>
                <a:endParaRPr lang="en-US"/>
              </a:p>
            </c:txPr>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'Balance Sheet'!$B$17:$K$17</c:f>
              <c:numCache>
                <c:formatCode>_ * #,##0.00_ ;_ * \-#,##0.00_ ;_ * "-"??_ ;_ @_ </c:formatCode>
                <c:ptCount val="10"/>
                <c:pt idx="0">
                  <c:v>2.76</c:v>
                </c:pt>
                <c:pt idx="1">
                  <c:v>2.76</c:v>
                </c:pt>
                <c:pt idx="2">
                  <c:v>10.96</c:v>
                </c:pt>
                <c:pt idx="3">
                  <c:v>12.95</c:v>
                </c:pt>
                <c:pt idx="4">
                  <c:v>13.83</c:v>
                </c:pt>
                <c:pt idx="5">
                  <c:v>13.42</c:v>
                </c:pt>
                <c:pt idx="6">
                  <c:v>28.14</c:v>
                </c:pt>
                <c:pt idx="7">
                  <c:v>80.209999999999994</c:v>
                </c:pt>
                <c:pt idx="8">
                  <c:v>129.47999999999999</c:v>
                </c:pt>
                <c:pt idx="9">
                  <c:v>252.52</c:v>
                </c:pt>
              </c:numCache>
            </c:numRef>
          </c:val>
        </c:ser>
        <c:dLbls>
          <c:showLegendKey val="0"/>
          <c:showVal val="1"/>
          <c:showCatName val="0"/>
          <c:showSerName val="0"/>
          <c:showPercent val="0"/>
          <c:showBubbleSize val="0"/>
        </c:dLbls>
        <c:gapWidth val="25"/>
        <c:overlap val="1"/>
        <c:axId val="237510016"/>
        <c:axId val="237528192"/>
      </c:barChart>
      <c:catAx>
        <c:axId val="237510016"/>
        <c:scaling>
          <c:orientation val="minMax"/>
        </c:scaling>
        <c:delete val="0"/>
        <c:axPos val="b"/>
        <c:numFmt formatCode="yy;@" sourceLinked="0"/>
        <c:majorTickMark val="out"/>
        <c:minorTickMark val="none"/>
        <c:tickLblPos val="nextTo"/>
        <c:txPr>
          <a:bodyPr/>
          <a:lstStyle/>
          <a:p>
            <a:pPr>
              <a:defRPr sz="800"/>
            </a:pPr>
            <a:endParaRPr lang="en-US"/>
          </a:p>
        </c:txPr>
        <c:crossAx val="237528192"/>
        <c:crosses val="autoZero"/>
        <c:auto val="0"/>
        <c:lblAlgn val="ctr"/>
        <c:lblOffset val="100"/>
        <c:noMultiLvlLbl val="0"/>
      </c:catAx>
      <c:valAx>
        <c:axId val="237528192"/>
        <c:scaling>
          <c:orientation val="minMax"/>
        </c:scaling>
        <c:delete val="1"/>
        <c:axPos val="l"/>
        <c:majorGridlines>
          <c:spPr>
            <a:ln>
              <a:noFill/>
            </a:ln>
          </c:spPr>
        </c:majorGridlines>
        <c:numFmt formatCode="General" sourceLinked="1"/>
        <c:majorTickMark val="none"/>
        <c:minorTickMark val="none"/>
        <c:tickLblPos val="none"/>
        <c:crossAx val="237510016"/>
        <c:crosses val="autoZero"/>
        <c:crossBetween val="between"/>
      </c:valAx>
      <c:spPr>
        <a:noFill/>
        <a:ln w="25400">
          <a:noFill/>
        </a:ln>
      </c:spPr>
    </c:plotArea>
    <c:legend>
      <c:legendPos val="r"/>
      <c:layout>
        <c:manualLayout>
          <c:xMode val="edge"/>
          <c:yMode val="edge"/>
          <c:x val="7.398170094821771E-2"/>
          <c:y val="3.9101979003010767E-2"/>
          <c:w val="0.10738779527559054"/>
          <c:h val="0.25115157480314959"/>
        </c:manualLayou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Deadly Trinity</a:t>
            </a:r>
          </a:p>
        </c:rich>
      </c:tx>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Debt</c:v>
          </c:tx>
          <c:spPr>
            <a:solidFill>
              <a:srgbClr val="EB641B">
                <a:lumMod val="40000"/>
                <a:lumOff val="60000"/>
              </a:srgbClr>
            </a:solidFill>
          </c:spPr>
          <c:invertIfNegative val="0"/>
          <c:dLbls>
            <c:numFmt formatCode="0%;\(0%\)" sourceLinked="0"/>
            <c:txPr>
              <a:bodyPr rot="5400000" vert="horz"/>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Others!$B$65:$K$65</c:f>
              <c:numCache>
                <c:formatCode>0.00%</c:formatCode>
                <c:ptCount val="10"/>
                <c:pt idx="1">
                  <c:v>-0.8979591836734695</c:v>
                </c:pt>
                <c:pt idx="2">
                  <c:v>96.600000000000009</c:v>
                </c:pt>
                <c:pt idx="3">
                  <c:v>0.29098360655737715</c:v>
                </c:pt>
                <c:pt idx="4">
                  <c:v>-9.1534391534391552E-2</c:v>
                </c:pt>
                <c:pt idx="5">
                  <c:v>1.1875364006988933</c:v>
                </c:pt>
                <c:pt idx="6">
                  <c:v>0.38631522896698606</c:v>
                </c:pt>
                <c:pt idx="7">
                  <c:v>1.1060111388515459</c:v>
                </c:pt>
                <c:pt idx="8">
                  <c:v>0.74685391209192054</c:v>
                </c:pt>
                <c:pt idx="9">
                  <c:v>0.72332428481937772</c:v>
                </c:pt>
              </c:numCache>
            </c:numRef>
          </c:val>
        </c:ser>
        <c:ser>
          <c:idx val="1"/>
          <c:order val="1"/>
          <c:tx>
            <c:v>Sales</c:v>
          </c:tx>
          <c:spPr>
            <a:solidFill>
              <a:srgbClr val="92D050"/>
            </a:solidFill>
          </c:spPr>
          <c:invertIfNegative val="0"/>
          <c:dLbls>
            <c:numFmt formatCode="0%;\(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Others!$B$64:$K$64</c:f>
              <c:numCache>
                <c:formatCode>0.00%</c:formatCode>
                <c:ptCount val="10"/>
                <c:pt idx="1">
                  <c:v>0</c:v>
                </c:pt>
                <c:pt idx="2">
                  <c:v>0</c:v>
                </c:pt>
                <c:pt idx="3">
                  <c:v>0.29044117647058815</c:v>
                </c:pt>
                <c:pt idx="4">
                  <c:v>0.244539411206078</c:v>
                </c:pt>
                <c:pt idx="5">
                  <c:v>0.68103777184280812</c:v>
                </c:pt>
                <c:pt idx="6">
                  <c:v>1.8336359509759417</c:v>
                </c:pt>
                <c:pt idx="7">
                  <c:v>1.178053664397277</c:v>
                </c:pt>
                <c:pt idx="8">
                  <c:v>0.94292648843452365</c:v>
                </c:pt>
                <c:pt idx="9">
                  <c:v>0.60737403944429713</c:v>
                </c:pt>
              </c:numCache>
            </c:numRef>
          </c:val>
        </c:ser>
        <c:ser>
          <c:idx val="2"/>
          <c:order val="2"/>
          <c:tx>
            <c:v>Recv.</c:v>
          </c:tx>
          <c:spPr>
            <a:solidFill>
              <a:srgbClr val="FF0000"/>
            </a:solidFill>
          </c:spPr>
          <c:invertIfNegative val="0"/>
          <c:dLbls>
            <c:numFmt formatCode="0%;\(0%\)" sourceLinked="0"/>
            <c:txPr>
              <a:bodyPr/>
              <a:lstStyle/>
              <a:p>
                <a:pPr>
                  <a:defRPr sz="800"/>
                </a:pPr>
                <a:endParaRPr lang="en-US"/>
              </a:p>
            </c:txPr>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Others!$B$66:$K$66</c:f>
              <c:numCache>
                <c:formatCode>0.00%</c:formatCode>
                <c:ptCount val="10"/>
                <c:pt idx="1">
                  <c:v>0</c:v>
                </c:pt>
                <c:pt idx="2">
                  <c:v>2.9710144927536239</c:v>
                </c:pt>
                <c:pt idx="3">
                  <c:v>0.18156934306569328</c:v>
                </c:pt>
                <c:pt idx="4">
                  <c:v>6.7953667953668015E-2</c:v>
                </c:pt>
                <c:pt idx="5">
                  <c:v>-2.9645697758496032E-2</c:v>
                </c:pt>
                <c:pt idx="6">
                  <c:v>1.0968703427719821</c:v>
                </c:pt>
                <c:pt idx="7">
                  <c:v>1.8503909026297083</c:v>
                </c:pt>
                <c:pt idx="8">
                  <c:v>0.61426256077795782</c:v>
                </c:pt>
                <c:pt idx="9">
                  <c:v>0.95026258881680592</c:v>
                </c:pt>
              </c:numCache>
            </c:numRef>
          </c:val>
        </c:ser>
        <c:dLbls>
          <c:showLegendKey val="0"/>
          <c:showVal val="1"/>
          <c:showCatName val="0"/>
          <c:showSerName val="0"/>
          <c:showPercent val="0"/>
          <c:showBubbleSize val="0"/>
        </c:dLbls>
        <c:gapWidth val="25"/>
        <c:overlap val="1"/>
        <c:axId val="237580288"/>
        <c:axId val="237581824"/>
      </c:barChart>
      <c:catAx>
        <c:axId val="237580288"/>
        <c:scaling>
          <c:orientation val="minMax"/>
        </c:scaling>
        <c:delete val="0"/>
        <c:axPos val="b"/>
        <c:numFmt formatCode="yy;@" sourceLinked="0"/>
        <c:majorTickMark val="out"/>
        <c:minorTickMark val="none"/>
        <c:tickLblPos val="nextTo"/>
        <c:txPr>
          <a:bodyPr/>
          <a:lstStyle/>
          <a:p>
            <a:pPr>
              <a:defRPr sz="800"/>
            </a:pPr>
            <a:endParaRPr lang="en-US"/>
          </a:p>
        </c:txPr>
        <c:crossAx val="237581824"/>
        <c:crosses val="autoZero"/>
        <c:auto val="0"/>
        <c:lblAlgn val="ctr"/>
        <c:lblOffset val="100"/>
        <c:noMultiLvlLbl val="0"/>
      </c:catAx>
      <c:valAx>
        <c:axId val="237581824"/>
        <c:scaling>
          <c:orientation val="minMax"/>
        </c:scaling>
        <c:delete val="1"/>
        <c:axPos val="l"/>
        <c:majorGridlines>
          <c:spPr>
            <a:ln>
              <a:noFill/>
            </a:ln>
          </c:spPr>
        </c:majorGridlines>
        <c:numFmt formatCode="General" sourceLinked="1"/>
        <c:majorTickMark val="none"/>
        <c:minorTickMark val="none"/>
        <c:tickLblPos val="none"/>
        <c:crossAx val="237580288"/>
        <c:crosses val="autoZero"/>
        <c:crossBetween val="between"/>
      </c:valAx>
      <c:spPr>
        <a:noFill/>
        <a:ln w="25400">
          <a:noFill/>
        </a:ln>
      </c:spPr>
    </c:plotArea>
    <c:legend>
      <c:legendPos val="r"/>
      <c:layout>
        <c:manualLayout>
          <c:xMode val="edge"/>
          <c:yMode val="edge"/>
          <c:x val="7.398170094821771E-2"/>
          <c:y val="3.9101979003010767E-2"/>
          <c:w val="0.10738779527559054"/>
          <c:h val="0.25115157480314959"/>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Depreciation</a:t>
            </a:r>
            <a:r>
              <a:rPr lang="en-US" baseline="0"/>
              <a:t> </a:t>
            </a:r>
            <a:endParaRPr lang="en-US"/>
          </a:p>
        </c:rich>
      </c:tx>
      <c:layout>
        <c:manualLayout>
          <c:xMode val="edge"/>
          <c:yMode val="edge"/>
          <c:x val="0.67275699912510933"/>
          <c:y val="4.1666666666666664E-2"/>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D % GFA</c:v>
          </c:tx>
          <c:spPr>
            <a:solidFill>
              <a:srgbClr val="EB641B">
                <a:lumMod val="40000"/>
                <a:lumOff val="60000"/>
              </a:srgbClr>
            </a:solidFill>
          </c:spPr>
          <c:invertIfNegative val="0"/>
          <c:dLbls>
            <c:numFmt formatCode="0%" sourceLinked="0"/>
            <c:txPr>
              <a:bodyPr rot="5400000" vert="horz"/>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Others!$B$81:$K$81</c:f>
              <c:numCache>
                <c:formatCode>0%</c:formatCode>
                <c:ptCount val="10"/>
                <c:pt idx="0">
                  <c:v>0</c:v>
                </c:pt>
                <c:pt idx="1">
                  <c:v>0</c:v>
                </c:pt>
                <c:pt idx="2">
                  <c:v>0.10237388724035607</c:v>
                </c:pt>
                <c:pt idx="3">
                  <c:v>0.11799410029498525</c:v>
                </c:pt>
                <c:pt idx="4">
                  <c:v>0.52597402597402598</c:v>
                </c:pt>
                <c:pt idx="5">
                  <c:v>7.6202263083451197E-2</c:v>
                </c:pt>
                <c:pt idx="6">
                  <c:v>0.10335448776065274</c:v>
                </c:pt>
                <c:pt idx="7">
                  <c:v>0.12142857142857144</c:v>
                </c:pt>
                <c:pt idx="8">
                  <c:v>6.72904638662154E-2</c:v>
                </c:pt>
                <c:pt idx="9">
                  <c:v>6.5679347117565776E-2</c:v>
                </c:pt>
              </c:numCache>
            </c:numRef>
          </c:val>
        </c:ser>
        <c:ser>
          <c:idx val="1"/>
          <c:order val="1"/>
          <c:tx>
            <c:v>D % NFA</c:v>
          </c:tx>
          <c:spPr>
            <a:solidFill>
              <a:srgbClr val="92D050"/>
            </a:solidFill>
          </c:spPr>
          <c:invertIfNegative val="0"/>
          <c:dLbls>
            <c:numFmt formatCode="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Others!$B$82:$K$82</c:f>
              <c:numCache>
                <c:formatCode>0%</c:formatCode>
                <c:ptCount val="10"/>
                <c:pt idx="0">
                  <c:v>0</c:v>
                </c:pt>
                <c:pt idx="1">
                  <c:v>0</c:v>
                </c:pt>
                <c:pt idx="2">
                  <c:v>0.1140495867768595</c:v>
                </c:pt>
                <c:pt idx="3">
                  <c:v>0.13377926421404682</c:v>
                </c:pt>
                <c:pt idx="4">
                  <c:v>1.1095890410958904</c:v>
                </c:pt>
                <c:pt idx="5">
                  <c:v>8.2488038277511957E-2</c:v>
                </c:pt>
                <c:pt idx="6">
                  <c:v>0.115267947421638</c:v>
                </c:pt>
                <c:pt idx="7">
                  <c:v>0.13821138211382114</c:v>
                </c:pt>
                <c:pt idx="8">
                  <c:v>7.2145144076840972E-2</c:v>
                </c:pt>
                <c:pt idx="9">
                  <c:v>7.0296366579226444E-2</c:v>
                </c:pt>
              </c:numCache>
            </c:numRef>
          </c:val>
        </c:ser>
        <c:dLbls>
          <c:showLegendKey val="0"/>
          <c:showVal val="1"/>
          <c:showCatName val="0"/>
          <c:showSerName val="0"/>
          <c:showPercent val="0"/>
          <c:showBubbleSize val="0"/>
        </c:dLbls>
        <c:gapWidth val="25"/>
        <c:overlap val="1"/>
        <c:axId val="237631744"/>
        <c:axId val="237244416"/>
      </c:barChart>
      <c:catAx>
        <c:axId val="237631744"/>
        <c:scaling>
          <c:orientation val="minMax"/>
        </c:scaling>
        <c:delete val="0"/>
        <c:axPos val="b"/>
        <c:numFmt formatCode="yy;@" sourceLinked="0"/>
        <c:majorTickMark val="out"/>
        <c:minorTickMark val="none"/>
        <c:tickLblPos val="nextTo"/>
        <c:txPr>
          <a:bodyPr/>
          <a:lstStyle/>
          <a:p>
            <a:pPr>
              <a:defRPr sz="800"/>
            </a:pPr>
            <a:endParaRPr lang="en-US"/>
          </a:p>
        </c:txPr>
        <c:crossAx val="237244416"/>
        <c:crosses val="autoZero"/>
        <c:auto val="0"/>
        <c:lblAlgn val="ctr"/>
        <c:lblOffset val="100"/>
        <c:noMultiLvlLbl val="0"/>
      </c:catAx>
      <c:valAx>
        <c:axId val="237244416"/>
        <c:scaling>
          <c:orientation val="minMax"/>
        </c:scaling>
        <c:delete val="1"/>
        <c:axPos val="l"/>
        <c:majorGridlines>
          <c:spPr>
            <a:ln>
              <a:noFill/>
            </a:ln>
          </c:spPr>
        </c:majorGridlines>
        <c:numFmt formatCode="0%" sourceLinked="1"/>
        <c:majorTickMark val="none"/>
        <c:minorTickMark val="none"/>
        <c:tickLblPos val="none"/>
        <c:crossAx val="237631744"/>
        <c:crosses val="autoZero"/>
        <c:crossBetween val="between"/>
      </c:valAx>
      <c:spPr>
        <a:noFill/>
        <a:ln w="25400">
          <a:noFill/>
        </a:ln>
      </c:spPr>
    </c:plotArea>
    <c:legend>
      <c:legendPos val="r"/>
      <c:layout>
        <c:manualLayout>
          <c:xMode val="edge"/>
          <c:yMode val="edge"/>
          <c:x val="1.2870516185476816E-2"/>
          <c:y val="3.9101979003010767E-2"/>
          <c:w val="0.47676817749028971"/>
          <c:h val="8.9585867634809122E-2"/>
        </c:manualLayout>
      </c:layou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RoIC</c:v>
          </c:tx>
          <c:invertIfNegative val="0"/>
          <c:dLbls>
            <c:numFmt formatCode="0%" sourceLinked="0"/>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Others!$B$61:$K$61</c:f>
              <c:numCache>
                <c:formatCode>0%</c:formatCode>
                <c:ptCount val="10"/>
                <c:pt idx="0">
                  <c:v>-1.2642225031605574E-2</c:v>
                </c:pt>
                <c:pt idx="1">
                  <c:v>-7.5414781297134248E-3</c:v>
                </c:pt>
                <c:pt idx="2">
                  <c:v>7.2459666006227011E-2</c:v>
                </c:pt>
                <c:pt idx="3">
                  <c:v>9.573660679663315E-2</c:v>
                </c:pt>
                <c:pt idx="4">
                  <c:v>0.10696735298585344</c:v>
                </c:pt>
                <c:pt idx="5">
                  <c:v>9.8529161498365811E-2</c:v>
                </c:pt>
                <c:pt idx="6">
                  <c:v>0.19471476488151246</c:v>
                </c:pt>
                <c:pt idx="7">
                  <c:v>0.21804463404539812</c:v>
                </c:pt>
                <c:pt idx="8">
                  <c:v>0.33770704859418249</c:v>
                </c:pt>
                <c:pt idx="9">
                  <c:v>0.33893095329799988</c:v>
                </c:pt>
              </c:numCache>
            </c:numRef>
          </c:val>
        </c:ser>
        <c:ser>
          <c:idx val="1"/>
          <c:order val="1"/>
          <c:tx>
            <c:v>CROIC</c:v>
          </c:tx>
          <c:invertIfNegative val="0"/>
          <c:val>
            <c:numRef>
              <c:f>Others!$B$93:$K$93</c:f>
              <c:numCache>
                <c:formatCode>0%</c:formatCode>
                <c:ptCount val="10"/>
                <c:pt idx="0">
                  <c:v>0</c:v>
                </c:pt>
                <c:pt idx="1">
                  <c:v>3.0165912518853701E-3</c:v>
                </c:pt>
                <c:pt idx="2">
                  <c:v>-0.22190772714407025</c:v>
                </c:pt>
                <c:pt idx="3">
                  <c:v>-0.17833821211438866</c:v>
                </c:pt>
                <c:pt idx="4">
                  <c:v>-9.0035746201966069E-2</c:v>
                </c:pt>
                <c:pt idx="5">
                  <c:v>-0.45972278023302543</c:v>
                </c:pt>
                <c:pt idx="6">
                  <c:v>-6.7369114257490967E-2</c:v>
                </c:pt>
                <c:pt idx="7">
                  <c:v>-0.21272802521409698</c:v>
                </c:pt>
                <c:pt idx="8">
                  <c:v>2.8523391527047377E-2</c:v>
                </c:pt>
                <c:pt idx="9">
                  <c:v>-9.5431187745062193E-2</c:v>
                </c:pt>
              </c:numCache>
            </c:numRef>
          </c:val>
        </c:ser>
        <c:dLbls>
          <c:showLegendKey val="0"/>
          <c:showVal val="1"/>
          <c:showCatName val="0"/>
          <c:showSerName val="0"/>
          <c:showPercent val="0"/>
          <c:showBubbleSize val="0"/>
        </c:dLbls>
        <c:gapWidth val="25"/>
        <c:overlap val="1"/>
        <c:axId val="243799552"/>
        <c:axId val="246917760"/>
      </c:barChart>
      <c:catAx>
        <c:axId val="243799552"/>
        <c:scaling>
          <c:orientation val="minMax"/>
        </c:scaling>
        <c:delete val="0"/>
        <c:axPos val="b"/>
        <c:numFmt formatCode="yy;@" sourceLinked="0"/>
        <c:majorTickMark val="out"/>
        <c:minorTickMark val="none"/>
        <c:tickLblPos val="low"/>
        <c:crossAx val="246917760"/>
        <c:crosses val="autoZero"/>
        <c:auto val="0"/>
        <c:lblAlgn val="ctr"/>
        <c:lblOffset val="100"/>
        <c:noMultiLvlLbl val="0"/>
      </c:catAx>
      <c:valAx>
        <c:axId val="246917760"/>
        <c:scaling>
          <c:orientation val="minMax"/>
        </c:scaling>
        <c:delete val="1"/>
        <c:axPos val="l"/>
        <c:majorGridlines>
          <c:spPr>
            <a:ln>
              <a:noFill/>
            </a:ln>
          </c:spPr>
        </c:majorGridlines>
        <c:numFmt formatCode="0%" sourceLinked="1"/>
        <c:majorTickMark val="none"/>
        <c:minorTickMark val="none"/>
        <c:tickLblPos val="none"/>
        <c:crossAx val="243799552"/>
        <c:crosses val="autoZero"/>
        <c:crossBetween val="between"/>
      </c:valAx>
      <c:spPr>
        <a:noFill/>
        <a:ln w="25400">
          <a:noFill/>
        </a:ln>
      </c:spPr>
    </c:plotArea>
    <c:legend>
      <c:legendPos val="r"/>
      <c:layout>
        <c:manualLayout>
          <c:xMode val="edge"/>
          <c:yMode val="edge"/>
          <c:x val="7.398170094821771E-2"/>
          <c:y val="3.9101979003010767E-2"/>
          <c:w val="0.11786032736488328"/>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Declining</a:t>
            </a:r>
            <a:r>
              <a:rPr lang="en-US" sz="1000" baseline="0"/>
              <a:t> FCF, strong CFO, Not ideal</a:t>
            </a:r>
            <a:endParaRPr lang="en-US" sz="1000"/>
          </a:p>
        </c:rich>
      </c:tx>
      <c:layout>
        <c:manualLayout>
          <c:xMode val="edge"/>
          <c:yMode val="edge"/>
          <c:x val="0.25590095355727599"/>
          <c:y val="7.0707098825697451E-2"/>
        </c:manualLayout>
      </c:layout>
      <c:overlay val="0"/>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1"/>
          <c:order val="0"/>
          <c:tx>
            <c:v>FCF</c:v>
          </c:tx>
          <c:spPr>
            <a:solidFill>
              <a:srgbClr val="DEF5FA">
                <a:lumMod val="75000"/>
              </a:srgbClr>
            </a:solidFill>
          </c:spPr>
          <c:invertIfNegative val="0"/>
          <c:dLbls>
            <c:numFmt formatCode="0_);\(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DrVM!$B$57:$K$57</c:f>
              <c:numCache>
                <c:formatCode>0</c:formatCode>
                <c:ptCount val="10"/>
                <c:pt idx="1">
                  <c:v>2.0000000000000004E-2</c:v>
                </c:pt>
                <c:pt idx="2">
                  <c:v>-7.8400000000000016</c:v>
                </c:pt>
                <c:pt idx="3">
                  <c:v>-7.92</c:v>
                </c:pt>
                <c:pt idx="4">
                  <c:v>-4.0300000000000011</c:v>
                </c:pt>
                <c:pt idx="5">
                  <c:v>-45.77000000000001</c:v>
                </c:pt>
                <c:pt idx="6">
                  <c:v>-10.230000000000004</c:v>
                </c:pt>
                <c:pt idx="7">
                  <c:v>-66.820000000000007</c:v>
                </c:pt>
                <c:pt idx="8">
                  <c:v>14.590000000000003</c:v>
                </c:pt>
                <c:pt idx="9">
                  <c:v>-78.369999999999976</c:v>
                </c:pt>
              </c:numCache>
            </c:numRef>
          </c:val>
        </c:ser>
        <c:ser>
          <c:idx val="2"/>
          <c:order val="1"/>
          <c:tx>
            <c:v>CFO</c:v>
          </c:tx>
          <c:invertIfNegative val="0"/>
          <c:dLbls>
            <c:numFmt formatCode="0_);\(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DrVM!$B$14:$K$14</c:f>
              <c:numCache>
                <c:formatCode>0</c:formatCode>
                <c:ptCount val="10"/>
                <c:pt idx="0">
                  <c:v>0</c:v>
                </c:pt>
                <c:pt idx="1">
                  <c:v>0</c:v>
                </c:pt>
                <c:pt idx="2">
                  <c:v>11.4</c:v>
                </c:pt>
                <c:pt idx="3">
                  <c:v>-3.35</c:v>
                </c:pt>
                <c:pt idx="4">
                  <c:v>-7.42</c:v>
                </c:pt>
                <c:pt idx="5">
                  <c:v>12.16</c:v>
                </c:pt>
                <c:pt idx="6">
                  <c:v>26.08</c:v>
                </c:pt>
                <c:pt idx="7">
                  <c:v>18.89</c:v>
                </c:pt>
                <c:pt idx="8">
                  <c:v>71.73</c:v>
                </c:pt>
                <c:pt idx="9">
                  <c:v>125.1</c:v>
                </c:pt>
              </c:numCache>
            </c:numRef>
          </c:val>
        </c:ser>
        <c:dLbls>
          <c:showLegendKey val="0"/>
          <c:showVal val="1"/>
          <c:showCatName val="0"/>
          <c:showSerName val="0"/>
          <c:showPercent val="0"/>
          <c:showBubbleSize val="0"/>
        </c:dLbls>
        <c:gapWidth val="25"/>
        <c:overlap val="1"/>
        <c:axId val="237034496"/>
        <c:axId val="237040384"/>
      </c:barChart>
      <c:catAx>
        <c:axId val="237034496"/>
        <c:scaling>
          <c:orientation val="minMax"/>
        </c:scaling>
        <c:delete val="0"/>
        <c:axPos val="b"/>
        <c:numFmt formatCode="yy;@" sourceLinked="0"/>
        <c:majorTickMark val="out"/>
        <c:minorTickMark val="none"/>
        <c:tickLblPos val="low"/>
        <c:txPr>
          <a:bodyPr/>
          <a:lstStyle/>
          <a:p>
            <a:pPr>
              <a:defRPr sz="800"/>
            </a:pPr>
            <a:endParaRPr lang="en-US"/>
          </a:p>
        </c:txPr>
        <c:crossAx val="237040384"/>
        <c:crosses val="autoZero"/>
        <c:auto val="0"/>
        <c:lblAlgn val="ctr"/>
        <c:lblOffset val="100"/>
        <c:noMultiLvlLbl val="0"/>
      </c:catAx>
      <c:valAx>
        <c:axId val="237040384"/>
        <c:scaling>
          <c:orientation val="minMax"/>
        </c:scaling>
        <c:delete val="1"/>
        <c:axPos val="l"/>
        <c:majorGridlines>
          <c:spPr>
            <a:ln>
              <a:noFill/>
            </a:ln>
          </c:spPr>
        </c:majorGridlines>
        <c:numFmt formatCode="General" sourceLinked="1"/>
        <c:majorTickMark val="none"/>
        <c:minorTickMark val="none"/>
        <c:tickLblPos val="none"/>
        <c:crossAx val="237034496"/>
        <c:crosses val="autoZero"/>
        <c:crossBetween val="between"/>
      </c:valAx>
      <c:spPr>
        <a:noFill/>
        <a:ln w="25400">
          <a:noFill/>
        </a:ln>
      </c:spPr>
    </c:plotArea>
    <c:legend>
      <c:legendPos val="r"/>
      <c:layout>
        <c:manualLayout>
          <c:xMode val="edge"/>
          <c:yMode val="edge"/>
          <c:x val="7.398170094821771E-2"/>
          <c:y val="3.9101979003010767E-2"/>
          <c:w val="0.19546184870643013"/>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410745333191401E-2"/>
          <c:y val="5.1400554097404488E-2"/>
          <c:w val="0.88060898116166431"/>
          <c:h val="0.8326195683872849"/>
        </c:manualLayout>
      </c:layout>
      <c:barChart>
        <c:barDir val="col"/>
        <c:grouping val="stacked"/>
        <c:varyColors val="0"/>
        <c:ser>
          <c:idx val="0"/>
          <c:order val="0"/>
          <c:tx>
            <c:v>NFA</c:v>
          </c:tx>
          <c:spPr>
            <a:solidFill>
              <a:schemeClr val="bg2">
                <a:lumMod val="90000"/>
              </a:schemeClr>
            </a:solidFill>
          </c:spPr>
          <c:invertIfNegative val="0"/>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Sheet'!$B$62:$K$62</c:f>
              <c:numCache>
                <c:formatCode>General</c:formatCode>
                <c:ptCount val="10"/>
                <c:pt idx="0">
                  <c:v>0.11</c:v>
                </c:pt>
                <c:pt idx="1">
                  <c:v>0.09</c:v>
                </c:pt>
                <c:pt idx="2">
                  <c:v>6.05</c:v>
                </c:pt>
                <c:pt idx="3">
                  <c:v>5.98</c:v>
                </c:pt>
                <c:pt idx="4">
                  <c:v>0.73</c:v>
                </c:pt>
                <c:pt idx="5">
                  <c:v>52.25</c:v>
                </c:pt>
                <c:pt idx="6">
                  <c:v>79.12</c:v>
                </c:pt>
                <c:pt idx="7">
                  <c:v>146.37</c:v>
                </c:pt>
                <c:pt idx="8">
                  <c:v>187.4</c:v>
                </c:pt>
                <c:pt idx="9">
                  <c:v>358.34</c:v>
                </c:pt>
              </c:numCache>
            </c:numRef>
          </c:val>
        </c:ser>
        <c:ser>
          <c:idx val="1"/>
          <c:order val="1"/>
          <c:tx>
            <c:v>Cap WIP</c:v>
          </c:tx>
          <c:spPr>
            <a:solidFill>
              <a:srgbClr val="FF0000"/>
            </a:solidFill>
          </c:spPr>
          <c:invertIfNegative val="0"/>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Sheet'!$B$63:$K$63</c:f>
              <c:numCache>
                <c:formatCode>General</c:formatCode>
                <c:ptCount val="10"/>
                <c:pt idx="2">
                  <c:v>12.59</c:v>
                </c:pt>
                <c:pt idx="3">
                  <c:v>16.43</c:v>
                </c:pt>
                <c:pt idx="4">
                  <c:v>17.48</c:v>
                </c:pt>
                <c:pt idx="5">
                  <c:v>19.579999999999998</c:v>
                </c:pt>
                <c:pt idx="6">
                  <c:v>19.899999999999999</c:v>
                </c:pt>
                <c:pt idx="7">
                  <c:v>18.13</c:v>
                </c:pt>
                <c:pt idx="8">
                  <c:v>20.72</c:v>
                </c:pt>
                <c:pt idx="9">
                  <c:v>28.06</c:v>
                </c:pt>
              </c:numCache>
            </c:numRef>
          </c:val>
        </c:ser>
        <c:dLbls>
          <c:showLegendKey val="0"/>
          <c:showVal val="0"/>
          <c:showCatName val="0"/>
          <c:showSerName val="0"/>
          <c:showPercent val="0"/>
          <c:showBubbleSize val="0"/>
        </c:dLbls>
        <c:gapWidth val="25"/>
        <c:overlap val="100"/>
        <c:axId val="198942080"/>
        <c:axId val="198943872"/>
      </c:barChart>
      <c:catAx>
        <c:axId val="198942080"/>
        <c:scaling>
          <c:orientation val="minMax"/>
        </c:scaling>
        <c:delete val="0"/>
        <c:axPos val="b"/>
        <c:numFmt formatCode="yy;@" sourceLinked="0"/>
        <c:majorTickMark val="out"/>
        <c:minorTickMark val="none"/>
        <c:tickLblPos val="nextTo"/>
        <c:crossAx val="198943872"/>
        <c:crosses val="autoZero"/>
        <c:auto val="0"/>
        <c:lblAlgn val="ctr"/>
        <c:lblOffset val="100"/>
        <c:noMultiLvlLbl val="0"/>
      </c:catAx>
      <c:valAx>
        <c:axId val="198943872"/>
        <c:scaling>
          <c:orientation val="minMax"/>
        </c:scaling>
        <c:delete val="0"/>
        <c:axPos val="r"/>
        <c:majorGridlines>
          <c:spPr>
            <a:ln>
              <a:noFill/>
            </a:ln>
          </c:spPr>
        </c:majorGridlines>
        <c:numFmt formatCode="General" sourceLinked="1"/>
        <c:majorTickMark val="out"/>
        <c:minorTickMark val="none"/>
        <c:tickLblPos val="nextTo"/>
        <c:spPr>
          <a:ln>
            <a:noFill/>
          </a:ln>
        </c:spPr>
        <c:crossAx val="198942080"/>
        <c:crosses val="max"/>
        <c:crossBetween val="between"/>
      </c:valAx>
    </c:plotArea>
    <c:legend>
      <c:legendPos val="r"/>
      <c:layout>
        <c:manualLayout>
          <c:xMode val="edge"/>
          <c:yMode val="edge"/>
          <c:x val="9.1678969816272934E-3"/>
          <c:y val="4.2459536307961499E-3"/>
          <c:w val="0.36516725947411366"/>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CFO (adj)</a:t>
            </a:r>
          </a:p>
        </c:rich>
      </c:tx>
      <c:layout>
        <c:manualLayout>
          <c:xMode val="edge"/>
          <c:yMode val="edge"/>
          <c:x val="6.0336291917925449E-3"/>
          <c:y val="4.1666666666666664E-2"/>
        </c:manualLayout>
      </c:layout>
      <c:overlay val="1"/>
    </c:title>
    <c:autoTitleDeleted val="0"/>
    <c:plotArea>
      <c:layout>
        <c:manualLayout>
          <c:layoutTarget val="inner"/>
          <c:xMode val="edge"/>
          <c:yMode val="edge"/>
          <c:x val="1.1980801415938405E-2"/>
          <c:y val="1.9840483286890805E-2"/>
          <c:w val="0.97978963963246657"/>
          <c:h val="0.84722549681289838"/>
        </c:manualLayout>
      </c:layout>
      <c:barChart>
        <c:barDir val="col"/>
        <c:grouping val="clustered"/>
        <c:varyColors val="0"/>
        <c:ser>
          <c:idx val="0"/>
          <c:order val="0"/>
          <c:tx>
            <c:v>CFO (adj)</c:v>
          </c:tx>
          <c:spPr>
            <a:solidFill>
              <a:srgbClr val="92D050"/>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Others!$B$19:$K$19</c:f>
              <c:numCache>
                <c:formatCode>General</c:formatCode>
                <c:ptCount val="10"/>
                <c:pt idx="0">
                  <c:v>0</c:v>
                </c:pt>
                <c:pt idx="1">
                  <c:v>0</c:v>
                </c:pt>
                <c:pt idx="2">
                  <c:v>11.38</c:v>
                </c:pt>
                <c:pt idx="3">
                  <c:v>-3.4</c:v>
                </c:pt>
                <c:pt idx="4">
                  <c:v>-7.59</c:v>
                </c:pt>
                <c:pt idx="5">
                  <c:v>11.790000000000001</c:v>
                </c:pt>
                <c:pt idx="6">
                  <c:v>25.63</c:v>
                </c:pt>
                <c:pt idx="7">
                  <c:v>18.68</c:v>
                </c:pt>
                <c:pt idx="8">
                  <c:v>70.09</c:v>
                </c:pt>
                <c:pt idx="9">
                  <c:v>114.44</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axId val="199049216"/>
        <c:axId val="199051904"/>
      </c:barChart>
      <c:catAx>
        <c:axId val="199049216"/>
        <c:scaling>
          <c:orientation val="minMax"/>
        </c:scaling>
        <c:delete val="0"/>
        <c:axPos val="b"/>
        <c:numFmt formatCode="yy;@" sourceLinked="0"/>
        <c:majorTickMark val="out"/>
        <c:minorTickMark val="none"/>
        <c:tickLblPos val="low"/>
        <c:txPr>
          <a:bodyPr/>
          <a:lstStyle/>
          <a:p>
            <a:pPr>
              <a:defRPr sz="800"/>
            </a:pPr>
            <a:endParaRPr lang="en-US"/>
          </a:p>
        </c:txPr>
        <c:crossAx val="199051904"/>
        <c:crosses val="autoZero"/>
        <c:auto val="0"/>
        <c:lblAlgn val="ctr"/>
        <c:lblOffset val="100"/>
        <c:noMultiLvlLbl val="0"/>
      </c:catAx>
      <c:valAx>
        <c:axId val="199051904"/>
        <c:scaling>
          <c:orientation val="minMax"/>
        </c:scaling>
        <c:delete val="1"/>
        <c:axPos val="l"/>
        <c:majorGridlines>
          <c:spPr>
            <a:ln>
              <a:noFill/>
            </a:ln>
          </c:spPr>
        </c:majorGridlines>
        <c:numFmt formatCode="General" sourceLinked="1"/>
        <c:majorTickMark val="out"/>
        <c:minorTickMark val="none"/>
        <c:tickLblPos val="nextTo"/>
        <c:crossAx val="199049216"/>
        <c:crosses val="autoZero"/>
        <c:crossBetween val="between"/>
      </c:valAx>
    </c:plotArea>
    <c:plotVisOnly val="1"/>
    <c:dispBlanksAs val="gap"/>
    <c:showDLblsOverMax val="0"/>
  </c:chart>
  <c:spPr>
    <a:ln w="3175"/>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0344504010509738E-2"/>
          <c:y val="2.2422398927302207E-2"/>
          <c:w val="0.97931099197898053"/>
          <c:h val="0.92698384528827804"/>
        </c:manualLayout>
      </c:layout>
      <c:barChart>
        <c:barDir val="col"/>
        <c:grouping val="clustered"/>
        <c:varyColors val="0"/>
        <c:ser>
          <c:idx val="0"/>
          <c:order val="0"/>
          <c:tx>
            <c:v>Gross Profit</c:v>
          </c:tx>
          <c:spPr>
            <a:solidFill>
              <a:srgbClr val="C2E8C7"/>
            </a:solidFill>
          </c:spPr>
          <c:invertIfNegative val="1"/>
          <c:dLbls>
            <c:numFmt formatCode="#,##0" sourceLinked="0"/>
            <c:txPr>
              <a:bodyPr/>
              <a:lstStyle/>
              <a:p>
                <a:pPr>
                  <a:defRPr sz="800"/>
                </a:pPr>
                <a:endParaRPr lang="en-US"/>
              </a:p>
            </c:txPr>
            <c:dLblPos val="out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Others!$B$7:$K$7</c:f>
              <c:numCache>
                <c:formatCode>General</c:formatCode>
                <c:ptCount val="10"/>
                <c:pt idx="0">
                  <c:v>0</c:v>
                </c:pt>
                <c:pt idx="1">
                  <c:v>0</c:v>
                </c:pt>
                <c:pt idx="2">
                  <c:v>16.32</c:v>
                </c:pt>
                <c:pt idx="3">
                  <c:v>21.06</c:v>
                </c:pt>
                <c:pt idx="4">
                  <c:v>26.21</c:v>
                </c:pt>
                <c:pt idx="5">
                  <c:v>44.06</c:v>
                </c:pt>
                <c:pt idx="6">
                  <c:v>124.85</c:v>
                </c:pt>
                <c:pt idx="7">
                  <c:v>271.93</c:v>
                </c:pt>
                <c:pt idx="8">
                  <c:v>528.34</c:v>
                </c:pt>
                <c:pt idx="9">
                  <c:v>849.24</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0"/>
          <c:showCatName val="0"/>
          <c:showSerName val="0"/>
          <c:showPercent val="0"/>
          <c:showBubbleSize val="0"/>
        </c:dLbls>
        <c:gapWidth val="25"/>
        <c:axId val="199072384"/>
        <c:axId val="199086464"/>
      </c:barChart>
      <c:catAx>
        <c:axId val="199072384"/>
        <c:scaling>
          <c:orientation val="minMax"/>
        </c:scaling>
        <c:delete val="0"/>
        <c:axPos val="b"/>
        <c:numFmt formatCode="yy;@" sourceLinked="0"/>
        <c:majorTickMark val="out"/>
        <c:minorTickMark val="none"/>
        <c:tickLblPos val="nextTo"/>
        <c:crossAx val="199086464"/>
        <c:crosses val="autoZero"/>
        <c:auto val="0"/>
        <c:lblAlgn val="ctr"/>
        <c:lblOffset val="100"/>
        <c:noMultiLvlLbl val="0"/>
      </c:catAx>
      <c:valAx>
        <c:axId val="199086464"/>
        <c:scaling>
          <c:orientation val="minMax"/>
        </c:scaling>
        <c:delete val="1"/>
        <c:axPos val="l"/>
        <c:majorGridlines>
          <c:spPr>
            <a:ln>
              <a:noFill/>
            </a:ln>
          </c:spPr>
        </c:majorGridlines>
        <c:numFmt formatCode="General" sourceLinked="1"/>
        <c:majorTickMark val="out"/>
        <c:minorTickMark val="none"/>
        <c:tickLblPos val="nextTo"/>
        <c:crossAx val="199072384"/>
        <c:crosses val="autoZero"/>
        <c:crossBetween val="between"/>
      </c:valAx>
    </c:plotArea>
    <c:legend>
      <c:legendPos val="r"/>
      <c:layout>
        <c:manualLayout>
          <c:xMode val="edge"/>
          <c:yMode val="edge"/>
          <c:x val="1.7240704021933374E-2"/>
          <c:y val="4.7007341997151716E-2"/>
          <c:w val="0.41243872189535546"/>
          <c:h val="9.5996496956789745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2.0513998250218726E-2"/>
          <c:w val="0.95384930999469963"/>
          <c:h val="0.84023840769903757"/>
        </c:manualLayout>
      </c:layout>
      <c:barChart>
        <c:barDir val="col"/>
        <c:grouping val="clustered"/>
        <c:varyColors val="0"/>
        <c:ser>
          <c:idx val="0"/>
          <c:order val="0"/>
          <c:tx>
            <c:v>Gross Margin</c:v>
          </c:tx>
          <c:spPr>
            <a:solidFill>
              <a:srgbClr val="C2E8C7"/>
            </a:solidFill>
          </c:spPr>
          <c:invertIfNegative val="1"/>
          <c:dLbls>
            <c:numFmt formatCode="0%" sourceLinked="0"/>
            <c:txPr>
              <a:bodyPr rot="0" vert="horz"/>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Others!$B$8:$K$8</c:f>
              <c:numCache>
                <c:formatCode>0%</c:formatCode>
                <c:ptCount val="10"/>
                <c:pt idx="0">
                  <c:v>0</c:v>
                </c:pt>
                <c:pt idx="1">
                  <c:v>0</c:v>
                </c:pt>
                <c:pt idx="2">
                  <c:v>1</c:v>
                </c:pt>
                <c:pt idx="3">
                  <c:v>1</c:v>
                </c:pt>
                <c:pt idx="4">
                  <c:v>1</c:v>
                </c:pt>
                <c:pt idx="5">
                  <c:v>1</c:v>
                </c:pt>
                <c:pt idx="6">
                  <c:v>1</c:v>
                </c:pt>
                <c:pt idx="7">
                  <c:v>1</c:v>
                </c:pt>
                <c:pt idx="8">
                  <c:v>1</c:v>
                </c:pt>
                <c:pt idx="9">
                  <c:v>1</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36"/>
        <c:overlap val="1"/>
        <c:axId val="198928640"/>
        <c:axId val="198984064"/>
      </c:barChart>
      <c:catAx>
        <c:axId val="198928640"/>
        <c:scaling>
          <c:orientation val="minMax"/>
        </c:scaling>
        <c:delete val="0"/>
        <c:axPos val="b"/>
        <c:numFmt formatCode="yy;@" sourceLinked="0"/>
        <c:majorTickMark val="out"/>
        <c:minorTickMark val="none"/>
        <c:tickLblPos val="nextTo"/>
        <c:crossAx val="198984064"/>
        <c:crosses val="autoZero"/>
        <c:auto val="0"/>
        <c:lblAlgn val="ctr"/>
        <c:lblOffset val="100"/>
        <c:noMultiLvlLbl val="0"/>
      </c:catAx>
      <c:valAx>
        <c:axId val="198984064"/>
        <c:scaling>
          <c:orientation val="minMax"/>
        </c:scaling>
        <c:delete val="1"/>
        <c:axPos val="l"/>
        <c:majorGridlines>
          <c:spPr>
            <a:ln>
              <a:noFill/>
            </a:ln>
          </c:spPr>
        </c:majorGridlines>
        <c:numFmt formatCode="0%" sourceLinked="1"/>
        <c:majorTickMark val="none"/>
        <c:minorTickMark val="none"/>
        <c:tickLblPos val="none"/>
        <c:crossAx val="198928640"/>
        <c:crosses val="autoZero"/>
        <c:crossBetween val="between"/>
      </c:valAx>
      <c:spPr>
        <a:noFill/>
        <a:ln w="25400">
          <a:noFill/>
        </a:ln>
      </c:spPr>
    </c:plotArea>
    <c:legend>
      <c:legendPos val="r"/>
      <c:layout>
        <c:manualLayout>
          <c:xMode val="edge"/>
          <c:yMode val="edge"/>
          <c:x val="0"/>
          <c:y val="9.3198398795579108E-3"/>
          <c:w val="0.4392690638969769"/>
          <c:h val="0.13896099936917988"/>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Total Debt</a:t>
            </a:r>
          </a:p>
        </c:rich>
      </c:tx>
      <c:layout>
        <c:manualLayout>
          <c:xMode val="edge"/>
          <c:yMode val="edge"/>
          <c:x val="1.1200973350902397E-2"/>
          <c:y val="3.4722222222222224E-2"/>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Total Debt</c:v>
          </c:tx>
          <c:spPr>
            <a:solidFill>
              <a:srgbClr val="FF0000"/>
            </a:solidFill>
          </c:spPr>
          <c:invertIfNegative val="0"/>
          <c:dLbls>
            <c:numFmt formatCode="#,##0" sourceLinked="0"/>
            <c:spPr>
              <a:ln w="3175"/>
            </c:spPr>
            <c:txPr>
              <a:bodyPr/>
              <a:lstStyle/>
              <a:p>
                <a:pPr>
                  <a:defRPr sz="800"/>
                </a:pPr>
                <a:endParaRPr lang="en-US"/>
              </a:p>
            </c:txPr>
            <c:dLblPos val="inEnd"/>
            <c:showLegendKey val="0"/>
            <c:showVal val="1"/>
            <c:showCatName val="0"/>
            <c:showSerName val="0"/>
            <c:showPercent val="0"/>
            <c:showBubbleSize val="0"/>
            <c:showLeaderLines val="0"/>
          </c:dLbls>
          <c:cat>
            <c:numRef>
              <c:f>'Data Sheet'!$B$56:$K$56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'Data Sheet'!$B$59:$K$59</c:f>
              <c:numCache>
                <c:formatCode>General</c:formatCode>
                <c:ptCount val="10"/>
                <c:pt idx="0">
                  <c:v>1.31</c:v>
                </c:pt>
                <c:pt idx="2">
                  <c:v>1.07</c:v>
                </c:pt>
                <c:pt idx="3">
                  <c:v>2.93</c:v>
                </c:pt>
                <c:pt idx="4">
                  <c:v>2.11</c:v>
                </c:pt>
                <c:pt idx="5">
                  <c:v>3.78</c:v>
                </c:pt>
                <c:pt idx="6">
                  <c:v>7.0000000000000007E-2</c:v>
                </c:pt>
                <c:pt idx="7">
                  <c:v>2.72</c:v>
                </c:pt>
                <c:pt idx="8">
                  <c:v>40.79</c:v>
                </c:pt>
                <c:pt idx="9">
                  <c:v>86.48</c:v>
                </c:pt>
              </c:numCache>
            </c:numRef>
          </c:val>
        </c:ser>
        <c:dLbls>
          <c:showLegendKey val="0"/>
          <c:showVal val="1"/>
          <c:showCatName val="0"/>
          <c:showSerName val="0"/>
          <c:showPercent val="0"/>
          <c:showBubbleSize val="0"/>
        </c:dLbls>
        <c:gapWidth val="25"/>
        <c:overlap val="1"/>
        <c:axId val="198994560"/>
        <c:axId val="199017984"/>
      </c:barChart>
      <c:catAx>
        <c:axId val="198994560"/>
        <c:scaling>
          <c:orientation val="minMax"/>
        </c:scaling>
        <c:delete val="0"/>
        <c:axPos val="b"/>
        <c:numFmt formatCode="yy;@" sourceLinked="0"/>
        <c:majorTickMark val="out"/>
        <c:minorTickMark val="none"/>
        <c:tickLblPos val="nextTo"/>
        <c:crossAx val="199017984"/>
        <c:crosses val="autoZero"/>
        <c:auto val="0"/>
        <c:lblAlgn val="ctr"/>
        <c:lblOffset val="100"/>
        <c:noMultiLvlLbl val="0"/>
      </c:catAx>
      <c:valAx>
        <c:axId val="199017984"/>
        <c:scaling>
          <c:orientation val="minMax"/>
        </c:scaling>
        <c:delete val="1"/>
        <c:axPos val="l"/>
        <c:majorGridlines>
          <c:spPr>
            <a:ln>
              <a:noFill/>
            </a:ln>
          </c:spPr>
        </c:majorGridlines>
        <c:numFmt formatCode="General" sourceLinked="1"/>
        <c:majorTickMark val="none"/>
        <c:minorTickMark val="none"/>
        <c:tickLblPos val="none"/>
        <c:crossAx val="198994560"/>
        <c:crosses val="autoZero"/>
        <c:crossBetween val="between"/>
      </c:valAx>
      <c:spPr>
        <a:noFill/>
        <a:ln w="25400">
          <a:noFill/>
        </a:ln>
      </c:spPr>
    </c:plotArea>
    <c:plotVisOnly val="1"/>
    <c:dispBlanksAs val="gap"/>
    <c:showDLblsOverMax val="0"/>
  </c:chart>
  <c:spPr>
    <a:ln w="3175"/>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0</xdr:col>
      <xdr:colOff>80736</xdr:colOff>
      <xdr:row>1</xdr:row>
      <xdr:rowOff>185054</xdr:rowOff>
    </xdr:from>
    <xdr:to>
      <xdr:col>5</xdr:col>
      <xdr:colOff>1742</xdr:colOff>
      <xdr:row>11</xdr:row>
      <xdr:rowOff>108854</xdr:rowOff>
    </xdr:to>
    <xdr:graphicFrame macro="">
      <xdr:nvGraphicFramePr>
        <xdr:cNvPr id="2" name="Sal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34712</xdr:colOff>
      <xdr:row>2</xdr:row>
      <xdr:rowOff>4499</xdr:rowOff>
    </xdr:from>
    <xdr:to>
      <xdr:col>9</xdr:col>
      <xdr:colOff>557503</xdr:colOff>
      <xdr:row>11</xdr:row>
      <xdr:rowOff>118799</xdr:rowOff>
    </xdr:to>
    <xdr:graphicFrame macro="">
      <xdr:nvGraphicFramePr>
        <xdr:cNvPr id="3" name="OtherIncom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580414</xdr:colOff>
      <xdr:row>2</xdr:row>
      <xdr:rowOff>786</xdr:rowOff>
    </xdr:from>
    <xdr:to>
      <xdr:col>14</xdr:col>
      <xdr:colOff>495070</xdr:colOff>
      <xdr:row>11</xdr:row>
      <xdr:rowOff>115086</xdr:rowOff>
    </xdr:to>
    <xdr:graphicFrame macro="">
      <xdr:nvGraphicFramePr>
        <xdr:cNvPr id="4" name="Q-Sal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519339</xdr:colOff>
      <xdr:row>2</xdr:row>
      <xdr:rowOff>4188</xdr:rowOff>
    </xdr:from>
    <xdr:to>
      <xdr:col>19</xdr:col>
      <xdr:colOff>433995</xdr:colOff>
      <xdr:row>11</xdr:row>
      <xdr:rowOff>118488</xdr:rowOff>
    </xdr:to>
    <xdr:graphicFrame macro="">
      <xdr:nvGraphicFramePr>
        <xdr:cNvPr id="5" name="Shareholder Fund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462190</xdr:colOff>
      <xdr:row>2</xdr:row>
      <xdr:rowOff>4188</xdr:rowOff>
    </xdr:from>
    <xdr:to>
      <xdr:col>24</xdr:col>
      <xdr:colOff>376846</xdr:colOff>
      <xdr:row>11</xdr:row>
      <xdr:rowOff>118488</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406907</xdr:colOff>
      <xdr:row>1</xdr:row>
      <xdr:rowOff>187359</xdr:rowOff>
    </xdr:from>
    <xdr:to>
      <xdr:col>29</xdr:col>
      <xdr:colOff>321563</xdr:colOff>
      <xdr:row>11</xdr:row>
      <xdr:rowOff>111159</xdr:rowOff>
    </xdr:to>
    <xdr:graphicFrame macro="">
      <xdr:nvGraphicFramePr>
        <xdr:cNvPr id="7" name="CFO (Ad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94684</xdr:colOff>
      <xdr:row>11</xdr:row>
      <xdr:rowOff>137454</xdr:rowOff>
    </xdr:from>
    <xdr:to>
      <xdr:col>5</xdr:col>
      <xdr:colOff>3074</xdr:colOff>
      <xdr:row>21</xdr:row>
      <xdr:rowOff>61254</xdr:rowOff>
    </xdr:to>
    <xdr:graphicFrame macro="">
      <xdr:nvGraphicFramePr>
        <xdr:cNvPr id="8" name="Gross Profi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39051</xdr:colOff>
      <xdr:row>11</xdr:row>
      <xdr:rowOff>136933</xdr:rowOff>
    </xdr:from>
    <xdr:to>
      <xdr:col>9</xdr:col>
      <xdr:colOff>561842</xdr:colOff>
      <xdr:row>21</xdr:row>
      <xdr:rowOff>60733</xdr:rowOff>
    </xdr:to>
    <xdr:graphicFrame macro="">
      <xdr:nvGraphicFramePr>
        <xdr:cNvPr id="9" name="Gross Margi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516509</xdr:colOff>
      <xdr:row>11</xdr:row>
      <xdr:rowOff>145206</xdr:rowOff>
    </xdr:from>
    <xdr:to>
      <xdr:col>19</xdr:col>
      <xdr:colOff>431165</xdr:colOff>
      <xdr:row>21</xdr:row>
      <xdr:rowOff>69006</xdr:rowOff>
    </xdr:to>
    <xdr:graphicFrame macro="">
      <xdr:nvGraphicFramePr>
        <xdr:cNvPr id="10" name="TotalDeb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463159</xdr:colOff>
      <xdr:row>11</xdr:row>
      <xdr:rowOff>145115</xdr:rowOff>
    </xdr:from>
    <xdr:to>
      <xdr:col>24</xdr:col>
      <xdr:colOff>377815</xdr:colOff>
      <xdr:row>21</xdr:row>
      <xdr:rowOff>68915</xdr:rowOff>
    </xdr:to>
    <xdr:graphicFrame macro="">
      <xdr:nvGraphicFramePr>
        <xdr:cNvPr id="11" name="Fixed Asset Tur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418736</xdr:colOff>
      <xdr:row>11</xdr:row>
      <xdr:rowOff>139226</xdr:rowOff>
    </xdr:from>
    <xdr:to>
      <xdr:col>29</xdr:col>
      <xdr:colOff>333392</xdr:colOff>
      <xdr:row>21</xdr:row>
      <xdr:rowOff>63026</xdr:rowOff>
    </xdr:to>
    <xdr:graphicFrame macro="">
      <xdr:nvGraphicFramePr>
        <xdr:cNvPr id="12" name="CF Investmen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29</xdr:col>
      <xdr:colOff>351610</xdr:colOff>
      <xdr:row>1</xdr:row>
      <xdr:rowOff>187361</xdr:rowOff>
    </xdr:from>
    <xdr:to>
      <xdr:col>34</xdr:col>
      <xdr:colOff>267731</xdr:colOff>
      <xdr:row>11</xdr:row>
      <xdr:rowOff>111161</xdr:rowOff>
    </xdr:to>
    <xdr:graphicFrame macro="">
      <xdr:nvGraphicFramePr>
        <xdr:cNvPr id="13" name="RoE RoC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72947</xdr:colOff>
      <xdr:row>21</xdr:row>
      <xdr:rowOff>116398</xdr:rowOff>
    </xdr:from>
    <xdr:to>
      <xdr:col>4</xdr:col>
      <xdr:colOff>590853</xdr:colOff>
      <xdr:row>31</xdr:row>
      <xdr:rowOff>40198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24232</xdr:colOff>
      <xdr:row>21</xdr:row>
      <xdr:rowOff>111224</xdr:rowOff>
    </xdr:from>
    <xdr:to>
      <xdr:col>9</xdr:col>
      <xdr:colOff>547023</xdr:colOff>
      <xdr:row>31</xdr:row>
      <xdr:rowOff>35024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572128</xdr:colOff>
      <xdr:row>21</xdr:row>
      <xdr:rowOff>116401</xdr:rowOff>
    </xdr:from>
    <xdr:to>
      <xdr:col>14</xdr:col>
      <xdr:colOff>486784</xdr:colOff>
      <xdr:row>31</xdr:row>
      <xdr:rowOff>40201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478969</xdr:colOff>
      <xdr:row>21</xdr:row>
      <xdr:rowOff>110347</xdr:rowOff>
    </xdr:from>
    <xdr:to>
      <xdr:col>24</xdr:col>
      <xdr:colOff>393625</xdr:colOff>
      <xdr:row>31</xdr:row>
      <xdr:rowOff>34147</xdr:rowOff>
    </xdr:to>
    <xdr:graphicFrame macro="">
      <xdr:nvGraphicFramePr>
        <xdr:cNvPr id="17" name="Inventory Day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475760</xdr:colOff>
      <xdr:row>31</xdr:row>
      <xdr:rowOff>73543</xdr:rowOff>
    </xdr:from>
    <xdr:to>
      <xdr:col>24</xdr:col>
      <xdr:colOff>390416</xdr:colOff>
      <xdr:row>40</xdr:row>
      <xdr:rowOff>187843</xdr:rowOff>
    </xdr:to>
    <xdr:graphicFrame macro="">
      <xdr:nvGraphicFramePr>
        <xdr:cNvPr id="18" name="Receivable Day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24</xdr:col>
      <xdr:colOff>422533</xdr:colOff>
      <xdr:row>21</xdr:row>
      <xdr:rowOff>110347</xdr:rowOff>
    </xdr:from>
    <xdr:to>
      <xdr:col>29</xdr:col>
      <xdr:colOff>337189</xdr:colOff>
      <xdr:row>31</xdr:row>
      <xdr:rowOff>34147</xdr:rowOff>
    </xdr:to>
    <xdr:graphicFrame macro="">
      <xdr:nvGraphicFramePr>
        <xdr:cNvPr id="19" name="CF Financin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24</xdr:col>
      <xdr:colOff>435199</xdr:colOff>
      <xdr:row>31</xdr:row>
      <xdr:rowOff>71563</xdr:rowOff>
    </xdr:from>
    <xdr:to>
      <xdr:col>29</xdr:col>
      <xdr:colOff>349855</xdr:colOff>
      <xdr:row>40</xdr:row>
      <xdr:rowOff>185863</xdr:rowOff>
    </xdr:to>
    <xdr:graphicFrame macro="">
      <xdr:nvGraphicFramePr>
        <xdr:cNvPr id="20" name="CFF Equit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24</xdr:col>
      <xdr:colOff>434600</xdr:colOff>
      <xdr:row>41</xdr:row>
      <xdr:rowOff>34105</xdr:rowOff>
    </xdr:from>
    <xdr:to>
      <xdr:col>29</xdr:col>
      <xdr:colOff>349256</xdr:colOff>
      <xdr:row>50</xdr:row>
      <xdr:rowOff>148405</xdr:rowOff>
    </xdr:to>
    <xdr:graphicFrame macro="">
      <xdr:nvGraphicFramePr>
        <xdr:cNvPr id="21" name="CFF Deb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422258</xdr:colOff>
      <xdr:row>51</xdr:row>
      <xdr:rowOff>7033</xdr:rowOff>
    </xdr:from>
    <xdr:to>
      <xdr:col>29</xdr:col>
      <xdr:colOff>336914</xdr:colOff>
      <xdr:row>60</xdr:row>
      <xdr:rowOff>121333</xdr:rowOff>
    </xdr:to>
    <xdr:graphicFrame macro="">
      <xdr:nvGraphicFramePr>
        <xdr:cNvPr id="22" name="CFF Interes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29</xdr:col>
      <xdr:colOff>373027</xdr:colOff>
      <xdr:row>21</xdr:row>
      <xdr:rowOff>114698</xdr:rowOff>
    </xdr:from>
    <xdr:to>
      <xdr:col>34</xdr:col>
      <xdr:colOff>289148</xdr:colOff>
      <xdr:row>31</xdr:row>
      <xdr:rowOff>38498</xdr:rowOff>
    </xdr:to>
    <xdr:graphicFrame macro="">
      <xdr:nvGraphicFramePr>
        <xdr:cNvPr id="23" name="Ro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29</xdr:col>
      <xdr:colOff>376731</xdr:colOff>
      <xdr:row>41</xdr:row>
      <xdr:rowOff>41029</xdr:rowOff>
    </xdr:from>
    <xdr:to>
      <xdr:col>34</xdr:col>
      <xdr:colOff>292852</xdr:colOff>
      <xdr:row>50</xdr:row>
      <xdr:rowOff>155329</xdr:rowOff>
    </xdr:to>
    <xdr:graphicFrame macro="">
      <xdr:nvGraphicFramePr>
        <xdr:cNvPr id="24" name="Net Margi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29</xdr:col>
      <xdr:colOff>382446</xdr:colOff>
      <xdr:row>31</xdr:row>
      <xdr:rowOff>73761</xdr:rowOff>
    </xdr:from>
    <xdr:to>
      <xdr:col>34</xdr:col>
      <xdr:colOff>298567</xdr:colOff>
      <xdr:row>40</xdr:row>
      <xdr:rowOff>188061</xdr:rowOff>
    </xdr:to>
    <xdr:graphicFrame macro="">
      <xdr:nvGraphicFramePr>
        <xdr:cNvPr id="25" name="AssetTur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73326</xdr:colOff>
      <xdr:row>31</xdr:row>
      <xdr:rowOff>74607</xdr:rowOff>
    </xdr:from>
    <xdr:to>
      <xdr:col>4</xdr:col>
      <xdr:colOff>596117</xdr:colOff>
      <xdr:row>40</xdr:row>
      <xdr:rowOff>188907</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24069</xdr:colOff>
      <xdr:row>31</xdr:row>
      <xdr:rowOff>76639</xdr:rowOff>
    </xdr:from>
    <xdr:to>
      <xdr:col>9</xdr:col>
      <xdr:colOff>546860</xdr:colOff>
      <xdr:row>41</xdr:row>
      <xdr:rowOff>439</xdr:rowOff>
    </xdr:to>
    <xdr:graphicFrame macro="">
      <xdr:nvGraphicFramePr>
        <xdr:cNvPr id="27" name="EBITDA Margi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586129</xdr:colOff>
      <xdr:row>31</xdr:row>
      <xdr:rowOff>87223</xdr:rowOff>
    </xdr:from>
    <xdr:to>
      <xdr:col>14</xdr:col>
      <xdr:colOff>500785</xdr:colOff>
      <xdr:row>41</xdr:row>
      <xdr:rowOff>11023</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61521</xdr:colOff>
      <xdr:row>50</xdr:row>
      <xdr:rowOff>187361</xdr:rowOff>
    </xdr:from>
    <xdr:to>
      <xdr:col>4</xdr:col>
      <xdr:colOff>585777</xdr:colOff>
      <xdr:row>60</xdr:row>
      <xdr:rowOff>111161</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16744</xdr:colOff>
      <xdr:row>50</xdr:row>
      <xdr:rowOff>187361</xdr:rowOff>
    </xdr:from>
    <xdr:to>
      <xdr:col>9</xdr:col>
      <xdr:colOff>539535</xdr:colOff>
      <xdr:row>60</xdr:row>
      <xdr:rowOff>111161</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14</xdr:col>
      <xdr:colOff>526782</xdr:colOff>
      <xdr:row>21</xdr:row>
      <xdr:rowOff>107579</xdr:rowOff>
    </xdr:from>
    <xdr:to>
      <xdr:col>19</xdr:col>
      <xdr:colOff>441438</xdr:colOff>
      <xdr:row>41</xdr:row>
      <xdr:rowOff>899</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14</xdr:col>
      <xdr:colOff>532074</xdr:colOff>
      <xdr:row>41</xdr:row>
      <xdr:rowOff>51812</xdr:rowOff>
    </xdr:from>
    <xdr:to>
      <xdr:col>19</xdr:col>
      <xdr:colOff>446730</xdr:colOff>
      <xdr:row>60</xdr:row>
      <xdr:rowOff>135632</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19</xdr:col>
      <xdr:colOff>476146</xdr:colOff>
      <xdr:row>51</xdr:row>
      <xdr:rowOff>9060</xdr:rowOff>
    </xdr:from>
    <xdr:to>
      <xdr:col>24</xdr:col>
      <xdr:colOff>390802</xdr:colOff>
      <xdr:row>60</xdr:row>
      <xdr:rowOff>123360</xdr:rowOff>
    </xdr:to>
    <xdr:graphicFrame macro="">
      <xdr:nvGraphicFramePr>
        <xdr:cNvPr id="33" name="Interest Coverage Rati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480389</xdr:colOff>
      <xdr:row>41</xdr:row>
      <xdr:rowOff>37952</xdr:rowOff>
    </xdr:from>
    <xdr:to>
      <xdr:col>24</xdr:col>
      <xdr:colOff>395045</xdr:colOff>
      <xdr:row>50</xdr:row>
      <xdr:rowOff>152252</xdr:rowOff>
    </xdr:to>
    <xdr:graphicFrame macro="">
      <xdr:nvGraphicFramePr>
        <xdr:cNvPr id="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57291</xdr:colOff>
      <xdr:row>41</xdr:row>
      <xdr:rowOff>39356</xdr:rowOff>
    </xdr:from>
    <xdr:to>
      <xdr:col>4</xdr:col>
      <xdr:colOff>580082</xdr:colOff>
      <xdr:row>50</xdr:row>
      <xdr:rowOff>153656</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12351</xdr:colOff>
      <xdr:row>41</xdr:row>
      <xdr:rowOff>39358</xdr:rowOff>
    </xdr:from>
    <xdr:to>
      <xdr:col>9</xdr:col>
      <xdr:colOff>535142</xdr:colOff>
      <xdr:row>50</xdr:row>
      <xdr:rowOff>153658</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xdr:col>
      <xdr:colOff>582142</xdr:colOff>
      <xdr:row>41</xdr:row>
      <xdr:rowOff>55230</xdr:rowOff>
    </xdr:from>
    <xdr:to>
      <xdr:col>14</xdr:col>
      <xdr:colOff>496798</xdr:colOff>
      <xdr:row>50</xdr:row>
      <xdr:rowOff>169530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582142</xdr:colOff>
      <xdr:row>51</xdr:row>
      <xdr:rowOff>14933</xdr:rowOff>
    </xdr:from>
    <xdr:to>
      <xdr:col>14</xdr:col>
      <xdr:colOff>496798</xdr:colOff>
      <xdr:row>60</xdr:row>
      <xdr:rowOff>129233</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581200</xdr:colOff>
      <xdr:row>11</xdr:row>
      <xdr:rowOff>135905</xdr:rowOff>
    </xdr:from>
    <xdr:to>
      <xdr:col>14</xdr:col>
      <xdr:colOff>495856</xdr:colOff>
      <xdr:row>21</xdr:row>
      <xdr:rowOff>59705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29</xdr:col>
      <xdr:colOff>367744</xdr:colOff>
      <xdr:row>11</xdr:row>
      <xdr:rowOff>140570</xdr:rowOff>
    </xdr:from>
    <xdr:to>
      <xdr:col>34</xdr:col>
      <xdr:colOff>283865</xdr:colOff>
      <xdr:row>21</xdr:row>
      <xdr:rowOff>64370</xdr:rowOff>
    </xdr:to>
    <xdr:graphicFrame macro="">
      <xdr:nvGraphicFramePr>
        <xdr:cNvPr id="40" name="Le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29</xdr:col>
      <xdr:colOff>368300</xdr:colOff>
      <xdr:row>51</xdr:row>
      <xdr:rowOff>9525</xdr:rowOff>
    </xdr:from>
    <xdr:to>
      <xdr:col>34</xdr:col>
      <xdr:colOff>282956</xdr:colOff>
      <xdr:row>60</xdr:row>
      <xdr:rowOff>123825</xdr:rowOff>
    </xdr:to>
    <xdr:graphicFrame macro="">
      <xdr:nvGraphicFramePr>
        <xdr:cNvPr id="42" name="Mca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21120</xdr:colOff>
      <xdr:row>14</xdr:row>
      <xdr:rowOff>4969</xdr:rowOff>
    </xdr:from>
    <xdr:to>
      <xdr:col>19</xdr:col>
      <xdr:colOff>302728</xdr:colOff>
      <xdr:row>31</xdr:row>
      <xdr:rowOff>147430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47212</xdr:colOff>
      <xdr:row>32</xdr:row>
      <xdr:rowOff>11595</xdr:rowOff>
    </xdr:from>
    <xdr:to>
      <xdr:col>19</xdr:col>
      <xdr:colOff>328820</xdr:colOff>
      <xdr:row>46</xdr:row>
      <xdr:rowOff>87795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19050</xdr:colOff>
      <xdr:row>1</xdr:row>
      <xdr:rowOff>0</xdr:rowOff>
    </xdr:from>
    <xdr:to>
      <xdr:col>19</xdr:col>
      <xdr:colOff>323850</xdr:colOff>
      <xdr:row>13</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57150</xdr:colOff>
      <xdr:row>47</xdr:row>
      <xdr:rowOff>38100</xdr:rowOff>
    </xdr:from>
    <xdr:to>
      <xdr:col>19</xdr:col>
      <xdr:colOff>361950</xdr:colOff>
      <xdr:row>60</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62</xdr:row>
      <xdr:rowOff>0</xdr:rowOff>
    </xdr:from>
    <xdr:to>
      <xdr:col>19</xdr:col>
      <xdr:colOff>304800</xdr:colOff>
      <xdr:row>76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77</xdr:row>
      <xdr:rowOff>0</xdr:rowOff>
    </xdr:from>
    <xdr:to>
      <xdr:col>19</xdr:col>
      <xdr:colOff>314326</xdr:colOff>
      <xdr:row>92</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19050</xdr:colOff>
      <xdr:row>93</xdr:row>
      <xdr:rowOff>123825</xdr:rowOff>
    </xdr:from>
    <xdr:to>
      <xdr:col>19</xdr:col>
      <xdr:colOff>300658</xdr:colOff>
      <xdr:row>108</xdr:row>
      <xdr:rowOff>9525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876299</xdr:colOff>
      <xdr:row>56</xdr:row>
      <xdr:rowOff>0</xdr:rowOff>
    </xdr:from>
    <xdr:to>
      <xdr:col>17</xdr:col>
      <xdr:colOff>190499</xdr:colOff>
      <xdr:row>69</xdr:row>
      <xdr:rowOff>38099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v>0</v>
          </cell>
        </row>
      </sheetData>
      <sheetData sheetId="15"/>
      <sheetData sheetId="16"/>
      <sheetData sheetId="17"/>
      <sheetData sheetId="18"/>
      <sheetData sheetId="19"/>
    </sheetDataSet>
  </externalBook>
</externalLink>
</file>

<file path=xl/tables/table1.xml><?xml version="1.0" encoding="utf-8"?>
<table xmlns="http://schemas.openxmlformats.org/spreadsheetml/2006/main" id="3" name="Table74" displayName="Table74" ref="A78:L81" headerRowCount="0" totalsRowCount="1">
  <tableColumns count="12">
    <tableColumn id="1" name="Column1" totalsRowLabel="Total" headerRowDxfId="188"/>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otalsRowFunction="custom" dataDxfId="187">
      <calculatedColumnFormula>SUM(Table74[[#This Row],[Column2]:[Column11]])</calculatedColumnFormula>
      <totalsRowFormula>L78-L79-L80</totalsRowFormula>
    </tableColumn>
  </tableColumns>
  <tableStyleInfo name="TableStyleMedium2" showFirstColumn="0" showLastColumn="1" showRowStripes="1" showColumnStripes="0"/>
</table>
</file>

<file path=xl/tables/table2.xml><?xml version="1.0" encoding="utf-8"?>
<table xmlns="http://schemas.openxmlformats.org/spreadsheetml/2006/main" id="4" name="Table85" displayName="Table85" ref="A64:K75" headerRowCount="0" totalsRowShown="0" headerRowDxfId="186" dataDxfId="185" dataCellStyle="Percent">
  <tableColumns count="11">
    <tableColumn id="1" name="Column1" headerRowDxfId="184" dataDxfId="183"/>
    <tableColumn id="2" name="Column2" dataDxfId="182"/>
    <tableColumn id="3" name="Column3" dataDxfId="181" dataCellStyle="Percent"/>
    <tableColumn id="4" name="Column4" headerRowDxfId="180" dataDxfId="179" dataCellStyle="Percent"/>
    <tableColumn id="5" name="Column5" headerRowDxfId="178" dataDxfId="177" dataCellStyle="Percent"/>
    <tableColumn id="6" name="Column6" headerRowDxfId="176" dataDxfId="175" dataCellStyle="Percent"/>
    <tableColumn id="7" name="Column7" headerRowDxfId="174" dataDxfId="173" dataCellStyle="Percent"/>
    <tableColumn id="8" name="Column8" headerRowDxfId="172" dataDxfId="171" dataCellStyle="Percent"/>
    <tableColumn id="9" name="Column9" headerRowDxfId="170" dataDxfId="169" dataCellStyle="Percent"/>
    <tableColumn id="10" name="Column10" headerRowDxfId="168" dataDxfId="167" dataCellStyle="Percent"/>
    <tableColumn id="11" name="Column11" headerRowDxfId="166" dataDxfId="165" dataCellStyle="Percent"/>
  </tableColumns>
  <tableStyleInfo name="TableStyleLight18" showFirstColumn="0" showLastColumn="0" showRowStripes="1" showColumnStripes="0"/>
</table>
</file>

<file path=xl/tables/table3.xml><?xml version="1.0" encoding="utf-8"?>
<table xmlns="http://schemas.openxmlformats.org/spreadsheetml/2006/main" id="1" name="Annual" displayName="Annual" ref="A3:N19" headerRowCount="0" totalsRowShown="0" headerRowDxfId="164">
  <tableColumns count="14">
    <tableColumn id="1" name="Column1" headerRowDxfId="163" dataDxfId="162"/>
    <tableColumn id="2" name="Column2" headerRowDxfId="161"/>
    <tableColumn id="3" name="Column3" headerRowDxfId="160"/>
    <tableColumn id="4" name="Column4" headerRowDxfId="159"/>
    <tableColumn id="5" name="Column5" headerRowDxfId="158"/>
    <tableColumn id="6" name="Column6" headerRowDxfId="157"/>
    <tableColumn id="7" name="Column7" headerRowDxfId="156"/>
    <tableColumn id="8" name="Column8" headerRowDxfId="155"/>
    <tableColumn id="9" name="Column9" headerRowDxfId="154"/>
    <tableColumn id="10" name="Column10" headerRowDxfId="153"/>
    <tableColumn id="11" name="Column11" headerRowDxfId="152"/>
    <tableColumn id="12" name="Column12" headerRowDxfId="151"/>
    <tableColumn id="13" name="Column13" headerRowDxfId="150" dataDxfId="149"/>
    <tableColumn id="14" name="Column14" headerRowDxfId="148" dataDxfId="147"/>
  </tableColumns>
  <tableStyleInfo showFirstColumn="0" showLastColumn="0" showRowStripes="0" showColumnStripes="0"/>
</table>
</file>

<file path=xl/tables/table4.xml><?xml version="1.0" encoding="utf-8"?>
<table xmlns="http://schemas.openxmlformats.org/spreadsheetml/2006/main" id="7" name="Table7" displayName="Table7" ref="A18:L21" headerRowCount="0" totalsRowCount="1">
  <tableColumns count="12">
    <tableColumn id="1" name="Column1" totalsRowLabel="Total" headerRowDxfId="146"/>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otalsRowFunction="custom" dataDxfId="145">
      <calculatedColumnFormula>SUM(Table7[[#This Row],[Column2]:[Column11]])</calculatedColumnFormula>
      <totalsRowFormula>L18-L19-L20</totalsRowFormula>
    </tableColumn>
  </tableColumns>
  <tableStyleInfo name="TableStyleMedium2" showFirstColumn="0" showLastColumn="1" showRowStripes="1" showColumnStripes="0"/>
</table>
</file>

<file path=xl/tables/table5.xml><?xml version="1.0" encoding="utf-8"?>
<table xmlns="http://schemas.openxmlformats.org/spreadsheetml/2006/main" id="8" name="Table8" displayName="Table8" ref="A4:K15" headerRowCount="0" totalsRowShown="0" headerRowDxfId="144" dataDxfId="143" dataCellStyle="Percent">
  <tableColumns count="11">
    <tableColumn id="1" name="Column1" headerRowDxfId="142" dataDxfId="141"/>
    <tableColumn id="2" name="Column2" dataDxfId="140"/>
    <tableColumn id="3" name="Column3" dataDxfId="139" dataCellStyle="Percent"/>
    <tableColumn id="4" name="Column4" headerRowDxfId="138" dataDxfId="137" dataCellStyle="Percent"/>
    <tableColumn id="5" name="Column5" headerRowDxfId="136" dataDxfId="135" dataCellStyle="Percent"/>
    <tableColumn id="6" name="Column6" headerRowDxfId="134" dataDxfId="133" dataCellStyle="Percent"/>
    <tableColumn id="7" name="Column7" headerRowDxfId="132" dataDxfId="131" dataCellStyle="Percent"/>
    <tableColumn id="8" name="Column8" headerRowDxfId="130" dataDxfId="129" dataCellStyle="Percent"/>
    <tableColumn id="9" name="Column9" headerRowDxfId="128" dataDxfId="127" dataCellStyle="Percent"/>
    <tableColumn id="10" name="Column10" headerRowDxfId="126" dataDxfId="125" dataCellStyle="Percent"/>
    <tableColumn id="11" name="Column11" headerRowDxfId="124" dataDxfId="123" dataCellStyle="Percent"/>
  </tableColumns>
  <tableStyleInfo name="TableStyleLight18" showFirstColumn="0" showLastColumn="0" showRowStripes="1" showColumnStripes="0"/>
</table>
</file>

<file path=xl/tables/table6.xml><?xml version="1.0" encoding="utf-8"?>
<table xmlns="http://schemas.openxmlformats.org/spreadsheetml/2006/main" id="5" name="Table5" displayName="Table5" ref="J4:S9" totalsRowShown="0" headerRowDxfId="122" tableBorderDxfId="121" headerRowCellStyle="60% - Accent4">
  <autoFilter ref="J4:S9"/>
  <tableColumns count="10">
    <tableColumn id="1" name="Apr-08"/>
    <tableColumn id="2" name="Apr-09"/>
    <tableColumn id="3" name="Apr-10"/>
    <tableColumn id="4" name="Apr-11"/>
    <tableColumn id="5" name="Apr-12"/>
    <tableColumn id="6" name="Apr-13"/>
    <tableColumn id="7" name="Apr-14"/>
    <tableColumn id="8" name="Apr-15"/>
    <tableColumn id="9" name="Apr-16"/>
    <tableColumn id="10" name="Apr-17"/>
  </tableColumns>
  <tableStyleInfo name="TableStyleLight2" showFirstColumn="0" showLastColumn="0" showRowStripes="1" showColumnStripes="0"/>
</table>
</file>

<file path=xl/tables/table7.xml><?xml version="1.0" encoding="utf-8"?>
<table xmlns="http://schemas.openxmlformats.org/spreadsheetml/2006/main" id="2" name="Quarters" displayName="Quarters" ref="A3:K14" headerRowCount="0" totalsRowShown="0" headerRowDxfId="120">
  <tableColumns count="11">
    <tableColumn id="1" name="Column1" headerRowDxfId="119"/>
    <tableColumn id="2" name="Column2" headerRowDxfId="118"/>
    <tableColumn id="3" name="Column3" headerRowDxfId="117"/>
    <tableColumn id="4" name="Column4" headerRowDxfId="116"/>
    <tableColumn id="5" name="Column5" headerRowDxfId="115"/>
    <tableColumn id="6" name="Column6" headerRowDxfId="114"/>
    <tableColumn id="7" name="Column7" headerRowDxfId="113"/>
    <tableColumn id="8" name="Column8" headerRowDxfId="112"/>
    <tableColumn id="9" name="Column9" headerRowDxfId="111"/>
    <tableColumn id="10" name="Column10" headerRowDxfId="110"/>
    <tableColumn id="11"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theme/themeOverride1.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4.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5.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6.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7.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8.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9.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0.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1.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2.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3.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4.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5.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10.bin"/><Relationship Id="rId1" Type="http://schemas.openxmlformats.org/officeDocument/2006/relationships/hyperlink" Target="http://www.screener.in/"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creener.in/" TargetMode="External"/></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creener.in/exce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www.screener.i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creener.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tabSelected="1" workbookViewId="0"/>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57</v>
      </c>
    </row>
    <row r="3" spans="1:7" x14ac:dyDescent="0.25">
      <c r="A3" s="8" t="s">
        <v>48</v>
      </c>
    </row>
    <row r="4" spans="1:7" x14ac:dyDescent="0.25">
      <c r="B4" s="11" t="s">
        <v>91</v>
      </c>
    </row>
    <row r="5" spans="1:7" x14ac:dyDescent="0.25">
      <c r="B5" s="11" t="s">
        <v>49</v>
      </c>
    </row>
    <row r="7" spans="1:7" x14ac:dyDescent="0.25">
      <c r="A7" s="8" t="s">
        <v>50</v>
      </c>
    </row>
    <row r="8" spans="1:7" x14ac:dyDescent="0.25">
      <c r="B8" s="11" t="s">
        <v>51</v>
      </c>
      <c r="C8" s="27" t="s">
        <v>92</v>
      </c>
    </row>
    <row r="10" spans="1:7" x14ac:dyDescent="0.25">
      <c r="A10" s="8" t="s">
        <v>52</v>
      </c>
    </row>
    <row r="11" spans="1:7" x14ac:dyDescent="0.25">
      <c r="B11" s="11" t="s">
        <v>53</v>
      </c>
    </row>
    <row r="14" spans="1:7" x14ac:dyDescent="0.25">
      <c r="A14" s="8" t="s">
        <v>54</v>
      </c>
    </row>
    <row r="15" spans="1:7" x14ac:dyDescent="0.25">
      <c r="B15" s="11" t="s">
        <v>55</v>
      </c>
    </row>
    <row r="16" spans="1:7" x14ac:dyDescent="0.25">
      <c r="B16" s="11" t="s">
        <v>56</v>
      </c>
      <c r="G16" s="28" t="s">
        <v>93</v>
      </c>
    </row>
  </sheetData>
  <hyperlinks>
    <hyperlink ref="C8" r:id="rId1" display=" http://www.screener.in/exce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5"/>
  <sheetViews>
    <sheetView topLeftCell="A41" workbookViewId="0">
      <selection activeCell="D56" sqref="D56"/>
    </sheetView>
  </sheetViews>
  <sheetFormatPr defaultRowHeight="12" x14ac:dyDescent="0.2"/>
  <cols>
    <col min="1" max="1" width="30" style="283" bestFit="1" customWidth="1"/>
    <col min="2" max="2" width="42" style="283" customWidth="1"/>
    <col min="3" max="12" width="9.140625" style="283"/>
    <col min="13" max="13" width="12" style="283" bestFit="1" customWidth="1"/>
    <col min="14" max="16384" width="9.140625" style="283"/>
  </cols>
  <sheetData>
    <row r="1" spans="1:13" x14ac:dyDescent="0.2">
      <c r="A1" s="281" t="str">
        <f>'Data Sheet'!B1</f>
        <v>8K MILES SOFTWARE SERVICES LTD</v>
      </c>
      <c r="B1" s="281"/>
      <c r="C1" s="282"/>
      <c r="D1" s="282"/>
      <c r="E1" s="282"/>
      <c r="F1" s="282"/>
      <c r="G1" s="282"/>
      <c r="H1" s="282"/>
      <c r="I1" s="282"/>
      <c r="J1" s="282"/>
      <c r="K1" s="282"/>
      <c r="L1" s="282"/>
      <c r="M1" s="282"/>
    </row>
    <row r="2" spans="1:13" x14ac:dyDescent="0.2">
      <c r="A2" s="284"/>
      <c r="B2" s="284"/>
      <c r="C2" s="282"/>
      <c r="D2" s="282"/>
      <c r="E2" s="282"/>
      <c r="F2" s="282"/>
      <c r="G2" s="282"/>
      <c r="H2" s="282"/>
      <c r="I2" s="282"/>
      <c r="J2" s="282"/>
      <c r="K2" s="282"/>
      <c r="L2" s="282"/>
      <c r="M2" s="282"/>
    </row>
    <row r="3" spans="1:13" x14ac:dyDescent="0.2">
      <c r="A3" s="444" t="s">
        <v>580</v>
      </c>
      <c r="B3" s="444"/>
      <c r="C3" s="444"/>
      <c r="D3" s="444"/>
      <c r="E3" s="444"/>
      <c r="F3" s="444"/>
      <c r="G3" s="444"/>
      <c r="H3" s="444"/>
      <c r="I3" s="444"/>
      <c r="J3" s="444"/>
      <c r="K3" s="444"/>
      <c r="L3" s="285"/>
      <c r="M3" s="286"/>
    </row>
    <row r="4" spans="1:13" x14ac:dyDescent="0.2">
      <c r="A4" s="287" t="str">
        <f>'Data Sheet'!A1</f>
        <v>COMPANY NAME</v>
      </c>
      <c r="B4" s="287"/>
      <c r="C4" s="288">
        <f>'Data Sheet'!B$16</f>
        <v>39903</v>
      </c>
      <c r="D4" s="288">
        <f>'Data Sheet'!C$16</f>
        <v>40268</v>
      </c>
      <c r="E4" s="288">
        <f>'Data Sheet'!D$16</f>
        <v>40633</v>
      </c>
      <c r="F4" s="288">
        <f>'Data Sheet'!E$16</f>
        <v>40999</v>
      </c>
      <c r="G4" s="288">
        <f>'Data Sheet'!F$16</f>
        <v>41364</v>
      </c>
      <c r="H4" s="288">
        <f>'Data Sheet'!G$16</f>
        <v>41729</v>
      </c>
      <c r="I4" s="288">
        <f>'Data Sheet'!H$16</f>
        <v>42094</v>
      </c>
      <c r="J4" s="288">
        <f>'Data Sheet'!I$16</f>
        <v>42460</v>
      </c>
      <c r="K4" s="288">
        <f>'Data Sheet'!J$16</f>
        <v>42825</v>
      </c>
      <c r="L4" s="288">
        <f>'Data Sheet'!K$16</f>
        <v>43190</v>
      </c>
      <c r="M4" s="288" t="s">
        <v>581</v>
      </c>
    </row>
    <row r="5" spans="1:13" x14ac:dyDescent="0.2">
      <c r="A5" s="289" t="s">
        <v>582</v>
      </c>
      <c r="B5" s="289"/>
      <c r="C5" s="290"/>
      <c r="D5" s="290"/>
      <c r="E5" s="290"/>
      <c r="F5" s="290"/>
      <c r="G5" s="290"/>
      <c r="H5" s="290"/>
      <c r="I5" s="290"/>
      <c r="J5" s="290"/>
      <c r="K5" s="290"/>
      <c r="L5" s="290"/>
      <c r="M5" s="286"/>
    </row>
    <row r="6" spans="1:13" x14ac:dyDescent="0.2">
      <c r="A6" s="291" t="s">
        <v>45</v>
      </c>
      <c r="B6" s="292" t="s">
        <v>583</v>
      </c>
      <c r="C6" s="293">
        <f>Other_input_data!C60</f>
        <v>0</v>
      </c>
      <c r="D6" s="293">
        <f>Other_input_data!D60</f>
        <v>0</v>
      </c>
      <c r="E6" s="293">
        <f>Other_input_data!E60</f>
        <v>0</v>
      </c>
      <c r="F6" s="293">
        <f>Other_input_data!F60</f>
        <v>0</v>
      </c>
      <c r="G6" s="293">
        <f>Other_input_data!G60</f>
        <v>0</v>
      </c>
      <c r="H6" s="293">
        <f>Other_input_data!H60</f>
        <v>0</v>
      </c>
      <c r="I6" s="293">
        <f>Other_input_data!I60</f>
        <v>0</v>
      </c>
      <c r="J6" s="293">
        <f>Other_input_data!J60</f>
        <v>0</v>
      </c>
      <c r="K6" s="293">
        <f>Other_input_data!K60</f>
        <v>0</v>
      </c>
      <c r="L6" s="293">
        <f>Other_input_data!L60</f>
        <v>0</v>
      </c>
      <c r="M6" s="293">
        <f>Other_input_data!M60</f>
        <v>0</v>
      </c>
    </row>
    <row r="7" spans="1:13" x14ac:dyDescent="0.2">
      <c r="A7" s="291" t="s">
        <v>44</v>
      </c>
      <c r="B7" s="292" t="s">
        <v>583</v>
      </c>
      <c r="C7" s="293">
        <f>C59</f>
        <v>2.76</v>
      </c>
      <c r="D7" s="293">
        <f t="shared" ref="D7:M7" si="0">D59</f>
        <v>2.76</v>
      </c>
      <c r="E7" s="293">
        <f t="shared" si="0"/>
        <v>10.96</v>
      </c>
      <c r="F7" s="293">
        <f t="shared" si="0"/>
        <v>12.95</v>
      </c>
      <c r="G7" s="293">
        <f t="shared" si="0"/>
        <v>13.83</v>
      </c>
      <c r="H7" s="293">
        <f t="shared" si="0"/>
        <v>13.42</v>
      </c>
      <c r="I7" s="293">
        <f t="shared" si="0"/>
        <v>28.14</v>
      </c>
      <c r="J7" s="293">
        <f t="shared" si="0"/>
        <v>80.209999999999994</v>
      </c>
      <c r="K7" s="293">
        <f t="shared" si="0"/>
        <v>129.47999999999999</v>
      </c>
      <c r="L7" s="293">
        <f t="shared" si="0"/>
        <v>252.52</v>
      </c>
      <c r="M7" s="293">
        <f t="shared" si="0"/>
        <v>0</v>
      </c>
    </row>
    <row r="8" spans="1:13" x14ac:dyDescent="0.2">
      <c r="A8" s="291" t="s">
        <v>584</v>
      </c>
      <c r="B8" s="292" t="s">
        <v>583</v>
      </c>
      <c r="C8" s="293">
        <f>C61</f>
        <v>0</v>
      </c>
      <c r="D8" s="293">
        <f t="shared" ref="D8:M8" si="1">D61</f>
        <v>0.01</v>
      </c>
      <c r="E8" s="293">
        <f t="shared" si="1"/>
        <v>0.44</v>
      </c>
      <c r="F8" s="293">
        <f t="shared" si="1"/>
        <v>2.97</v>
      </c>
      <c r="G8" s="293">
        <f t="shared" si="1"/>
        <v>1.45</v>
      </c>
      <c r="H8" s="293">
        <f t="shared" si="1"/>
        <v>4.83</v>
      </c>
      <c r="I8" s="293">
        <f t="shared" si="1"/>
        <v>14.78</v>
      </c>
      <c r="J8" s="293">
        <f t="shared" si="1"/>
        <v>28.56</v>
      </c>
      <c r="K8" s="293">
        <f t="shared" si="1"/>
        <v>89.79</v>
      </c>
      <c r="L8" s="293">
        <f t="shared" si="1"/>
        <v>10.99</v>
      </c>
      <c r="M8" s="293">
        <f t="shared" si="1"/>
        <v>0</v>
      </c>
    </row>
    <row r="9" spans="1:13" x14ac:dyDescent="0.2">
      <c r="A9" s="291" t="s">
        <v>585</v>
      </c>
      <c r="B9" s="292" t="s">
        <v>583</v>
      </c>
      <c r="C9" s="293">
        <f>C53</f>
        <v>7.09</v>
      </c>
      <c r="D9" s="293">
        <f t="shared" ref="D9:M10" si="2">D53</f>
        <v>6.54</v>
      </c>
      <c r="E9" s="293">
        <f t="shared" si="2"/>
        <v>16.690000000000001</v>
      </c>
      <c r="F9" s="293">
        <f t="shared" si="2"/>
        <v>22</v>
      </c>
      <c r="G9" s="293">
        <f t="shared" si="2"/>
        <v>26.55</v>
      </c>
      <c r="H9" s="293">
        <f t="shared" si="2"/>
        <v>27.73</v>
      </c>
      <c r="I9" s="293">
        <f t="shared" si="2"/>
        <v>52.83</v>
      </c>
      <c r="J9" s="293">
        <f t="shared" si="2"/>
        <v>149.61000000000001</v>
      </c>
      <c r="K9" s="293">
        <f t="shared" si="2"/>
        <v>303.39</v>
      </c>
      <c r="L9" s="293">
        <f t="shared" si="2"/>
        <v>434.82</v>
      </c>
      <c r="M9" s="293">
        <f t="shared" si="2"/>
        <v>0</v>
      </c>
    </row>
    <row r="10" spans="1:13" x14ac:dyDescent="0.2">
      <c r="A10" s="291" t="s">
        <v>586</v>
      </c>
      <c r="B10" s="292" t="s">
        <v>583</v>
      </c>
      <c r="C10" s="293">
        <f>C54</f>
        <v>0.16</v>
      </c>
      <c r="D10" s="293">
        <f t="shared" si="2"/>
        <v>0.15</v>
      </c>
      <c r="E10" s="293">
        <f t="shared" si="2"/>
        <v>13.57</v>
      </c>
      <c r="F10" s="293">
        <f t="shared" si="2"/>
        <v>15.97</v>
      </c>
      <c r="G10" s="293">
        <f t="shared" si="2"/>
        <v>15.06</v>
      </c>
      <c r="H10" s="293">
        <f t="shared" si="2"/>
        <v>33.78</v>
      </c>
      <c r="I10" s="293">
        <f t="shared" si="2"/>
        <v>52</v>
      </c>
      <c r="J10" s="293">
        <f t="shared" si="2"/>
        <v>106.94</v>
      </c>
      <c r="K10" s="293">
        <f t="shared" si="2"/>
        <v>150.77000000000001</v>
      </c>
      <c r="L10" s="293">
        <f t="shared" si="2"/>
        <v>243.64</v>
      </c>
      <c r="M10" s="293">
        <f t="shared" si="2"/>
        <v>0</v>
      </c>
    </row>
    <row r="11" spans="1:13" x14ac:dyDescent="0.2">
      <c r="A11" s="291" t="s">
        <v>587</v>
      </c>
      <c r="B11" s="292" t="s">
        <v>588</v>
      </c>
      <c r="C11" s="293">
        <f>C9-C10</f>
        <v>6.93</v>
      </c>
      <c r="D11" s="293">
        <f t="shared" ref="D11:M11" si="3">D9-D10</f>
        <v>6.39</v>
      </c>
      <c r="E11" s="293">
        <f t="shared" si="3"/>
        <v>3.120000000000001</v>
      </c>
      <c r="F11" s="293">
        <f t="shared" si="3"/>
        <v>6.0299999999999994</v>
      </c>
      <c r="G11" s="293">
        <f t="shared" si="3"/>
        <v>11.49</v>
      </c>
      <c r="H11" s="293">
        <f t="shared" si="3"/>
        <v>-6.0500000000000007</v>
      </c>
      <c r="I11" s="293">
        <f t="shared" si="3"/>
        <v>0.82999999999999829</v>
      </c>
      <c r="J11" s="293">
        <f t="shared" si="3"/>
        <v>42.670000000000016</v>
      </c>
      <c r="K11" s="293">
        <f t="shared" si="3"/>
        <v>152.61999999999998</v>
      </c>
      <c r="L11" s="293">
        <f t="shared" si="3"/>
        <v>191.18</v>
      </c>
      <c r="M11" s="293">
        <f t="shared" si="3"/>
        <v>0</v>
      </c>
    </row>
    <row r="12" spans="1:13" x14ac:dyDescent="0.2">
      <c r="A12" s="445"/>
      <c r="B12" s="445"/>
      <c r="C12" s="445"/>
      <c r="D12" s="445"/>
      <c r="E12" s="445"/>
      <c r="F12" s="445"/>
      <c r="G12" s="445"/>
      <c r="H12" s="445"/>
      <c r="I12" s="445"/>
      <c r="J12" s="445"/>
      <c r="K12" s="445"/>
      <c r="L12" s="445"/>
      <c r="M12" s="286"/>
    </row>
    <row r="13" spans="1:13" x14ac:dyDescent="0.2">
      <c r="A13" s="444" t="s">
        <v>589</v>
      </c>
      <c r="B13" s="444"/>
      <c r="C13" s="444"/>
      <c r="D13" s="444"/>
      <c r="E13" s="444"/>
      <c r="F13" s="444"/>
      <c r="G13" s="444"/>
      <c r="H13" s="444"/>
      <c r="I13" s="444"/>
      <c r="J13" s="444"/>
      <c r="K13" s="444"/>
      <c r="L13" s="294"/>
      <c r="M13" s="286"/>
    </row>
    <row r="14" spans="1:13" x14ac:dyDescent="0.2">
      <c r="A14" s="295" t="s">
        <v>590</v>
      </c>
      <c r="B14" s="295"/>
      <c r="C14" s="296">
        <f>C4</f>
        <v>39903</v>
      </c>
      <c r="D14" s="296">
        <f t="shared" ref="D14:M14" si="4">D4</f>
        <v>40268</v>
      </c>
      <c r="E14" s="296">
        <f t="shared" si="4"/>
        <v>40633</v>
      </c>
      <c r="F14" s="296">
        <f t="shared" si="4"/>
        <v>40999</v>
      </c>
      <c r="G14" s="296">
        <f t="shared" si="4"/>
        <v>41364</v>
      </c>
      <c r="H14" s="296">
        <f t="shared" si="4"/>
        <v>41729</v>
      </c>
      <c r="I14" s="296">
        <f t="shared" si="4"/>
        <v>42094</v>
      </c>
      <c r="J14" s="296">
        <f t="shared" si="4"/>
        <v>42460</v>
      </c>
      <c r="K14" s="296">
        <f t="shared" si="4"/>
        <v>42825</v>
      </c>
      <c r="L14" s="296">
        <f t="shared" si="4"/>
        <v>43190</v>
      </c>
      <c r="M14" s="296" t="str">
        <f t="shared" si="4"/>
        <v>TTM</v>
      </c>
    </row>
    <row r="15" spans="1:13" x14ac:dyDescent="0.2">
      <c r="A15" s="297" t="s">
        <v>591</v>
      </c>
      <c r="B15" s="297" t="s">
        <v>583</v>
      </c>
      <c r="C15" s="298">
        <f>'Data Sheet'!B18</f>
        <v>0</v>
      </c>
      <c r="D15" s="298">
        <f>'Data Sheet'!C18</f>
        <v>0</v>
      </c>
      <c r="E15" s="298">
        <f>'Data Sheet'!D18</f>
        <v>0</v>
      </c>
      <c r="F15" s="298">
        <f>'Data Sheet'!E18</f>
        <v>0</v>
      </c>
      <c r="G15" s="298">
        <f>'Data Sheet'!F18</f>
        <v>0</v>
      </c>
      <c r="H15" s="298">
        <f>'Data Sheet'!G18</f>
        <v>0</v>
      </c>
      <c r="I15" s="298">
        <f>'Data Sheet'!H18</f>
        <v>0</v>
      </c>
      <c r="J15" s="298">
        <f>'Data Sheet'!I18</f>
        <v>0</v>
      </c>
      <c r="K15" s="298">
        <f>'Data Sheet'!J18</f>
        <v>0</v>
      </c>
      <c r="L15" s="298">
        <f>'Data Sheet'!K18</f>
        <v>0</v>
      </c>
      <c r="M15" s="298">
        <f>'Data Sheet'!L18</f>
        <v>0</v>
      </c>
    </row>
    <row r="16" spans="1:13" x14ac:dyDescent="0.2">
      <c r="A16" s="299" t="s">
        <v>82</v>
      </c>
      <c r="B16" s="299" t="s">
        <v>583</v>
      </c>
      <c r="C16" s="298">
        <f>'Data Sheet'!B19</f>
        <v>0</v>
      </c>
      <c r="D16" s="298">
        <f>'Data Sheet'!C19</f>
        <v>0</v>
      </c>
      <c r="E16" s="298">
        <f>'Data Sheet'!D19</f>
        <v>0</v>
      </c>
      <c r="F16" s="298">
        <f>'Data Sheet'!E19</f>
        <v>0</v>
      </c>
      <c r="G16" s="298">
        <f>'Data Sheet'!F19</f>
        <v>0</v>
      </c>
      <c r="H16" s="298">
        <f>'Data Sheet'!G19</f>
        <v>0</v>
      </c>
      <c r="I16" s="298">
        <f>'Data Sheet'!H19</f>
        <v>0</v>
      </c>
      <c r="J16" s="298">
        <f>'Data Sheet'!I19</f>
        <v>0</v>
      </c>
      <c r="K16" s="298">
        <f>'Data Sheet'!J19</f>
        <v>0</v>
      </c>
      <c r="L16" s="298">
        <f>'Data Sheet'!K19</f>
        <v>0</v>
      </c>
      <c r="M16" s="298">
        <f>'Data Sheet'!L19</f>
        <v>0</v>
      </c>
    </row>
    <row r="17" spans="1:13" x14ac:dyDescent="0.2">
      <c r="A17" s="299" t="s">
        <v>83</v>
      </c>
      <c r="B17" s="299" t="s">
        <v>583</v>
      </c>
      <c r="C17" s="298">
        <f>'Data Sheet'!B20</f>
        <v>0.01</v>
      </c>
      <c r="D17" s="298">
        <f>'Data Sheet'!C20</f>
        <v>0</v>
      </c>
      <c r="E17" s="298">
        <f>'Data Sheet'!D20</f>
        <v>0</v>
      </c>
      <c r="F17" s="298">
        <f>'Data Sheet'!E20</f>
        <v>0</v>
      </c>
      <c r="G17" s="298">
        <f>'Data Sheet'!F20</f>
        <v>0</v>
      </c>
      <c r="H17" s="298">
        <f>'Data Sheet'!G20</f>
        <v>0.05</v>
      </c>
      <c r="I17" s="298">
        <f>'Data Sheet'!H20</f>
        <v>0</v>
      </c>
      <c r="J17" s="298">
        <f>'Data Sheet'!I20</f>
        <v>0</v>
      </c>
      <c r="K17" s="298">
        <f>'Data Sheet'!J20</f>
        <v>0.28000000000000003</v>
      </c>
      <c r="L17" s="298">
        <f>'Data Sheet'!K20</f>
        <v>0.3</v>
      </c>
      <c r="M17" s="298">
        <f>'Data Sheet'!L20</f>
        <v>0</v>
      </c>
    </row>
    <row r="18" spans="1:13" x14ac:dyDescent="0.2">
      <c r="A18" s="299" t="s">
        <v>84</v>
      </c>
      <c r="B18" s="299" t="s">
        <v>583</v>
      </c>
      <c r="C18" s="298">
        <f>'Data Sheet'!B21</f>
        <v>0</v>
      </c>
      <c r="D18" s="298">
        <f>'Data Sheet'!C21</f>
        <v>0</v>
      </c>
      <c r="E18" s="298">
        <f>'Data Sheet'!D21</f>
        <v>0</v>
      </c>
      <c r="F18" s="298">
        <f>'Data Sheet'!E21</f>
        <v>0</v>
      </c>
      <c r="G18" s="298">
        <f>'Data Sheet'!F21</f>
        <v>0</v>
      </c>
      <c r="H18" s="298">
        <f>'Data Sheet'!G21</f>
        <v>0.01</v>
      </c>
      <c r="I18" s="298">
        <f>'Data Sheet'!H21</f>
        <v>0</v>
      </c>
      <c r="J18" s="298">
        <f>'Data Sheet'!I21</f>
        <v>0</v>
      </c>
      <c r="K18" s="298">
        <f>'Data Sheet'!J21</f>
        <v>2.13</v>
      </c>
      <c r="L18" s="298">
        <f>'Data Sheet'!K21</f>
        <v>1.47</v>
      </c>
      <c r="M18" s="298">
        <f>'Data Sheet'!L21</f>
        <v>0</v>
      </c>
    </row>
    <row r="19" spans="1:13" x14ac:dyDescent="0.2">
      <c r="A19" s="299" t="s">
        <v>85</v>
      </c>
      <c r="B19" s="299" t="s">
        <v>583</v>
      </c>
      <c r="C19" s="298">
        <f>'Data Sheet'!B22</f>
        <v>0.03</v>
      </c>
      <c r="D19" s="298">
        <f>'Data Sheet'!C22</f>
        <v>0.01</v>
      </c>
      <c r="E19" s="298">
        <f>'Data Sheet'!D22</f>
        <v>10.56</v>
      </c>
      <c r="F19" s="298">
        <f>'Data Sheet'!E22</f>
        <v>13.13</v>
      </c>
      <c r="G19" s="298">
        <f>'Data Sheet'!F22</f>
        <v>15.67</v>
      </c>
      <c r="H19" s="298">
        <f>'Data Sheet'!G22</f>
        <v>23.36</v>
      </c>
      <c r="I19" s="298">
        <f>'Data Sheet'!H22</f>
        <v>56.65</v>
      </c>
      <c r="J19" s="298">
        <f>'Data Sheet'!I22</f>
        <v>127.33</v>
      </c>
      <c r="K19" s="298">
        <f>'Data Sheet'!J22</f>
        <v>176.36</v>
      </c>
      <c r="L19" s="298">
        <f>'Data Sheet'!K22</f>
        <v>235.58</v>
      </c>
      <c r="M19" s="298">
        <f>'Data Sheet'!L22</f>
        <v>0</v>
      </c>
    </row>
    <row r="20" spans="1:13" x14ac:dyDescent="0.2">
      <c r="A20" s="297" t="s">
        <v>592</v>
      </c>
      <c r="B20" s="297" t="s">
        <v>583</v>
      </c>
      <c r="C20" s="298">
        <f>'Data Sheet'!B23</f>
        <v>0.02</v>
      </c>
      <c r="D20" s="298">
        <f>'Data Sheet'!C23</f>
        <v>0.04</v>
      </c>
      <c r="E20" s="298">
        <f>'Data Sheet'!D23</f>
        <v>2.5099999999999998</v>
      </c>
      <c r="F20" s="298">
        <f>'Data Sheet'!E23</f>
        <v>0.55000000000000004</v>
      </c>
      <c r="G20" s="298">
        <f>'Data Sheet'!F23</f>
        <v>0.24</v>
      </c>
      <c r="H20" s="298">
        <f>'Data Sheet'!G23</f>
        <v>6.65</v>
      </c>
      <c r="I20" s="298">
        <f>'Data Sheet'!H23</f>
        <v>29.93</v>
      </c>
      <c r="J20" s="298">
        <f>'Data Sheet'!I23</f>
        <v>56.09</v>
      </c>
      <c r="K20" s="298">
        <f>'Data Sheet'!J23</f>
        <v>151.69999999999999</v>
      </c>
      <c r="L20" s="298">
        <f>'Data Sheet'!K23</f>
        <v>295.47000000000003</v>
      </c>
      <c r="M20" s="298">
        <f>'Data Sheet'!L23</f>
        <v>0</v>
      </c>
    </row>
    <row r="21" spans="1:13" x14ac:dyDescent="0.2">
      <c r="A21" s="297" t="s">
        <v>593</v>
      </c>
      <c r="B21" s="297" t="s">
        <v>583</v>
      </c>
      <c r="C21" s="298">
        <f>'Data Sheet'!B24</f>
        <v>0.04</v>
      </c>
      <c r="D21" s="298">
        <f>'Data Sheet'!C24</f>
        <v>0</v>
      </c>
      <c r="E21" s="298">
        <f>'Data Sheet'!D24</f>
        <v>0.02</v>
      </c>
      <c r="F21" s="298">
        <f>'Data Sheet'!E24</f>
        <v>2.38</v>
      </c>
      <c r="G21" s="298">
        <f>'Data Sheet'!F24</f>
        <v>4.8600000000000003</v>
      </c>
      <c r="H21" s="298">
        <f>'Data Sheet'!G24</f>
        <v>0.18</v>
      </c>
      <c r="I21" s="298">
        <f>'Data Sheet'!H24</f>
        <v>0</v>
      </c>
      <c r="J21" s="298">
        <f>'Data Sheet'!I24</f>
        <v>0</v>
      </c>
      <c r="K21" s="298">
        <f>'Data Sheet'!J24</f>
        <v>13.07</v>
      </c>
      <c r="L21" s="298">
        <f>'Data Sheet'!K24</f>
        <v>23.05</v>
      </c>
      <c r="M21" s="298">
        <f>'Data Sheet'!L24</f>
        <v>0</v>
      </c>
    </row>
    <row r="22" spans="1:13" x14ac:dyDescent="0.2">
      <c r="A22" s="299" t="s">
        <v>9</v>
      </c>
      <c r="B22" s="299" t="s">
        <v>583</v>
      </c>
      <c r="C22" s="298">
        <f>'Data Sheet'!B25</f>
        <v>1.35</v>
      </c>
      <c r="D22" s="298">
        <f>'Data Sheet'!C25</f>
        <v>0.09</v>
      </c>
      <c r="E22" s="298">
        <f>'Data Sheet'!D25</f>
        <v>0.02</v>
      </c>
      <c r="F22" s="298">
        <f>'Data Sheet'!E25</f>
        <v>0.06</v>
      </c>
      <c r="G22" s="298">
        <f>'Data Sheet'!F25</f>
        <v>7.0000000000000007E-2</v>
      </c>
      <c r="H22" s="298">
        <f>'Data Sheet'!G25</f>
        <v>0.05</v>
      </c>
      <c r="I22" s="298">
        <f>'Data Sheet'!H25</f>
        <v>0.28999999999999998</v>
      </c>
      <c r="J22" s="298">
        <f>'Data Sheet'!I25</f>
        <v>0.21</v>
      </c>
      <c r="K22" s="298">
        <f>'Data Sheet'!J25</f>
        <v>0.9</v>
      </c>
      <c r="L22" s="298">
        <f>'Data Sheet'!K25</f>
        <v>8.4499999999999993</v>
      </c>
      <c r="M22" s="298">
        <f>'Data Sheet'!L25</f>
        <v>0</v>
      </c>
    </row>
    <row r="23" spans="1:13" x14ac:dyDescent="0.2">
      <c r="A23" s="299" t="s">
        <v>10</v>
      </c>
      <c r="B23" s="299" t="s">
        <v>583</v>
      </c>
      <c r="C23" s="298">
        <f>'Data Sheet'!B26</f>
        <v>0</v>
      </c>
      <c r="D23" s="298">
        <f>'Data Sheet'!C26</f>
        <v>0</v>
      </c>
      <c r="E23" s="298">
        <f>'Data Sheet'!D26</f>
        <v>0.69</v>
      </c>
      <c r="F23" s="298">
        <f>'Data Sheet'!E26</f>
        <v>0.8</v>
      </c>
      <c r="G23" s="298">
        <f>'Data Sheet'!F26</f>
        <v>0.81</v>
      </c>
      <c r="H23" s="298">
        <f>'Data Sheet'!G26</f>
        <v>4.3099999999999996</v>
      </c>
      <c r="I23" s="298">
        <f>'Data Sheet'!H26</f>
        <v>9.1199999999999992</v>
      </c>
      <c r="J23" s="298">
        <f>'Data Sheet'!I26</f>
        <v>20.23</v>
      </c>
      <c r="K23" s="298">
        <f>'Data Sheet'!J26</f>
        <v>13.52</v>
      </c>
      <c r="L23" s="298">
        <f>'Data Sheet'!K26</f>
        <v>25.19</v>
      </c>
      <c r="M23" s="298">
        <f>'Data Sheet'!L26</f>
        <v>0</v>
      </c>
    </row>
    <row r="24" spans="1:13" x14ac:dyDescent="0.2">
      <c r="A24" s="299" t="s">
        <v>11</v>
      </c>
      <c r="B24" s="299" t="s">
        <v>583</v>
      </c>
      <c r="C24" s="298">
        <f>'Data Sheet'!B27</f>
        <v>0</v>
      </c>
      <c r="D24" s="298">
        <f>'Data Sheet'!C27</f>
        <v>0</v>
      </c>
      <c r="E24" s="298">
        <f>'Data Sheet'!D27</f>
        <v>0.02</v>
      </c>
      <c r="F24" s="298">
        <f>'Data Sheet'!E27</f>
        <v>0.05</v>
      </c>
      <c r="G24" s="298">
        <f>'Data Sheet'!F27</f>
        <v>0.17</v>
      </c>
      <c r="H24" s="298">
        <f>'Data Sheet'!G27</f>
        <v>0.37</v>
      </c>
      <c r="I24" s="298">
        <f>'Data Sheet'!H27</f>
        <v>0.45</v>
      </c>
      <c r="J24" s="298">
        <f>'Data Sheet'!I27</f>
        <v>0.21</v>
      </c>
      <c r="K24" s="298">
        <f>'Data Sheet'!J27</f>
        <v>1.64</v>
      </c>
      <c r="L24" s="298">
        <f>'Data Sheet'!K27</f>
        <v>10.66</v>
      </c>
      <c r="M24" s="298">
        <f>'Data Sheet'!L27</f>
        <v>0</v>
      </c>
    </row>
    <row r="25" spans="1:13" x14ac:dyDescent="0.2">
      <c r="A25" s="297" t="s">
        <v>594</v>
      </c>
      <c r="B25" s="297" t="s">
        <v>583</v>
      </c>
      <c r="C25" s="298">
        <f>'Data Sheet'!B22</f>
        <v>0.03</v>
      </c>
      <c r="D25" s="298">
        <f>'Data Sheet'!C22</f>
        <v>0.01</v>
      </c>
      <c r="E25" s="298">
        <f>'Data Sheet'!D22</f>
        <v>10.56</v>
      </c>
      <c r="F25" s="298">
        <f>'Data Sheet'!E22</f>
        <v>13.13</v>
      </c>
      <c r="G25" s="298">
        <f>'Data Sheet'!F22</f>
        <v>15.67</v>
      </c>
      <c r="H25" s="298">
        <f>'Data Sheet'!G22</f>
        <v>23.36</v>
      </c>
      <c r="I25" s="298">
        <f>'Data Sheet'!H22</f>
        <v>56.65</v>
      </c>
      <c r="J25" s="298">
        <f>'Data Sheet'!I22</f>
        <v>127.33</v>
      </c>
      <c r="K25" s="298">
        <f>'Data Sheet'!J22</f>
        <v>176.36</v>
      </c>
      <c r="L25" s="298">
        <f>'Data Sheet'!K22</f>
        <v>235.58</v>
      </c>
      <c r="M25" s="298">
        <f>'Data Sheet'!L22</f>
        <v>0</v>
      </c>
    </row>
    <row r="26" spans="1:13" x14ac:dyDescent="0.2">
      <c r="A26" s="297" t="s">
        <v>592</v>
      </c>
      <c r="B26" s="297" t="s">
        <v>583</v>
      </c>
      <c r="C26" s="298">
        <f>'Data Sheet'!B23</f>
        <v>0.02</v>
      </c>
      <c r="D26" s="298">
        <f>'Data Sheet'!C23</f>
        <v>0.04</v>
      </c>
      <c r="E26" s="298">
        <f>'Data Sheet'!D23</f>
        <v>2.5099999999999998</v>
      </c>
      <c r="F26" s="298">
        <f>'Data Sheet'!E23</f>
        <v>0.55000000000000004</v>
      </c>
      <c r="G26" s="298">
        <f>'Data Sheet'!F23</f>
        <v>0.24</v>
      </c>
      <c r="H26" s="298">
        <f>'Data Sheet'!G23</f>
        <v>6.65</v>
      </c>
      <c r="I26" s="298">
        <f>'Data Sheet'!H23</f>
        <v>29.93</v>
      </c>
      <c r="J26" s="298">
        <f>'Data Sheet'!I23</f>
        <v>56.09</v>
      </c>
      <c r="K26" s="298">
        <f>'Data Sheet'!J23</f>
        <v>151.69999999999999</v>
      </c>
      <c r="L26" s="298">
        <f>'Data Sheet'!K23</f>
        <v>295.47000000000003</v>
      </c>
      <c r="M26" s="298">
        <f>'Data Sheet'!L23</f>
        <v>0</v>
      </c>
    </row>
    <row r="27" spans="1:13" x14ac:dyDescent="0.2">
      <c r="A27" s="297" t="s">
        <v>595</v>
      </c>
      <c r="B27" s="297"/>
      <c r="C27" s="298"/>
      <c r="D27" s="298"/>
      <c r="E27" s="298"/>
      <c r="F27" s="298"/>
      <c r="G27" s="298"/>
      <c r="H27" s="298"/>
      <c r="I27" s="298"/>
      <c r="J27" s="298"/>
      <c r="K27" s="298"/>
      <c r="L27" s="298"/>
      <c r="M27" s="298"/>
    </row>
    <row r="28" spans="1:13" x14ac:dyDescent="0.2">
      <c r="A28" s="297" t="s">
        <v>596</v>
      </c>
      <c r="B28" s="297"/>
      <c r="C28" s="298"/>
      <c r="D28" s="298"/>
      <c r="E28" s="298"/>
      <c r="F28" s="298"/>
      <c r="G28" s="298"/>
      <c r="H28" s="298"/>
      <c r="I28" s="298"/>
      <c r="J28" s="298"/>
      <c r="K28" s="298"/>
      <c r="L28" s="298"/>
      <c r="M28" s="298"/>
    </row>
    <row r="29" spans="1:13" x14ac:dyDescent="0.2">
      <c r="A29" s="297" t="s">
        <v>597</v>
      </c>
      <c r="B29" s="297"/>
      <c r="C29" s="298"/>
      <c r="D29" s="298"/>
      <c r="E29" s="298"/>
      <c r="F29" s="298"/>
      <c r="G29" s="298"/>
      <c r="H29" s="300"/>
      <c r="I29" s="300"/>
      <c r="J29" s="300"/>
      <c r="K29" s="300"/>
      <c r="L29" s="297"/>
      <c r="M29" s="297"/>
    </row>
    <row r="30" spans="1:13" x14ac:dyDescent="0.2">
      <c r="A30" s="301" t="s">
        <v>598</v>
      </c>
      <c r="B30" s="301" t="s">
        <v>599</v>
      </c>
      <c r="C30" s="298"/>
      <c r="D30" s="298">
        <f>(D56-C56)+(D57-C57)+D36</f>
        <v>-2.0000000000000004E-2</v>
      </c>
      <c r="E30" s="298">
        <f t="shared" ref="E30:M30" si="5">(E56-D56)+(E57-D57)+E36</f>
        <v>19.240000000000002</v>
      </c>
      <c r="F30" s="298">
        <f t="shared" si="5"/>
        <v>4.57</v>
      </c>
      <c r="G30" s="298">
        <f t="shared" si="5"/>
        <v>-3.3899999999999992</v>
      </c>
      <c r="H30" s="298">
        <f t="shared" si="5"/>
        <v>57.930000000000007</v>
      </c>
      <c r="I30" s="298">
        <f t="shared" si="5"/>
        <v>36.31</v>
      </c>
      <c r="J30" s="298">
        <f t="shared" si="5"/>
        <v>85.710000000000008</v>
      </c>
      <c r="K30" s="298">
        <f t="shared" si="5"/>
        <v>57.14</v>
      </c>
      <c r="L30" s="298">
        <f t="shared" si="5"/>
        <v>203.46999999999997</v>
      </c>
      <c r="M30" s="298">
        <f t="shared" si="5"/>
        <v>-386.4</v>
      </c>
    </row>
    <row r="31" spans="1:13" x14ac:dyDescent="0.2">
      <c r="A31" s="302" t="str">
        <f>'Data Sheet'!A1</f>
        <v>COMPANY NAME</v>
      </c>
      <c r="B31" s="302"/>
      <c r="C31" s="303">
        <f t="shared" ref="C31:M31" si="6">C14</f>
        <v>39903</v>
      </c>
      <c r="D31" s="303">
        <f t="shared" si="6"/>
        <v>40268</v>
      </c>
      <c r="E31" s="303">
        <f t="shared" si="6"/>
        <v>40633</v>
      </c>
      <c r="F31" s="303">
        <f t="shared" si="6"/>
        <v>40999</v>
      </c>
      <c r="G31" s="303">
        <f t="shared" si="6"/>
        <v>41364</v>
      </c>
      <c r="H31" s="303">
        <f t="shared" si="6"/>
        <v>41729</v>
      </c>
      <c r="I31" s="303">
        <f t="shared" si="6"/>
        <v>42094</v>
      </c>
      <c r="J31" s="303">
        <f t="shared" si="6"/>
        <v>42460</v>
      </c>
      <c r="K31" s="303">
        <f t="shared" si="6"/>
        <v>42825</v>
      </c>
      <c r="L31" s="303">
        <f t="shared" si="6"/>
        <v>43190</v>
      </c>
      <c r="M31" s="303" t="str">
        <f t="shared" si="6"/>
        <v>TTM</v>
      </c>
    </row>
    <row r="32" spans="1:13" x14ac:dyDescent="0.2">
      <c r="A32" s="304" t="s">
        <v>6</v>
      </c>
      <c r="B32" s="304" t="s">
        <v>583</v>
      </c>
      <c r="C32" s="304">
        <f>'Data Sheet'!B17</f>
        <v>0</v>
      </c>
      <c r="D32" s="304">
        <f>'Data Sheet'!C17</f>
        <v>0</v>
      </c>
      <c r="E32" s="304">
        <f>'Data Sheet'!D17</f>
        <v>16.32</v>
      </c>
      <c r="F32" s="304">
        <f>'Data Sheet'!E17</f>
        <v>21.06</v>
      </c>
      <c r="G32" s="304">
        <f>'Data Sheet'!F17</f>
        <v>26.21</v>
      </c>
      <c r="H32" s="304">
        <f>'Data Sheet'!G17</f>
        <v>44.06</v>
      </c>
      <c r="I32" s="304">
        <f>'Data Sheet'!H17</f>
        <v>124.85</v>
      </c>
      <c r="J32" s="304">
        <f>'Data Sheet'!I17</f>
        <v>271.93</v>
      </c>
      <c r="K32" s="304">
        <f>'Data Sheet'!J17</f>
        <v>528.34</v>
      </c>
      <c r="L32" s="304">
        <f>'Data Sheet'!K17</f>
        <v>849.24</v>
      </c>
      <c r="M32" s="304">
        <f>'Data Sheet'!L17</f>
        <v>0</v>
      </c>
    </row>
    <row r="33" spans="1:14" x14ac:dyDescent="0.2">
      <c r="A33" s="304" t="str">
        <f>A15</f>
        <v>Raw Materials</v>
      </c>
      <c r="B33" s="304" t="s">
        <v>583</v>
      </c>
      <c r="C33" s="304">
        <f t="shared" ref="C33:M33" si="7">C15</f>
        <v>0</v>
      </c>
      <c r="D33" s="304">
        <f t="shared" si="7"/>
        <v>0</v>
      </c>
      <c r="E33" s="304">
        <f t="shared" si="7"/>
        <v>0</v>
      </c>
      <c r="F33" s="304">
        <f t="shared" si="7"/>
        <v>0</v>
      </c>
      <c r="G33" s="304">
        <f t="shared" si="7"/>
        <v>0</v>
      </c>
      <c r="H33" s="304">
        <f t="shared" si="7"/>
        <v>0</v>
      </c>
      <c r="I33" s="304">
        <f t="shared" si="7"/>
        <v>0</v>
      </c>
      <c r="J33" s="304">
        <f t="shared" si="7"/>
        <v>0</v>
      </c>
      <c r="K33" s="304">
        <f t="shared" si="7"/>
        <v>0</v>
      </c>
      <c r="L33" s="304">
        <f t="shared" si="7"/>
        <v>0</v>
      </c>
      <c r="M33" s="304">
        <f t="shared" si="7"/>
        <v>0</v>
      </c>
    </row>
    <row r="34" spans="1:14" x14ac:dyDescent="0.2">
      <c r="A34" s="304" t="s">
        <v>600</v>
      </c>
      <c r="B34" s="304" t="s">
        <v>601</v>
      </c>
      <c r="C34" s="304">
        <f t="shared" ref="C34:M34" si="8">C32-C33</f>
        <v>0</v>
      </c>
      <c r="D34" s="304">
        <f t="shared" si="8"/>
        <v>0</v>
      </c>
      <c r="E34" s="304">
        <f t="shared" si="8"/>
        <v>16.32</v>
      </c>
      <c r="F34" s="304">
        <f t="shared" si="8"/>
        <v>21.06</v>
      </c>
      <c r="G34" s="304">
        <f t="shared" si="8"/>
        <v>26.21</v>
      </c>
      <c r="H34" s="304">
        <f t="shared" si="8"/>
        <v>44.06</v>
      </c>
      <c r="I34" s="304">
        <f t="shared" si="8"/>
        <v>124.85</v>
      </c>
      <c r="J34" s="304">
        <f t="shared" si="8"/>
        <v>271.93</v>
      </c>
      <c r="K34" s="304">
        <f t="shared" si="8"/>
        <v>528.34</v>
      </c>
      <c r="L34" s="304">
        <f t="shared" si="8"/>
        <v>849.24</v>
      </c>
      <c r="M34" s="304">
        <f t="shared" si="8"/>
        <v>0</v>
      </c>
    </row>
    <row r="35" spans="1:14" ht="24" x14ac:dyDescent="0.2">
      <c r="A35" s="304" t="s">
        <v>196</v>
      </c>
      <c r="B35" s="304" t="s">
        <v>602</v>
      </c>
      <c r="C35" s="305">
        <f>'Data Sheet'!B17-'Data Sheet'!B18-'Data Sheet'!B20-'Data Sheet'!B21-'Data Sheet'!B22-'Data Sheet'!B23-'Data Sheet'!B24+'Data Sheet'!B25+'Data Sheet'!B19</f>
        <v>1.25</v>
      </c>
      <c r="D35" s="305">
        <f>'Data Sheet'!C17-'Data Sheet'!C18-'Data Sheet'!C20-'Data Sheet'!C21-'Data Sheet'!C22-'Data Sheet'!C23-'Data Sheet'!C24+'Data Sheet'!C25+'Data Sheet'!C19</f>
        <v>3.9999999999999994E-2</v>
      </c>
      <c r="E35" s="305">
        <f>'Data Sheet'!D17-'Data Sheet'!D18-'Data Sheet'!D20-'Data Sheet'!D21-'Data Sheet'!D22-'Data Sheet'!D23-'Data Sheet'!D24+'Data Sheet'!D25+'Data Sheet'!D19</f>
        <v>3.25</v>
      </c>
      <c r="F35" s="305">
        <f>'Data Sheet'!E17-'Data Sheet'!E18-'Data Sheet'!E20-'Data Sheet'!E21-'Data Sheet'!E22-'Data Sheet'!E23-'Data Sheet'!E24+'Data Sheet'!E25+'Data Sheet'!E19</f>
        <v>5.0599999999999978</v>
      </c>
      <c r="G35" s="305">
        <f>'Data Sheet'!F17-'Data Sheet'!F18-'Data Sheet'!F20-'Data Sheet'!F21-'Data Sheet'!F22-'Data Sheet'!F23-'Data Sheet'!F24+'Data Sheet'!F25+'Data Sheet'!F19</f>
        <v>5.5100000000000007</v>
      </c>
      <c r="H35" s="305">
        <f>'Data Sheet'!G17-'Data Sheet'!G18-'Data Sheet'!G20-'Data Sheet'!G21-'Data Sheet'!G22-'Data Sheet'!G23-'Data Sheet'!G24+'Data Sheet'!G25+'Data Sheet'!G19</f>
        <v>13.860000000000008</v>
      </c>
      <c r="I35" s="305">
        <f>'Data Sheet'!H17-'Data Sheet'!H18-'Data Sheet'!H20-'Data Sheet'!H21-'Data Sheet'!H22-'Data Sheet'!H23-'Data Sheet'!H24+'Data Sheet'!H25+'Data Sheet'!H19</f>
        <v>38.559999999999988</v>
      </c>
      <c r="J35" s="305">
        <f>'Data Sheet'!I17-'Data Sheet'!I18-'Data Sheet'!I20-'Data Sheet'!I21-'Data Sheet'!I22-'Data Sheet'!I23-'Data Sheet'!I24+'Data Sheet'!I25+'Data Sheet'!I19</f>
        <v>88.720000000000013</v>
      </c>
      <c r="K35" s="305">
        <f>'Data Sheet'!J17-'Data Sheet'!J18-'Data Sheet'!J20-'Data Sheet'!J21-'Data Sheet'!J22-'Data Sheet'!J23-'Data Sheet'!J24+'Data Sheet'!J25+'Data Sheet'!J19</f>
        <v>185.70000000000007</v>
      </c>
      <c r="L35" s="305">
        <f>'Data Sheet'!K17-'Data Sheet'!K18-'Data Sheet'!K20-'Data Sheet'!K21-'Data Sheet'!K22-'Data Sheet'!K23-'Data Sheet'!K24+'Data Sheet'!K25+'Data Sheet'!K19</f>
        <v>301.81999999999994</v>
      </c>
      <c r="M35" s="305">
        <f>'Data Sheet'!L17-'Data Sheet'!L18-'Data Sheet'!L20-'Data Sheet'!L21-'Data Sheet'!L22-'Data Sheet'!L23-'Data Sheet'!L24+'Data Sheet'!L25+'Data Sheet'!L19</f>
        <v>0</v>
      </c>
    </row>
    <row r="36" spans="1:14" x14ac:dyDescent="0.2">
      <c r="A36" s="304" t="s">
        <v>603</v>
      </c>
      <c r="B36" s="304" t="s">
        <v>583</v>
      </c>
      <c r="C36" s="304">
        <f>'Data Sheet'!B26</f>
        <v>0</v>
      </c>
      <c r="D36" s="304">
        <f>'Data Sheet'!C26</f>
        <v>0</v>
      </c>
      <c r="E36" s="304">
        <f>'Data Sheet'!D26</f>
        <v>0.69</v>
      </c>
      <c r="F36" s="304">
        <f>'Data Sheet'!E26</f>
        <v>0.8</v>
      </c>
      <c r="G36" s="304">
        <f>'Data Sheet'!F26</f>
        <v>0.81</v>
      </c>
      <c r="H36" s="304">
        <f>'Data Sheet'!G26</f>
        <v>4.3099999999999996</v>
      </c>
      <c r="I36" s="304">
        <f>'Data Sheet'!H26</f>
        <v>9.1199999999999992</v>
      </c>
      <c r="J36" s="304">
        <f>'Data Sheet'!I26</f>
        <v>20.23</v>
      </c>
      <c r="K36" s="304">
        <f>'Data Sheet'!J26</f>
        <v>13.52</v>
      </c>
      <c r="L36" s="304">
        <f>'Data Sheet'!K26</f>
        <v>25.19</v>
      </c>
      <c r="M36" s="304">
        <f>'Data Sheet'!L26</f>
        <v>0</v>
      </c>
    </row>
    <row r="37" spans="1:14" x14ac:dyDescent="0.2">
      <c r="A37" s="304" t="s">
        <v>197</v>
      </c>
      <c r="B37" s="304" t="s">
        <v>604</v>
      </c>
      <c r="C37" s="304">
        <f>C35-C36</f>
        <v>1.25</v>
      </c>
      <c r="D37" s="304">
        <f t="shared" ref="D37:M37" si="9">D35-D36</f>
        <v>3.9999999999999994E-2</v>
      </c>
      <c r="E37" s="304">
        <f t="shared" si="9"/>
        <v>2.56</v>
      </c>
      <c r="F37" s="304">
        <f t="shared" si="9"/>
        <v>4.259999999999998</v>
      </c>
      <c r="G37" s="304">
        <f t="shared" si="9"/>
        <v>4.7000000000000011</v>
      </c>
      <c r="H37" s="304">
        <f t="shared" si="9"/>
        <v>9.5500000000000078</v>
      </c>
      <c r="I37" s="304">
        <f t="shared" si="9"/>
        <v>29.439999999999991</v>
      </c>
      <c r="J37" s="304">
        <f t="shared" si="9"/>
        <v>68.490000000000009</v>
      </c>
      <c r="K37" s="304">
        <f t="shared" si="9"/>
        <v>172.18000000000006</v>
      </c>
      <c r="L37" s="304">
        <f t="shared" si="9"/>
        <v>276.62999999999994</v>
      </c>
      <c r="M37" s="304">
        <f t="shared" si="9"/>
        <v>0</v>
      </c>
    </row>
    <row r="38" spans="1:14" x14ac:dyDescent="0.2">
      <c r="A38" s="304" t="s">
        <v>11</v>
      </c>
      <c r="B38" s="304" t="s">
        <v>583</v>
      </c>
      <c r="C38" s="304">
        <f>'Data Sheet'!B27</f>
        <v>0</v>
      </c>
      <c r="D38" s="304">
        <f>'Data Sheet'!C27</f>
        <v>0</v>
      </c>
      <c r="E38" s="304">
        <f>'Data Sheet'!D27</f>
        <v>0.02</v>
      </c>
      <c r="F38" s="304">
        <f>'Data Sheet'!E27</f>
        <v>0.05</v>
      </c>
      <c r="G38" s="304">
        <f>'Data Sheet'!F27</f>
        <v>0.17</v>
      </c>
      <c r="H38" s="304">
        <f>'Data Sheet'!G27</f>
        <v>0.37</v>
      </c>
      <c r="I38" s="304">
        <f>'Data Sheet'!H27</f>
        <v>0.45</v>
      </c>
      <c r="J38" s="304">
        <f>'Data Sheet'!I27</f>
        <v>0.21</v>
      </c>
      <c r="K38" s="304">
        <f>'Data Sheet'!J27</f>
        <v>1.64</v>
      </c>
      <c r="L38" s="304">
        <f>'Data Sheet'!K27</f>
        <v>10.66</v>
      </c>
      <c r="M38" s="304">
        <f>'Data Sheet'!L27</f>
        <v>0</v>
      </c>
    </row>
    <row r="39" spans="1:14" x14ac:dyDescent="0.2">
      <c r="A39" s="304" t="s">
        <v>605</v>
      </c>
      <c r="B39" s="304" t="s">
        <v>606</v>
      </c>
      <c r="C39" s="304">
        <f>C37-C38</f>
        <v>1.25</v>
      </c>
      <c r="D39" s="304">
        <f t="shared" ref="D39:M39" si="10">D37-D38</f>
        <v>3.9999999999999994E-2</v>
      </c>
      <c r="E39" s="304">
        <f t="shared" si="10"/>
        <v>2.54</v>
      </c>
      <c r="F39" s="304">
        <f t="shared" si="10"/>
        <v>4.2099999999999982</v>
      </c>
      <c r="G39" s="304">
        <f t="shared" si="10"/>
        <v>4.5300000000000011</v>
      </c>
      <c r="H39" s="304">
        <f t="shared" si="10"/>
        <v>9.1800000000000086</v>
      </c>
      <c r="I39" s="304">
        <f t="shared" si="10"/>
        <v>28.989999999999991</v>
      </c>
      <c r="J39" s="304">
        <f t="shared" si="10"/>
        <v>68.280000000000015</v>
      </c>
      <c r="K39" s="304">
        <f t="shared" si="10"/>
        <v>170.54000000000008</v>
      </c>
      <c r="L39" s="304">
        <f t="shared" si="10"/>
        <v>265.96999999999991</v>
      </c>
      <c r="M39" s="304">
        <f t="shared" si="10"/>
        <v>0</v>
      </c>
    </row>
    <row r="40" spans="1:14" x14ac:dyDescent="0.2">
      <c r="A40" s="304" t="s">
        <v>13</v>
      </c>
      <c r="B40" s="304" t="s">
        <v>583</v>
      </c>
      <c r="C40" s="304">
        <f>'Data Sheet'!B29</f>
        <v>0</v>
      </c>
      <c r="D40" s="304">
        <f>'Data Sheet'!C29</f>
        <v>0</v>
      </c>
      <c r="E40" s="304">
        <f>'Data Sheet'!D29</f>
        <v>0.45</v>
      </c>
      <c r="F40" s="304">
        <f>'Data Sheet'!E29</f>
        <v>0.7</v>
      </c>
      <c r="G40" s="304">
        <f>'Data Sheet'!F29</f>
        <v>0.55000000000000004</v>
      </c>
      <c r="H40" s="304">
        <f>'Data Sheet'!G29</f>
        <v>1.73</v>
      </c>
      <c r="I40" s="304">
        <f>'Data Sheet'!H29</f>
        <v>5.9</v>
      </c>
      <c r="J40" s="304">
        <f>'Data Sheet'!I29</f>
        <v>15.05</v>
      </c>
      <c r="K40" s="304">
        <f>'Data Sheet'!J29</f>
        <v>41.36</v>
      </c>
      <c r="L40" s="304">
        <f>'Data Sheet'!K29</f>
        <v>60.55</v>
      </c>
      <c r="M40" s="304">
        <f>'Data Sheet'!L29</f>
        <v>0</v>
      </c>
    </row>
    <row r="41" spans="1:14" x14ac:dyDescent="0.2">
      <c r="A41" s="304" t="s">
        <v>145</v>
      </c>
      <c r="B41" s="304" t="s">
        <v>607</v>
      </c>
      <c r="C41" s="304">
        <f>C39-C40</f>
        <v>1.25</v>
      </c>
      <c r="D41" s="304">
        <f t="shared" ref="D41:M41" si="11">D39-D40</f>
        <v>3.9999999999999994E-2</v>
      </c>
      <c r="E41" s="304">
        <f t="shared" si="11"/>
        <v>2.09</v>
      </c>
      <c r="F41" s="304">
        <f t="shared" si="11"/>
        <v>3.509999999999998</v>
      </c>
      <c r="G41" s="304">
        <f t="shared" si="11"/>
        <v>3.9800000000000013</v>
      </c>
      <c r="H41" s="304">
        <f t="shared" si="11"/>
        <v>7.4500000000000082</v>
      </c>
      <c r="I41" s="304">
        <f t="shared" si="11"/>
        <v>23.089999999999989</v>
      </c>
      <c r="J41" s="304">
        <f t="shared" si="11"/>
        <v>53.230000000000018</v>
      </c>
      <c r="K41" s="304">
        <f t="shared" si="11"/>
        <v>129.18000000000006</v>
      </c>
      <c r="L41" s="304">
        <f t="shared" si="11"/>
        <v>205.4199999999999</v>
      </c>
      <c r="M41" s="304">
        <f t="shared" si="11"/>
        <v>0</v>
      </c>
    </row>
    <row r="42" spans="1:14" x14ac:dyDescent="0.2">
      <c r="A42" s="304" t="s">
        <v>608</v>
      </c>
      <c r="B42" s="304" t="s">
        <v>583</v>
      </c>
      <c r="C42" s="305">
        <f>'Data Sheet'!B31</f>
        <v>0</v>
      </c>
      <c r="D42" s="305">
        <f>'Data Sheet'!C31</f>
        <v>0</v>
      </c>
      <c r="E42" s="305">
        <f>'Data Sheet'!D31</f>
        <v>0</v>
      </c>
      <c r="F42" s="305">
        <f>'Data Sheet'!E31</f>
        <v>0</v>
      </c>
      <c r="G42" s="305">
        <f>'Data Sheet'!F31</f>
        <v>0</v>
      </c>
      <c r="H42" s="305">
        <f>'Data Sheet'!G31</f>
        <v>0</v>
      </c>
      <c r="I42" s="305">
        <f>'Data Sheet'!H31</f>
        <v>0</v>
      </c>
      <c r="J42" s="305">
        <f>'Data Sheet'!I31</f>
        <v>0</v>
      </c>
      <c r="K42" s="305">
        <f>'Data Sheet'!J31</f>
        <v>3.05</v>
      </c>
      <c r="L42" s="305">
        <f>'Data Sheet'!K31</f>
        <v>0</v>
      </c>
      <c r="M42" s="305">
        <f>'Data Sheet'!L31</f>
        <v>0</v>
      </c>
    </row>
    <row r="43" spans="1:14" x14ac:dyDescent="0.2">
      <c r="A43" s="304" t="s">
        <v>609</v>
      </c>
      <c r="B43" s="282" t="s">
        <v>610</v>
      </c>
      <c r="C43" s="366">
        <f>'Data Sheet'!B90*'Data Sheet'!B93</f>
        <v>0</v>
      </c>
      <c r="D43" s="306">
        <f>'Data Sheet'!C90*'Data Sheet'!C93</f>
        <v>0</v>
      </c>
      <c r="E43" s="306">
        <f>'Data Sheet'!D90*'Data Sheet'!D93</f>
        <v>25.229197468505198</v>
      </c>
      <c r="F43" s="306">
        <f>'Data Sheet'!E90*'Data Sheet'!E93</f>
        <v>27.5157861488</v>
      </c>
      <c r="G43" s="306">
        <f>'Data Sheet'!F90*'Data Sheet'!F93</f>
        <v>54.914119026000002</v>
      </c>
      <c r="H43" s="306">
        <f>'Data Sheet'!G90*'Data Sheet'!G93</f>
        <v>112.3511249484655</v>
      </c>
      <c r="I43" s="306">
        <f>'Data Sheet'!H90*'Data Sheet'!H93</f>
        <v>780.33408218250008</v>
      </c>
      <c r="J43" s="306">
        <f>'Data Sheet'!I90*'Data Sheet'!I93</f>
        <v>2190.8049094115345</v>
      </c>
      <c r="K43" s="306">
        <f>'Data Sheet'!J90*'Data Sheet'!J93</f>
        <v>1774.5344820361934</v>
      </c>
      <c r="L43" s="306">
        <f>'Data Sheet'!K90*'Data Sheet'!K93</f>
        <v>2287.1564392085006</v>
      </c>
      <c r="M43" s="306">
        <f>'Data Sheet'!L90*'Data Sheet'!L93</f>
        <v>0</v>
      </c>
    </row>
    <row r="44" spans="1:14" x14ac:dyDescent="0.2">
      <c r="A44" s="307" t="s">
        <v>611</v>
      </c>
      <c r="B44" s="307"/>
      <c r="C44" s="307">
        <f>'Data Sheet'!B9</f>
        <v>646.82000000000005</v>
      </c>
      <c r="D44" s="446"/>
      <c r="E44" s="447"/>
      <c r="F44" s="447"/>
      <c r="G44" s="447"/>
      <c r="H44" s="447"/>
      <c r="I44" s="447"/>
      <c r="J44" s="447"/>
      <c r="K44" s="447"/>
      <c r="L44" s="448"/>
      <c r="M44" s="286"/>
    </row>
    <row r="45" spans="1:14" x14ac:dyDescent="0.2">
      <c r="A45" s="443"/>
      <c r="B45" s="443"/>
      <c r="C45" s="443"/>
      <c r="D45" s="443"/>
      <c r="E45" s="443"/>
      <c r="F45" s="443"/>
      <c r="G45" s="443"/>
      <c r="H45" s="443"/>
      <c r="I45" s="443"/>
      <c r="J45" s="443"/>
      <c r="K45" s="443"/>
      <c r="L45" s="443"/>
      <c r="M45" s="286"/>
    </row>
    <row r="46" spans="1:14" x14ac:dyDescent="0.2">
      <c r="A46" s="308" t="s">
        <v>612</v>
      </c>
      <c r="B46" s="308" t="s">
        <v>583</v>
      </c>
      <c r="C46" s="304">
        <f>'Data Sheet'!B57</f>
        <v>1.56</v>
      </c>
      <c r="D46" s="304">
        <f>'Data Sheet'!C57</f>
        <v>1.56</v>
      </c>
      <c r="E46" s="304">
        <f>'Data Sheet'!D57</f>
        <v>5.55</v>
      </c>
      <c r="F46" s="304">
        <f>'Data Sheet'!E57</f>
        <v>5.55</v>
      </c>
      <c r="G46" s="304">
        <f>'Data Sheet'!F57</f>
        <v>10.039999999999999</v>
      </c>
      <c r="H46" s="304">
        <f>'Data Sheet'!G57</f>
        <v>10.039999999999999</v>
      </c>
      <c r="I46" s="304">
        <f>'Data Sheet'!H57</f>
        <v>10.34</v>
      </c>
      <c r="J46" s="304">
        <f>'Data Sheet'!I57</f>
        <v>10.89</v>
      </c>
      <c r="K46" s="304">
        <f>'Data Sheet'!J57</f>
        <v>15.26</v>
      </c>
      <c r="L46" s="304">
        <f>'Data Sheet'!K57</f>
        <v>15.26</v>
      </c>
      <c r="M46" s="304">
        <f>'Data Sheet'!L57</f>
        <v>0</v>
      </c>
      <c r="N46" s="197">
        <f>(L46/D46)^(1/9)-1</f>
        <v>0.2883912615741222</v>
      </c>
    </row>
    <row r="47" spans="1:14" x14ac:dyDescent="0.2">
      <c r="A47" s="308" t="s">
        <v>613</v>
      </c>
      <c r="B47" s="308" t="s">
        <v>583</v>
      </c>
      <c r="C47" s="308">
        <f>'Data Sheet'!B58</f>
        <v>4.88</v>
      </c>
      <c r="D47" s="308">
        <f>'Data Sheet'!C58</f>
        <v>4.92</v>
      </c>
      <c r="E47" s="308">
        <f>'Data Sheet'!D58</f>
        <v>15.14</v>
      </c>
      <c r="F47" s="308">
        <f>'Data Sheet'!E58</f>
        <v>19.96</v>
      </c>
      <c r="G47" s="308">
        <f>'Data Sheet'!F58</f>
        <v>17.55</v>
      </c>
      <c r="H47" s="308">
        <f>'Data Sheet'!G58</f>
        <v>51.96</v>
      </c>
      <c r="I47" s="308">
        <f>'Data Sheet'!H58</f>
        <v>89.44</v>
      </c>
      <c r="J47" s="308">
        <f>'Data Sheet'!I58</f>
        <v>193.56</v>
      </c>
      <c r="K47" s="308">
        <f>'Data Sheet'!J58</f>
        <v>304.69</v>
      </c>
      <c r="L47" s="308">
        <f>'Data Sheet'!K58</f>
        <v>475.84</v>
      </c>
      <c r="M47" s="308">
        <f>'Data Sheet'!L58</f>
        <v>0</v>
      </c>
    </row>
    <row r="48" spans="1:14" x14ac:dyDescent="0.2">
      <c r="A48" s="308" t="s">
        <v>614</v>
      </c>
      <c r="B48" s="308" t="s">
        <v>615</v>
      </c>
      <c r="C48" s="304">
        <f t="shared" ref="C48:M48" si="12">C47+C46</f>
        <v>6.4399999999999995</v>
      </c>
      <c r="D48" s="304">
        <f t="shared" si="12"/>
        <v>6.48</v>
      </c>
      <c r="E48" s="304">
        <f t="shared" si="12"/>
        <v>20.69</v>
      </c>
      <c r="F48" s="304">
        <f t="shared" si="12"/>
        <v>25.51</v>
      </c>
      <c r="G48" s="304">
        <f t="shared" si="12"/>
        <v>27.59</v>
      </c>
      <c r="H48" s="304">
        <f t="shared" si="12"/>
        <v>62</v>
      </c>
      <c r="I48" s="304">
        <f t="shared" si="12"/>
        <v>99.78</v>
      </c>
      <c r="J48" s="304">
        <f t="shared" si="12"/>
        <v>204.45</v>
      </c>
      <c r="K48" s="304">
        <f t="shared" si="12"/>
        <v>319.95</v>
      </c>
      <c r="L48" s="304">
        <f t="shared" si="12"/>
        <v>491.09999999999997</v>
      </c>
      <c r="M48" s="304">
        <f t="shared" si="12"/>
        <v>0</v>
      </c>
    </row>
    <row r="49" spans="1:13" x14ac:dyDescent="0.2">
      <c r="A49" s="309" t="s">
        <v>616</v>
      </c>
      <c r="B49" s="309"/>
      <c r="C49" s="310"/>
      <c r="D49" s="304"/>
      <c r="E49" s="304"/>
      <c r="F49" s="304"/>
      <c r="G49" s="304"/>
      <c r="H49" s="304"/>
      <c r="I49" s="304"/>
      <c r="J49" s="304"/>
      <c r="K49" s="304"/>
      <c r="L49" s="304"/>
      <c r="M49" s="304"/>
    </row>
    <row r="50" spans="1:13" x14ac:dyDescent="0.2">
      <c r="A50" s="309" t="s">
        <v>617</v>
      </c>
      <c r="B50" s="309"/>
      <c r="C50" s="310"/>
      <c r="D50" s="304"/>
      <c r="E50" s="304"/>
      <c r="F50" s="304"/>
      <c r="G50" s="304"/>
      <c r="H50" s="304"/>
      <c r="I50" s="304"/>
      <c r="J50" s="304"/>
      <c r="K50" s="304"/>
      <c r="L50" s="304"/>
      <c r="M50" s="304"/>
    </row>
    <row r="51" spans="1:13" x14ac:dyDescent="0.2">
      <c r="A51" s="309" t="s">
        <v>72</v>
      </c>
      <c r="B51" s="309"/>
      <c r="C51" s="308">
        <f>'Data Sheet'!B59</f>
        <v>1.31</v>
      </c>
      <c r="D51" s="308">
        <f>'Data Sheet'!C59</f>
        <v>0</v>
      </c>
      <c r="E51" s="308">
        <f>'Data Sheet'!D59</f>
        <v>1.07</v>
      </c>
      <c r="F51" s="308">
        <f>'Data Sheet'!E59</f>
        <v>2.93</v>
      </c>
      <c r="G51" s="308">
        <f>'Data Sheet'!F59</f>
        <v>2.11</v>
      </c>
      <c r="H51" s="308">
        <f>'Data Sheet'!G59</f>
        <v>3.78</v>
      </c>
      <c r="I51" s="308">
        <f>'Data Sheet'!H59</f>
        <v>7.0000000000000007E-2</v>
      </c>
      <c r="J51" s="308">
        <f>'Data Sheet'!I59</f>
        <v>2.72</v>
      </c>
      <c r="K51" s="311">
        <f>'Data Sheet'!J59</f>
        <v>40.79</v>
      </c>
      <c r="L51" s="311">
        <f>'Data Sheet'!K59</f>
        <v>86.48</v>
      </c>
      <c r="M51" s="311">
        <f>'Data Sheet'!L59</f>
        <v>0</v>
      </c>
    </row>
    <row r="52" spans="1:13" x14ac:dyDescent="0.2">
      <c r="A52" s="309" t="s">
        <v>73</v>
      </c>
      <c r="B52" s="309" t="s">
        <v>583</v>
      </c>
      <c r="C52" s="308">
        <f>'Data Sheet'!B60</f>
        <v>0.16</v>
      </c>
      <c r="D52" s="308">
        <f>'Data Sheet'!C60</f>
        <v>0.15</v>
      </c>
      <c r="E52" s="308">
        <f>'Data Sheet'!D60</f>
        <v>13.57</v>
      </c>
      <c r="F52" s="308">
        <f>'Data Sheet'!E60</f>
        <v>15.97</v>
      </c>
      <c r="G52" s="308">
        <f>'Data Sheet'!F60</f>
        <v>15.06</v>
      </c>
      <c r="H52" s="308">
        <f>'Data Sheet'!G60</f>
        <v>33.78</v>
      </c>
      <c r="I52" s="308">
        <f>'Data Sheet'!H60</f>
        <v>52</v>
      </c>
      <c r="J52" s="308">
        <f>'Data Sheet'!I60</f>
        <v>106.94</v>
      </c>
      <c r="K52" s="308">
        <f>'Data Sheet'!J60</f>
        <v>150.77000000000001</v>
      </c>
      <c r="L52" s="308">
        <f>'Data Sheet'!K60</f>
        <v>243.64</v>
      </c>
      <c r="M52" s="308">
        <f>'Data Sheet'!L60</f>
        <v>0</v>
      </c>
    </row>
    <row r="53" spans="1:13" x14ac:dyDescent="0.2">
      <c r="A53" s="309" t="s">
        <v>618</v>
      </c>
      <c r="B53" s="309" t="s">
        <v>583</v>
      </c>
      <c r="C53" s="308">
        <f>'Data Sheet'!B65</f>
        <v>7.09</v>
      </c>
      <c r="D53" s="308">
        <f>'Data Sheet'!C65</f>
        <v>6.54</v>
      </c>
      <c r="E53" s="308">
        <f>'Data Sheet'!D65</f>
        <v>16.690000000000001</v>
      </c>
      <c r="F53" s="308">
        <f>'Data Sheet'!E65</f>
        <v>22</v>
      </c>
      <c r="G53" s="308">
        <f>'Data Sheet'!F65</f>
        <v>26.55</v>
      </c>
      <c r="H53" s="308">
        <f>'Data Sheet'!G65</f>
        <v>27.73</v>
      </c>
      <c r="I53" s="308">
        <f>'Data Sheet'!H65</f>
        <v>52.83</v>
      </c>
      <c r="J53" s="308">
        <f>'Data Sheet'!I65</f>
        <v>149.61000000000001</v>
      </c>
      <c r="K53" s="308">
        <f>'Data Sheet'!J65</f>
        <v>303.39</v>
      </c>
      <c r="L53" s="308">
        <f>'Data Sheet'!K65</f>
        <v>434.82</v>
      </c>
      <c r="M53" s="308">
        <f>'Data Sheet'!L65</f>
        <v>0</v>
      </c>
    </row>
    <row r="54" spans="1:13" x14ac:dyDescent="0.2">
      <c r="A54" s="309" t="s">
        <v>586</v>
      </c>
      <c r="B54" s="309" t="s">
        <v>583</v>
      </c>
      <c r="C54" s="308">
        <f>'Data Sheet'!B60</f>
        <v>0.16</v>
      </c>
      <c r="D54" s="308">
        <f>'Data Sheet'!C60</f>
        <v>0.15</v>
      </c>
      <c r="E54" s="308">
        <f>'Data Sheet'!D60</f>
        <v>13.57</v>
      </c>
      <c r="F54" s="308">
        <f>'Data Sheet'!E60</f>
        <v>15.97</v>
      </c>
      <c r="G54" s="308">
        <f>'Data Sheet'!F60</f>
        <v>15.06</v>
      </c>
      <c r="H54" s="308">
        <f>'Data Sheet'!G60</f>
        <v>33.78</v>
      </c>
      <c r="I54" s="308">
        <f>'Data Sheet'!H60</f>
        <v>52</v>
      </c>
      <c r="J54" s="308">
        <f>'Data Sheet'!I60</f>
        <v>106.94</v>
      </c>
      <c r="K54" s="308">
        <f>'Data Sheet'!J60</f>
        <v>150.77000000000001</v>
      </c>
      <c r="L54" s="308">
        <f>'Data Sheet'!K60</f>
        <v>243.64</v>
      </c>
      <c r="M54" s="308">
        <f>'Data Sheet'!L60</f>
        <v>0</v>
      </c>
    </row>
    <row r="55" spans="1:13" x14ac:dyDescent="0.2">
      <c r="A55" s="309" t="s">
        <v>619</v>
      </c>
      <c r="B55" s="309" t="s">
        <v>620</v>
      </c>
      <c r="C55" s="308">
        <f>'Data Sheet'!B66</f>
        <v>7.91</v>
      </c>
      <c r="D55" s="308">
        <f>'Data Sheet'!C66</f>
        <v>6.63</v>
      </c>
      <c r="E55" s="308">
        <f>'Data Sheet'!D66</f>
        <v>35.33</v>
      </c>
      <c r="F55" s="308">
        <f>'Data Sheet'!E66</f>
        <v>44.41</v>
      </c>
      <c r="G55" s="308">
        <f>'Data Sheet'!F66</f>
        <v>44.76</v>
      </c>
      <c r="H55" s="308">
        <f>'Data Sheet'!G66</f>
        <v>99.56</v>
      </c>
      <c r="I55" s="308">
        <f>'Data Sheet'!H66</f>
        <v>151.85</v>
      </c>
      <c r="J55" s="308">
        <f>'Data Sheet'!I66</f>
        <v>314.11</v>
      </c>
      <c r="K55" s="308">
        <f>'Data Sheet'!J66</f>
        <v>511.51</v>
      </c>
      <c r="L55" s="308">
        <f>'Data Sheet'!K66</f>
        <v>821.22</v>
      </c>
      <c r="M55" s="308">
        <f>'Data Sheet'!L66</f>
        <v>0</v>
      </c>
    </row>
    <row r="56" spans="1:13" x14ac:dyDescent="0.2">
      <c r="A56" s="304" t="s">
        <v>621</v>
      </c>
      <c r="B56" s="304" t="s">
        <v>583</v>
      </c>
      <c r="C56" s="304">
        <f>'Data Sheet'!B62</f>
        <v>0.11</v>
      </c>
      <c r="D56" s="304">
        <f>'Data Sheet'!C62</f>
        <v>0.09</v>
      </c>
      <c r="E56" s="304">
        <f>'Data Sheet'!D62</f>
        <v>6.05</v>
      </c>
      <c r="F56" s="304">
        <f>'Data Sheet'!E62</f>
        <v>5.98</v>
      </c>
      <c r="G56" s="304">
        <f>'Data Sheet'!F62</f>
        <v>0.73</v>
      </c>
      <c r="H56" s="304">
        <f>'Data Sheet'!G62</f>
        <v>52.25</v>
      </c>
      <c r="I56" s="304">
        <f>'Data Sheet'!H62</f>
        <v>79.12</v>
      </c>
      <c r="J56" s="304">
        <f>'Data Sheet'!I62</f>
        <v>146.37</v>
      </c>
      <c r="K56" s="304">
        <f>'Data Sheet'!J62</f>
        <v>187.4</v>
      </c>
      <c r="L56" s="304">
        <f>'Data Sheet'!K62</f>
        <v>358.34</v>
      </c>
      <c r="M56" s="304">
        <f>'Data Sheet'!L62</f>
        <v>0</v>
      </c>
    </row>
    <row r="57" spans="1:13" x14ac:dyDescent="0.2">
      <c r="A57" s="304" t="s">
        <v>28</v>
      </c>
      <c r="B57" s="304" t="s">
        <v>583</v>
      </c>
      <c r="C57" s="305">
        <f>'Data Sheet'!B63</f>
        <v>0</v>
      </c>
      <c r="D57" s="304">
        <f>'Data Sheet'!C63</f>
        <v>0</v>
      </c>
      <c r="E57" s="305">
        <f>'Data Sheet'!D63</f>
        <v>12.59</v>
      </c>
      <c r="F57" s="305">
        <f>'Data Sheet'!E63</f>
        <v>16.43</v>
      </c>
      <c r="G57" s="305">
        <f>'Data Sheet'!F63</f>
        <v>17.48</v>
      </c>
      <c r="H57" s="304">
        <f>'Data Sheet'!G63</f>
        <v>19.579999999999998</v>
      </c>
      <c r="I57" s="304">
        <f>'Data Sheet'!H63</f>
        <v>19.899999999999999</v>
      </c>
      <c r="J57" s="304">
        <f>'Data Sheet'!I63</f>
        <v>18.13</v>
      </c>
      <c r="K57" s="305">
        <f>'Data Sheet'!J63</f>
        <v>20.72</v>
      </c>
      <c r="L57" s="305">
        <f>'Data Sheet'!K63</f>
        <v>28.06</v>
      </c>
      <c r="M57" s="305">
        <f>'Data Sheet'!L63</f>
        <v>0</v>
      </c>
    </row>
    <row r="58" spans="1:13" x14ac:dyDescent="0.2">
      <c r="A58" s="309" t="s">
        <v>30</v>
      </c>
      <c r="B58" s="309" t="s">
        <v>588</v>
      </c>
      <c r="C58" s="308">
        <f>'Data Sheet'!B65-'Data Sheet'!B60</f>
        <v>6.93</v>
      </c>
      <c r="D58" s="308">
        <f>'Data Sheet'!C65-'Data Sheet'!C60</f>
        <v>6.39</v>
      </c>
      <c r="E58" s="308">
        <f>'Data Sheet'!D65-'Data Sheet'!D60</f>
        <v>3.120000000000001</v>
      </c>
      <c r="F58" s="308">
        <f>'Data Sheet'!E65-'Data Sheet'!E60</f>
        <v>6.0299999999999994</v>
      </c>
      <c r="G58" s="308">
        <f>'Data Sheet'!F65-'Data Sheet'!F60</f>
        <v>11.49</v>
      </c>
      <c r="H58" s="308">
        <f>'Data Sheet'!G65-'Data Sheet'!G60</f>
        <v>-6.0500000000000007</v>
      </c>
      <c r="I58" s="308">
        <f>'Data Sheet'!H65-'Data Sheet'!H60</f>
        <v>0.82999999999999829</v>
      </c>
      <c r="J58" s="308">
        <f>'Data Sheet'!I65-'Data Sheet'!I60</f>
        <v>42.670000000000016</v>
      </c>
      <c r="K58" s="308">
        <f>'Data Sheet'!J65-'Data Sheet'!J60</f>
        <v>152.61999999999998</v>
      </c>
      <c r="L58" s="308">
        <f>'Data Sheet'!K65-'Data Sheet'!K60</f>
        <v>191.18</v>
      </c>
      <c r="M58" s="308">
        <f>'Data Sheet'!L65-'Data Sheet'!L60</f>
        <v>0</v>
      </c>
    </row>
    <row r="59" spans="1:13" x14ac:dyDescent="0.2">
      <c r="A59" s="308" t="s">
        <v>44</v>
      </c>
      <c r="B59" s="308" t="s">
        <v>583</v>
      </c>
      <c r="C59" s="308">
        <f>'Data Sheet'!B67</f>
        <v>2.76</v>
      </c>
      <c r="D59" s="308">
        <f>'Data Sheet'!C67</f>
        <v>2.76</v>
      </c>
      <c r="E59" s="308">
        <f>'Data Sheet'!D67</f>
        <v>10.96</v>
      </c>
      <c r="F59" s="308">
        <f>'Data Sheet'!E67</f>
        <v>12.95</v>
      </c>
      <c r="G59" s="308">
        <f>'Data Sheet'!F67</f>
        <v>13.83</v>
      </c>
      <c r="H59" s="308">
        <f>'Data Sheet'!G67</f>
        <v>13.42</v>
      </c>
      <c r="I59" s="308">
        <f>'Data Sheet'!H67</f>
        <v>28.14</v>
      </c>
      <c r="J59" s="308">
        <f>'Data Sheet'!I67</f>
        <v>80.209999999999994</v>
      </c>
      <c r="K59" s="308">
        <f>'Data Sheet'!J67</f>
        <v>129.47999999999999</v>
      </c>
      <c r="L59" s="308">
        <f>'Data Sheet'!K67</f>
        <v>252.52</v>
      </c>
      <c r="M59" s="308">
        <f>'Data Sheet'!L67</f>
        <v>0</v>
      </c>
    </row>
    <row r="60" spans="1:13" x14ac:dyDescent="0.2">
      <c r="A60" s="308" t="s">
        <v>45</v>
      </c>
      <c r="B60" s="308" t="s">
        <v>583</v>
      </c>
      <c r="C60" s="311">
        <f>'Data Sheet'!B68</f>
        <v>0</v>
      </c>
      <c r="D60" s="311">
        <f>'Data Sheet'!C68</f>
        <v>0</v>
      </c>
      <c r="E60" s="311">
        <f>'Data Sheet'!D68</f>
        <v>0</v>
      </c>
      <c r="F60" s="311">
        <f>'Data Sheet'!E68</f>
        <v>0</v>
      </c>
      <c r="G60" s="311">
        <f>'Data Sheet'!F68</f>
        <v>0</v>
      </c>
      <c r="H60" s="311">
        <f>'Data Sheet'!G68</f>
        <v>0</v>
      </c>
      <c r="I60" s="311">
        <f>'Data Sheet'!H68</f>
        <v>0</v>
      </c>
      <c r="J60" s="311">
        <f>'Data Sheet'!I68</f>
        <v>0</v>
      </c>
      <c r="K60" s="311">
        <f>'Data Sheet'!J68</f>
        <v>0</v>
      </c>
      <c r="L60" s="311">
        <f>'Data Sheet'!K68</f>
        <v>0</v>
      </c>
      <c r="M60" s="311">
        <f>'Data Sheet'!L68</f>
        <v>0</v>
      </c>
    </row>
    <row r="61" spans="1:13" x14ac:dyDescent="0.2">
      <c r="A61" s="308" t="s">
        <v>622</v>
      </c>
      <c r="B61" s="308" t="s">
        <v>583</v>
      </c>
      <c r="C61" s="308">
        <f>'Data Sheet'!B69</f>
        <v>0</v>
      </c>
      <c r="D61" s="308">
        <f>'Data Sheet'!C69</f>
        <v>0.01</v>
      </c>
      <c r="E61" s="308">
        <f>'Data Sheet'!D69</f>
        <v>0.44</v>
      </c>
      <c r="F61" s="308">
        <f>'Data Sheet'!E69</f>
        <v>2.97</v>
      </c>
      <c r="G61" s="308">
        <f>'Data Sheet'!F69</f>
        <v>1.45</v>
      </c>
      <c r="H61" s="308">
        <f>'Data Sheet'!G69</f>
        <v>4.83</v>
      </c>
      <c r="I61" s="308">
        <f>'Data Sheet'!H69</f>
        <v>14.78</v>
      </c>
      <c r="J61" s="308">
        <f>'Data Sheet'!I69</f>
        <v>28.56</v>
      </c>
      <c r="K61" s="308">
        <f>'Data Sheet'!J69</f>
        <v>89.79</v>
      </c>
      <c r="L61" s="308">
        <f>'Data Sheet'!K69</f>
        <v>10.99</v>
      </c>
      <c r="M61" s="308">
        <f>'Data Sheet'!L69</f>
        <v>0</v>
      </c>
    </row>
    <row r="62" spans="1:13" x14ac:dyDescent="0.2">
      <c r="A62" s="304" t="s">
        <v>623</v>
      </c>
      <c r="B62" s="304"/>
      <c r="C62" s="310"/>
      <c r="D62" s="304"/>
      <c r="E62" s="304"/>
      <c r="F62" s="304"/>
      <c r="G62" s="304"/>
      <c r="H62" s="304"/>
      <c r="I62" s="304"/>
      <c r="J62" s="304"/>
      <c r="K62" s="304"/>
      <c r="L62" s="304"/>
      <c r="M62" s="304"/>
    </row>
    <row r="63" spans="1:13" x14ac:dyDescent="0.2">
      <c r="A63" s="309" t="s">
        <v>540</v>
      </c>
      <c r="B63" s="309" t="s">
        <v>624</v>
      </c>
      <c r="C63" s="304">
        <f>C48+C51</f>
        <v>7.75</v>
      </c>
      <c r="D63" s="304">
        <f t="shared" ref="D63:M63" si="13">D48+D51</f>
        <v>6.48</v>
      </c>
      <c r="E63" s="304">
        <f t="shared" si="13"/>
        <v>21.76</v>
      </c>
      <c r="F63" s="304">
        <f t="shared" si="13"/>
        <v>28.44</v>
      </c>
      <c r="G63" s="304">
        <f t="shared" si="13"/>
        <v>29.7</v>
      </c>
      <c r="H63" s="304">
        <f t="shared" si="13"/>
        <v>65.78</v>
      </c>
      <c r="I63" s="304">
        <f t="shared" si="13"/>
        <v>99.85</v>
      </c>
      <c r="J63" s="304">
        <f t="shared" si="13"/>
        <v>207.17</v>
      </c>
      <c r="K63" s="304">
        <f t="shared" si="13"/>
        <v>360.74</v>
      </c>
      <c r="L63" s="304">
        <f t="shared" si="13"/>
        <v>577.57999999999993</v>
      </c>
      <c r="M63" s="304">
        <f t="shared" si="13"/>
        <v>0</v>
      </c>
    </row>
    <row r="64" spans="1:13" x14ac:dyDescent="0.2">
      <c r="A64" s="309" t="s">
        <v>625</v>
      </c>
      <c r="B64" s="309"/>
      <c r="C64" s="304"/>
      <c r="D64" s="312">
        <f>(C63+D63)/2</f>
        <v>7.1150000000000002</v>
      </c>
      <c r="E64" s="312">
        <f t="shared" ref="E64:L64" si="14">(D63+E63)/2</f>
        <v>14.120000000000001</v>
      </c>
      <c r="F64" s="312">
        <f t="shared" si="14"/>
        <v>25.1</v>
      </c>
      <c r="G64" s="312">
        <f t="shared" si="14"/>
        <v>29.07</v>
      </c>
      <c r="H64" s="312">
        <f t="shared" si="14"/>
        <v>47.74</v>
      </c>
      <c r="I64" s="312">
        <f t="shared" si="14"/>
        <v>82.814999999999998</v>
      </c>
      <c r="J64" s="312">
        <f t="shared" si="14"/>
        <v>153.51</v>
      </c>
      <c r="K64" s="312">
        <f t="shared" si="14"/>
        <v>283.95499999999998</v>
      </c>
      <c r="L64" s="312">
        <f t="shared" si="14"/>
        <v>469.15999999999997</v>
      </c>
      <c r="M64" s="304"/>
    </row>
    <row r="65" spans="1:13" x14ac:dyDescent="0.2">
      <c r="A65" s="309" t="s">
        <v>626</v>
      </c>
      <c r="B65" s="309" t="s">
        <v>627</v>
      </c>
      <c r="C65" s="312">
        <f>C55-C54</f>
        <v>7.75</v>
      </c>
      <c r="D65" s="312">
        <f t="shared" ref="D65:M65" si="15">D55-D54</f>
        <v>6.4799999999999995</v>
      </c>
      <c r="E65" s="312">
        <f t="shared" si="15"/>
        <v>21.759999999999998</v>
      </c>
      <c r="F65" s="312">
        <f t="shared" si="15"/>
        <v>28.439999999999998</v>
      </c>
      <c r="G65" s="312">
        <f t="shared" si="15"/>
        <v>29.699999999999996</v>
      </c>
      <c r="H65" s="312">
        <f t="shared" si="15"/>
        <v>65.78</v>
      </c>
      <c r="I65" s="312">
        <f t="shared" si="15"/>
        <v>99.85</v>
      </c>
      <c r="J65" s="312">
        <f t="shared" si="15"/>
        <v>207.17000000000002</v>
      </c>
      <c r="K65" s="312">
        <f t="shared" si="15"/>
        <v>360.74</v>
      </c>
      <c r="L65" s="312">
        <f t="shared" si="15"/>
        <v>577.58000000000004</v>
      </c>
      <c r="M65" s="304">
        <f t="shared" si="15"/>
        <v>0</v>
      </c>
    </row>
    <row r="66" spans="1:13" x14ac:dyDescent="0.2">
      <c r="A66" s="309" t="s">
        <v>628</v>
      </c>
      <c r="B66" s="309" t="s">
        <v>629</v>
      </c>
      <c r="C66" s="312">
        <f>C65-C57</f>
        <v>7.75</v>
      </c>
      <c r="D66" s="312">
        <f t="shared" ref="D66:L66" si="16">D65-D57</f>
        <v>6.4799999999999995</v>
      </c>
      <c r="E66" s="312">
        <f t="shared" si="16"/>
        <v>9.1699999999999982</v>
      </c>
      <c r="F66" s="312">
        <f t="shared" si="16"/>
        <v>12.009999999999998</v>
      </c>
      <c r="G66" s="312">
        <f t="shared" si="16"/>
        <v>12.219999999999995</v>
      </c>
      <c r="H66" s="312">
        <f t="shared" si="16"/>
        <v>46.2</v>
      </c>
      <c r="I66" s="312">
        <f t="shared" si="16"/>
        <v>79.949999999999989</v>
      </c>
      <c r="J66" s="312">
        <f t="shared" si="16"/>
        <v>189.04000000000002</v>
      </c>
      <c r="K66" s="312">
        <f t="shared" si="16"/>
        <v>340.02</v>
      </c>
      <c r="L66" s="312">
        <f t="shared" si="16"/>
        <v>549.5200000000001</v>
      </c>
      <c r="M66" s="304"/>
    </row>
    <row r="67" spans="1:13" x14ac:dyDescent="0.2">
      <c r="A67" s="309" t="s">
        <v>630</v>
      </c>
      <c r="B67" s="309" t="s">
        <v>631</v>
      </c>
      <c r="C67" s="313">
        <f>'Data Sheet'!B62+'Data Sheet'!B64+'Data Sheet'!B65</f>
        <v>7.91</v>
      </c>
      <c r="D67" s="313">
        <f>'Data Sheet'!C62+'Data Sheet'!C64+'Data Sheet'!C65</f>
        <v>6.63</v>
      </c>
      <c r="E67" s="313">
        <f>'Data Sheet'!D62+'Data Sheet'!D64+'Data Sheet'!D65</f>
        <v>22.740000000000002</v>
      </c>
      <c r="F67" s="313">
        <f>'Data Sheet'!E62+'Data Sheet'!E64+'Data Sheet'!E65</f>
        <v>27.98</v>
      </c>
      <c r="G67" s="313">
        <f>'Data Sheet'!F62+'Data Sheet'!F64+'Data Sheet'!F65</f>
        <v>27.28</v>
      </c>
      <c r="H67" s="313">
        <f>'Data Sheet'!G62+'Data Sheet'!G64+'Data Sheet'!G65</f>
        <v>79.98</v>
      </c>
      <c r="I67" s="313">
        <f>'Data Sheet'!H62+'Data Sheet'!H64+'Data Sheet'!H65</f>
        <v>131.94999999999999</v>
      </c>
      <c r="J67" s="313">
        <f>'Data Sheet'!I62+'Data Sheet'!I64+'Data Sheet'!I65</f>
        <v>295.98</v>
      </c>
      <c r="K67" s="313">
        <f>'Data Sheet'!J62+'Data Sheet'!J64+'Data Sheet'!J65</f>
        <v>490.78999999999996</v>
      </c>
      <c r="L67" s="313">
        <f>'Data Sheet'!K62+'Data Sheet'!K64+'Data Sheet'!K65</f>
        <v>793.16</v>
      </c>
      <c r="M67" s="304"/>
    </row>
    <row r="68" spans="1:13" x14ac:dyDescent="0.2">
      <c r="A68" s="309" t="s">
        <v>632</v>
      </c>
      <c r="B68" s="309" t="s">
        <v>633</v>
      </c>
      <c r="C68" s="313"/>
      <c r="D68" s="313">
        <f t="shared" ref="D68:L68" si="17">AVERAGE(C55:D55)-AVERAGE(C54:D54)</f>
        <v>7.1149999999999993</v>
      </c>
      <c r="E68" s="313">
        <f t="shared" si="17"/>
        <v>14.120000000000001</v>
      </c>
      <c r="F68" s="313">
        <f t="shared" si="17"/>
        <v>25.099999999999998</v>
      </c>
      <c r="G68" s="313">
        <f t="shared" si="17"/>
        <v>29.069999999999993</v>
      </c>
      <c r="H68" s="313">
        <f t="shared" si="17"/>
        <v>47.739999999999995</v>
      </c>
      <c r="I68" s="313">
        <f t="shared" si="17"/>
        <v>82.814999999999998</v>
      </c>
      <c r="J68" s="313">
        <f t="shared" si="17"/>
        <v>153.51000000000002</v>
      </c>
      <c r="K68" s="313">
        <f t="shared" si="17"/>
        <v>283.95499999999998</v>
      </c>
      <c r="L68" s="313">
        <f t="shared" si="17"/>
        <v>469.16</v>
      </c>
      <c r="M68" s="304"/>
    </row>
    <row r="69" spans="1:13" x14ac:dyDescent="0.2">
      <c r="A69" s="309" t="s">
        <v>634</v>
      </c>
      <c r="B69" s="309" t="s">
        <v>635</v>
      </c>
      <c r="C69" s="313"/>
      <c r="D69" s="313">
        <f>(D66+C66)/2</f>
        <v>7.1150000000000002</v>
      </c>
      <c r="E69" s="313">
        <f t="shared" ref="E69:L69" si="18">(E66+D66)/2</f>
        <v>7.8249999999999993</v>
      </c>
      <c r="F69" s="313">
        <f t="shared" si="18"/>
        <v>10.589999999999998</v>
      </c>
      <c r="G69" s="313">
        <f t="shared" si="18"/>
        <v>12.114999999999997</v>
      </c>
      <c r="H69" s="313">
        <f t="shared" si="18"/>
        <v>29.21</v>
      </c>
      <c r="I69" s="313">
        <f t="shared" si="18"/>
        <v>63.074999999999996</v>
      </c>
      <c r="J69" s="313">
        <f t="shared" si="18"/>
        <v>134.495</v>
      </c>
      <c r="K69" s="313">
        <f t="shared" si="18"/>
        <v>264.52999999999997</v>
      </c>
      <c r="L69" s="313">
        <f t="shared" si="18"/>
        <v>444.77000000000004</v>
      </c>
      <c r="M69" s="304"/>
    </row>
    <row r="70" spans="1:13" x14ac:dyDescent="0.2">
      <c r="A70" s="309" t="s">
        <v>636</v>
      </c>
      <c r="B70" s="309"/>
      <c r="C70" s="313"/>
      <c r="D70" s="313">
        <f>(C67+D67)/2</f>
        <v>7.27</v>
      </c>
      <c r="E70" s="313">
        <f t="shared" ref="E70:L70" si="19">(D67+E67)/2</f>
        <v>14.685</v>
      </c>
      <c r="F70" s="313">
        <f t="shared" si="19"/>
        <v>25.36</v>
      </c>
      <c r="G70" s="313">
        <f t="shared" si="19"/>
        <v>27.630000000000003</v>
      </c>
      <c r="H70" s="313">
        <f t="shared" si="19"/>
        <v>53.63</v>
      </c>
      <c r="I70" s="313">
        <f t="shared" si="19"/>
        <v>105.965</v>
      </c>
      <c r="J70" s="313">
        <f t="shared" si="19"/>
        <v>213.965</v>
      </c>
      <c r="K70" s="313">
        <f t="shared" si="19"/>
        <v>393.38499999999999</v>
      </c>
      <c r="L70" s="313">
        <f t="shared" si="19"/>
        <v>641.97499999999991</v>
      </c>
      <c r="M70" s="304"/>
    </row>
    <row r="71" spans="1:13" x14ac:dyDescent="0.2">
      <c r="A71" s="309" t="s">
        <v>637</v>
      </c>
      <c r="B71" s="309"/>
      <c r="C71" s="304">
        <f>'Data Sheet'!B59+'Data Sheet'!B60</f>
        <v>1.47</v>
      </c>
      <c r="D71" s="304">
        <f>'Data Sheet'!C59+'Data Sheet'!C60</f>
        <v>0.15</v>
      </c>
      <c r="E71" s="304">
        <f>'Data Sheet'!D59+'Data Sheet'!D60</f>
        <v>14.64</v>
      </c>
      <c r="F71" s="304">
        <f>'Data Sheet'!E59+'Data Sheet'!E60</f>
        <v>18.900000000000002</v>
      </c>
      <c r="G71" s="304">
        <f>'Data Sheet'!F59+'Data Sheet'!F60</f>
        <v>17.170000000000002</v>
      </c>
      <c r="H71" s="304">
        <f>'Data Sheet'!G59+'Data Sheet'!G60</f>
        <v>37.56</v>
      </c>
      <c r="I71" s="304">
        <f>'Data Sheet'!H59+'Data Sheet'!H60</f>
        <v>52.07</v>
      </c>
      <c r="J71" s="304">
        <f>'Data Sheet'!I59+'Data Sheet'!I60</f>
        <v>109.66</v>
      </c>
      <c r="K71" s="305">
        <f>'Data Sheet'!J59+'Data Sheet'!J60</f>
        <v>191.56</v>
      </c>
      <c r="L71" s="305">
        <f>'Data Sheet'!K59+'Data Sheet'!K60</f>
        <v>330.12</v>
      </c>
      <c r="M71" s="305">
        <f>'Data Sheet'!L59+'Data Sheet'!L60</f>
        <v>0</v>
      </c>
    </row>
    <row r="72" spans="1:13" x14ac:dyDescent="0.2">
      <c r="A72" s="310" t="s">
        <v>619</v>
      </c>
      <c r="B72" s="309" t="s">
        <v>620</v>
      </c>
      <c r="C72" s="304">
        <f>'Data Sheet'!B66</f>
        <v>7.91</v>
      </c>
      <c r="D72" s="304">
        <f>'Data Sheet'!C66</f>
        <v>6.63</v>
      </c>
      <c r="E72" s="304">
        <f>'Data Sheet'!D66</f>
        <v>35.33</v>
      </c>
      <c r="F72" s="304">
        <f>'Data Sheet'!E66</f>
        <v>44.41</v>
      </c>
      <c r="G72" s="304">
        <f>'Data Sheet'!F66</f>
        <v>44.76</v>
      </c>
      <c r="H72" s="304">
        <f>'Data Sheet'!G66</f>
        <v>99.56</v>
      </c>
      <c r="I72" s="304">
        <f>'Data Sheet'!H66</f>
        <v>151.85</v>
      </c>
      <c r="J72" s="304">
        <f>'Data Sheet'!I66</f>
        <v>314.11</v>
      </c>
      <c r="K72" s="304">
        <f>'Data Sheet'!J66</f>
        <v>511.51</v>
      </c>
      <c r="L72" s="304">
        <f>'Data Sheet'!K66</f>
        <v>821.22</v>
      </c>
      <c r="M72" s="304">
        <f>'Data Sheet'!L66</f>
        <v>0</v>
      </c>
    </row>
    <row r="73" spans="1:13" x14ac:dyDescent="0.2">
      <c r="A73" s="314" t="s">
        <v>638</v>
      </c>
      <c r="B73" s="315" t="s">
        <v>639</v>
      </c>
      <c r="C73" s="282"/>
      <c r="D73" s="316">
        <f>(C72+D72)/2</f>
        <v>7.27</v>
      </c>
      <c r="E73" s="316">
        <f t="shared" ref="E73:L73" si="20">(D72+E72)/2</f>
        <v>20.98</v>
      </c>
      <c r="F73" s="316">
        <f t="shared" si="20"/>
        <v>39.869999999999997</v>
      </c>
      <c r="G73" s="316">
        <f t="shared" si="20"/>
        <v>44.584999999999994</v>
      </c>
      <c r="H73" s="316">
        <f t="shared" si="20"/>
        <v>72.16</v>
      </c>
      <c r="I73" s="316">
        <f t="shared" si="20"/>
        <v>125.705</v>
      </c>
      <c r="J73" s="316">
        <f t="shared" si="20"/>
        <v>232.98000000000002</v>
      </c>
      <c r="K73" s="316">
        <f t="shared" si="20"/>
        <v>412.81</v>
      </c>
      <c r="L73" s="316">
        <f t="shared" si="20"/>
        <v>666.36500000000001</v>
      </c>
      <c r="M73" s="282"/>
    </row>
    <row r="74" spans="1:13" x14ac:dyDescent="0.2">
      <c r="A74" s="314" t="s">
        <v>640</v>
      </c>
      <c r="B74" s="315" t="s">
        <v>641</v>
      </c>
      <c r="C74" s="317">
        <f>C56+C57</f>
        <v>0.11</v>
      </c>
      <c r="D74" s="317">
        <f t="shared" ref="D74:L74" si="21">D56+D57</f>
        <v>0.09</v>
      </c>
      <c r="E74" s="317">
        <f t="shared" si="21"/>
        <v>18.64</v>
      </c>
      <c r="F74" s="317">
        <f t="shared" si="21"/>
        <v>22.41</v>
      </c>
      <c r="G74" s="317">
        <f t="shared" si="21"/>
        <v>18.21</v>
      </c>
      <c r="H74" s="317">
        <f t="shared" si="21"/>
        <v>71.83</v>
      </c>
      <c r="I74" s="317">
        <f t="shared" si="21"/>
        <v>99.02000000000001</v>
      </c>
      <c r="J74" s="317">
        <f t="shared" si="21"/>
        <v>164.5</v>
      </c>
      <c r="K74" s="317">
        <f t="shared" si="21"/>
        <v>208.12</v>
      </c>
      <c r="L74" s="317">
        <f t="shared" si="21"/>
        <v>386.4</v>
      </c>
      <c r="M74" s="282"/>
    </row>
    <row r="75" spans="1:13" ht="24" x14ac:dyDescent="0.2">
      <c r="A75" s="314" t="s">
        <v>642</v>
      </c>
      <c r="B75" s="315" t="s">
        <v>643</v>
      </c>
      <c r="C75" s="282"/>
      <c r="D75" s="316">
        <f>(C74+D74)/2</f>
        <v>0.1</v>
      </c>
      <c r="E75" s="316">
        <f t="shared" ref="E75:L75" si="22">(D74+E74)/2</f>
        <v>9.3650000000000002</v>
      </c>
      <c r="F75" s="316">
        <f t="shared" si="22"/>
        <v>20.524999999999999</v>
      </c>
      <c r="G75" s="316">
        <f t="shared" si="22"/>
        <v>20.310000000000002</v>
      </c>
      <c r="H75" s="316">
        <f t="shared" si="22"/>
        <v>45.019999999999996</v>
      </c>
      <c r="I75" s="316">
        <f t="shared" si="22"/>
        <v>85.425000000000011</v>
      </c>
      <c r="J75" s="316">
        <f t="shared" si="22"/>
        <v>131.76</v>
      </c>
      <c r="K75" s="316">
        <f t="shared" si="22"/>
        <v>186.31</v>
      </c>
      <c r="L75" s="316">
        <f t="shared" si="22"/>
        <v>297.26</v>
      </c>
      <c r="M75" s="282"/>
    </row>
    <row r="76" spans="1:13" x14ac:dyDescent="0.2">
      <c r="A76" s="449"/>
      <c r="B76" s="449"/>
      <c r="C76" s="449"/>
      <c r="D76" s="449"/>
      <c r="E76" s="449"/>
      <c r="F76" s="449"/>
      <c r="G76" s="449"/>
      <c r="H76" s="449"/>
      <c r="I76" s="449"/>
      <c r="J76" s="449"/>
      <c r="K76" s="449"/>
      <c r="L76" s="449"/>
      <c r="M76" s="286"/>
    </row>
    <row r="77" spans="1:13" x14ac:dyDescent="0.2">
      <c r="A77" s="308" t="s">
        <v>644</v>
      </c>
      <c r="B77" s="308" t="s">
        <v>583</v>
      </c>
      <c r="C77" s="304">
        <f>'Data Sheet'!B82</f>
        <v>0</v>
      </c>
      <c r="D77" s="304">
        <f>'Data Sheet'!C82</f>
        <v>0</v>
      </c>
      <c r="E77" s="304">
        <f>'Data Sheet'!D82</f>
        <v>11.4</v>
      </c>
      <c r="F77" s="304">
        <f>'Data Sheet'!E82</f>
        <v>-3.35</v>
      </c>
      <c r="G77" s="304">
        <f>'Data Sheet'!F82</f>
        <v>-7.42</v>
      </c>
      <c r="H77" s="304">
        <f>'Data Sheet'!G82</f>
        <v>12.16</v>
      </c>
      <c r="I77" s="304">
        <f>'Data Sheet'!H82</f>
        <v>26.08</v>
      </c>
      <c r="J77" s="304">
        <f>'Data Sheet'!I82</f>
        <v>18.89</v>
      </c>
      <c r="K77" s="304">
        <f>'Data Sheet'!J82</f>
        <v>71.73</v>
      </c>
      <c r="L77" s="304">
        <f>'Data Sheet'!K82</f>
        <v>125.1</v>
      </c>
      <c r="M77" s="304">
        <f>'Data Sheet'!L82</f>
        <v>0</v>
      </c>
    </row>
    <row r="78" spans="1:13" x14ac:dyDescent="0.2">
      <c r="A78" s="308" t="s">
        <v>645</v>
      </c>
      <c r="B78" s="308" t="s">
        <v>646</v>
      </c>
      <c r="C78" s="318">
        <f t="shared" ref="C78:M78" si="23">C77-C30</f>
        <v>0</v>
      </c>
      <c r="D78" s="318">
        <f t="shared" si="23"/>
        <v>2.0000000000000004E-2</v>
      </c>
      <c r="E78" s="318">
        <f t="shared" si="23"/>
        <v>-7.8400000000000016</v>
      </c>
      <c r="F78" s="318">
        <f t="shared" si="23"/>
        <v>-7.92</v>
      </c>
      <c r="G78" s="318">
        <f t="shared" si="23"/>
        <v>-4.0300000000000011</v>
      </c>
      <c r="H78" s="318">
        <f t="shared" si="23"/>
        <v>-45.77000000000001</v>
      </c>
      <c r="I78" s="318">
        <f t="shared" si="23"/>
        <v>-10.230000000000004</v>
      </c>
      <c r="J78" s="318">
        <f t="shared" si="23"/>
        <v>-66.820000000000007</v>
      </c>
      <c r="K78" s="318">
        <f t="shared" si="23"/>
        <v>14.590000000000003</v>
      </c>
      <c r="L78" s="318">
        <f t="shared" si="23"/>
        <v>-78.369999999999976</v>
      </c>
      <c r="M78" s="318">
        <f t="shared" si="23"/>
        <v>386.4</v>
      </c>
    </row>
    <row r="79" spans="1:13" x14ac:dyDescent="0.2">
      <c r="A79" s="308" t="s">
        <v>262</v>
      </c>
      <c r="B79" s="308" t="s">
        <v>647</v>
      </c>
      <c r="C79" s="319">
        <f t="shared" ref="C79:M79" si="24">C40/C39</f>
        <v>0</v>
      </c>
      <c r="D79" s="319">
        <f t="shared" si="24"/>
        <v>0</v>
      </c>
      <c r="E79" s="319">
        <f t="shared" si="24"/>
        <v>0.17716535433070865</v>
      </c>
      <c r="F79" s="319">
        <f t="shared" si="24"/>
        <v>0.16627078384798105</v>
      </c>
      <c r="G79" s="319">
        <f t="shared" si="24"/>
        <v>0.12141280353200881</v>
      </c>
      <c r="H79" s="319">
        <f t="shared" si="24"/>
        <v>0.18845315904139415</v>
      </c>
      <c r="I79" s="319">
        <f t="shared" si="24"/>
        <v>0.20351845463953094</v>
      </c>
      <c r="J79" s="319">
        <f t="shared" si="24"/>
        <v>0.22041593438781484</v>
      </c>
      <c r="K79" s="319">
        <f t="shared" si="24"/>
        <v>0.24252374809428862</v>
      </c>
      <c r="L79" s="319">
        <f t="shared" si="24"/>
        <v>0.22765725457758401</v>
      </c>
      <c r="M79" s="319" t="e">
        <f t="shared" si="24"/>
        <v>#DIV/0!</v>
      </c>
    </row>
    <row r="80" spans="1:13" x14ac:dyDescent="0.2">
      <c r="A80" s="308" t="s">
        <v>648</v>
      </c>
      <c r="B80" s="308" t="s">
        <v>649</v>
      </c>
      <c r="C80" s="318">
        <f t="shared" ref="C80:M80" si="25">C37*(1-C79)</f>
        <v>1.25</v>
      </c>
      <c r="D80" s="318">
        <f t="shared" si="25"/>
        <v>3.9999999999999994E-2</v>
      </c>
      <c r="E80" s="318">
        <f t="shared" si="25"/>
        <v>2.1064566929133859</v>
      </c>
      <c r="F80" s="318">
        <f t="shared" si="25"/>
        <v>3.5516864608075989</v>
      </c>
      <c r="G80" s="318">
        <f t="shared" si="25"/>
        <v>4.1293598233995601</v>
      </c>
      <c r="H80" s="318">
        <f t="shared" si="25"/>
        <v>7.7502723311546919</v>
      </c>
      <c r="I80" s="318">
        <f t="shared" si="25"/>
        <v>23.448416695412199</v>
      </c>
      <c r="J80" s="318">
        <f t="shared" si="25"/>
        <v>53.393712653778572</v>
      </c>
      <c r="K80" s="318">
        <f t="shared" si="25"/>
        <v>130.42226105312545</v>
      </c>
      <c r="L80" s="318">
        <f t="shared" si="25"/>
        <v>213.65317366620289</v>
      </c>
      <c r="M80" s="318" t="e">
        <f t="shared" si="25"/>
        <v>#DIV/0!</v>
      </c>
    </row>
    <row r="81" spans="1:13" x14ac:dyDescent="0.2">
      <c r="A81" s="442"/>
      <c r="B81" s="442"/>
      <c r="C81" s="442"/>
      <c r="D81" s="442"/>
      <c r="E81" s="442"/>
      <c r="F81" s="442"/>
      <c r="G81" s="442"/>
      <c r="H81" s="442"/>
      <c r="I81" s="442"/>
      <c r="J81" s="442"/>
      <c r="K81" s="442"/>
      <c r="L81" s="442"/>
      <c r="M81" s="286"/>
    </row>
    <row r="82" spans="1:13" x14ac:dyDescent="0.2">
      <c r="A82" s="320" t="s">
        <v>650</v>
      </c>
      <c r="B82" s="292"/>
      <c r="C82" s="321" t="e">
        <f t="shared" ref="C82:M82" si="26">C43+B42</f>
        <v>#VALUE!</v>
      </c>
      <c r="D82" s="321">
        <f t="shared" si="26"/>
        <v>0</v>
      </c>
      <c r="E82" s="321">
        <f t="shared" si="26"/>
        <v>25.229197468505198</v>
      </c>
      <c r="F82" s="321">
        <f t="shared" si="26"/>
        <v>27.5157861488</v>
      </c>
      <c r="G82" s="321">
        <f t="shared" si="26"/>
        <v>54.914119026000002</v>
      </c>
      <c r="H82" s="321">
        <f t="shared" si="26"/>
        <v>112.3511249484655</v>
      </c>
      <c r="I82" s="321">
        <f t="shared" si="26"/>
        <v>780.33408218250008</v>
      </c>
      <c r="J82" s="321">
        <f t="shared" si="26"/>
        <v>2190.8049094115345</v>
      </c>
      <c r="K82" s="321">
        <f t="shared" si="26"/>
        <v>1774.5344820361934</v>
      </c>
      <c r="L82" s="321">
        <f t="shared" si="26"/>
        <v>2290.2064392085008</v>
      </c>
      <c r="M82" s="321">
        <f t="shared" si="26"/>
        <v>0</v>
      </c>
    </row>
    <row r="83" spans="1:13" x14ac:dyDescent="0.2">
      <c r="A83" s="297" t="s">
        <v>651</v>
      </c>
      <c r="B83" s="297" t="s">
        <v>652</v>
      </c>
      <c r="C83" s="321">
        <f t="shared" ref="C83:M83" si="27">C41-C42</f>
        <v>1.25</v>
      </c>
      <c r="D83" s="321">
        <f t="shared" si="27"/>
        <v>3.9999999999999994E-2</v>
      </c>
      <c r="E83" s="321">
        <f t="shared" si="27"/>
        <v>2.09</v>
      </c>
      <c r="F83" s="321">
        <f t="shared" si="27"/>
        <v>3.509999999999998</v>
      </c>
      <c r="G83" s="321">
        <f t="shared" si="27"/>
        <v>3.9800000000000013</v>
      </c>
      <c r="H83" s="321">
        <f t="shared" si="27"/>
        <v>7.4500000000000082</v>
      </c>
      <c r="I83" s="321">
        <f t="shared" si="27"/>
        <v>23.089999999999989</v>
      </c>
      <c r="J83" s="321">
        <f t="shared" si="27"/>
        <v>53.230000000000018</v>
      </c>
      <c r="K83" s="321">
        <f t="shared" si="27"/>
        <v>126.13000000000007</v>
      </c>
      <c r="L83" s="321">
        <f t="shared" si="27"/>
        <v>205.4199999999999</v>
      </c>
      <c r="M83" s="321">
        <f t="shared" si="27"/>
        <v>0</v>
      </c>
    </row>
    <row r="84" spans="1:13" x14ac:dyDescent="0.2">
      <c r="A84" s="443"/>
      <c r="B84" s="443"/>
      <c r="C84" s="443"/>
      <c r="D84" s="443"/>
      <c r="E84" s="443"/>
      <c r="F84" s="443"/>
      <c r="G84" s="443"/>
      <c r="H84" s="443"/>
      <c r="I84" s="443"/>
      <c r="J84" s="443"/>
      <c r="K84" s="443"/>
      <c r="L84" s="443"/>
      <c r="M84" s="286"/>
    </row>
    <row r="85" spans="1:13" x14ac:dyDescent="0.2">
      <c r="A85" s="308" t="s">
        <v>186</v>
      </c>
      <c r="B85" s="308" t="s">
        <v>653</v>
      </c>
      <c r="C85" s="322">
        <f>'Profit &amp; Loss'!B15/'Profit &amp; Loss'!B13</f>
        <v>0</v>
      </c>
      <c r="D85" s="322">
        <f>'Profit &amp; Loss'!C15/'Profit &amp; Loss'!C13</f>
        <v>0</v>
      </c>
      <c r="E85" s="322">
        <f>'Profit &amp; Loss'!D15/'Profit &amp; Loss'!D13</f>
        <v>12.071386348567081</v>
      </c>
      <c r="F85" s="322">
        <f>'Profit &amp; Loss'!E15/'Profit &amp; Loss'!E13</f>
        <v>7.8616531853714289</v>
      </c>
      <c r="G85" s="322">
        <f>'Profit &amp; Loss'!F15/'Profit &amp; Loss'!F13</f>
        <v>13.832271794962217</v>
      </c>
      <c r="H85" s="322">
        <f>'Profit &amp; Loss'!G15/'Profit &amp; Loss'!G13</f>
        <v>18.4788034454713</v>
      </c>
      <c r="I85" s="322">
        <f>'Profit &amp; Loss'!H15/'Profit &amp; Loss'!H13</f>
        <v>41.113492211933618</v>
      </c>
      <c r="J85" s="322">
        <f>'Profit &amp; Loss'!I15/'Profit &amp; Loss'!I13</f>
        <v>55.337330371597233</v>
      </c>
      <c r="K85" s="322">
        <f>'Profit &amp; Loss'!J15/'Profit &amp; Loss'!J13</f>
        <v>16.986067598700043</v>
      </c>
      <c r="L85" s="322">
        <f>'Profit &amp; Loss'!K15/'Profit &amp; Loss'!K13</f>
        <v>13.326864230325723</v>
      </c>
      <c r="M85" s="322">
        <f>'Profit &amp; Loss'!L15/'Profit &amp; Loss'!L13</f>
        <v>3.0304535232383811</v>
      </c>
    </row>
    <row r="86" spans="1:13" x14ac:dyDescent="0.2">
      <c r="A86" s="308" t="s">
        <v>193</v>
      </c>
      <c r="B86" s="308" t="s">
        <v>654</v>
      </c>
      <c r="C86" s="308"/>
      <c r="D86" s="322">
        <f>D85/((('Profit &amp; Loss'!C13-'Profit &amp; Loss'!B13)/'Profit &amp; Loss'!B13)*100)</f>
        <v>0</v>
      </c>
      <c r="E86" s="322">
        <f>E85/((('Profit &amp; Loss'!D13-'Profit &amp; Loss'!C13)/'Profit &amp; Loss'!C13)*100)</f>
        <v>2.3938880809989144E-3</v>
      </c>
      <c r="F86" s="322">
        <f>F85/((('Profit &amp; Loss'!E13-'Profit &amp; Loss'!D13)/'Profit &amp; Loss'!D13)*100)</f>
        <v>0.11653088764132116</v>
      </c>
      <c r="G86" s="322">
        <f>G85/((('Profit &amp; Loss'!F13-'Profit &amp; Loss'!E13)/'Profit &amp; Loss'!E13)*100)</f>
        <v>-2.010979726520151</v>
      </c>
      <c r="H86" s="322">
        <f>H85/((('Profit &amp; Loss'!G13-'Profit &amp; Loss'!F13)/'Profit &amp; Loss'!F13)*100)</f>
        <v>0.34768175203090551</v>
      </c>
      <c r="I86" s="322">
        <f>I85/((('Profit &amp; Loss'!H13-'Profit &amp; Loss'!G13)/'Profit &amp; Loss'!G13)*100)</f>
        <v>0.20001047038276812</v>
      </c>
      <c r="J86" s="322">
        <f>J85/((('Profit &amp; Loss'!I13-'Profit &amp; Loss'!H13)/'Profit &amp; Loss'!H13)*100)</f>
        <v>0.54904493322486314</v>
      </c>
      <c r="K86" s="322">
        <f>K85/((('Profit &amp; Loss'!J13-'Profit &amp; Loss'!I13)/'Profit &amp; Loss'!I13)*100)</f>
        <v>0.11003599520899027</v>
      </c>
      <c r="L86" s="322">
        <f>L85/((('Profit &amp; Loss'!K13-'Profit &amp; Loss'!J13)/'Profit &amp; Loss'!J13)*100)</f>
        <v>0.2073354439526624</v>
      </c>
      <c r="M86" s="322">
        <f>M85/((('Profit &amp; Loss'!L13-'Profit &amp; Loss'!K13)/'Profit &amp; Loss'!K13)*100)</f>
        <v>0.12436246187554277</v>
      </c>
    </row>
    <row r="87" spans="1:13" x14ac:dyDescent="0.2">
      <c r="A87" s="308" t="s">
        <v>655</v>
      </c>
      <c r="B87" s="323" t="s">
        <v>656</v>
      </c>
      <c r="C87" s="324">
        <f t="shared" ref="C87:M87" si="28">C43/C48</f>
        <v>0</v>
      </c>
      <c r="D87" s="324">
        <f t="shared" si="28"/>
        <v>0</v>
      </c>
      <c r="E87" s="324">
        <f t="shared" si="28"/>
        <v>1.219390887796288</v>
      </c>
      <c r="F87" s="324">
        <f t="shared" si="28"/>
        <v>1.0786274460525285</v>
      </c>
      <c r="G87" s="324">
        <f t="shared" si="28"/>
        <v>1.9903631397607831</v>
      </c>
      <c r="H87" s="324">
        <f t="shared" si="28"/>
        <v>1.8121149185236372</v>
      </c>
      <c r="I87" s="324">
        <f t="shared" si="28"/>
        <v>7.8205460230757673</v>
      </c>
      <c r="J87" s="324">
        <f t="shared" si="28"/>
        <v>10.715602393795718</v>
      </c>
      <c r="K87" s="324">
        <f t="shared" si="28"/>
        <v>5.5462868636855553</v>
      </c>
      <c r="L87" s="324">
        <f t="shared" si="28"/>
        <v>4.6572112384616187</v>
      </c>
      <c r="M87" s="324" t="e">
        <f t="shared" si="28"/>
        <v>#DIV/0!</v>
      </c>
    </row>
    <row r="88" spans="1:13" x14ac:dyDescent="0.2">
      <c r="A88" s="310" t="s">
        <v>657</v>
      </c>
      <c r="B88" s="310" t="s">
        <v>658</v>
      </c>
      <c r="C88" s="318" t="e">
        <f t="shared" ref="C88:M88" si="29">C43/C77</f>
        <v>#DIV/0!</v>
      </c>
      <c r="D88" s="318" t="e">
        <f t="shared" si="29"/>
        <v>#DIV/0!</v>
      </c>
      <c r="E88" s="318">
        <f t="shared" si="29"/>
        <v>2.2130874972372978</v>
      </c>
      <c r="F88" s="318">
        <f t="shared" si="29"/>
        <v>-8.2136675071044767</v>
      </c>
      <c r="G88" s="318">
        <f t="shared" si="29"/>
        <v>-7.4008246665768196</v>
      </c>
      <c r="H88" s="318">
        <f t="shared" si="29"/>
        <v>9.23940172273565</v>
      </c>
      <c r="I88" s="318">
        <f t="shared" si="29"/>
        <v>29.92078535975844</v>
      </c>
      <c r="J88" s="318">
        <f t="shared" si="29"/>
        <v>115.97696714724904</v>
      </c>
      <c r="K88" s="318">
        <f t="shared" si="29"/>
        <v>24.739083814808215</v>
      </c>
      <c r="L88" s="318">
        <f t="shared" si="29"/>
        <v>18.282625413337335</v>
      </c>
      <c r="M88" s="318" t="e">
        <f t="shared" si="29"/>
        <v>#DIV/0!</v>
      </c>
    </row>
    <row r="89" spans="1:13" x14ac:dyDescent="0.2">
      <c r="A89" s="310" t="s">
        <v>659</v>
      </c>
      <c r="B89" s="310" t="s">
        <v>660</v>
      </c>
      <c r="C89" s="318" t="e">
        <f t="shared" ref="C89:M89" si="30">C43/C78</f>
        <v>#DIV/0!</v>
      </c>
      <c r="D89" s="318">
        <f t="shared" si="30"/>
        <v>0</v>
      </c>
      <c r="E89" s="318">
        <f t="shared" si="30"/>
        <v>-3.2180098811868869</v>
      </c>
      <c r="F89" s="318">
        <f t="shared" si="30"/>
        <v>-3.4742154228282827</v>
      </c>
      <c r="G89" s="318">
        <f t="shared" si="30"/>
        <v>-13.626332264516126</v>
      </c>
      <c r="H89" s="318">
        <f t="shared" si="30"/>
        <v>-2.45468920577814</v>
      </c>
      <c r="I89" s="318">
        <f t="shared" si="30"/>
        <v>-76.278991415689134</v>
      </c>
      <c r="J89" s="318">
        <f t="shared" si="30"/>
        <v>-32.78666431325253</v>
      </c>
      <c r="K89" s="318">
        <f t="shared" si="30"/>
        <v>121.62676367622981</v>
      </c>
      <c r="L89" s="318">
        <f t="shared" si="30"/>
        <v>-29.184081143403105</v>
      </c>
      <c r="M89" s="318">
        <f t="shared" si="30"/>
        <v>0</v>
      </c>
    </row>
    <row r="90" spans="1:13" x14ac:dyDescent="0.2">
      <c r="A90" s="310" t="s">
        <v>661</v>
      </c>
      <c r="B90" s="310" t="s">
        <v>662</v>
      </c>
      <c r="C90" s="318" t="e">
        <f t="shared" ref="C90:M90" si="31">C43/C32</f>
        <v>#DIV/0!</v>
      </c>
      <c r="D90" s="318" t="e">
        <f t="shared" si="31"/>
        <v>#DIV/0!</v>
      </c>
      <c r="E90" s="318">
        <f t="shared" si="31"/>
        <v>1.545906707628995</v>
      </c>
      <c r="F90" s="318">
        <f t="shared" si="31"/>
        <v>1.3065425521747389</v>
      </c>
      <c r="G90" s="318">
        <f t="shared" si="31"/>
        <v>2.095159062418924</v>
      </c>
      <c r="H90" s="318">
        <f t="shared" si="31"/>
        <v>2.5499574432243644</v>
      </c>
      <c r="I90" s="318">
        <f t="shared" si="31"/>
        <v>6.2501728648978787</v>
      </c>
      <c r="J90" s="318">
        <f t="shared" si="31"/>
        <v>8.0565031788016572</v>
      </c>
      <c r="K90" s="318">
        <f t="shared" si="31"/>
        <v>3.3586979635011418</v>
      </c>
      <c r="L90" s="318">
        <f t="shared" si="31"/>
        <v>2.6931803014560085</v>
      </c>
      <c r="M90" s="318" t="e">
        <f t="shared" si="31"/>
        <v>#DIV/0!</v>
      </c>
    </row>
    <row r="91" spans="1:13" x14ac:dyDescent="0.2">
      <c r="A91" s="310" t="s">
        <v>188</v>
      </c>
      <c r="B91" s="310" t="s">
        <v>663</v>
      </c>
      <c r="C91" s="318">
        <f t="shared" ref="C91:M91" si="32">(C43+C51-C8)/C35</f>
        <v>1.048</v>
      </c>
      <c r="D91" s="318">
        <f t="shared" si="32"/>
        <v>-0.25000000000000006</v>
      </c>
      <c r="E91" s="318">
        <f t="shared" si="32"/>
        <v>7.9566761441554457</v>
      </c>
      <c r="F91" s="318">
        <f t="shared" si="32"/>
        <v>5.4299972626086985</v>
      </c>
      <c r="G91" s="318">
        <f t="shared" si="32"/>
        <v>10.086047010163337</v>
      </c>
      <c r="H91" s="318">
        <f t="shared" si="32"/>
        <v>8.0303841954159765</v>
      </c>
      <c r="I91" s="318">
        <f t="shared" si="32"/>
        <v>19.855396322160281</v>
      </c>
      <c r="J91" s="318">
        <f t="shared" si="32"/>
        <v>24.402219447830635</v>
      </c>
      <c r="K91" s="318">
        <f t="shared" si="32"/>
        <v>9.2920542920635043</v>
      </c>
      <c r="L91" s="318">
        <f t="shared" si="32"/>
        <v>7.8279982744963927</v>
      </c>
      <c r="M91" s="318" t="e">
        <f t="shared" si="32"/>
        <v>#DIV/0!</v>
      </c>
    </row>
    <row r="92" spans="1:13" x14ac:dyDescent="0.2">
      <c r="A92" s="304" t="s">
        <v>537</v>
      </c>
      <c r="B92" s="304" t="s">
        <v>664</v>
      </c>
      <c r="C92" s="325" t="e">
        <f t="shared" ref="C92:M92" si="33">C42/C43</f>
        <v>#DIV/0!</v>
      </c>
      <c r="D92" s="325" t="e">
        <f t="shared" si="33"/>
        <v>#DIV/0!</v>
      </c>
      <c r="E92" s="325">
        <f t="shared" si="33"/>
        <v>0</v>
      </c>
      <c r="F92" s="325">
        <f t="shared" si="33"/>
        <v>0</v>
      </c>
      <c r="G92" s="325">
        <f t="shared" si="33"/>
        <v>0</v>
      </c>
      <c r="H92" s="325">
        <f t="shared" si="33"/>
        <v>0</v>
      </c>
      <c r="I92" s="325">
        <f t="shared" si="33"/>
        <v>0</v>
      </c>
      <c r="J92" s="325">
        <f t="shared" si="33"/>
        <v>0</v>
      </c>
      <c r="K92" s="325">
        <f t="shared" si="33"/>
        <v>1.718760627576124E-3</v>
      </c>
      <c r="L92" s="325">
        <f t="shared" si="33"/>
        <v>0</v>
      </c>
      <c r="M92" s="325" t="e">
        <f t="shared" si="33"/>
        <v>#DIV/0!</v>
      </c>
    </row>
    <row r="93" spans="1:13" x14ac:dyDescent="0.2">
      <c r="A93" s="282" t="s">
        <v>665</v>
      </c>
      <c r="B93" s="282" t="s">
        <v>666</v>
      </c>
      <c r="C93" s="326">
        <f t="shared" ref="C93:M93" si="34">C43-C8+C51</f>
        <v>1.31</v>
      </c>
      <c r="D93" s="326">
        <f t="shared" si="34"/>
        <v>-0.01</v>
      </c>
      <c r="E93" s="326">
        <f t="shared" si="34"/>
        <v>25.859197468505197</v>
      </c>
      <c r="F93" s="326">
        <f t="shared" si="34"/>
        <v>27.475786148800001</v>
      </c>
      <c r="G93" s="326">
        <f t="shared" si="34"/>
        <v>55.574119025999998</v>
      </c>
      <c r="H93" s="326">
        <f t="shared" si="34"/>
        <v>111.3011249484655</v>
      </c>
      <c r="I93" s="326">
        <f t="shared" si="34"/>
        <v>765.62408218250016</v>
      </c>
      <c r="J93" s="326">
        <f t="shared" si="34"/>
        <v>2164.9649094115343</v>
      </c>
      <c r="K93" s="326">
        <f t="shared" si="34"/>
        <v>1725.5344820361934</v>
      </c>
      <c r="L93" s="326">
        <f t="shared" si="34"/>
        <v>2362.6464392085009</v>
      </c>
      <c r="M93" s="326">
        <f t="shared" si="34"/>
        <v>0</v>
      </c>
    </row>
    <row r="94" spans="1:13" ht="17.25" customHeight="1" x14ac:dyDescent="0.2">
      <c r="A94" s="282" t="s">
        <v>667</v>
      </c>
      <c r="B94" s="282" t="s">
        <v>668</v>
      </c>
      <c r="C94" s="326"/>
      <c r="D94" s="326"/>
      <c r="E94" s="326"/>
      <c r="F94" s="326"/>
      <c r="G94" s="326"/>
      <c r="H94" s="326"/>
      <c r="I94" s="326"/>
      <c r="J94" s="326"/>
      <c r="K94" s="326"/>
      <c r="L94" s="326"/>
      <c r="M94" s="326"/>
    </row>
    <row r="95" spans="1:13" x14ac:dyDescent="0.2">
      <c r="A95" s="442"/>
      <c r="B95" s="442"/>
      <c r="C95" s="442"/>
      <c r="D95" s="442"/>
      <c r="E95" s="442"/>
      <c r="F95" s="442"/>
      <c r="G95" s="442"/>
      <c r="H95" s="442"/>
      <c r="I95" s="442"/>
      <c r="J95" s="442"/>
      <c r="K95" s="442"/>
      <c r="L95" s="442"/>
      <c r="M95" s="286"/>
    </row>
    <row r="96" spans="1:13" x14ac:dyDescent="0.2">
      <c r="A96" s="304" t="s">
        <v>669</v>
      </c>
      <c r="B96" s="304" t="s">
        <v>669</v>
      </c>
      <c r="C96" s="318">
        <f t="shared" ref="C96:L96" si="35">C58/C72</f>
        <v>0.87610619469026541</v>
      </c>
      <c r="D96" s="318">
        <f t="shared" si="35"/>
        <v>0.96380090497737558</v>
      </c>
      <c r="E96" s="318">
        <f t="shared" si="35"/>
        <v>8.8310217945089198E-2</v>
      </c>
      <c r="F96" s="318">
        <f t="shared" si="35"/>
        <v>0.13578022967800044</v>
      </c>
      <c r="G96" s="318">
        <f t="shared" si="35"/>
        <v>0.25670241286863271</v>
      </c>
      <c r="H96" s="318">
        <f t="shared" si="35"/>
        <v>-6.0767376456408201E-2</v>
      </c>
      <c r="I96" s="318">
        <f t="shared" si="35"/>
        <v>5.4659203161014046E-3</v>
      </c>
      <c r="J96" s="318">
        <f t="shared" si="35"/>
        <v>0.13584413103689794</v>
      </c>
      <c r="K96" s="318">
        <f t="shared" si="35"/>
        <v>0.29837148833844884</v>
      </c>
      <c r="L96" s="318">
        <f t="shared" si="35"/>
        <v>0.2327999805167921</v>
      </c>
      <c r="M96" s="304"/>
    </row>
    <row r="97" spans="1:13" x14ac:dyDescent="0.2">
      <c r="A97" s="304" t="s">
        <v>670</v>
      </c>
      <c r="B97" s="304" t="s">
        <v>670</v>
      </c>
      <c r="C97" s="318">
        <f t="shared" ref="C97:L97" si="36">C83/C72</f>
        <v>0.15802781289506954</v>
      </c>
      <c r="D97" s="318">
        <f t="shared" si="36"/>
        <v>6.0331825037707384E-3</v>
      </c>
      <c r="E97" s="318">
        <f t="shared" si="36"/>
        <v>5.9156524200396264E-2</v>
      </c>
      <c r="F97" s="318">
        <f t="shared" si="36"/>
        <v>7.9036253096149478E-2</v>
      </c>
      <c r="G97" s="318">
        <f t="shared" si="36"/>
        <v>8.8918677390527293E-2</v>
      </c>
      <c r="H97" s="318">
        <f t="shared" si="36"/>
        <v>7.4829248694254807E-2</v>
      </c>
      <c r="I97" s="318">
        <f t="shared" si="36"/>
        <v>0.15205795192624294</v>
      </c>
      <c r="J97" s="318">
        <f t="shared" si="36"/>
        <v>0.16946292700009555</v>
      </c>
      <c r="K97" s="318">
        <f t="shared" si="36"/>
        <v>0.2465836445035289</v>
      </c>
      <c r="L97" s="318">
        <f t="shared" si="36"/>
        <v>0.25014003555685432</v>
      </c>
      <c r="M97" s="304"/>
    </row>
    <row r="98" spans="1:13" x14ac:dyDescent="0.2">
      <c r="A98" s="304" t="s">
        <v>671</v>
      </c>
      <c r="B98" s="304" t="s">
        <v>671</v>
      </c>
      <c r="C98" s="318">
        <f t="shared" ref="C98:L98" si="37">C37/C72</f>
        <v>0.15802781289506954</v>
      </c>
      <c r="D98" s="318">
        <f t="shared" si="37"/>
        <v>6.0331825037707384E-3</v>
      </c>
      <c r="E98" s="318">
        <f t="shared" si="37"/>
        <v>7.2459666006227011E-2</v>
      </c>
      <c r="F98" s="318">
        <f t="shared" si="37"/>
        <v>9.5924341364557492E-2</v>
      </c>
      <c r="G98" s="318">
        <f t="shared" si="37"/>
        <v>0.10500446827524579</v>
      </c>
      <c r="H98" s="318">
        <f t="shared" si="37"/>
        <v>9.5922057051024578E-2</v>
      </c>
      <c r="I98" s="318">
        <f t="shared" si="37"/>
        <v>0.19387553506750077</v>
      </c>
      <c r="J98" s="318">
        <f t="shared" si="37"/>
        <v>0.21804463404539812</v>
      </c>
      <c r="K98" s="318">
        <f t="shared" si="37"/>
        <v>0.33661120994701976</v>
      </c>
      <c r="L98" s="318">
        <f t="shared" si="37"/>
        <v>0.33685248776210996</v>
      </c>
      <c r="M98" s="304"/>
    </row>
    <row r="99" spans="1:13" x14ac:dyDescent="0.2">
      <c r="A99" s="304" t="s">
        <v>672</v>
      </c>
      <c r="B99" s="304" t="s">
        <v>672</v>
      </c>
      <c r="C99" s="318">
        <f t="shared" ref="C99:L99" si="38">C43/C71</f>
        <v>0</v>
      </c>
      <c r="D99" s="318">
        <f t="shared" si="38"/>
        <v>0</v>
      </c>
      <c r="E99" s="318">
        <f t="shared" si="38"/>
        <v>1.72330583801265</v>
      </c>
      <c r="F99" s="318">
        <f t="shared" si="38"/>
        <v>1.4558617009947088</v>
      </c>
      <c r="G99" s="318">
        <f t="shared" si="38"/>
        <v>3.1982596986604541</v>
      </c>
      <c r="H99" s="318">
        <f t="shared" si="38"/>
        <v>2.9912440082126062</v>
      </c>
      <c r="I99" s="318">
        <f t="shared" si="38"/>
        <v>14.986250858123681</v>
      </c>
      <c r="J99" s="318">
        <f t="shared" si="38"/>
        <v>19.978158940466301</v>
      </c>
      <c r="K99" s="318">
        <f t="shared" si="38"/>
        <v>9.2635961684912989</v>
      </c>
      <c r="L99" s="318">
        <f t="shared" si="38"/>
        <v>6.9282577220662205</v>
      </c>
      <c r="M99" s="318"/>
    </row>
    <row r="100" spans="1:13" x14ac:dyDescent="0.2">
      <c r="A100" s="304" t="s">
        <v>673</v>
      </c>
      <c r="B100" s="304" t="s">
        <v>673</v>
      </c>
      <c r="C100" s="318">
        <f t="shared" ref="C100:L100" si="39">C32/C72</f>
        <v>0</v>
      </c>
      <c r="D100" s="318">
        <f t="shared" si="39"/>
        <v>0</v>
      </c>
      <c r="E100" s="318">
        <f t="shared" si="39"/>
        <v>0.46193037078969718</v>
      </c>
      <c r="F100" s="318">
        <f t="shared" si="39"/>
        <v>0.47421751857689709</v>
      </c>
      <c r="G100" s="318">
        <f t="shared" si="39"/>
        <v>0.58556747095621098</v>
      </c>
      <c r="H100" s="318">
        <f t="shared" si="39"/>
        <v>0.44254720771394135</v>
      </c>
      <c r="I100" s="318">
        <f t="shared" si="39"/>
        <v>0.82219295357260458</v>
      </c>
      <c r="J100" s="318">
        <f t="shared" si="39"/>
        <v>0.86571583203336411</v>
      </c>
      <c r="K100" s="318">
        <f t="shared" si="39"/>
        <v>1.0329025825497058</v>
      </c>
      <c r="L100" s="318">
        <f t="shared" si="39"/>
        <v>1.0341199678527069</v>
      </c>
      <c r="M100" s="304">
        <v>1</v>
      </c>
    </row>
    <row r="101" spans="1:13" x14ac:dyDescent="0.2">
      <c r="A101" s="309" t="s">
        <v>332</v>
      </c>
      <c r="B101" s="309"/>
      <c r="C101" s="318">
        <f t="shared" ref="C101:L101" si="40">$M$96*C96+$M$97*C97+$M$98*C98+$L$99*C99+$M$100*C100</f>
        <v>0</v>
      </c>
      <c r="D101" s="318">
        <f t="shared" si="40"/>
        <v>0</v>
      </c>
      <c r="E101" s="318">
        <f t="shared" si="40"/>
        <v>12.401437350482638</v>
      </c>
      <c r="F101" s="318">
        <f t="shared" si="40"/>
        <v>10.560802590753951</v>
      </c>
      <c r="G101" s="318">
        <f t="shared" si="40"/>
        <v>22.743934925373686</v>
      </c>
      <c r="H101" s="318">
        <f t="shared" si="40"/>
        <v>21.16665660619724</v>
      </c>
      <c r="I101" s="318">
        <f t="shared" si="40"/>
        <v>104.65080118618953</v>
      </c>
      <c r="J101" s="318">
        <f t="shared" si="40"/>
        <v>139.27954978398532</v>
      </c>
      <c r="K101" s="318">
        <f t="shared" si="40"/>
        <v>65.213484271002599</v>
      </c>
      <c r="L101" s="318">
        <f t="shared" si="40"/>
        <v>49.034875031222924</v>
      </c>
      <c r="M101" s="318">
        <f>$M$96*L96+$M$97*L97+$M$98*L98+$L$99*L99+$M$100*L100</f>
        <v>49.034875031222924</v>
      </c>
    </row>
    <row r="102" spans="1:13" x14ac:dyDescent="0.2">
      <c r="A102" s="286" t="s">
        <v>674</v>
      </c>
      <c r="B102" s="286"/>
      <c r="C102" s="286"/>
      <c r="D102" s="286"/>
      <c r="E102" s="286"/>
      <c r="F102" s="286"/>
      <c r="G102" s="286"/>
      <c r="H102" s="286"/>
      <c r="I102" s="286"/>
      <c r="J102" s="286"/>
      <c r="K102" s="286"/>
      <c r="L102" s="286"/>
      <c r="M102" s="286"/>
    </row>
    <row r="103" spans="1:13" x14ac:dyDescent="0.2">
      <c r="A103" s="286" t="s">
        <v>675</v>
      </c>
      <c r="B103" s="286"/>
      <c r="C103" s="286"/>
      <c r="D103" s="286"/>
      <c r="E103" s="286"/>
      <c r="F103" s="286"/>
      <c r="G103" s="286"/>
      <c r="H103" s="286"/>
      <c r="I103" s="286"/>
      <c r="J103" s="286"/>
      <c r="K103" s="286"/>
      <c r="L103" s="286"/>
      <c r="M103" s="286"/>
    </row>
    <row r="104" spans="1:13" x14ac:dyDescent="0.2">
      <c r="A104" s="286" t="s">
        <v>676</v>
      </c>
      <c r="B104" s="286"/>
      <c r="C104" s="286"/>
      <c r="D104" s="286"/>
      <c r="E104" s="286"/>
      <c r="F104" s="286"/>
      <c r="G104" s="286"/>
      <c r="H104" s="286"/>
      <c r="I104" s="286"/>
      <c r="J104" s="286"/>
      <c r="K104" s="286"/>
      <c r="L104" s="286"/>
      <c r="M104" s="286"/>
    </row>
    <row r="105" spans="1:13" x14ac:dyDescent="0.2">
      <c r="A105" s="286"/>
      <c r="B105" s="286"/>
      <c r="C105" s="286"/>
      <c r="D105" s="286"/>
      <c r="E105" s="286"/>
      <c r="F105" s="286"/>
      <c r="G105" s="286"/>
      <c r="H105" s="286"/>
      <c r="I105" s="286"/>
      <c r="J105" s="286"/>
      <c r="K105" s="286"/>
      <c r="L105" s="286"/>
      <c r="M105" s="286"/>
    </row>
    <row r="106" spans="1:13" x14ac:dyDescent="0.2">
      <c r="A106" s="286"/>
      <c r="B106" s="286"/>
      <c r="C106" s="286"/>
      <c r="D106" s="286"/>
      <c r="E106" s="286"/>
      <c r="F106" s="286"/>
      <c r="G106" s="286"/>
      <c r="H106" s="286"/>
      <c r="I106" s="286"/>
      <c r="J106" s="286"/>
      <c r="K106" s="286"/>
      <c r="L106" s="286"/>
      <c r="M106" s="286"/>
    </row>
    <row r="107" spans="1:13" x14ac:dyDescent="0.2">
      <c r="A107" s="286"/>
      <c r="B107" s="286"/>
      <c r="C107" s="286"/>
      <c r="D107" s="286"/>
      <c r="E107" s="286"/>
      <c r="F107" s="286"/>
      <c r="G107" s="286"/>
      <c r="H107" s="286"/>
      <c r="I107" s="286"/>
      <c r="J107" s="286"/>
      <c r="K107" s="286"/>
      <c r="L107" s="286"/>
      <c r="M107" s="286"/>
    </row>
    <row r="108" spans="1:13" x14ac:dyDescent="0.2">
      <c r="A108" s="286"/>
      <c r="B108" s="286"/>
      <c r="C108" s="286"/>
      <c r="D108" s="286"/>
      <c r="E108" s="286"/>
      <c r="F108" s="286"/>
      <c r="G108" s="286"/>
      <c r="H108" s="286"/>
      <c r="I108" s="286"/>
      <c r="J108" s="286"/>
      <c r="K108" s="286"/>
      <c r="L108" s="286"/>
      <c r="M108" s="286"/>
    </row>
    <row r="109" spans="1:13" x14ac:dyDescent="0.2">
      <c r="A109" s="286"/>
      <c r="B109" s="286"/>
      <c r="C109" s="286"/>
      <c r="D109" s="286"/>
      <c r="E109" s="286"/>
      <c r="F109" s="286"/>
      <c r="G109" s="286"/>
      <c r="H109" s="286"/>
      <c r="I109" s="286"/>
      <c r="J109" s="286"/>
      <c r="K109" s="286"/>
      <c r="L109" s="286"/>
      <c r="M109" s="286"/>
    </row>
    <row r="110" spans="1:13" x14ac:dyDescent="0.2">
      <c r="A110" s="286"/>
      <c r="B110" s="286"/>
      <c r="C110" s="286"/>
      <c r="D110" s="286"/>
      <c r="E110" s="286"/>
      <c r="F110" s="286"/>
      <c r="G110" s="286"/>
      <c r="H110" s="286"/>
      <c r="I110" s="286"/>
      <c r="J110" s="286"/>
      <c r="K110" s="286"/>
      <c r="L110" s="286"/>
      <c r="M110" s="286"/>
    </row>
    <row r="111" spans="1:13" x14ac:dyDescent="0.2">
      <c r="A111" s="286"/>
      <c r="B111" s="286"/>
      <c r="C111" s="286"/>
      <c r="D111" s="286"/>
      <c r="E111" s="286"/>
      <c r="F111" s="286"/>
      <c r="G111" s="286"/>
      <c r="H111" s="286"/>
      <c r="I111" s="286"/>
      <c r="J111" s="286"/>
      <c r="K111" s="286"/>
      <c r="L111" s="286"/>
      <c r="M111" s="286"/>
    </row>
    <row r="112" spans="1:13" x14ac:dyDescent="0.2">
      <c r="A112" s="286"/>
      <c r="B112" s="286"/>
      <c r="C112" s="286"/>
      <c r="D112" s="286"/>
      <c r="E112" s="286"/>
      <c r="F112" s="286"/>
      <c r="G112" s="286"/>
      <c r="H112" s="286"/>
      <c r="I112" s="286"/>
      <c r="J112" s="286"/>
      <c r="K112" s="286"/>
      <c r="L112" s="286"/>
      <c r="M112" s="286"/>
    </row>
    <row r="113" spans="1:13" x14ac:dyDescent="0.2">
      <c r="A113" s="286"/>
      <c r="B113" s="286"/>
      <c r="C113" s="286"/>
      <c r="D113" s="286"/>
      <c r="E113" s="286"/>
      <c r="F113" s="286"/>
      <c r="G113" s="286"/>
      <c r="H113" s="286"/>
      <c r="I113" s="286"/>
      <c r="J113" s="286"/>
      <c r="K113" s="286"/>
      <c r="L113" s="286"/>
      <c r="M113" s="286"/>
    </row>
    <row r="114" spans="1:13" x14ac:dyDescent="0.2">
      <c r="A114" s="286"/>
      <c r="B114" s="286"/>
      <c r="C114" s="286"/>
      <c r="D114" s="286"/>
      <c r="E114" s="286"/>
      <c r="F114" s="286"/>
      <c r="G114" s="286"/>
      <c r="H114" s="286"/>
      <c r="I114" s="286"/>
      <c r="J114" s="286"/>
      <c r="K114" s="286"/>
      <c r="L114" s="286"/>
      <c r="M114" s="286"/>
    </row>
    <row r="115" spans="1:13" x14ac:dyDescent="0.2">
      <c r="A115" s="286"/>
      <c r="B115" s="286"/>
      <c r="C115" s="286"/>
      <c r="D115" s="286"/>
      <c r="E115" s="286"/>
      <c r="F115" s="286"/>
      <c r="G115" s="286"/>
      <c r="H115" s="286"/>
      <c r="I115" s="286"/>
      <c r="J115" s="286"/>
      <c r="K115" s="286"/>
      <c r="L115" s="286"/>
      <c r="M115" s="286"/>
    </row>
    <row r="116" spans="1:13" x14ac:dyDescent="0.2">
      <c r="A116" s="286"/>
      <c r="B116" s="286"/>
      <c r="C116" s="286"/>
      <c r="D116" s="286"/>
      <c r="E116" s="286"/>
      <c r="F116" s="286"/>
      <c r="G116" s="286"/>
      <c r="H116" s="286"/>
      <c r="I116" s="286"/>
      <c r="J116" s="286"/>
      <c r="K116" s="286"/>
      <c r="L116" s="286"/>
      <c r="M116" s="286"/>
    </row>
    <row r="117" spans="1:13" x14ac:dyDescent="0.2">
      <c r="A117" s="286"/>
      <c r="B117" s="286"/>
      <c r="C117" s="286"/>
      <c r="D117" s="286"/>
      <c r="E117" s="286"/>
      <c r="F117" s="286"/>
      <c r="G117" s="286"/>
      <c r="H117" s="286"/>
      <c r="I117" s="286"/>
      <c r="J117" s="286"/>
      <c r="K117" s="286"/>
      <c r="L117" s="286"/>
      <c r="M117" s="286"/>
    </row>
    <row r="118" spans="1:13" x14ac:dyDescent="0.2">
      <c r="A118" s="286"/>
      <c r="B118" s="286"/>
      <c r="C118" s="286"/>
      <c r="D118" s="286"/>
      <c r="E118" s="286"/>
      <c r="F118" s="286"/>
      <c r="G118" s="286"/>
      <c r="H118" s="286"/>
      <c r="I118" s="286"/>
      <c r="J118" s="286"/>
      <c r="K118" s="286"/>
      <c r="L118" s="286"/>
      <c r="M118" s="286"/>
    </row>
    <row r="119" spans="1:13" x14ac:dyDescent="0.2">
      <c r="A119" s="286"/>
      <c r="B119" s="286"/>
      <c r="C119" s="286"/>
      <c r="D119" s="286"/>
      <c r="E119" s="286"/>
      <c r="F119" s="286"/>
      <c r="G119" s="286"/>
      <c r="H119" s="286"/>
      <c r="I119" s="286"/>
      <c r="J119" s="286"/>
      <c r="K119" s="286"/>
      <c r="L119" s="286"/>
      <c r="M119" s="286"/>
    </row>
    <row r="120" spans="1:13" x14ac:dyDescent="0.2">
      <c r="A120" s="286"/>
      <c r="B120" s="286"/>
      <c r="C120" s="286"/>
      <c r="D120" s="286"/>
      <c r="E120" s="286"/>
      <c r="F120" s="286"/>
      <c r="G120" s="286"/>
      <c r="H120" s="286"/>
      <c r="I120" s="286"/>
      <c r="J120" s="286"/>
      <c r="K120" s="286"/>
      <c r="L120" s="286"/>
      <c r="M120" s="286"/>
    </row>
    <row r="121" spans="1:13" x14ac:dyDescent="0.2">
      <c r="A121" s="286"/>
      <c r="B121" s="286"/>
      <c r="C121" s="286"/>
      <c r="D121" s="286"/>
      <c r="E121" s="286"/>
      <c r="F121" s="286"/>
      <c r="G121" s="286"/>
      <c r="H121" s="286"/>
      <c r="I121" s="286"/>
      <c r="J121" s="286"/>
      <c r="K121" s="286"/>
      <c r="L121" s="286"/>
      <c r="M121" s="286"/>
    </row>
    <row r="122" spans="1:13" x14ac:dyDescent="0.2">
      <c r="A122" s="286"/>
      <c r="B122" s="286"/>
      <c r="C122" s="286"/>
      <c r="D122" s="286"/>
      <c r="E122" s="286"/>
      <c r="F122" s="286"/>
      <c r="G122" s="286"/>
      <c r="H122" s="286"/>
      <c r="I122" s="286"/>
      <c r="J122" s="286"/>
      <c r="K122" s="286"/>
      <c r="L122" s="286"/>
      <c r="M122" s="286"/>
    </row>
    <row r="123" spans="1:13" x14ac:dyDescent="0.2">
      <c r="A123" s="286"/>
      <c r="B123" s="286"/>
      <c r="C123" s="286"/>
      <c r="D123" s="286"/>
      <c r="E123" s="286"/>
      <c r="F123" s="286"/>
      <c r="G123" s="286"/>
      <c r="H123" s="286"/>
      <c r="I123" s="286"/>
      <c r="J123" s="286"/>
      <c r="K123" s="286"/>
      <c r="L123" s="286"/>
      <c r="M123" s="286"/>
    </row>
    <row r="124" spans="1:13" x14ac:dyDescent="0.2">
      <c r="A124" s="286"/>
      <c r="B124" s="286"/>
      <c r="C124" s="286"/>
      <c r="D124" s="286"/>
      <c r="E124" s="286"/>
      <c r="F124" s="286"/>
      <c r="G124" s="286"/>
      <c r="H124" s="286"/>
      <c r="I124" s="286"/>
      <c r="J124" s="286"/>
      <c r="K124" s="286"/>
      <c r="L124" s="286"/>
      <c r="M124" s="286"/>
    </row>
    <row r="125" spans="1:13" x14ac:dyDescent="0.2">
      <c r="A125" s="286"/>
      <c r="B125" s="286"/>
      <c r="C125" s="286"/>
      <c r="D125" s="286"/>
      <c r="E125" s="286"/>
      <c r="F125" s="286"/>
      <c r="G125" s="286"/>
      <c r="H125" s="286"/>
      <c r="I125" s="286"/>
      <c r="J125" s="286"/>
      <c r="K125" s="286"/>
      <c r="L125" s="286"/>
      <c r="M125" s="286"/>
    </row>
    <row r="126" spans="1:13" x14ac:dyDescent="0.2">
      <c r="A126" s="286"/>
      <c r="B126" s="286"/>
      <c r="C126" s="286"/>
      <c r="D126" s="286"/>
      <c r="E126" s="286"/>
      <c r="F126" s="286"/>
      <c r="G126" s="286"/>
      <c r="H126" s="286"/>
      <c r="I126" s="286"/>
      <c r="J126" s="286"/>
      <c r="K126" s="286"/>
      <c r="L126" s="286"/>
      <c r="M126" s="286"/>
    </row>
    <row r="127" spans="1:13" x14ac:dyDescent="0.2">
      <c r="A127" s="286"/>
      <c r="B127" s="286"/>
      <c r="C127" s="286"/>
      <c r="D127" s="286"/>
      <c r="E127" s="286"/>
      <c r="F127" s="286"/>
      <c r="G127" s="286"/>
      <c r="H127" s="286"/>
      <c r="I127" s="286"/>
      <c r="J127" s="286"/>
      <c r="K127" s="286"/>
      <c r="L127" s="286"/>
      <c r="M127" s="286"/>
    </row>
    <row r="128" spans="1:13" x14ac:dyDescent="0.2">
      <c r="A128" s="286"/>
      <c r="B128" s="286"/>
      <c r="C128" s="286"/>
      <c r="D128" s="286"/>
      <c r="E128" s="286"/>
      <c r="F128" s="286"/>
      <c r="G128" s="286"/>
      <c r="H128" s="286"/>
      <c r="I128" s="286"/>
      <c r="J128" s="286"/>
      <c r="K128" s="286"/>
      <c r="L128" s="286"/>
      <c r="M128" s="286"/>
    </row>
    <row r="129" spans="1:13" x14ac:dyDescent="0.2">
      <c r="A129" s="286"/>
      <c r="B129" s="286"/>
      <c r="C129" s="286"/>
      <c r="D129" s="286"/>
      <c r="E129" s="286"/>
      <c r="F129" s="286"/>
      <c r="G129" s="286"/>
      <c r="H129" s="286"/>
      <c r="I129" s="286"/>
      <c r="J129" s="286"/>
      <c r="K129" s="286"/>
      <c r="L129" s="286"/>
      <c r="M129" s="286"/>
    </row>
    <row r="130" spans="1:13" x14ac:dyDescent="0.2">
      <c r="A130" s="286"/>
      <c r="B130" s="286"/>
      <c r="C130" s="286"/>
      <c r="D130" s="286"/>
      <c r="E130" s="286"/>
      <c r="F130" s="286"/>
      <c r="G130" s="286"/>
      <c r="H130" s="286"/>
      <c r="I130" s="286"/>
      <c r="J130" s="286"/>
      <c r="K130" s="286"/>
      <c r="L130" s="286"/>
      <c r="M130" s="286"/>
    </row>
    <row r="131" spans="1:13" x14ac:dyDescent="0.2">
      <c r="A131" s="286"/>
      <c r="B131" s="286"/>
      <c r="C131" s="286"/>
      <c r="D131" s="286"/>
      <c r="E131" s="286"/>
      <c r="F131" s="286"/>
      <c r="G131" s="286"/>
      <c r="H131" s="286"/>
      <c r="I131" s="286"/>
      <c r="J131" s="286"/>
      <c r="K131" s="286"/>
      <c r="L131" s="286"/>
      <c r="M131" s="286"/>
    </row>
    <row r="132" spans="1:13" x14ac:dyDescent="0.2">
      <c r="A132" s="286"/>
      <c r="B132" s="286"/>
      <c r="C132" s="286"/>
      <c r="D132" s="286"/>
      <c r="E132" s="286"/>
      <c r="F132" s="286"/>
      <c r="G132" s="286"/>
      <c r="H132" s="286"/>
      <c r="I132" s="286"/>
      <c r="J132" s="286"/>
      <c r="K132" s="286"/>
      <c r="L132" s="286"/>
      <c r="M132" s="286"/>
    </row>
    <row r="133" spans="1:13" x14ac:dyDescent="0.2">
      <c r="A133" s="286"/>
      <c r="B133" s="286"/>
      <c r="C133" s="286"/>
      <c r="D133" s="286"/>
      <c r="E133" s="286"/>
      <c r="F133" s="286"/>
      <c r="G133" s="286"/>
      <c r="H133" s="286"/>
      <c r="I133" s="286"/>
      <c r="J133" s="286"/>
      <c r="K133" s="286"/>
      <c r="L133" s="286"/>
      <c r="M133" s="286"/>
    </row>
    <row r="134" spans="1:13" x14ac:dyDescent="0.2">
      <c r="A134" s="286"/>
      <c r="B134" s="286"/>
      <c r="C134" s="286"/>
      <c r="D134" s="286"/>
      <c r="E134" s="286"/>
      <c r="F134" s="286"/>
      <c r="G134" s="286"/>
      <c r="H134" s="286"/>
      <c r="I134" s="286"/>
      <c r="J134" s="286"/>
      <c r="K134" s="286"/>
      <c r="L134" s="286"/>
      <c r="M134" s="286"/>
    </row>
    <row r="135" spans="1:13" x14ac:dyDescent="0.2">
      <c r="A135" s="286"/>
      <c r="B135" s="286"/>
      <c r="C135" s="286"/>
      <c r="D135" s="286"/>
      <c r="E135" s="286"/>
      <c r="F135" s="286"/>
      <c r="G135" s="286"/>
      <c r="H135" s="286"/>
      <c r="I135" s="286"/>
      <c r="J135" s="286"/>
      <c r="K135" s="286"/>
      <c r="L135" s="286"/>
      <c r="M135" s="286"/>
    </row>
  </sheetData>
  <mergeCells count="9">
    <mergeCell ref="A81:L81"/>
    <mergeCell ref="A84:L84"/>
    <mergeCell ref="A95:L95"/>
    <mergeCell ref="A3:K3"/>
    <mergeCell ref="A12:L12"/>
    <mergeCell ref="A13:K13"/>
    <mergeCell ref="D44:L44"/>
    <mergeCell ref="A45:L45"/>
    <mergeCell ref="A76:L76"/>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3"/>
  <sheetViews>
    <sheetView workbookViewId="0">
      <selection activeCell="B3" sqref="B3"/>
    </sheetView>
  </sheetViews>
  <sheetFormatPr defaultRowHeight="15" x14ac:dyDescent="0.25"/>
  <cols>
    <col min="1" max="1" width="30" style="246" customWidth="1"/>
    <col min="2" max="9" width="11" customWidth="1"/>
    <col min="10" max="11" width="12" customWidth="1"/>
    <col min="12" max="12" width="11.5703125" bestFit="1" customWidth="1"/>
    <col min="13" max="13" width="11.5703125" customWidth="1"/>
  </cols>
  <sheetData>
    <row r="3" spans="1:19" x14ac:dyDescent="0.25">
      <c r="B3" s="16">
        <f>'Data Sheet'!B81</f>
        <v>39903</v>
      </c>
      <c r="C3" s="16">
        <f>'Data Sheet'!C81</f>
        <v>40268</v>
      </c>
      <c r="D3" s="16">
        <f>'Data Sheet'!D81</f>
        <v>40633</v>
      </c>
      <c r="E3" s="16">
        <f>'Data Sheet'!E81</f>
        <v>40999</v>
      </c>
      <c r="F3" s="16">
        <f>'Data Sheet'!F81</f>
        <v>41364</v>
      </c>
      <c r="G3" s="16">
        <f>'Data Sheet'!G81</f>
        <v>41729</v>
      </c>
      <c r="H3" s="16">
        <f>'Data Sheet'!H81</f>
        <v>42094</v>
      </c>
      <c r="I3" s="16">
        <f>'Data Sheet'!I81</f>
        <v>42460</v>
      </c>
      <c r="J3" s="16">
        <f>'Data Sheet'!J81</f>
        <v>42825</v>
      </c>
      <c r="K3" s="16">
        <f>'Data Sheet'!K81</f>
        <v>43190</v>
      </c>
    </row>
    <row r="4" spans="1:19" ht="15" customHeight="1" x14ac:dyDescent="0.25">
      <c r="A4" s="246" t="s">
        <v>192</v>
      </c>
      <c r="D4" s="85">
        <f>'Financial Analysis'!D61</f>
        <v>23.108172635445364</v>
      </c>
      <c r="E4" s="85">
        <f>'Financial Analysis'!E61</f>
        <v>0.44473313248016799</v>
      </c>
      <c r="F4" s="85">
        <f>'Financial Analysis'!F61</f>
        <v>-0.44570944243368305</v>
      </c>
      <c r="G4" s="85">
        <f>'Financial Analysis'!G61</f>
        <v>8.2462790850101584</v>
      </c>
      <c r="H4" s="85">
        <f>'Financial Analysis'!H61</f>
        <v>0.24798564109510846</v>
      </c>
      <c r="I4" s="85">
        <f>'Financial Analysis'!I61</f>
        <v>0.3621677887658552</v>
      </c>
      <c r="J4" s="85">
        <f>'Financial Analysis'!J61</f>
        <v>0.62075640678740696</v>
      </c>
      <c r="K4" s="85">
        <f>'Financial Analysis'!K61</f>
        <v>0.84549872413582161</v>
      </c>
      <c r="N4" s="438" t="s">
        <v>986</v>
      </c>
      <c r="O4" s="438"/>
      <c r="P4" s="438"/>
      <c r="Q4" s="438"/>
      <c r="R4" s="438"/>
      <c r="S4" s="438"/>
    </row>
    <row r="5" spans="1:19" x14ac:dyDescent="0.25">
      <c r="A5" s="246" t="s">
        <v>979</v>
      </c>
      <c r="B5" s="85">
        <f>'Profit &amp; Loss'!B19</f>
        <v>0</v>
      </c>
      <c r="C5" s="85" t="str">
        <f>'Financial Analysis'!C28</f>
        <v>NA</v>
      </c>
      <c r="D5" s="85">
        <f>'Financial Analysis'!D28</f>
        <v>0.19791666666666674</v>
      </c>
      <c r="E5" s="85">
        <f>'Financial Analysis'!E28</f>
        <v>0.23741690408357063</v>
      </c>
      <c r="F5" s="85">
        <f>'Financial Analysis'!F28</f>
        <v>0.2075543685616178</v>
      </c>
      <c r="G5" s="85">
        <f>'Financial Analysis'!G28</f>
        <v>0.31343622333182031</v>
      </c>
      <c r="H5" s="85">
        <f>'Financial Analysis'!H28</f>
        <v>0.30652783340008005</v>
      </c>
      <c r="I5" s="85">
        <f>'Financial Analysis'!I28</f>
        <v>0.32548817710440181</v>
      </c>
      <c r="J5" s="85">
        <f>'Financial Analysis'!J28</f>
        <v>0.34977476624900627</v>
      </c>
      <c r="K5" s="85">
        <f>'Financial Analysis'!K28</f>
        <v>0.34545004945598412</v>
      </c>
      <c r="N5" s="438"/>
      <c r="O5" s="438"/>
      <c r="P5" s="438"/>
      <c r="Q5" s="438"/>
      <c r="R5" s="438"/>
      <c r="S5" s="438"/>
    </row>
    <row r="6" spans="1:19" x14ac:dyDescent="0.25">
      <c r="A6" s="246" t="s">
        <v>992</v>
      </c>
      <c r="C6" s="64"/>
      <c r="D6" s="64"/>
      <c r="E6" s="64" t="e">
        <f>'Financial Analysis'!E62</f>
        <v>#DIV/0!</v>
      </c>
      <c r="F6" s="64">
        <f>'Financial Analysis'!F62</f>
        <v>8.9175107960573499</v>
      </c>
      <c r="G6" s="64">
        <f>'Financial Analysis'!G62</f>
        <v>3.0119131332564333</v>
      </c>
      <c r="H6" s="64">
        <f>'Financial Analysis'!H62</f>
        <v>2.8571361164243472</v>
      </c>
      <c r="I6" s="64">
        <f>'Financial Analysis'!I62</f>
        <v>3.09128407569687</v>
      </c>
      <c r="J6" s="64">
        <f>'Financial Analysis'!J62</f>
        <v>0.40574633685759609</v>
      </c>
      <c r="K6" s="64">
        <f>'Financial Analysis'!K62</f>
        <v>0.60127293078431954</v>
      </c>
      <c r="N6" s="438"/>
      <c r="O6" s="438"/>
      <c r="P6" s="438"/>
      <c r="Q6" s="438"/>
      <c r="R6" s="438"/>
      <c r="S6" s="438"/>
    </row>
    <row r="7" spans="1:19" x14ac:dyDescent="0.25">
      <c r="A7" s="246" t="s">
        <v>993</v>
      </c>
      <c r="C7" s="64"/>
      <c r="D7" s="64">
        <f>AVERAGE(B5:D5)</f>
        <v>9.895833333333337E-2</v>
      </c>
      <c r="E7" s="64">
        <f t="shared" ref="E7:K7" si="0">AVERAGE(C5:E5)</f>
        <v>0.21766678537511869</v>
      </c>
      <c r="F7" s="64">
        <f t="shared" si="0"/>
        <v>0.2142959797706184</v>
      </c>
      <c r="G7" s="64">
        <f t="shared" si="0"/>
        <v>0.25280249865900289</v>
      </c>
      <c r="H7" s="64">
        <f t="shared" si="0"/>
        <v>0.2758394750978394</v>
      </c>
      <c r="I7" s="64">
        <f t="shared" si="0"/>
        <v>0.31515074461210074</v>
      </c>
      <c r="J7" s="64">
        <f t="shared" si="0"/>
        <v>0.32726359225116269</v>
      </c>
      <c r="K7" s="64">
        <f t="shared" si="0"/>
        <v>0.34023766426979735</v>
      </c>
      <c r="N7" s="438"/>
      <c r="O7" s="438"/>
      <c r="P7" s="438"/>
      <c r="Q7" s="438"/>
      <c r="R7" s="438"/>
      <c r="S7" s="438"/>
    </row>
    <row r="8" spans="1:19" x14ac:dyDescent="0.25">
      <c r="N8" s="438"/>
      <c r="O8" s="438"/>
      <c r="P8" s="438"/>
      <c r="Q8" s="438"/>
      <c r="R8" s="438"/>
      <c r="S8" s="438"/>
    </row>
    <row r="9" spans="1:19" x14ac:dyDescent="0.25">
      <c r="A9" s="246" t="s">
        <v>980</v>
      </c>
      <c r="C9">
        <f>Others!C10</f>
        <v>0</v>
      </c>
      <c r="D9">
        <f>Others!D10</f>
        <v>1.07</v>
      </c>
      <c r="E9">
        <f>Others!E10</f>
        <v>2.93</v>
      </c>
      <c r="F9">
        <f>Others!F10</f>
        <v>2.11</v>
      </c>
      <c r="G9">
        <f>Others!G10</f>
        <v>3.78</v>
      </c>
      <c r="H9">
        <f>Others!H10</f>
        <v>7.0000000000000007E-2</v>
      </c>
      <c r="I9">
        <f>Others!I10</f>
        <v>2.72</v>
      </c>
      <c r="J9">
        <f>Others!J10</f>
        <v>40.79</v>
      </c>
      <c r="K9">
        <f>Others!K10</f>
        <v>86.48</v>
      </c>
      <c r="N9" s="438"/>
      <c r="O9" s="438"/>
      <c r="P9" s="438"/>
      <c r="Q9" s="438"/>
      <c r="R9" s="438"/>
      <c r="S9" s="438"/>
    </row>
    <row r="10" spans="1:19" ht="24.75" x14ac:dyDescent="0.25">
      <c r="A10" s="283" t="s">
        <v>983</v>
      </c>
      <c r="C10">
        <f>Others!C11</f>
        <v>-1.31</v>
      </c>
      <c r="D10">
        <f>Others!D11</f>
        <v>1.07</v>
      </c>
      <c r="E10">
        <f>Others!E11</f>
        <v>1.86</v>
      </c>
      <c r="F10">
        <f>Others!F11</f>
        <v>-0.82000000000000028</v>
      </c>
      <c r="G10">
        <f>Others!G11</f>
        <v>1.67</v>
      </c>
      <c r="H10">
        <f>Others!H11</f>
        <v>-3.71</v>
      </c>
      <c r="I10">
        <f>Others!I11</f>
        <v>2.6500000000000004</v>
      </c>
      <c r="J10">
        <f>Others!J11</f>
        <v>38.07</v>
      </c>
      <c r="K10">
        <f>Others!K11</f>
        <v>45.690000000000005</v>
      </c>
      <c r="N10" s="438"/>
      <c r="O10" s="438"/>
      <c r="P10" s="438"/>
      <c r="Q10" s="438"/>
      <c r="R10" s="438"/>
      <c r="S10" s="438"/>
    </row>
    <row r="11" spans="1:19" x14ac:dyDescent="0.25">
      <c r="A11" s="246" t="s">
        <v>981</v>
      </c>
      <c r="C11" s="64">
        <f>IFERROR(('Data Sheet'!C59-'Data Sheet'!B59)/'Data Sheet'!B59,"NA")</f>
        <v>-1</v>
      </c>
      <c r="D11" s="64" t="str">
        <f>IFERROR(('Data Sheet'!D59-'Data Sheet'!C59)/'Data Sheet'!C59,"NA")</f>
        <v>NA</v>
      </c>
      <c r="E11" s="64">
        <f>IFERROR(('Data Sheet'!E59-'Data Sheet'!D59)/'Data Sheet'!D59,"NA")</f>
        <v>1.7383177570093458</v>
      </c>
      <c r="F11" s="64">
        <f>IFERROR(('Data Sheet'!F59-'Data Sheet'!E59)/'Data Sheet'!E59,"NA")</f>
        <v>-0.279863481228669</v>
      </c>
      <c r="G11" s="64">
        <f>IFERROR(('Data Sheet'!G59-'Data Sheet'!F59)/'Data Sheet'!F59,"NA")</f>
        <v>0.79146919431279628</v>
      </c>
      <c r="H11" s="64">
        <f>IFERROR(('Data Sheet'!H59-'Data Sheet'!G59)/'Data Sheet'!G59,"NA")</f>
        <v>-0.98148148148148151</v>
      </c>
      <c r="I11" s="64">
        <f>IFERROR(('Data Sheet'!I59-'Data Sheet'!H59)/'Data Sheet'!H59,"NA")</f>
        <v>37.857142857142861</v>
      </c>
      <c r="J11" s="64">
        <f>IFERROR(('Data Sheet'!J59-'Data Sheet'!I59)/'Data Sheet'!I59,"NA")</f>
        <v>13.996323529411764</v>
      </c>
      <c r="K11" s="64">
        <f>IFERROR(('Data Sheet'!K59-'Data Sheet'!J59)/'Data Sheet'!J59,"NA")</f>
        <v>1.1201274822260359</v>
      </c>
      <c r="N11" s="438"/>
      <c r="O11" s="438"/>
      <c r="P11" s="438"/>
      <c r="Q11" s="438"/>
      <c r="R11" s="438"/>
      <c r="S11" s="438"/>
    </row>
    <row r="12" spans="1:19" x14ac:dyDescent="0.25">
      <c r="C12" s="64"/>
      <c r="D12" s="64"/>
      <c r="E12" s="64"/>
      <c r="F12" s="64"/>
      <c r="G12" s="64"/>
      <c r="H12" s="64"/>
      <c r="I12" s="64"/>
      <c r="J12" s="64"/>
      <c r="K12" s="64"/>
      <c r="N12" s="438"/>
      <c r="O12" s="438"/>
      <c r="P12" s="438"/>
      <c r="Q12" s="438"/>
      <c r="R12" s="438"/>
      <c r="S12" s="438"/>
    </row>
    <row r="13" spans="1:19" x14ac:dyDescent="0.25">
      <c r="A13" s="246" t="s">
        <v>73</v>
      </c>
      <c r="C13">
        <f>'Data Sheet'!C60</f>
        <v>0.15</v>
      </c>
      <c r="D13">
        <f>'Data Sheet'!D60</f>
        <v>13.57</v>
      </c>
      <c r="E13">
        <f>'Data Sheet'!E60</f>
        <v>15.97</v>
      </c>
      <c r="F13">
        <f>'Data Sheet'!F60</f>
        <v>15.06</v>
      </c>
      <c r="G13">
        <f>'Data Sheet'!G60</f>
        <v>33.78</v>
      </c>
      <c r="H13">
        <f>'Data Sheet'!H60</f>
        <v>52</v>
      </c>
      <c r="I13">
        <f>'Data Sheet'!I60</f>
        <v>106.94</v>
      </c>
      <c r="J13">
        <f>'Data Sheet'!J60</f>
        <v>150.77000000000001</v>
      </c>
      <c r="K13">
        <f>'Data Sheet'!K60</f>
        <v>243.64</v>
      </c>
      <c r="N13" s="438"/>
      <c r="O13" s="438"/>
      <c r="P13" s="438"/>
      <c r="Q13" s="438"/>
      <c r="R13" s="438"/>
      <c r="S13" s="438"/>
    </row>
    <row r="14" spans="1:19" ht="24.75" x14ac:dyDescent="0.25">
      <c r="A14" s="283" t="s">
        <v>984</v>
      </c>
      <c r="C14">
        <f>'Data Sheet'!C60-'Data Sheet'!B60</f>
        <v>-1.0000000000000009E-2</v>
      </c>
      <c r="D14">
        <f>'Data Sheet'!D60-'Data Sheet'!C60</f>
        <v>13.42</v>
      </c>
      <c r="E14">
        <f>'Data Sheet'!E60-'Data Sheet'!D60</f>
        <v>2.4000000000000004</v>
      </c>
      <c r="F14">
        <f>'Data Sheet'!F60-'Data Sheet'!E60</f>
        <v>-0.91000000000000014</v>
      </c>
      <c r="G14">
        <f>'Data Sheet'!G60-'Data Sheet'!F60</f>
        <v>18.72</v>
      </c>
      <c r="H14">
        <f>'Data Sheet'!H60-'Data Sheet'!G60</f>
        <v>18.22</v>
      </c>
      <c r="I14">
        <f>'Data Sheet'!I60-'Data Sheet'!H60</f>
        <v>54.94</v>
      </c>
      <c r="J14">
        <f>'Data Sheet'!J60-'Data Sheet'!I60</f>
        <v>43.830000000000013</v>
      </c>
      <c r="K14">
        <f>'Data Sheet'!K60-'Data Sheet'!J60</f>
        <v>92.869999999999976</v>
      </c>
      <c r="N14" s="404"/>
      <c r="O14" s="404"/>
      <c r="P14" s="404"/>
      <c r="Q14" s="404"/>
      <c r="R14" s="404"/>
      <c r="S14" s="404"/>
    </row>
    <row r="15" spans="1:19" x14ac:dyDescent="0.25">
      <c r="A15" s="246" t="s">
        <v>985</v>
      </c>
      <c r="C15" s="64">
        <f>IFERROR(('Data Sheet'!C60-'Data Sheet'!B60)/'Data Sheet'!B60,"NA")</f>
        <v>-6.2500000000000056E-2</v>
      </c>
      <c r="D15" s="64">
        <f>IFERROR(('Data Sheet'!D60-'Data Sheet'!C60)/'Data Sheet'!C60,"NA")</f>
        <v>89.466666666666669</v>
      </c>
      <c r="E15" s="64">
        <f>IFERROR(('Data Sheet'!E60-'Data Sheet'!D60)/'Data Sheet'!D60,"NA")</f>
        <v>0.17686072218128226</v>
      </c>
      <c r="F15" s="64">
        <f>IFERROR(('Data Sheet'!F60-'Data Sheet'!E60)/'Data Sheet'!E60,"NA")</f>
        <v>-5.6981840951784601E-2</v>
      </c>
      <c r="G15" s="64">
        <f>IFERROR(('Data Sheet'!G60-'Data Sheet'!F60)/'Data Sheet'!F60,"NA")</f>
        <v>1.2430278884462149</v>
      </c>
      <c r="H15" s="64">
        <f>IFERROR(('Data Sheet'!H60-'Data Sheet'!G60)/'Data Sheet'!G60,"NA")</f>
        <v>0.53937240970988742</v>
      </c>
      <c r="I15" s="64">
        <f>IFERROR(('Data Sheet'!I60-'Data Sheet'!H60)/'Data Sheet'!H60,"NA")</f>
        <v>1.0565384615384614</v>
      </c>
      <c r="J15" s="64">
        <f>IFERROR(('Data Sheet'!J60-'Data Sheet'!I60)/'Data Sheet'!I60,"NA")</f>
        <v>0.40985599401533584</v>
      </c>
      <c r="K15" s="64">
        <f>IFERROR(('Data Sheet'!K60-'Data Sheet'!J60)/'Data Sheet'!J60,"NA")</f>
        <v>0.61597134708496371</v>
      </c>
    </row>
    <row r="17" spans="1:19" x14ac:dyDescent="0.25">
      <c r="L17" s="383" t="s">
        <v>987</v>
      </c>
      <c r="N17" s="439" t="s">
        <v>989</v>
      </c>
      <c r="O17" s="439"/>
      <c r="P17" s="439"/>
      <c r="Q17" s="439"/>
      <c r="R17" s="439"/>
      <c r="S17" s="439"/>
    </row>
    <row r="18" spans="1:19" x14ac:dyDescent="0.25">
      <c r="A18" s="246" t="s">
        <v>146</v>
      </c>
      <c r="B18">
        <f>'Data Sheet'!B82</f>
        <v>0</v>
      </c>
      <c r="C18">
        <f>'Data Sheet'!C82</f>
        <v>0</v>
      </c>
      <c r="D18">
        <f>'Data Sheet'!D82</f>
        <v>11.4</v>
      </c>
      <c r="E18">
        <f>'Data Sheet'!E82</f>
        <v>-3.35</v>
      </c>
      <c r="F18">
        <f>'Data Sheet'!F82</f>
        <v>-7.42</v>
      </c>
      <c r="G18">
        <f>'Data Sheet'!G82</f>
        <v>12.16</v>
      </c>
      <c r="H18">
        <f>'Data Sheet'!H82</f>
        <v>26.08</v>
      </c>
      <c r="I18">
        <f>'Data Sheet'!I82</f>
        <v>18.89</v>
      </c>
      <c r="J18">
        <f>'Data Sheet'!J82</f>
        <v>71.73</v>
      </c>
      <c r="K18">
        <f>'Data Sheet'!K82</f>
        <v>125.1</v>
      </c>
      <c r="L18">
        <f>SUM(Table7[[#This Row],[Column2]:[Column11]])</f>
        <v>254.59</v>
      </c>
      <c r="N18" s="439"/>
      <c r="O18" s="439"/>
      <c r="P18" s="439"/>
      <c r="Q18" s="439"/>
      <c r="R18" s="439"/>
      <c r="S18" s="439"/>
    </row>
    <row r="19" spans="1:19" x14ac:dyDescent="0.25">
      <c r="A19" s="246" t="s">
        <v>988</v>
      </c>
      <c r="B19">
        <f>'Data Sheet'!B27</f>
        <v>0</v>
      </c>
      <c r="C19">
        <f>'Data Sheet'!C27</f>
        <v>0</v>
      </c>
      <c r="D19">
        <f>'Data Sheet'!D27</f>
        <v>0.02</v>
      </c>
      <c r="E19">
        <f>'Data Sheet'!E27</f>
        <v>0.05</v>
      </c>
      <c r="F19">
        <f>'Data Sheet'!F27</f>
        <v>0.17</v>
      </c>
      <c r="G19">
        <f>'Data Sheet'!G27</f>
        <v>0.37</v>
      </c>
      <c r="H19">
        <f>'Data Sheet'!H27</f>
        <v>0.45</v>
      </c>
      <c r="I19">
        <f>'Data Sheet'!I27</f>
        <v>0.21</v>
      </c>
      <c r="J19">
        <f>'Data Sheet'!J27</f>
        <v>1.64</v>
      </c>
      <c r="K19">
        <f>'Data Sheet'!K27</f>
        <v>10.66</v>
      </c>
      <c r="L19">
        <f>SUM(Table7[[#This Row],[Column2]:[Column11]])</f>
        <v>13.57</v>
      </c>
      <c r="N19" s="439"/>
      <c r="O19" s="439"/>
      <c r="P19" s="439"/>
      <c r="Q19" s="439"/>
      <c r="R19" s="439"/>
      <c r="S19" s="439"/>
    </row>
    <row r="20" spans="1:19" ht="24.75" x14ac:dyDescent="0.25">
      <c r="A20" s="286" t="s">
        <v>971</v>
      </c>
      <c r="B20">
        <f>Others!B21</f>
        <v>0</v>
      </c>
      <c r="C20">
        <f>Others!C21</f>
        <v>-2.0000000000000004E-2</v>
      </c>
      <c r="D20">
        <f>Others!D21</f>
        <v>19.240000000000002</v>
      </c>
      <c r="E20">
        <f>Others!E21</f>
        <v>4.57</v>
      </c>
      <c r="F20">
        <f>Others!F21</f>
        <v>-3.3899999999999992</v>
      </c>
      <c r="G20">
        <f>Others!G21</f>
        <v>57.930000000000007</v>
      </c>
      <c r="H20">
        <f>Others!H21</f>
        <v>36.31</v>
      </c>
      <c r="I20">
        <f>Others!I21</f>
        <v>85.710000000000008</v>
      </c>
      <c r="J20">
        <f>Others!J21</f>
        <v>57.14</v>
      </c>
      <c r="K20">
        <f>Others!K21</f>
        <v>203.46999999999997</v>
      </c>
      <c r="L20">
        <f>SUM(Table7[[#This Row],[Column2]:[Column11]])</f>
        <v>460.96</v>
      </c>
      <c r="N20" s="439"/>
      <c r="O20" s="439"/>
      <c r="P20" s="439"/>
      <c r="Q20" s="439"/>
      <c r="R20" s="439"/>
      <c r="S20" s="439"/>
    </row>
    <row r="21" spans="1:19" x14ac:dyDescent="0.25">
      <c r="A21" t="s">
        <v>26</v>
      </c>
      <c r="L21">
        <f>L18-L19-L20</f>
        <v>-219.93999999999997</v>
      </c>
    </row>
    <row r="23" spans="1:19" x14ac:dyDescent="0.25">
      <c r="A23" s="450" t="s">
        <v>990</v>
      </c>
      <c r="B23" s="450"/>
      <c r="C23" s="450"/>
      <c r="D23" s="450"/>
      <c r="E23" s="450"/>
      <c r="F23" s="450"/>
      <c r="G23" s="450"/>
      <c r="H23" s="450"/>
    </row>
  </sheetData>
  <mergeCells count="3">
    <mergeCell ref="N4:S13"/>
    <mergeCell ref="N17:S20"/>
    <mergeCell ref="A23:H23"/>
  </mergeCells>
  <pageMargins left="0.7" right="0.7" top="0.75" bottom="0.75" header="0.3" footer="0.3"/>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77"/>
  <sheetViews>
    <sheetView workbookViewId="0">
      <selection activeCell="A4" sqref="A4:C1977"/>
    </sheetView>
  </sheetViews>
  <sheetFormatPr defaultRowHeight="15" x14ac:dyDescent="0.25"/>
  <cols>
    <col min="1" max="1" width="13.5703125" bestFit="1" customWidth="1"/>
    <col min="2" max="2" width="18.7109375" bestFit="1" customWidth="1"/>
    <col min="4" max="4" width="18.42578125" bestFit="1" customWidth="1"/>
  </cols>
  <sheetData>
    <row r="1" spans="1:5" x14ac:dyDescent="0.25">
      <c r="A1" s="451" t="s">
        <v>997</v>
      </c>
      <c r="B1" s="451"/>
      <c r="D1" t="s">
        <v>970</v>
      </c>
      <c r="E1">
        <f>'Data Sheet'!B6</f>
        <v>3.0517574899740509</v>
      </c>
    </row>
    <row r="3" spans="1:5" x14ac:dyDescent="0.25">
      <c r="A3" t="s">
        <v>968</v>
      </c>
      <c r="B3" t="s">
        <v>967</v>
      </c>
      <c r="C3" t="s">
        <v>969</v>
      </c>
    </row>
    <row r="4" spans="1:5" x14ac:dyDescent="0.25">
      <c r="A4" s="402"/>
    </row>
    <row r="5" spans="1:5" x14ac:dyDescent="0.25">
      <c r="A5" s="402"/>
    </row>
    <row r="6" spans="1:5" x14ac:dyDescent="0.25">
      <c r="A6" s="402"/>
    </row>
    <row r="7" spans="1:5" x14ac:dyDescent="0.25">
      <c r="A7" s="402"/>
    </row>
    <row r="8" spans="1:5" x14ac:dyDescent="0.25">
      <c r="A8" s="402"/>
    </row>
    <row r="9" spans="1:5" x14ac:dyDescent="0.25">
      <c r="A9" s="402"/>
    </row>
    <row r="10" spans="1:5" x14ac:dyDescent="0.25">
      <c r="A10" s="402"/>
    </row>
    <row r="11" spans="1:5" x14ac:dyDescent="0.25">
      <c r="A11" s="402"/>
    </row>
    <row r="12" spans="1:5" x14ac:dyDescent="0.25">
      <c r="A12" s="402"/>
    </row>
    <row r="13" spans="1:5" x14ac:dyDescent="0.25">
      <c r="A13" s="402"/>
    </row>
    <row r="14" spans="1:5" x14ac:dyDescent="0.25">
      <c r="A14" s="402"/>
    </row>
    <row r="15" spans="1:5" x14ac:dyDescent="0.25">
      <c r="A15" s="402"/>
    </row>
    <row r="16" spans="1:5" x14ac:dyDescent="0.25">
      <c r="A16" s="402"/>
    </row>
    <row r="17" spans="1:1" x14ac:dyDescent="0.25">
      <c r="A17" s="402"/>
    </row>
    <row r="18" spans="1:1" x14ac:dyDescent="0.25">
      <c r="A18" s="402"/>
    </row>
    <row r="19" spans="1:1" x14ac:dyDescent="0.25">
      <c r="A19" s="402"/>
    </row>
    <row r="20" spans="1:1" x14ac:dyDescent="0.25">
      <c r="A20" s="402"/>
    </row>
    <row r="21" spans="1:1" x14ac:dyDescent="0.25">
      <c r="A21" s="402"/>
    </row>
    <row r="22" spans="1:1" x14ac:dyDescent="0.25">
      <c r="A22" s="402"/>
    </row>
    <row r="23" spans="1:1" x14ac:dyDescent="0.25">
      <c r="A23" s="402"/>
    </row>
    <row r="24" spans="1:1" x14ac:dyDescent="0.25">
      <c r="A24" s="402"/>
    </row>
    <row r="25" spans="1:1" x14ac:dyDescent="0.25">
      <c r="A25" s="402"/>
    </row>
    <row r="26" spans="1:1" x14ac:dyDescent="0.25">
      <c r="A26" s="402"/>
    </row>
    <row r="27" spans="1:1" x14ac:dyDescent="0.25">
      <c r="A27" s="402"/>
    </row>
    <row r="28" spans="1:1" x14ac:dyDescent="0.25">
      <c r="A28" s="402"/>
    </row>
    <row r="29" spans="1:1" x14ac:dyDescent="0.25">
      <c r="A29" s="402"/>
    </row>
    <row r="30" spans="1:1" x14ac:dyDescent="0.25">
      <c r="A30" s="402"/>
    </row>
    <row r="31" spans="1:1" x14ac:dyDescent="0.25">
      <c r="A31" s="402"/>
    </row>
    <row r="32" spans="1:1" x14ac:dyDescent="0.25">
      <c r="A32" s="402"/>
    </row>
    <row r="33" spans="1:1" x14ac:dyDescent="0.25">
      <c r="A33" s="402"/>
    </row>
    <row r="34" spans="1:1" x14ac:dyDescent="0.25">
      <c r="A34" s="402"/>
    </row>
    <row r="35" spans="1:1" x14ac:dyDescent="0.25">
      <c r="A35" s="402"/>
    </row>
    <row r="36" spans="1:1" x14ac:dyDescent="0.25">
      <c r="A36" s="402"/>
    </row>
    <row r="37" spans="1:1" x14ac:dyDescent="0.25">
      <c r="A37" s="402"/>
    </row>
    <row r="38" spans="1:1" x14ac:dyDescent="0.25">
      <c r="A38" s="402"/>
    </row>
    <row r="39" spans="1:1" x14ac:dyDescent="0.25">
      <c r="A39" s="402"/>
    </row>
    <row r="40" spans="1:1" x14ac:dyDescent="0.25">
      <c r="A40" s="402"/>
    </row>
    <row r="41" spans="1:1" x14ac:dyDescent="0.25">
      <c r="A41" s="402"/>
    </row>
    <row r="42" spans="1:1" x14ac:dyDescent="0.25">
      <c r="A42" s="402"/>
    </row>
    <row r="43" spans="1:1" x14ac:dyDescent="0.25">
      <c r="A43" s="402"/>
    </row>
    <row r="44" spans="1:1" x14ac:dyDescent="0.25">
      <c r="A44" s="402"/>
    </row>
    <row r="45" spans="1:1" x14ac:dyDescent="0.25">
      <c r="A45" s="402"/>
    </row>
    <row r="46" spans="1:1" x14ac:dyDescent="0.25">
      <c r="A46" s="402"/>
    </row>
    <row r="47" spans="1:1" x14ac:dyDescent="0.25">
      <c r="A47" s="402"/>
    </row>
    <row r="48" spans="1:1" x14ac:dyDescent="0.25">
      <c r="A48" s="402"/>
    </row>
    <row r="49" spans="1:1" x14ac:dyDescent="0.25">
      <c r="A49" s="402"/>
    </row>
    <row r="50" spans="1:1" x14ac:dyDescent="0.25">
      <c r="A50" s="402"/>
    </row>
    <row r="51" spans="1:1" x14ac:dyDescent="0.25">
      <c r="A51" s="402"/>
    </row>
    <row r="52" spans="1:1" x14ac:dyDescent="0.25">
      <c r="A52" s="402"/>
    </row>
    <row r="53" spans="1:1" x14ac:dyDescent="0.25">
      <c r="A53" s="402"/>
    </row>
    <row r="54" spans="1:1" x14ac:dyDescent="0.25">
      <c r="A54" s="402"/>
    </row>
    <row r="55" spans="1:1" x14ac:dyDescent="0.25">
      <c r="A55" s="402"/>
    </row>
    <row r="56" spans="1:1" x14ac:dyDescent="0.25">
      <c r="A56" s="402"/>
    </row>
    <row r="57" spans="1:1" x14ac:dyDescent="0.25">
      <c r="A57" s="402"/>
    </row>
    <row r="58" spans="1:1" x14ac:dyDescent="0.25">
      <c r="A58" s="402"/>
    </row>
    <row r="59" spans="1:1" x14ac:dyDescent="0.25">
      <c r="A59" s="402"/>
    </row>
    <row r="60" spans="1:1" x14ac:dyDescent="0.25">
      <c r="A60" s="402"/>
    </row>
    <row r="61" spans="1:1" x14ac:dyDescent="0.25">
      <c r="A61" s="402"/>
    </row>
    <row r="62" spans="1:1" x14ac:dyDescent="0.25">
      <c r="A62" s="402"/>
    </row>
    <row r="63" spans="1:1" x14ac:dyDescent="0.25">
      <c r="A63" s="402"/>
    </row>
    <row r="64" spans="1:1" x14ac:dyDescent="0.25">
      <c r="A64" s="402"/>
    </row>
    <row r="65" spans="1:1" x14ac:dyDescent="0.25">
      <c r="A65" s="402"/>
    </row>
    <row r="66" spans="1:1" x14ac:dyDescent="0.25">
      <c r="A66" s="402"/>
    </row>
    <row r="67" spans="1:1" x14ac:dyDescent="0.25">
      <c r="A67" s="402"/>
    </row>
    <row r="68" spans="1:1" x14ac:dyDescent="0.25">
      <c r="A68" s="402"/>
    </row>
    <row r="69" spans="1:1" x14ac:dyDescent="0.25">
      <c r="A69" s="402"/>
    </row>
    <row r="70" spans="1:1" x14ac:dyDescent="0.25">
      <c r="A70" s="402"/>
    </row>
    <row r="71" spans="1:1" x14ac:dyDescent="0.25">
      <c r="A71" s="402"/>
    </row>
    <row r="72" spans="1:1" x14ac:dyDescent="0.25">
      <c r="A72" s="402"/>
    </row>
    <row r="73" spans="1:1" x14ac:dyDescent="0.25">
      <c r="A73" s="402"/>
    </row>
    <row r="74" spans="1:1" x14ac:dyDescent="0.25">
      <c r="A74" s="402"/>
    </row>
    <row r="75" spans="1:1" x14ac:dyDescent="0.25">
      <c r="A75" s="402"/>
    </row>
    <row r="76" spans="1:1" x14ac:dyDescent="0.25">
      <c r="A76" s="402"/>
    </row>
    <row r="77" spans="1:1" x14ac:dyDescent="0.25">
      <c r="A77" s="402"/>
    </row>
    <row r="78" spans="1:1" x14ac:dyDescent="0.25">
      <c r="A78" s="402"/>
    </row>
    <row r="79" spans="1:1" x14ac:dyDescent="0.25">
      <c r="A79" s="402"/>
    </row>
    <row r="80" spans="1:1" x14ac:dyDescent="0.25">
      <c r="A80" s="402"/>
    </row>
    <row r="81" spans="1:1" x14ac:dyDescent="0.25">
      <c r="A81" s="402"/>
    </row>
    <row r="82" spans="1:1" x14ac:dyDescent="0.25">
      <c r="A82" s="402"/>
    </row>
    <row r="83" spans="1:1" x14ac:dyDescent="0.25">
      <c r="A83" s="402"/>
    </row>
    <row r="84" spans="1:1" x14ac:dyDescent="0.25">
      <c r="A84" s="402"/>
    </row>
    <row r="85" spans="1:1" x14ac:dyDescent="0.25">
      <c r="A85" s="402"/>
    </row>
    <row r="86" spans="1:1" x14ac:dyDescent="0.25">
      <c r="A86" s="402"/>
    </row>
    <row r="87" spans="1:1" x14ac:dyDescent="0.25">
      <c r="A87" s="402"/>
    </row>
    <row r="88" spans="1:1" x14ac:dyDescent="0.25">
      <c r="A88" s="402"/>
    </row>
    <row r="89" spans="1:1" x14ac:dyDescent="0.25">
      <c r="A89" s="402"/>
    </row>
    <row r="90" spans="1:1" x14ac:dyDescent="0.25">
      <c r="A90" s="402"/>
    </row>
    <row r="91" spans="1:1" x14ac:dyDescent="0.25">
      <c r="A91" s="402"/>
    </row>
    <row r="92" spans="1:1" x14ac:dyDescent="0.25">
      <c r="A92" s="402"/>
    </row>
    <row r="93" spans="1:1" x14ac:dyDescent="0.25">
      <c r="A93" s="402"/>
    </row>
    <row r="94" spans="1:1" x14ac:dyDescent="0.25">
      <c r="A94" s="402"/>
    </row>
    <row r="95" spans="1:1" x14ac:dyDescent="0.25">
      <c r="A95" s="402"/>
    </row>
    <row r="96" spans="1:1" x14ac:dyDescent="0.25">
      <c r="A96" s="402"/>
    </row>
    <row r="97" spans="1:1" x14ac:dyDescent="0.25">
      <c r="A97" s="402"/>
    </row>
    <row r="98" spans="1:1" x14ac:dyDescent="0.25">
      <c r="A98" s="402"/>
    </row>
    <row r="99" spans="1:1" x14ac:dyDescent="0.25">
      <c r="A99" s="402"/>
    </row>
    <row r="100" spans="1:1" x14ac:dyDescent="0.25">
      <c r="A100" s="402"/>
    </row>
    <row r="101" spans="1:1" x14ac:dyDescent="0.25">
      <c r="A101" s="402"/>
    </row>
    <row r="102" spans="1:1" x14ac:dyDescent="0.25">
      <c r="A102" s="402"/>
    </row>
    <row r="103" spans="1:1" x14ac:dyDescent="0.25">
      <c r="A103" s="402"/>
    </row>
    <row r="104" spans="1:1" x14ac:dyDescent="0.25">
      <c r="A104" s="402"/>
    </row>
    <row r="105" spans="1:1" x14ac:dyDescent="0.25">
      <c r="A105" s="402"/>
    </row>
    <row r="106" spans="1:1" x14ac:dyDescent="0.25">
      <c r="A106" s="402"/>
    </row>
    <row r="107" spans="1:1" x14ac:dyDescent="0.25">
      <c r="A107" s="402"/>
    </row>
    <row r="108" spans="1:1" x14ac:dyDescent="0.25">
      <c r="A108" s="402"/>
    </row>
    <row r="109" spans="1:1" x14ac:dyDescent="0.25">
      <c r="A109" s="402"/>
    </row>
    <row r="110" spans="1:1" x14ac:dyDescent="0.25">
      <c r="A110" s="402"/>
    </row>
    <row r="111" spans="1:1" x14ac:dyDescent="0.25">
      <c r="A111" s="402"/>
    </row>
    <row r="112" spans="1:1" x14ac:dyDescent="0.25">
      <c r="A112" s="402"/>
    </row>
    <row r="113" spans="1:1" x14ac:dyDescent="0.25">
      <c r="A113" s="402"/>
    </row>
    <row r="114" spans="1:1" x14ac:dyDescent="0.25">
      <c r="A114" s="402"/>
    </row>
    <row r="115" spans="1:1" x14ac:dyDescent="0.25">
      <c r="A115" s="402"/>
    </row>
    <row r="116" spans="1:1" x14ac:dyDescent="0.25">
      <c r="A116" s="402"/>
    </row>
    <row r="117" spans="1:1" x14ac:dyDescent="0.25">
      <c r="A117" s="402"/>
    </row>
    <row r="118" spans="1:1" x14ac:dyDescent="0.25">
      <c r="A118" s="402"/>
    </row>
    <row r="119" spans="1:1" x14ac:dyDescent="0.25">
      <c r="A119" s="402"/>
    </row>
    <row r="120" spans="1:1" x14ac:dyDescent="0.25">
      <c r="A120" s="402"/>
    </row>
    <row r="121" spans="1:1" x14ac:dyDescent="0.25">
      <c r="A121" s="402"/>
    </row>
    <row r="122" spans="1:1" x14ac:dyDescent="0.25">
      <c r="A122" s="402"/>
    </row>
    <row r="123" spans="1:1" x14ac:dyDescent="0.25">
      <c r="A123" s="402"/>
    </row>
    <row r="124" spans="1:1" x14ac:dyDescent="0.25">
      <c r="A124" s="402"/>
    </row>
    <row r="125" spans="1:1" x14ac:dyDescent="0.25">
      <c r="A125" s="402"/>
    </row>
    <row r="126" spans="1:1" x14ac:dyDescent="0.25">
      <c r="A126" s="402"/>
    </row>
    <row r="127" spans="1:1" x14ac:dyDescent="0.25">
      <c r="A127" s="402"/>
    </row>
    <row r="128" spans="1:1" x14ac:dyDescent="0.25">
      <c r="A128" s="402"/>
    </row>
    <row r="129" spans="1:1" x14ac:dyDescent="0.25">
      <c r="A129" s="402"/>
    </row>
    <row r="130" spans="1:1" x14ac:dyDescent="0.25">
      <c r="A130" s="402"/>
    </row>
    <row r="131" spans="1:1" x14ac:dyDescent="0.25">
      <c r="A131" s="402"/>
    </row>
    <row r="132" spans="1:1" x14ac:dyDescent="0.25">
      <c r="A132" s="402"/>
    </row>
    <row r="133" spans="1:1" x14ac:dyDescent="0.25">
      <c r="A133" s="402"/>
    </row>
    <row r="134" spans="1:1" x14ac:dyDescent="0.25">
      <c r="A134" s="402"/>
    </row>
    <row r="135" spans="1:1" x14ac:dyDescent="0.25">
      <c r="A135" s="402"/>
    </row>
    <row r="136" spans="1:1" x14ac:dyDescent="0.25">
      <c r="A136" s="402"/>
    </row>
    <row r="137" spans="1:1" x14ac:dyDescent="0.25">
      <c r="A137" s="402"/>
    </row>
    <row r="138" spans="1:1" x14ac:dyDescent="0.25">
      <c r="A138" s="402"/>
    </row>
    <row r="139" spans="1:1" x14ac:dyDescent="0.25">
      <c r="A139" s="402"/>
    </row>
    <row r="140" spans="1:1" x14ac:dyDescent="0.25">
      <c r="A140" s="402"/>
    </row>
    <row r="141" spans="1:1" x14ac:dyDescent="0.25">
      <c r="A141" s="402"/>
    </row>
    <row r="142" spans="1:1" x14ac:dyDescent="0.25">
      <c r="A142" s="402"/>
    </row>
    <row r="143" spans="1:1" x14ac:dyDescent="0.25">
      <c r="A143" s="402"/>
    </row>
    <row r="144" spans="1:1" x14ac:dyDescent="0.25">
      <c r="A144" s="402"/>
    </row>
    <row r="145" spans="1:1" x14ac:dyDescent="0.25">
      <c r="A145" s="402"/>
    </row>
    <row r="146" spans="1:1" x14ac:dyDescent="0.25">
      <c r="A146" s="402"/>
    </row>
    <row r="147" spans="1:1" x14ac:dyDescent="0.25">
      <c r="A147" s="402"/>
    </row>
    <row r="148" spans="1:1" x14ac:dyDescent="0.25">
      <c r="A148" s="402"/>
    </row>
    <row r="149" spans="1:1" x14ac:dyDescent="0.25">
      <c r="A149" s="402"/>
    </row>
    <row r="150" spans="1:1" x14ac:dyDescent="0.25">
      <c r="A150" s="402"/>
    </row>
    <row r="151" spans="1:1" x14ac:dyDescent="0.25">
      <c r="A151" s="402"/>
    </row>
    <row r="152" spans="1:1" x14ac:dyDescent="0.25">
      <c r="A152" s="402"/>
    </row>
    <row r="153" spans="1:1" x14ac:dyDescent="0.25">
      <c r="A153" s="402"/>
    </row>
    <row r="154" spans="1:1" x14ac:dyDescent="0.25">
      <c r="A154" s="402"/>
    </row>
    <row r="155" spans="1:1" x14ac:dyDescent="0.25">
      <c r="A155" s="402"/>
    </row>
    <row r="156" spans="1:1" x14ac:dyDescent="0.25">
      <c r="A156" s="402"/>
    </row>
    <row r="157" spans="1:1" x14ac:dyDescent="0.25">
      <c r="A157" s="402"/>
    </row>
    <row r="158" spans="1:1" x14ac:dyDescent="0.25">
      <c r="A158" s="402"/>
    </row>
    <row r="159" spans="1:1" x14ac:dyDescent="0.25">
      <c r="A159" s="402"/>
    </row>
    <row r="160" spans="1:1" x14ac:dyDescent="0.25">
      <c r="A160" s="402"/>
    </row>
    <row r="161" spans="1:1" x14ac:dyDescent="0.25">
      <c r="A161" s="402"/>
    </row>
    <row r="162" spans="1:1" x14ac:dyDescent="0.25">
      <c r="A162" s="402"/>
    </row>
    <row r="163" spans="1:1" x14ac:dyDescent="0.25">
      <c r="A163" s="402"/>
    </row>
    <row r="164" spans="1:1" x14ac:dyDescent="0.25">
      <c r="A164" s="402"/>
    </row>
    <row r="165" spans="1:1" x14ac:dyDescent="0.25">
      <c r="A165" s="402"/>
    </row>
    <row r="166" spans="1:1" x14ac:dyDescent="0.25">
      <c r="A166" s="402"/>
    </row>
    <row r="167" spans="1:1" x14ac:dyDescent="0.25">
      <c r="A167" s="402"/>
    </row>
    <row r="168" spans="1:1" x14ac:dyDescent="0.25">
      <c r="A168" s="402"/>
    </row>
    <row r="169" spans="1:1" x14ac:dyDescent="0.25">
      <c r="A169" s="402"/>
    </row>
    <row r="170" spans="1:1" x14ac:dyDescent="0.25">
      <c r="A170" s="402"/>
    </row>
    <row r="171" spans="1:1" x14ac:dyDescent="0.25">
      <c r="A171" s="402"/>
    </row>
    <row r="172" spans="1:1" x14ac:dyDescent="0.25">
      <c r="A172" s="402"/>
    </row>
    <row r="173" spans="1:1" x14ac:dyDescent="0.25">
      <c r="A173" s="402"/>
    </row>
    <row r="174" spans="1:1" x14ac:dyDescent="0.25">
      <c r="A174" s="402"/>
    </row>
    <row r="175" spans="1:1" x14ac:dyDescent="0.25">
      <c r="A175" s="402"/>
    </row>
    <row r="176" spans="1:1" x14ac:dyDescent="0.25">
      <c r="A176" s="402"/>
    </row>
    <row r="177" spans="1:1" x14ac:dyDescent="0.25">
      <c r="A177" s="402"/>
    </row>
    <row r="178" spans="1:1" x14ac:dyDescent="0.25">
      <c r="A178" s="402"/>
    </row>
    <row r="179" spans="1:1" x14ac:dyDescent="0.25">
      <c r="A179" s="402"/>
    </row>
    <row r="180" spans="1:1" x14ac:dyDescent="0.25">
      <c r="A180" s="402"/>
    </row>
    <row r="181" spans="1:1" x14ac:dyDescent="0.25">
      <c r="A181" s="402"/>
    </row>
    <row r="182" spans="1:1" x14ac:dyDescent="0.25">
      <c r="A182" s="402"/>
    </row>
    <row r="183" spans="1:1" x14ac:dyDescent="0.25">
      <c r="A183" s="402"/>
    </row>
    <row r="184" spans="1:1" x14ac:dyDescent="0.25">
      <c r="A184" s="402"/>
    </row>
    <row r="185" spans="1:1" x14ac:dyDescent="0.25">
      <c r="A185" s="402"/>
    </row>
    <row r="186" spans="1:1" x14ac:dyDescent="0.25">
      <c r="A186" s="402"/>
    </row>
    <row r="187" spans="1:1" x14ac:dyDescent="0.25">
      <c r="A187" s="402"/>
    </row>
    <row r="188" spans="1:1" x14ac:dyDescent="0.25">
      <c r="A188" s="402"/>
    </row>
    <row r="189" spans="1:1" x14ac:dyDescent="0.25">
      <c r="A189" s="402"/>
    </row>
    <row r="190" spans="1:1" x14ac:dyDescent="0.25">
      <c r="A190" s="402"/>
    </row>
    <row r="191" spans="1:1" x14ac:dyDescent="0.25">
      <c r="A191" s="402"/>
    </row>
    <row r="192" spans="1:1" x14ac:dyDescent="0.25">
      <c r="A192" s="402"/>
    </row>
    <row r="193" spans="1:1" x14ac:dyDescent="0.25">
      <c r="A193" s="402"/>
    </row>
    <row r="194" spans="1:1" x14ac:dyDescent="0.25">
      <c r="A194" s="402"/>
    </row>
    <row r="195" spans="1:1" x14ac:dyDescent="0.25">
      <c r="A195" s="402"/>
    </row>
    <row r="196" spans="1:1" x14ac:dyDescent="0.25">
      <c r="A196" s="402"/>
    </row>
    <row r="197" spans="1:1" x14ac:dyDescent="0.25">
      <c r="A197" s="402"/>
    </row>
    <row r="198" spans="1:1" x14ac:dyDescent="0.25">
      <c r="A198" s="402"/>
    </row>
    <row r="199" spans="1:1" x14ac:dyDescent="0.25">
      <c r="A199" s="402"/>
    </row>
    <row r="200" spans="1:1" x14ac:dyDescent="0.25">
      <c r="A200" s="402"/>
    </row>
    <row r="201" spans="1:1" x14ac:dyDescent="0.25">
      <c r="A201" s="402"/>
    </row>
    <row r="202" spans="1:1" x14ac:dyDescent="0.25">
      <c r="A202" s="402"/>
    </row>
    <row r="203" spans="1:1" x14ac:dyDescent="0.25">
      <c r="A203" s="402"/>
    </row>
    <row r="204" spans="1:1" x14ac:dyDescent="0.25">
      <c r="A204" s="402"/>
    </row>
    <row r="205" spans="1:1" x14ac:dyDescent="0.25">
      <c r="A205" s="402"/>
    </row>
    <row r="206" spans="1:1" x14ac:dyDescent="0.25">
      <c r="A206" s="402"/>
    </row>
    <row r="207" spans="1:1" x14ac:dyDescent="0.25">
      <c r="A207" s="402"/>
    </row>
    <row r="208" spans="1:1" x14ac:dyDescent="0.25">
      <c r="A208" s="402"/>
    </row>
    <row r="209" spans="1:1" x14ac:dyDescent="0.25">
      <c r="A209" s="402"/>
    </row>
    <row r="210" spans="1:1" x14ac:dyDescent="0.25">
      <c r="A210" s="402"/>
    </row>
    <row r="211" spans="1:1" x14ac:dyDescent="0.25">
      <c r="A211" s="402"/>
    </row>
    <row r="212" spans="1:1" x14ac:dyDescent="0.25">
      <c r="A212" s="402"/>
    </row>
    <row r="213" spans="1:1" x14ac:dyDescent="0.25">
      <c r="A213" s="402"/>
    </row>
    <row r="214" spans="1:1" x14ac:dyDescent="0.25">
      <c r="A214" s="402"/>
    </row>
    <row r="215" spans="1:1" x14ac:dyDescent="0.25">
      <c r="A215" s="402"/>
    </row>
    <row r="216" spans="1:1" x14ac:dyDescent="0.25">
      <c r="A216" s="402"/>
    </row>
    <row r="217" spans="1:1" x14ac:dyDescent="0.25">
      <c r="A217" s="402"/>
    </row>
    <row r="218" spans="1:1" x14ac:dyDescent="0.25">
      <c r="A218" s="402"/>
    </row>
    <row r="219" spans="1:1" x14ac:dyDescent="0.25">
      <c r="A219" s="402"/>
    </row>
    <row r="220" spans="1:1" x14ac:dyDescent="0.25">
      <c r="A220" s="402"/>
    </row>
    <row r="221" spans="1:1" x14ac:dyDescent="0.25">
      <c r="A221" s="402"/>
    </row>
    <row r="222" spans="1:1" x14ac:dyDescent="0.25">
      <c r="A222" s="402"/>
    </row>
    <row r="223" spans="1:1" x14ac:dyDescent="0.25">
      <c r="A223" s="402"/>
    </row>
    <row r="224" spans="1:1" x14ac:dyDescent="0.25">
      <c r="A224" s="402"/>
    </row>
    <row r="225" spans="1:1" x14ac:dyDescent="0.25">
      <c r="A225" s="402"/>
    </row>
    <row r="226" spans="1:1" x14ac:dyDescent="0.25">
      <c r="A226" s="402"/>
    </row>
    <row r="227" spans="1:1" x14ac:dyDescent="0.25">
      <c r="A227" s="402"/>
    </row>
    <row r="228" spans="1:1" x14ac:dyDescent="0.25">
      <c r="A228" s="402"/>
    </row>
    <row r="229" spans="1:1" x14ac:dyDescent="0.25">
      <c r="A229" s="402"/>
    </row>
    <row r="230" spans="1:1" x14ac:dyDescent="0.25">
      <c r="A230" s="402"/>
    </row>
    <row r="231" spans="1:1" x14ac:dyDescent="0.25">
      <c r="A231" s="402"/>
    </row>
    <row r="232" spans="1:1" x14ac:dyDescent="0.25">
      <c r="A232" s="402"/>
    </row>
    <row r="233" spans="1:1" x14ac:dyDescent="0.25">
      <c r="A233" s="402"/>
    </row>
    <row r="234" spans="1:1" x14ac:dyDescent="0.25">
      <c r="A234" s="402"/>
    </row>
    <row r="235" spans="1:1" x14ac:dyDescent="0.25">
      <c r="A235" s="402"/>
    </row>
    <row r="236" spans="1:1" x14ac:dyDescent="0.25">
      <c r="A236" s="402"/>
    </row>
    <row r="237" spans="1:1" x14ac:dyDescent="0.25">
      <c r="A237" s="402"/>
    </row>
    <row r="238" spans="1:1" x14ac:dyDescent="0.25">
      <c r="A238" s="402"/>
    </row>
    <row r="239" spans="1:1" x14ac:dyDescent="0.25">
      <c r="A239" s="402"/>
    </row>
    <row r="240" spans="1:1" x14ac:dyDescent="0.25">
      <c r="A240" s="402"/>
    </row>
    <row r="241" spans="1:1" x14ac:dyDescent="0.25">
      <c r="A241" s="402"/>
    </row>
    <row r="242" spans="1:1" x14ac:dyDescent="0.25">
      <c r="A242" s="402"/>
    </row>
    <row r="243" spans="1:1" x14ac:dyDescent="0.25">
      <c r="A243" s="402"/>
    </row>
    <row r="244" spans="1:1" x14ac:dyDescent="0.25">
      <c r="A244" s="402"/>
    </row>
    <row r="245" spans="1:1" x14ac:dyDescent="0.25">
      <c r="A245" s="402"/>
    </row>
    <row r="246" spans="1:1" x14ac:dyDescent="0.25">
      <c r="A246" s="402"/>
    </row>
    <row r="247" spans="1:1" x14ac:dyDescent="0.25">
      <c r="A247" s="402"/>
    </row>
    <row r="248" spans="1:1" x14ac:dyDescent="0.25">
      <c r="A248" s="402"/>
    </row>
    <row r="249" spans="1:1" x14ac:dyDescent="0.25">
      <c r="A249" s="402"/>
    </row>
    <row r="250" spans="1:1" x14ac:dyDescent="0.25">
      <c r="A250" s="402"/>
    </row>
    <row r="251" spans="1:1" x14ac:dyDescent="0.25">
      <c r="A251" s="402"/>
    </row>
    <row r="252" spans="1:1" x14ac:dyDescent="0.25">
      <c r="A252" s="402"/>
    </row>
    <row r="253" spans="1:1" x14ac:dyDescent="0.25">
      <c r="A253" s="402"/>
    </row>
    <row r="254" spans="1:1" x14ac:dyDescent="0.25">
      <c r="A254" s="402"/>
    </row>
    <row r="255" spans="1:1" x14ac:dyDescent="0.25">
      <c r="A255" s="402"/>
    </row>
    <row r="256" spans="1:1" x14ac:dyDescent="0.25">
      <c r="A256" s="402"/>
    </row>
    <row r="257" spans="1:1" x14ac:dyDescent="0.25">
      <c r="A257" s="402"/>
    </row>
    <row r="258" spans="1:1" x14ac:dyDescent="0.25">
      <c r="A258" s="402"/>
    </row>
    <row r="259" spans="1:1" x14ac:dyDescent="0.25">
      <c r="A259" s="402"/>
    </row>
    <row r="260" spans="1:1" x14ac:dyDescent="0.25">
      <c r="A260" s="402"/>
    </row>
    <row r="261" spans="1:1" x14ac:dyDescent="0.25">
      <c r="A261" s="402"/>
    </row>
    <row r="262" spans="1:1" x14ac:dyDescent="0.25">
      <c r="A262" s="402"/>
    </row>
    <row r="263" spans="1:1" x14ac:dyDescent="0.25">
      <c r="A263" s="402"/>
    </row>
    <row r="264" spans="1:1" x14ac:dyDescent="0.25">
      <c r="A264" s="402"/>
    </row>
    <row r="265" spans="1:1" x14ac:dyDescent="0.25">
      <c r="A265" s="402"/>
    </row>
    <row r="266" spans="1:1" x14ac:dyDescent="0.25">
      <c r="A266" s="402"/>
    </row>
    <row r="267" spans="1:1" x14ac:dyDescent="0.25">
      <c r="A267" s="402"/>
    </row>
    <row r="268" spans="1:1" x14ac:dyDescent="0.25">
      <c r="A268" s="402"/>
    </row>
    <row r="269" spans="1:1" x14ac:dyDescent="0.25">
      <c r="A269" s="402"/>
    </row>
    <row r="270" spans="1:1" x14ac:dyDescent="0.25">
      <c r="A270" s="402"/>
    </row>
    <row r="271" spans="1:1" x14ac:dyDescent="0.25">
      <c r="A271" s="402"/>
    </row>
    <row r="272" spans="1:1" x14ac:dyDescent="0.25">
      <c r="A272" s="402"/>
    </row>
    <row r="273" spans="1:1" x14ac:dyDescent="0.25">
      <c r="A273" s="402"/>
    </row>
    <row r="274" spans="1:1" x14ac:dyDescent="0.25">
      <c r="A274" s="402"/>
    </row>
    <row r="275" spans="1:1" x14ac:dyDescent="0.25">
      <c r="A275" s="402"/>
    </row>
    <row r="276" spans="1:1" x14ac:dyDescent="0.25">
      <c r="A276" s="402"/>
    </row>
    <row r="277" spans="1:1" x14ac:dyDescent="0.25">
      <c r="A277" s="402"/>
    </row>
    <row r="278" spans="1:1" x14ac:dyDescent="0.25">
      <c r="A278" s="402"/>
    </row>
    <row r="279" spans="1:1" x14ac:dyDescent="0.25">
      <c r="A279" s="402"/>
    </row>
    <row r="280" spans="1:1" x14ac:dyDescent="0.25">
      <c r="A280" s="402"/>
    </row>
    <row r="281" spans="1:1" x14ac:dyDescent="0.25">
      <c r="A281" s="402"/>
    </row>
    <row r="282" spans="1:1" x14ac:dyDescent="0.25">
      <c r="A282" s="402"/>
    </row>
    <row r="283" spans="1:1" x14ac:dyDescent="0.25">
      <c r="A283" s="402"/>
    </row>
    <row r="284" spans="1:1" x14ac:dyDescent="0.25">
      <c r="A284" s="402"/>
    </row>
    <row r="285" spans="1:1" x14ac:dyDescent="0.25">
      <c r="A285" s="402"/>
    </row>
    <row r="286" spans="1:1" x14ac:dyDescent="0.25">
      <c r="A286" s="402"/>
    </row>
    <row r="287" spans="1:1" x14ac:dyDescent="0.25">
      <c r="A287" s="402"/>
    </row>
    <row r="288" spans="1:1" x14ac:dyDescent="0.25">
      <c r="A288" s="402"/>
    </row>
    <row r="289" spans="1:1" x14ac:dyDescent="0.25">
      <c r="A289" s="402"/>
    </row>
    <row r="290" spans="1:1" x14ac:dyDescent="0.25">
      <c r="A290" s="402"/>
    </row>
    <row r="291" spans="1:1" x14ac:dyDescent="0.25">
      <c r="A291" s="402"/>
    </row>
    <row r="292" spans="1:1" x14ac:dyDescent="0.25">
      <c r="A292" s="402"/>
    </row>
    <row r="293" spans="1:1" x14ac:dyDescent="0.25">
      <c r="A293" s="402"/>
    </row>
    <row r="294" spans="1:1" x14ac:dyDescent="0.25">
      <c r="A294" s="402"/>
    </row>
    <row r="295" spans="1:1" x14ac:dyDescent="0.25">
      <c r="A295" s="402"/>
    </row>
    <row r="296" spans="1:1" x14ac:dyDescent="0.25">
      <c r="A296" s="402"/>
    </row>
    <row r="297" spans="1:1" x14ac:dyDescent="0.25">
      <c r="A297" s="402"/>
    </row>
    <row r="298" spans="1:1" x14ac:dyDescent="0.25">
      <c r="A298" s="402"/>
    </row>
    <row r="299" spans="1:1" x14ac:dyDescent="0.25">
      <c r="A299" s="402"/>
    </row>
    <row r="300" spans="1:1" x14ac:dyDescent="0.25">
      <c r="A300" s="402"/>
    </row>
    <row r="301" spans="1:1" x14ac:dyDescent="0.25">
      <c r="A301" s="402"/>
    </row>
    <row r="302" spans="1:1" x14ac:dyDescent="0.25">
      <c r="A302" s="402"/>
    </row>
    <row r="303" spans="1:1" x14ac:dyDescent="0.25">
      <c r="A303" s="402"/>
    </row>
    <row r="304" spans="1:1" x14ac:dyDescent="0.25">
      <c r="A304" s="402"/>
    </row>
    <row r="305" spans="1:1" x14ac:dyDescent="0.25">
      <c r="A305" s="402"/>
    </row>
    <row r="306" spans="1:1" x14ac:dyDescent="0.25">
      <c r="A306" s="402"/>
    </row>
    <row r="307" spans="1:1" x14ac:dyDescent="0.25">
      <c r="A307" s="402"/>
    </row>
    <row r="308" spans="1:1" x14ac:dyDescent="0.25">
      <c r="A308" s="402"/>
    </row>
    <row r="309" spans="1:1" x14ac:dyDescent="0.25">
      <c r="A309" s="402"/>
    </row>
    <row r="310" spans="1:1" x14ac:dyDescent="0.25">
      <c r="A310" s="402"/>
    </row>
    <row r="311" spans="1:1" x14ac:dyDescent="0.25">
      <c r="A311" s="402"/>
    </row>
    <row r="312" spans="1:1" x14ac:dyDescent="0.25">
      <c r="A312" s="402"/>
    </row>
    <row r="313" spans="1:1" x14ac:dyDescent="0.25">
      <c r="A313" s="402"/>
    </row>
    <row r="314" spans="1:1" x14ac:dyDescent="0.25">
      <c r="A314" s="402"/>
    </row>
    <row r="315" spans="1:1" x14ac:dyDescent="0.25">
      <c r="A315" s="402"/>
    </row>
    <row r="316" spans="1:1" x14ac:dyDescent="0.25">
      <c r="A316" s="402"/>
    </row>
    <row r="317" spans="1:1" x14ac:dyDescent="0.25">
      <c r="A317" s="402"/>
    </row>
    <row r="318" spans="1:1" x14ac:dyDescent="0.25">
      <c r="A318" s="402"/>
    </row>
    <row r="319" spans="1:1" x14ac:dyDescent="0.25">
      <c r="A319" s="402"/>
    </row>
    <row r="320" spans="1:1" x14ac:dyDescent="0.25">
      <c r="A320" s="402"/>
    </row>
    <row r="321" spans="1:1" x14ac:dyDescent="0.25">
      <c r="A321" s="402"/>
    </row>
    <row r="322" spans="1:1" x14ac:dyDescent="0.25">
      <c r="A322" s="402"/>
    </row>
    <row r="323" spans="1:1" x14ac:dyDescent="0.25">
      <c r="A323" s="402"/>
    </row>
    <row r="324" spans="1:1" x14ac:dyDescent="0.25">
      <c r="A324" s="402"/>
    </row>
    <row r="325" spans="1:1" x14ac:dyDescent="0.25">
      <c r="A325" s="402"/>
    </row>
    <row r="326" spans="1:1" x14ac:dyDescent="0.25">
      <c r="A326" s="402"/>
    </row>
    <row r="327" spans="1:1" x14ac:dyDescent="0.25">
      <c r="A327" s="402"/>
    </row>
    <row r="328" spans="1:1" x14ac:dyDescent="0.25">
      <c r="A328" s="402"/>
    </row>
    <row r="329" spans="1:1" x14ac:dyDescent="0.25">
      <c r="A329" s="402"/>
    </row>
    <row r="330" spans="1:1" x14ac:dyDescent="0.25">
      <c r="A330" s="402"/>
    </row>
    <row r="331" spans="1:1" x14ac:dyDescent="0.25">
      <c r="A331" s="402"/>
    </row>
    <row r="332" spans="1:1" x14ac:dyDescent="0.25">
      <c r="A332" s="402"/>
    </row>
    <row r="333" spans="1:1" x14ac:dyDescent="0.25">
      <c r="A333" s="402"/>
    </row>
    <row r="334" spans="1:1" x14ac:dyDescent="0.25">
      <c r="A334" s="402"/>
    </row>
    <row r="335" spans="1:1" x14ac:dyDescent="0.25">
      <c r="A335" s="402"/>
    </row>
    <row r="336" spans="1:1" x14ac:dyDescent="0.25">
      <c r="A336" s="402"/>
    </row>
    <row r="337" spans="1:1" x14ac:dyDescent="0.25">
      <c r="A337" s="402"/>
    </row>
    <row r="338" spans="1:1" x14ac:dyDescent="0.25">
      <c r="A338" s="402"/>
    </row>
    <row r="339" spans="1:1" x14ac:dyDescent="0.25">
      <c r="A339" s="402"/>
    </row>
    <row r="340" spans="1:1" x14ac:dyDescent="0.25">
      <c r="A340" s="402"/>
    </row>
    <row r="341" spans="1:1" x14ac:dyDescent="0.25">
      <c r="A341" s="402"/>
    </row>
    <row r="342" spans="1:1" x14ac:dyDescent="0.25">
      <c r="A342" s="402"/>
    </row>
    <row r="343" spans="1:1" x14ac:dyDescent="0.25">
      <c r="A343" s="402"/>
    </row>
    <row r="344" spans="1:1" x14ac:dyDescent="0.25">
      <c r="A344" s="402"/>
    </row>
    <row r="345" spans="1:1" x14ac:dyDescent="0.25">
      <c r="A345" s="402"/>
    </row>
    <row r="346" spans="1:1" x14ac:dyDescent="0.25">
      <c r="A346" s="402"/>
    </row>
    <row r="347" spans="1:1" x14ac:dyDescent="0.25">
      <c r="A347" s="402"/>
    </row>
    <row r="348" spans="1:1" x14ac:dyDescent="0.25">
      <c r="A348" s="402"/>
    </row>
    <row r="349" spans="1:1" x14ac:dyDescent="0.25">
      <c r="A349" s="402"/>
    </row>
    <row r="350" spans="1:1" x14ac:dyDescent="0.25">
      <c r="A350" s="402"/>
    </row>
    <row r="351" spans="1:1" x14ac:dyDescent="0.25">
      <c r="A351" s="402"/>
    </row>
    <row r="352" spans="1:1" x14ac:dyDescent="0.25">
      <c r="A352" s="402"/>
    </row>
    <row r="353" spans="1:1" x14ac:dyDescent="0.25">
      <c r="A353" s="402"/>
    </row>
    <row r="354" spans="1:1" x14ac:dyDescent="0.25">
      <c r="A354" s="402"/>
    </row>
    <row r="355" spans="1:1" x14ac:dyDescent="0.25">
      <c r="A355" s="402"/>
    </row>
    <row r="356" spans="1:1" x14ac:dyDescent="0.25">
      <c r="A356" s="402"/>
    </row>
    <row r="357" spans="1:1" x14ac:dyDescent="0.25">
      <c r="A357" s="402"/>
    </row>
    <row r="358" spans="1:1" x14ac:dyDescent="0.25">
      <c r="A358" s="402"/>
    </row>
    <row r="359" spans="1:1" x14ac:dyDescent="0.25">
      <c r="A359" s="402"/>
    </row>
    <row r="360" spans="1:1" x14ac:dyDescent="0.25">
      <c r="A360" s="402"/>
    </row>
    <row r="361" spans="1:1" x14ac:dyDescent="0.25">
      <c r="A361" s="402"/>
    </row>
    <row r="362" spans="1:1" x14ac:dyDescent="0.25">
      <c r="A362" s="402"/>
    </row>
    <row r="363" spans="1:1" x14ac:dyDescent="0.25">
      <c r="A363" s="402"/>
    </row>
    <row r="364" spans="1:1" x14ac:dyDescent="0.25">
      <c r="A364" s="402"/>
    </row>
    <row r="365" spans="1:1" x14ac:dyDescent="0.25">
      <c r="A365" s="402"/>
    </row>
    <row r="366" spans="1:1" x14ac:dyDescent="0.25">
      <c r="A366" s="402"/>
    </row>
    <row r="367" spans="1:1" x14ac:dyDescent="0.25">
      <c r="A367" s="402"/>
    </row>
    <row r="368" spans="1:1" x14ac:dyDescent="0.25">
      <c r="A368" s="402"/>
    </row>
    <row r="369" spans="1:1" x14ac:dyDescent="0.25">
      <c r="A369" s="402"/>
    </row>
    <row r="370" spans="1:1" x14ac:dyDescent="0.25">
      <c r="A370" s="402"/>
    </row>
    <row r="371" spans="1:1" x14ac:dyDescent="0.25">
      <c r="A371" s="402"/>
    </row>
    <row r="372" spans="1:1" x14ac:dyDescent="0.25">
      <c r="A372" s="402"/>
    </row>
    <row r="373" spans="1:1" x14ac:dyDescent="0.25">
      <c r="A373" s="402"/>
    </row>
    <row r="374" spans="1:1" x14ac:dyDescent="0.25">
      <c r="A374" s="402"/>
    </row>
    <row r="375" spans="1:1" x14ac:dyDescent="0.25">
      <c r="A375" s="402"/>
    </row>
    <row r="376" spans="1:1" x14ac:dyDescent="0.25">
      <c r="A376" s="402"/>
    </row>
    <row r="377" spans="1:1" x14ac:dyDescent="0.25">
      <c r="A377" s="402"/>
    </row>
    <row r="378" spans="1:1" x14ac:dyDescent="0.25">
      <c r="A378" s="402"/>
    </row>
    <row r="379" spans="1:1" x14ac:dyDescent="0.25">
      <c r="A379" s="402"/>
    </row>
    <row r="380" spans="1:1" x14ac:dyDescent="0.25">
      <c r="A380" s="402"/>
    </row>
    <row r="381" spans="1:1" x14ac:dyDescent="0.25">
      <c r="A381" s="402"/>
    </row>
    <row r="382" spans="1:1" x14ac:dyDescent="0.25">
      <c r="A382" s="402"/>
    </row>
    <row r="383" spans="1:1" x14ac:dyDescent="0.25">
      <c r="A383" s="402"/>
    </row>
    <row r="384" spans="1:1" x14ac:dyDescent="0.25">
      <c r="A384" s="402"/>
    </row>
    <row r="385" spans="1:1" x14ac:dyDescent="0.25">
      <c r="A385" s="402"/>
    </row>
    <row r="386" spans="1:1" x14ac:dyDescent="0.25">
      <c r="A386" s="402"/>
    </row>
    <row r="387" spans="1:1" x14ac:dyDescent="0.25">
      <c r="A387" s="402"/>
    </row>
    <row r="388" spans="1:1" x14ac:dyDescent="0.25">
      <c r="A388" s="402"/>
    </row>
    <row r="389" spans="1:1" x14ac:dyDescent="0.25">
      <c r="A389" s="402"/>
    </row>
    <row r="390" spans="1:1" x14ac:dyDescent="0.25">
      <c r="A390" s="402"/>
    </row>
    <row r="391" spans="1:1" x14ac:dyDescent="0.25">
      <c r="A391" s="402"/>
    </row>
    <row r="392" spans="1:1" x14ac:dyDescent="0.25">
      <c r="A392" s="402"/>
    </row>
    <row r="393" spans="1:1" x14ac:dyDescent="0.25">
      <c r="A393" s="402"/>
    </row>
    <row r="394" spans="1:1" x14ac:dyDescent="0.25">
      <c r="A394" s="402"/>
    </row>
    <row r="395" spans="1:1" x14ac:dyDescent="0.25">
      <c r="A395" s="402"/>
    </row>
    <row r="396" spans="1:1" x14ac:dyDescent="0.25">
      <c r="A396" s="402"/>
    </row>
    <row r="397" spans="1:1" x14ac:dyDescent="0.25">
      <c r="A397" s="402"/>
    </row>
    <row r="398" spans="1:1" x14ac:dyDescent="0.25">
      <c r="A398" s="402"/>
    </row>
    <row r="399" spans="1:1" x14ac:dyDescent="0.25">
      <c r="A399" s="402"/>
    </row>
    <row r="400" spans="1:1" x14ac:dyDescent="0.25">
      <c r="A400" s="402"/>
    </row>
    <row r="401" spans="1:1" x14ac:dyDescent="0.25">
      <c r="A401" s="402"/>
    </row>
    <row r="402" spans="1:1" x14ac:dyDescent="0.25">
      <c r="A402" s="402"/>
    </row>
    <row r="403" spans="1:1" x14ac:dyDescent="0.25">
      <c r="A403" s="402"/>
    </row>
    <row r="404" spans="1:1" x14ac:dyDescent="0.25">
      <c r="A404" s="402"/>
    </row>
    <row r="405" spans="1:1" x14ac:dyDescent="0.25">
      <c r="A405" s="402"/>
    </row>
    <row r="406" spans="1:1" x14ac:dyDescent="0.25">
      <c r="A406" s="402"/>
    </row>
    <row r="407" spans="1:1" x14ac:dyDescent="0.25">
      <c r="A407" s="402"/>
    </row>
    <row r="408" spans="1:1" x14ac:dyDescent="0.25">
      <c r="A408" s="402"/>
    </row>
    <row r="409" spans="1:1" x14ac:dyDescent="0.25">
      <c r="A409" s="402"/>
    </row>
    <row r="410" spans="1:1" x14ac:dyDescent="0.25">
      <c r="A410" s="402"/>
    </row>
    <row r="411" spans="1:1" x14ac:dyDescent="0.25">
      <c r="A411" s="402"/>
    </row>
    <row r="412" spans="1:1" x14ac:dyDescent="0.25">
      <c r="A412" s="402"/>
    </row>
    <row r="413" spans="1:1" x14ac:dyDescent="0.25">
      <c r="A413" s="402"/>
    </row>
    <row r="414" spans="1:1" x14ac:dyDescent="0.25">
      <c r="A414" s="402"/>
    </row>
    <row r="415" spans="1:1" x14ac:dyDescent="0.25">
      <c r="A415" s="402"/>
    </row>
    <row r="416" spans="1:1" x14ac:dyDescent="0.25">
      <c r="A416" s="402"/>
    </row>
    <row r="417" spans="1:1" x14ac:dyDescent="0.25">
      <c r="A417" s="402"/>
    </row>
    <row r="418" spans="1:1" x14ac:dyDescent="0.25">
      <c r="A418" s="402"/>
    </row>
    <row r="419" spans="1:1" x14ac:dyDescent="0.25">
      <c r="A419" s="402"/>
    </row>
    <row r="420" spans="1:1" x14ac:dyDescent="0.25">
      <c r="A420" s="402"/>
    </row>
    <row r="421" spans="1:1" x14ac:dyDescent="0.25">
      <c r="A421" s="402"/>
    </row>
    <row r="422" spans="1:1" x14ac:dyDescent="0.25">
      <c r="A422" s="402"/>
    </row>
    <row r="423" spans="1:1" x14ac:dyDescent="0.25">
      <c r="A423" s="402"/>
    </row>
    <row r="424" spans="1:1" x14ac:dyDescent="0.25">
      <c r="A424" s="402"/>
    </row>
    <row r="425" spans="1:1" x14ac:dyDescent="0.25">
      <c r="A425" s="402"/>
    </row>
    <row r="426" spans="1:1" x14ac:dyDescent="0.25">
      <c r="A426" s="402"/>
    </row>
    <row r="427" spans="1:1" x14ac:dyDescent="0.25">
      <c r="A427" s="402"/>
    </row>
    <row r="428" spans="1:1" x14ac:dyDescent="0.25">
      <c r="A428" s="402"/>
    </row>
    <row r="429" spans="1:1" x14ac:dyDescent="0.25">
      <c r="A429" s="402"/>
    </row>
    <row r="430" spans="1:1" x14ac:dyDescent="0.25">
      <c r="A430" s="402"/>
    </row>
    <row r="431" spans="1:1" x14ac:dyDescent="0.25">
      <c r="A431" s="402"/>
    </row>
    <row r="432" spans="1:1" x14ac:dyDescent="0.25">
      <c r="A432" s="402"/>
    </row>
    <row r="433" spans="1:1" x14ac:dyDescent="0.25">
      <c r="A433" s="402"/>
    </row>
    <row r="434" spans="1:1" x14ac:dyDescent="0.25">
      <c r="A434" s="402"/>
    </row>
    <row r="435" spans="1:1" x14ac:dyDescent="0.25">
      <c r="A435" s="402"/>
    </row>
    <row r="436" spans="1:1" x14ac:dyDescent="0.25">
      <c r="A436" s="402"/>
    </row>
    <row r="437" spans="1:1" x14ac:dyDescent="0.25">
      <c r="A437" s="402"/>
    </row>
    <row r="438" spans="1:1" x14ac:dyDescent="0.25">
      <c r="A438" s="402"/>
    </row>
    <row r="439" spans="1:1" x14ac:dyDescent="0.25">
      <c r="A439" s="402"/>
    </row>
    <row r="440" spans="1:1" x14ac:dyDescent="0.25">
      <c r="A440" s="402"/>
    </row>
    <row r="441" spans="1:1" x14ac:dyDescent="0.25">
      <c r="A441" s="402"/>
    </row>
    <row r="442" spans="1:1" x14ac:dyDescent="0.25">
      <c r="A442" s="402"/>
    </row>
    <row r="443" spans="1:1" x14ac:dyDescent="0.25">
      <c r="A443" s="402"/>
    </row>
    <row r="444" spans="1:1" x14ac:dyDescent="0.25">
      <c r="A444" s="402"/>
    </row>
    <row r="445" spans="1:1" x14ac:dyDescent="0.25">
      <c r="A445" s="402"/>
    </row>
    <row r="446" spans="1:1" x14ac:dyDescent="0.25">
      <c r="A446" s="402"/>
    </row>
    <row r="447" spans="1:1" x14ac:dyDescent="0.25">
      <c r="A447" s="402"/>
    </row>
    <row r="448" spans="1:1" x14ac:dyDescent="0.25">
      <c r="A448" s="402"/>
    </row>
    <row r="449" spans="1:1" x14ac:dyDescent="0.25">
      <c r="A449" s="402"/>
    </row>
    <row r="450" spans="1:1" x14ac:dyDescent="0.25">
      <c r="A450" s="402"/>
    </row>
    <row r="451" spans="1:1" x14ac:dyDescent="0.25">
      <c r="A451" s="402"/>
    </row>
    <row r="452" spans="1:1" x14ac:dyDescent="0.25">
      <c r="A452" s="402"/>
    </row>
    <row r="453" spans="1:1" x14ac:dyDescent="0.25">
      <c r="A453" s="402"/>
    </row>
    <row r="454" spans="1:1" x14ac:dyDescent="0.25">
      <c r="A454" s="402"/>
    </row>
    <row r="455" spans="1:1" x14ac:dyDescent="0.25">
      <c r="A455" s="402"/>
    </row>
    <row r="456" spans="1:1" x14ac:dyDescent="0.25">
      <c r="A456" s="402"/>
    </row>
    <row r="457" spans="1:1" x14ac:dyDescent="0.25">
      <c r="A457" s="402"/>
    </row>
    <row r="458" spans="1:1" x14ac:dyDescent="0.25">
      <c r="A458" s="402"/>
    </row>
    <row r="459" spans="1:1" x14ac:dyDescent="0.25">
      <c r="A459" s="402"/>
    </row>
    <row r="460" spans="1:1" x14ac:dyDescent="0.25">
      <c r="A460" s="402"/>
    </row>
    <row r="461" spans="1:1" x14ac:dyDescent="0.25">
      <c r="A461" s="402"/>
    </row>
    <row r="462" spans="1:1" x14ac:dyDescent="0.25">
      <c r="A462" s="402"/>
    </row>
    <row r="463" spans="1:1" x14ac:dyDescent="0.25">
      <c r="A463" s="402"/>
    </row>
    <row r="464" spans="1:1" x14ac:dyDescent="0.25">
      <c r="A464" s="402"/>
    </row>
    <row r="465" spans="1:1" x14ac:dyDescent="0.25">
      <c r="A465" s="402"/>
    </row>
    <row r="466" spans="1:1" x14ac:dyDescent="0.25">
      <c r="A466" s="402"/>
    </row>
    <row r="467" spans="1:1" x14ac:dyDescent="0.25">
      <c r="A467" s="402"/>
    </row>
    <row r="468" spans="1:1" x14ac:dyDescent="0.25">
      <c r="A468" s="402"/>
    </row>
    <row r="469" spans="1:1" x14ac:dyDescent="0.25">
      <c r="A469" s="402"/>
    </row>
    <row r="470" spans="1:1" x14ac:dyDescent="0.25">
      <c r="A470" s="402"/>
    </row>
    <row r="471" spans="1:1" x14ac:dyDescent="0.25">
      <c r="A471" s="402"/>
    </row>
    <row r="472" spans="1:1" x14ac:dyDescent="0.25">
      <c r="A472" s="402"/>
    </row>
    <row r="473" spans="1:1" x14ac:dyDescent="0.25">
      <c r="A473" s="402"/>
    </row>
    <row r="474" spans="1:1" x14ac:dyDescent="0.25">
      <c r="A474" s="402"/>
    </row>
    <row r="475" spans="1:1" x14ac:dyDescent="0.25">
      <c r="A475" s="402"/>
    </row>
    <row r="476" spans="1:1" x14ac:dyDescent="0.25">
      <c r="A476" s="402"/>
    </row>
    <row r="477" spans="1:1" x14ac:dyDescent="0.25">
      <c r="A477" s="402"/>
    </row>
    <row r="478" spans="1:1" x14ac:dyDescent="0.25">
      <c r="A478" s="402"/>
    </row>
    <row r="479" spans="1:1" x14ac:dyDescent="0.25">
      <c r="A479" s="402"/>
    </row>
    <row r="480" spans="1:1" x14ac:dyDescent="0.25">
      <c r="A480" s="402"/>
    </row>
    <row r="481" spans="1:1" x14ac:dyDescent="0.25">
      <c r="A481" s="402"/>
    </row>
    <row r="482" spans="1:1" x14ac:dyDescent="0.25">
      <c r="A482" s="402"/>
    </row>
    <row r="483" spans="1:1" x14ac:dyDescent="0.25">
      <c r="A483" s="402"/>
    </row>
    <row r="484" spans="1:1" x14ac:dyDescent="0.25">
      <c r="A484" s="402"/>
    </row>
    <row r="485" spans="1:1" x14ac:dyDescent="0.25">
      <c r="A485" s="402"/>
    </row>
    <row r="486" spans="1:1" x14ac:dyDescent="0.25">
      <c r="A486" s="402"/>
    </row>
    <row r="487" spans="1:1" x14ac:dyDescent="0.25">
      <c r="A487" s="402"/>
    </row>
    <row r="488" spans="1:1" x14ac:dyDescent="0.25">
      <c r="A488" s="402"/>
    </row>
    <row r="489" spans="1:1" x14ac:dyDescent="0.25">
      <c r="A489" s="402"/>
    </row>
    <row r="490" spans="1:1" x14ac:dyDescent="0.25">
      <c r="A490" s="402"/>
    </row>
    <row r="491" spans="1:1" x14ac:dyDescent="0.25">
      <c r="A491" s="402"/>
    </row>
    <row r="492" spans="1:1" x14ac:dyDescent="0.25">
      <c r="A492" s="402"/>
    </row>
    <row r="493" spans="1:1" x14ac:dyDescent="0.25">
      <c r="A493" s="402"/>
    </row>
    <row r="494" spans="1:1" x14ac:dyDescent="0.25">
      <c r="A494" s="402"/>
    </row>
    <row r="495" spans="1:1" x14ac:dyDescent="0.25">
      <c r="A495" s="402"/>
    </row>
    <row r="496" spans="1:1" x14ac:dyDescent="0.25">
      <c r="A496" s="402"/>
    </row>
    <row r="497" spans="1:1" x14ac:dyDescent="0.25">
      <c r="A497" s="402"/>
    </row>
    <row r="498" spans="1:1" x14ac:dyDescent="0.25">
      <c r="A498" s="402"/>
    </row>
    <row r="499" spans="1:1" x14ac:dyDescent="0.25">
      <c r="A499" s="402"/>
    </row>
    <row r="500" spans="1:1" x14ac:dyDescent="0.25">
      <c r="A500" s="402"/>
    </row>
    <row r="501" spans="1:1" x14ac:dyDescent="0.25">
      <c r="A501" s="402"/>
    </row>
    <row r="502" spans="1:1" x14ac:dyDescent="0.25">
      <c r="A502" s="402"/>
    </row>
    <row r="503" spans="1:1" x14ac:dyDescent="0.25">
      <c r="A503" s="402"/>
    </row>
    <row r="504" spans="1:1" x14ac:dyDescent="0.25">
      <c r="A504" s="402"/>
    </row>
    <row r="505" spans="1:1" x14ac:dyDescent="0.25">
      <c r="A505" s="402"/>
    </row>
    <row r="506" spans="1:1" x14ac:dyDescent="0.25">
      <c r="A506" s="402"/>
    </row>
    <row r="507" spans="1:1" x14ac:dyDescent="0.25">
      <c r="A507" s="402"/>
    </row>
    <row r="508" spans="1:1" x14ac:dyDescent="0.25">
      <c r="A508" s="402"/>
    </row>
    <row r="509" spans="1:1" x14ac:dyDescent="0.25">
      <c r="A509" s="402"/>
    </row>
    <row r="510" spans="1:1" x14ac:dyDescent="0.25">
      <c r="A510" s="402"/>
    </row>
    <row r="511" spans="1:1" x14ac:dyDescent="0.25">
      <c r="A511" s="402"/>
    </row>
    <row r="512" spans="1:1" x14ac:dyDescent="0.25">
      <c r="A512" s="402"/>
    </row>
    <row r="513" spans="1:1" x14ac:dyDescent="0.25">
      <c r="A513" s="402"/>
    </row>
    <row r="514" spans="1:1" x14ac:dyDescent="0.25">
      <c r="A514" s="402"/>
    </row>
    <row r="515" spans="1:1" x14ac:dyDescent="0.25">
      <c r="A515" s="402"/>
    </row>
    <row r="516" spans="1:1" x14ac:dyDescent="0.25">
      <c r="A516" s="402"/>
    </row>
    <row r="517" spans="1:1" x14ac:dyDescent="0.25">
      <c r="A517" s="402"/>
    </row>
    <row r="518" spans="1:1" x14ac:dyDescent="0.25">
      <c r="A518" s="402"/>
    </row>
    <row r="519" spans="1:1" x14ac:dyDescent="0.25">
      <c r="A519" s="402"/>
    </row>
    <row r="520" spans="1:1" x14ac:dyDescent="0.25">
      <c r="A520" s="402"/>
    </row>
    <row r="521" spans="1:1" x14ac:dyDescent="0.25">
      <c r="A521" s="402"/>
    </row>
    <row r="522" spans="1:1" x14ac:dyDescent="0.25">
      <c r="A522" s="402"/>
    </row>
    <row r="523" spans="1:1" x14ac:dyDescent="0.25">
      <c r="A523" s="402"/>
    </row>
    <row r="524" spans="1:1" x14ac:dyDescent="0.25">
      <c r="A524" s="402"/>
    </row>
    <row r="525" spans="1:1" x14ac:dyDescent="0.25">
      <c r="A525" s="402"/>
    </row>
    <row r="526" spans="1:1" x14ac:dyDescent="0.25">
      <c r="A526" s="402"/>
    </row>
    <row r="527" spans="1:1" x14ac:dyDescent="0.25">
      <c r="A527" s="402"/>
    </row>
    <row r="528" spans="1:1" x14ac:dyDescent="0.25">
      <c r="A528" s="402"/>
    </row>
    <row r="529" spans="1:1" x14ac:dyDescent="0.25">
      <c r="A529" s="402"/>
    </row>
    <row r="530" spans="1:1" x14ac:dyDescent="0.25">
      <c r="A530" s="402"/>
    </row>
    <row r="531" spans="1:1" x14ac:dyDescent="0.25">
      <c r="A531" s="402"/>
    </row>
    <row r="532" spans="1:1" x14ac:dyDescent="0.25">
      <c r="A532" s="402"/>
    </row>
    <row r="533" spans="1:1" x14ac:dyDescent="0.25">
      <c r="A533" s="402"/>
    </row>
    <row r="534" spans="1:1" x14ac:dyDescent="0.25">
      <c r="A534" s="402"/>
    </row>
    <row r="535" spans="1:1" x14ac:dyDescent="0.25">
      <c r="A535" s="402"/>
    </row>
    <row r="536" spans="1:1" x14ac:dyDescent="0.25">
      <c r="A536" s="402"/>
    </row>
    <row r="537" spans="1:1" x14ac:dyDescent="0.25">
      <c r="A537" s="402"/>
    </row>
    <row r="538" spans="1:1" x14ac:dyDescent="0.25">
      <c r="A538" s="402"/>
    </row>
    <row r="539" spans="1:1" x14ac:dyDescent="0.25">
      <c r="A539" s="402"/>
    </row>
    <row r="540" spans="1:1" x14ac:dyDescent="0.25">
      <c r="A540" s="402"/>
    </row>
    <row r="541" spans="1:1" x14ac:dyDescent="0.25">
      <c r="A541" s="402"/>
    </row>
    <row r="542" spans="1:1" x14ac:dyDescent="0.25">
      <c r="A542" s="402"/>
    </row>
    <row r="543" spans="1:1" x14ac:dyDescent="0.25">
      <c r="A543" s="402"/>
    </row>
    <row r="544" spans="1:1" x14ac:dyDescent="0.25">
      <c r="A544" s="402"/>
    </row>
    <row r="545" spans="1:1" x14ac:dyDescent="0.25">
      <c r="A545" s="402"/>
    </row>
    <row r="546" spans="1:1" x14ac:dyDescent="0.25">
      <c r="A546" s="402"/>
    </row>
    <row r="547" spans="1:1" x14ac:dyDescent="0.25">
      <c r="A547" s="402"/>
    </row>
    <row r="548" spans="1:1" x14ac:dyDescent="0.25">
      <c r="A548" s="402"/>
    </row>
    <row r="549" spans="1:1" x14ac:dyDescent="0.25">
      <c r="A549" s="402"/>
    </row>
    <row r="550" spans="1:1" x14ac:dyDescent="0.25">
      <c r="A550" s="402"/>
    </row>
    <row r="551" spans="1:1" x14ac:dyDescent="0.25">
      <c r="A551" s="402"/>
    </row>
    <row r="552" spans="1:1" x14ac:dyDescent="0.25">
      <c r="A552" s="402"/>
    </row>
    <row r="553" spans="1:1" x14ac:dyDescent="0.25">
      <c r="A553" s="402"/>
    </row>
    <row r="554" spans="1:1" x14ac:dyDescent="0.25">
      <c r="A554" s="402"/>
    </row>
    <row r="555" spans="1:1" x14ac:dyDescent="0.25">
      <c r="A555" s="402"/>
    </row>
    <row r="556" spans="1:1" x14ac:dyDescent="0.25">
      <c r="A556" s="402"/>
    </row>
    <row r="557" spans="1:1" x14ac:dyDescent="0.25">
      <c r="A557" s="402"/>
    </row>
    <row r="558" spans="1:1" x14ac:dyDescent="0.25">
      <c r="A558" s="402"/>
    </row>
    <row r="559" spans="1:1" x14ac:dyDescent="0.25">
      <c r="A559" s="402"/>
    </row>
    <row r="560" spans="1:1" x14ac:dyDescent="0.25">
      <c r="A560" s="402"/>
    </row>
    <row r="561" spans="1:1" x14ac:dyDescent="0.25">
      <c r="A561" s="402"/>
    </row>
    <row r="562" spans="1:1" x14ac:dyDescent="0.25">
      <c r="A562" s="402"/>
    </row>
    <row r="563" spans="1:1" x14ac:dyDescent="0.25">
      <c r="A563" s="402"/>
    </row>
    <row r="564" spans="1:1" x14ac:dyDescent="0.25">
      <c r="A564" s="402"/>
    </row>
    <row r="565" spans="1:1" x14ac:dyDescent="0.25">
      <c r="A565" s="402"/>
    </row>
    <row r="566" spans="1:1" x14ac:dyDescent="0.25">
      <c r="A566" s="402"/>
    </row>
    <row r="567" spans="1:1" x14ac:dyDescent="0.25">
      <c r="A567" s="402"/>
    </row>
    <row r="568" spans="1:1" x14ac:dyDescent="0.25">
      <c r="A568" s="402"/>
    </row>
    <row r="569" spans="1:1" x14ac:dyDescent="0.25">
      <c r="A569" s="402"/>
    </row>
    <row r="570" spans="1:1" x14ac:dyDescent="0.25">
      <c r="A570" s="402"/>
    </row>
    <row r="571" spans="1:1" x14ac:dyDescent="0.25">
      <c r="A571" s="402"/>
    </row>
    <row r="572" spans="1:1" x14ac:dyDescent="0.25">
      <c r="A572" s="402"/>
    </row>
    <row r="573" spans="1:1" x14ac:dyDescent="0.25">
      <c r="A573" s="402"/>
    </row>
    <row r="574" spans="1:1" x14ac:dyDescent="0.25">
      <c r="A574" s="402"/>
    </row>
    <row r="575" spans="1:1" x14ac:dyDescent="0.25">
      <c r="A575" s="402"/>
    </row>
    <row r="576" spans="1:1" x14ac:dyDescent="0.25">
      <c r="A576" s="402"/>
    </row>
    <row r="577" spans="1:1" x14ac:dyDescent="0.25">
      <c r="A577" s="402"/>
    </row>
    <row r="578" spans="1:1" x14ac:dyDescent="0.25">
      <c r="A578" s="402"/>
    </row>
    <row r="579" spans="1:1" x14ac:dyDescent="0.25">
      <c r="A579" s="402"/>
    </row>
    <row r="580" spans="1:1" x14ac:dyDescent="0.25">
      <c r="A580" s="402"/>
    </row>
    <row r="581" spans="1:1" x14ac:dyDescent="0.25">
      <c r="A581" s="402"/>
    </row>
    <row r="582" spans="1:1" x14ac:dyDescent="0.25">
      <c r="A582" s="402"/>
    </row>
    <row r="583" spans="1:1" x14ac:dyDescent="0.25">
      <c r="A583" s="402"/>
    </row>
    <row r="584" spans="1:1" x14ac:dyDescent="0.25">
      <c r="A584" s="402"/>
    </row>
    <row r="585" spans="1:1" x14ac:dyDescent="0.25">
      <c r="A585" s="402"/>
    </row>
    <row r="586" spans="1:1" x14ac:dyDescent="0.25">
      <c r="A586" s="402"/>
    </row>
    <row r="587" spans="1:1" x14ac:dyDescent="0.25">
      <c r="A587" s="402"/>
    </row>
    <row r="588" spans="1:1" x14ac:dyDescent="0.25">
      <c r="A588" s="402"/>
    </row>
    <row r="589" spans="1:1" x14ac:dyDescent="0.25">
      <c r="A589" s="402"/>
    </row>
    <row r="590" spans="1:1" x14ac:dyDescent="0.25">
      <c r="A590" s="402"/>
    </row>
    <row r="591" spans="1:1" x14ac:dyDescent="0.25">
      <c r="A591" s="402"/>
    </row>
    <row r="592" spans="1:1" x14ac:dyDescent="0.25">
      <c r="A592" s="402"/>
    </row>
    <row r="593" spans="1:1" x14ac:dyDescent="0.25">
      <c r="A593" s="402"/>
    </row>
    <row r="594" spans="1:1" x14ac:dyDescent="0.25">
      <c r="A594" s="402"/>
    </row>
    <row r="595" spans="1:1" x14ac:dyDescent="0.25">
      <c r="A595" s="402"/>
    </row>
    <row r="596" spans="1:1" x14ac:dyDescent="0.25">
      <c r="A596" s="402"/>
    </row>
    <row r="597" spans="1:1" x14ac:dyDescent="0.25">
      <c r="A597" s="402"/>
    </row>
    <row r="598" spans="1:1" x14ac:dyDescent="0.25">
      <c r="A598" s="402"/>
    </row>
    <row r="599" spans="1:1" x14ac:dyDescent="0.25">
      <c r="A599" s="402"/>
    </row>
    <row r="600" spans="1:1" x14ac:dyDescent="0.25">
      <c r="A600" s="402"/>
    </row>
    <row r="601" spans="1:1" x14ac:dyDescent="0.25">
      <c r="A601" s="402"/>
    </row>
    <row r="602" spans="1:1" x14ac:dyDescent="0.25">
      <c r="A602" s="402"/>
    </row>
    <row r="603" spans="1:1" x14ac:dyDescent="0.25">
      <c r="A603" s="402"/>
    </row>
    <row r="604" spans="1:1" x14ac:dyDescent="0.25">
      <c r="A604" s="402"/>
    </row>
    <row r="605" spans="1:1" x14ac:dyDescent="0.25">
      <c r="A605" s="402"/>
    </row>
    <row r="606" spans="1:1" x14ac:dyDescent="0.25">
      <c r="A606" s="402"/>
    </row>
    <row r="607" spans="1:1" x14ac:dyDescent="0.25">
      <c r="A607" s="402"/>
    </row>
    <row r="608" spans="1:1" x14ac:dyDescent="0.25">
      <c r="A608" s="402"/>
    </row>
    <row r="609" spans="1:1" x14ac:dyDescent="0.25">
      <c r="A609" s="402"/>
    </row>
    <row r="610" spans="1:1" x14ac:dyDescent="0.25">
      <c r="A610" s="402"/>
    </row>
    <row r="611" spans="1:1" x14ac:dyDescent="0.25">
      <c r="A611" s="402"/>
    </row>
    <row r="612" spans="1:1" x14ac:dyDescent="0.25">
      <c r="A612" s="402"/>
    </row>
    <row r="613" spans="1:1" x14ac:dyDescent="0.25">
      <c r="A613" s="402"/>
    </row>
    <row r="614" spans="1:1" x14ac:dyDescent="0.25">
      <c r="A614" s="402"/>
    </row>
    <row r="615" spans="1:1" x14ac:dyDescent="0.25">
      <c r="A615" s="402"/>
    </row>
    <row r="616" spans="1:1" x14ac:dyDescent="0.25">
      <c r="A616" s="402"/>
    </row>
    <row r="617" spans="1:1" x14ac:dyDescent="0.25">
      <c r="A617" s="402"/>
    </row>
    <row r="618" spans="1:1" x14ac:dyDescent="0.25">
      <c r="A618" s="402"/>
    </row>
    <row r="619" spans="1:1" x14ac:dyDescent="0.25">
      <c r="A619" s="402"/>
    </row>
    <row r="620" spans="1:1" x14ac:dyDescent="0.25">
      <c r="A620" s="402"/>
    </row>
    <row r="621" spans="1:1" x14ac:dyDescent="0.25">
      <c r="A621" s="402"/>
    </row>
    <row r="622" spans="1:1" x14ac:dyDescent="0.25">
      <c r="A622" s="402"/>
    </row>
    <row r="623" spans="1:1" x14ac:dyDescent="0.25">
      <c r="A623" s="402"/>
    </row>
    <row r="624" spans="1:1" x14ac:dyDescent="0.25">
      <c r="A624" s="402"/>
    </row>
    <row r="625" spans="1:1" x14ac:dyDescent="0.25">
      <c r="A625" s="402"/>
    </row>
    <row r="626" spans="1:1" x14ac:dyDescent="0.25">
      <c r="A626" s="402"/>
    </row>
    <row r="627" spans="1:1" x14ac:dyDescent="0.25">
      <c r="A627" s="402"/>
    </row>
    <row r="628" spans="1:1" x14ac:dyDescent="0.25">
      <c r="A628" s="402"/>
    </row>
    <row r="629" spans="1:1" x14ac:dyDescent="0.25">
      <c r="A629" s="402"/>
    </row>
    <row r="630" spans="1:1" x14ac:dyDescent="0.25">
      <c r="A630" s="402"/>
    </row>
    <row r="631" spans="1:1" x14ac:dyDescent="0.25">
      <c r="A631" s="402"/>
    </row>
    <row r="632" spans="1:1" x14ac:dyDescent="0.25">
      <c r="A632" s="402"/>
    </row>
    <row r="633" spans="1:1" x14ac:dyDescent="0.25">
      <c r="A633" s="402"/>
    </row>
    <row r="634" spans="1:1" x14ac:dyDescent="0.25">
      <c r="A634" s="402"/>
    </row>
    <row r="635" spans="1:1" x14ac:dyDescent="0.25">
      <c r="A635" s="402"/>
    </row>
    <row r="636" spans="1:1" x14ac:dyDescent="0.25">
      <c r="A636" s="402"/>
    </row>
    <row r="637" spans="1:1" x14ac:dyDescent="0.25">
      <c r="A637" s="402"/>
    </row>
    <row r="638" spans="1:1" x14ac:dyDescent="0.25">
      <c r="A638" s="402"/>
    </row>
    <row r="639" spans="1:1" x14ac:dyDescent="0.25">
      <c r="A639" s="402"/>
    </row>
    <row r="640" spans="1:1" x14ac:dyDescent="0.25">
      <c r="A640" s="402"/>
    </row>
    <row r="641" spans="1:1" x14ac:dyDescent="0.25">
      <c r="A641" s="402"/>
    </row>
    <row r="642" spans="1:1" x14ac:dyDescent="0.25">
      <c r="A642" s="402"/>
    </row>
    <row r="643" spans="1:1" x14ac:dyDescent="0.25">
      <c r="A643" s="402"/>
    </row>
    <row r="644" spans="1:1" x14ac:dyDescent="0.25">
      <c r="A644" s="402"/>
    </row>
    <row r="645" spans="1:1" x14ac:dyDescent="0.25">
      <c r="A645" s="402"/>
    </row>
    <row r="646" spans="1:1" x14ac:dyDescent="0.25">
      <c r="A646" s="402"/>
    </row>
    <row r="647" spans="1:1" x14ac:dyDescent="0.25">
      <c r="A647" s="402"/>
    </row>
    <row r="648" spans="1:1" x14ac:dyDescent="0.25">
      <c r="A648" s="402"/>
    </row>
    <row r="649" spans="1:1" x14ac:dyDescent="0.25">
      <c r="A649" s="402"/>
    </row>
    <row r="650" spans="1:1" x14ac:dyDescent="0.25">
      <c r="A650" s="402"/>
    </row>
    <row r="651" spans="1:1" x14ac:dyDescent="0.25">
      <c r="A651" s="402"/>
    </row>
    <row r="652" spans="1:1" x14ac:dyDescent="0.25">
      <c r="A652" s="402"/>
    </row>
    <row r="653" spans="1:1" x14ac:dyDescent="0.25">
      <c r="A653" s="402"/>
    </row>
    <row r="654" spans="1:1" x14ac:dyDescent="0.25">
      <c r="A654" s="402"/>
    </row>
    <row r="655" spans="1:1" x14ac:dyDescent="0.25">
      <c r="A655" s="402"/>
    </row>
    <row r="656" spans="1:1" x14ac:dyDescent="0.25">
      <c r="A656" s="402"/>
    </row>
    <row r="657" spans="1:1" x14ac:dyDescent="0.25">
      <c r="A657" s="402"/>
    </row>
    <row r="658" spans="1:1" x14ac:dyDescent="0.25">
      <c r="A658" s="402"/>
    </row>
    <row r="659" spans="1:1" x14ac:dyDescent="0.25">
      <c r="A659" s="402"/>
    </row>
    <row r="660" spans="1:1" x14ac:dyDescent="0.25">
      <c r="A660" s="402"/>
    </row>
    <row r="661" spans="1:1" x14ac:dyDescent="0.25">
      <c r="A661" s="402"/>
    </row>
    <row r="662" spans="1:1" x14ac:dyDescent="0.25">
      <c r="A662" s="402"/>
    </row>
    <row r="663" spans="1:1" x14ac:dyDescent="0.25">
      <c r="A663" s="402"/>
    </row>
    <row r="664" spans="1:1" x14ac:dyDescent="0.25">
      <c r="A664" s="402"/>
    </row>
    <row r="665" spans="1:1" x14ac:dyDescent="0.25">
      <c r="A665" s="402"/>
    </row>
    <row r="666" spans="1:1" x14ac:dyDescent="0.25">
      <c r="A666" s="402"/>
    </row>
    <row r="667" spans="1:1" x14ac:dyDescent="0.25">
      <c r="A667" s="402"/>
    </row>
    <row r="668" spans="1:1" x14ac:dyDescent="0.25">
      <c r="A668" s="402"/>
    </row>
    <row r="669" spans="1:1" x14ac:dyDescent="0.25">
      <c r="A669" s="402"/>
    </row>
    <row r="670" spans="1:1" x14ac:dyDescent="0.25">
      <c r="A670" s="402"/>
    </row>
    <row r="671" spans="1:1" x14ac:dyDescent="0.25">
      <c r="A671" s="402"/>
    </row>
    <row r="672" spans="1:1" x14ac:dyDescent="0.25">
      <c r="A672" s="402"/>
    </row>
    <row r="673" spans="1:1" x14ac:dyDescent="0.25">
      <c r="A673" s="402"/>
    </row>
    <row r="674" spans="1:1" x14ac:dyDescent="0.25">
      <c r="A674" s="402"/>
    </row>
    <row r="675" spans="1:1" x14ac:dyDescent="0.25">
      <c r="A675" s="402"/>
    </row>
    <row r="676" spans="1:1" x14ac:dyDescent="0.25">
      <c r="A676" s="402"/>
    </row>
    <row r="677" spans="1:1" x14ac:dyDescent="0.25">
      <c r="A677" s="402"/>
    </row>
    <row r="678" spans="1:1" x14ac:dyDescent="0.25">
      <c r="A678" s="402"/>
    </row>
    <row r="679" spans="1:1" x14ac:dyDescent="0.25">
      <c r="A679" s="402"/>
    </row>
    <row r="680" spans="1:1" x14ac:dyDescent="0.25">
      <c r="A680" s="402"/>
    </row>
    <row r="681" spans="1:1" x14ac:dyDescent="0.25">
      <c r="A681" s="402"/>
    </row>
    <row r="682" spans="1:1" x14ac:dyDescent="0.25">
      <c r="A682" s="402"/>
    </row>
    <row r="683" spans="1:1" x14ac:dyDescent="0.25">
      <c r="A683" s="402"/>
    </row>
    <row r="684" spans="1:1" x14ac:dyDescent="0.25">
      <c r="A684" s="402"/>
    </row>
    <row r="685" spans="1:1" x14ac:dyDescent="0.25">
      <c r="A685" s="402"/>
    </row>
    <row r="686" spans="1:1" x14ac:dyDescent="0.25">
      <c r="A686" s="402"/>
    </row>
    <row r="687" spans="1:1" x14ac:dyDescent="0.25">
      <c r="A687" s="402"/>
    </row>
    <row r="688" spans="1:1" x14ac:dyDescent="0.25">
      <c r="A688" s="402"/>
    </row>
    <row r="689" spans="1:1" x14ac:dyDescent="0.25">
      <c r="A689" s="402"/>
    </row>
    <row r="690" spans="1:1" x14ac:dyDescent="0.25">
      <c r="A690" s="402"/>
    </row>
    <row r="691" spans="1:1" x14ac:dyDescent="0.25">
      <c r="A691" s="402"/>
    </row>
    <row r="692" spans="1:1" x14ac:dyDescent="0.25">
      <c r="A692" s="402"/>
    </row>
    <row r="693" spans="1:1" x14ac:dyDescent="0.25">
      <c r="A693" s="402"/>
    </row>
    <row r="694" spans="1:1" x14ac:dyDescent="0.25">
      <c r="A694" s="402"/>
    </row>
    <row r="695" spans="1:1" x14ac:dyDescent="0.25">
      <c r="A695" s="402"/>
    </row>
    <row r="696" spans="1:1" x14ac:dyDescent="0.25">
      <c r="A696" s="402"/>
    </row>
    <row r="697" spans="1:1" x14ac:dyDescent="0.25">
      <c r="A697" s="402"/>
    </row>
    <row r="698" spans="1:1" x14ac:dyDescent="0.25">
      <c r="A698" s="402"/>
    </row>
    <row r="699" spans="1:1" x14ac:dyDescent="0.25">
      <c r="A699" s="402"/>
    </row>
    <row r="700" spans="1:1" x14ac:dyDescent="0.25">
      <c r="A700" s="402"/>
    </row>
    <row r="701" spans="1:1" x14ac:dyDescent="0.25">
      <c r="A701" s="402"/>
    </row>
    <row r="702" spans="1:1" x14ac:dyDescent="0.25">
      <c r="A702" s="402"/>
    </row>
    <row r="703" spans="1:1" x14ac:dyDescent="0.25">
      <c r="A703" s="402"/>
    </row>
    <row r="704" spans="1:1" x14ac:dyDescent="0.25">
      <c r="A704" s="402"/>
    </row>
    <row r="705" spans="1:1" x14ac:dyDescent="0.25">
      <c r="A705" s="402"/>
    </row>
    <row r="706" spans="1:1" x14ac:dyDescent="0.25">
      <c r="A706" s="402"/>
    </row>
    <row r="707" spans="1:1" x14ac:dyDescent="0.25">
      <c r="A707" s="402"/>
    </row>
    <row r="708" spans="1:1" x14ac:dyDescent="0.25">
      <c r="A708" s="402"/>
    </row>
    <row r="709" spans="1:1" x14ac:dyDescent="0.25">
      <c r="A709" s="402"/>
    </row>
    <row r="710" spans="1:1" x14ac:dyDescent="0.25">
      <c r="A710" s="402"/>
    </row>
    <row r="711" spans="1:1" x14ac:dyDescent="0.25">
      <c r="A711" s="402"/>
    </row>
    <row r="712" spans="1:1" x14ac:dyDescent="0.25">
      <c r="A712" s="402"/>
    </row>
    <row r="713" spans="1:1" x14ac:dyDescent="0.25">
      <c r="A713" s="402"/>
    </row>
    <row r="714" spans="1:1" x14ac:dyDescent="0.25">
      <c r="A714" s="402"/>
    </row>
    <row r="715" spans="1:1" x14ac:dyDescent="0.25">
      <c r="A715" s="402"/>
    </row>
    <row r="716" spans="1:1" x14ac:dyDescent="0.25">
      <c r="A716" s="402"/>
    </row>
    <row r="717" spans="1:1" x14ac:dyDescent="0.25">
      <c r="A717" s="402"/>
    </row>
    <row r="718" spans="1:1" x14ac:dyDescent="0.25">
      <c r="A718" s="402"/>
    </row>
    <row r="719" spans="1:1" x14ac:dyDescent="0.25">
      <c r="A719" s="402"/>
    </row>
    <row r="720" spans="1:1" x14ac:dyDescent="0.25">
      <c r="A720" s="402"/>
    </row>
    <row r="721" spans="1:1" x14ac:dyDescent="0.25">
      <c r="A721" s="402"/>
    </row>
    <row r="722" spans="1:1" x14ac:dyDescent="0.25">
      <c r="A722" s="402"/>
    </row>
    <row r="723" spans="1:1" x14ac:dyDescent="0.25">
      <c r="A723" s="402"/>
    </row>
    <row r="724" spans="1:1" x14ac:dyDescent="0.25">
      <c r="A724" s="402"/>
    </row>
    <row r="725" spans="1:1" x14ac:dyDescent="0.25">
      <c r="A725" s="402"/>
    </row>
    <row r="726" spans="1:1" x14ac:dyDescent="0.25">
      <c r="A726" s="402"/>
    </row>
    <row r="727" spans="1:1" x14ac:dyDescent="0.25">
      <c r="A727" s="402"/>
    </row>
    <row r="728" spans="1:1" x14ac:dyDescent="0.25">
      <c r="A728" s="402"/>
    </row>
    <row r="729" spans="1:1" x14ac:dyDescent="0.25">
      <c r="A729" s="402"/>
    </row>
    <row r="730" spans="1:1" x14ac:dyDescent="0.25">
      <c r="A730" s="402"/>
    </row>
    <row r="731" spans="1:1" x14ac:dyDescent="0.25">
      <c r="A731" s="402"/>
    </row>
    <row r="732" spans="1:1" x14ac:dyDescent="0.25">
      <c r="A732" s="402"/>
    </row>
    <row r="733" spans="1:1" x14ac:dyDescent="0.25">
      <c r="A733" s="402"/>
    </row>
    <row r="734" spans="1:1" x14ac:dyDescent="0.25">
      <c r="A734" s="402"/>
    </row>
    <row r="735" spans="1:1" x14ac:dyDescent="0.25">
      <c r="A735" s="402"/>
    </row>
    <row r="736" spans="1:1" x14ac:dyDescent="0.25">
      <c r="A736" s="402"/>
    </row>
    <row r="737" spans="1:1" x14ac:dyDescent="0.25">
      <c r="A737" s="402"/>
    </row>
    <row r="738" spans="1:1" x14ac:dyDescent="0.25">
      <c r="A738" s="402"/>
    </row>
    <row r="739" spans="1:1" x14ac:dyDescent="0.25">
      <c r="A739" s="402"/>
    </row>
    <row r="740" spans="1:1" x14ac:dyDescent="0.25">
      <c r="A740" s="402"/>
    </row>
    <row r="741" spans="1:1" x14ac:dyDescent="0.25">
      <c r="A741" s="402"/>
    </row>
    <row r="742" spans="1:1" x14ac:dyDescent="0.25">
      <c r="A742" s="402"/>
    </row>
    <row r="743" spans="1:1" x14ac:dyDescent="0.25">
      <c r="A743" s="402"/>
    </row>
    <row r="744" spans="1:1" x14ac:dyDescent="0.25">
      <c r="A744" s="402"/>
    </row>
    <row r="745" spans="1:1" x14ac:dyDescent="0.25">
      <c r="A745" s="402"/>
    </row>
    <row r="746" spans="1:1" x14ac:dyDescent="0.25">
      <c r="A746" s="402"/>
    </row>
    <row r="747" spans="1:1" x14ac:dyDescent="0.25">
      <c r="A747" s="402"/>
    </row>
    <row r="748" spans="1:1" x14ac:dyDescent="0.25">
      <c r="A748" s="402"/>
    </row>
    <row r="749" spans="1:1" x14ac:dyDescent="0.25">
      <c r="A749" s="402"/>
    </row>
    <row r="750" spans="1:1" x14ac:dyDescent="0.25">
      <c r="A750" s="402"/>
    </row>
    <row r="751" spans="1:1" x14ac:dyDescent="0.25">
      <c r="A751" s="402"/>
    </row>
    <row r="752" spans="1:1" x14ac:dyDescent="0.25">
      <c r="A752" s="402"/>
    </row>
    <row r="753" spans="1:1" x14ac:dyDescent="0.25">
      <c r="A753" s="402"/>
    </row>
    <row r="754" spans="1:1" x14ac:dyDescent="0.25">
      <c r="A754" s="402"/>
    </row>
    <row r="755" spans="1:1" x14ac:dyDescent="0.25">
      <c r="A755" s="402"/>
    </row>
    <row r="756" spans="1:1" x14ac:dyDescent="0.25">
      <c r="A756" s="402"/>
    </row>
    <row r="757" spans="1:1" x14ac:dyDescent="0.25">
      <c r="A757" s="402"/>
    </row>
    <row r="758" spans="1:1" x14ac:dyDescent="0.25">
      <c r="A758" s="402"/>
    </row>
    <row r="759" spans="1:1" x14ac:dyDescent="0.25">
      <c r="A759" s="402"/>
    </row>
    <row r="760" spans="1:1" x14ac:dyDescent="0.25">
      <c r="A760" s="402"/>
    </row>
    <row r="761" spans="1:1" x14ac:dyDescent="0.25">
      <c r="A761" s="402"/>
    </row>
    <row r="762" spans="1:1" x14ac:dyDescent="0.25">
      <c r="A762" s="402"/>
    </row>
    <row r="763" spans="1:1" x14ac:dyDescent="0.25">
      <c r="A763" s="402"/>
    </row>
    <row r="764" spans="1:1" x14ac:dyDescent="0.25">
      <c r="A764" s="402"/>
    </row>
    <row r="765" spans="1:1" x14ac:dyDescent="0.25">
      <c r="A765" s="402"/>
    </row>
    <row r="766" spans="1:1" x14ac:dyDescent="0.25">
      <c r="A766" s="402"/>
    </row>
    <row r="767" spans="1:1" x14ac:dyDescent="0.25">
      <c r="A767" s="402"/>
    </row>
    <row r="768" spans="1:1" x14ac:dyDescent="0.25">
      <c r="A768" s="402"/>
    </row>
    <row r="769" spans="1:1" x14ac:dyDescent="0.25">
      <c r="A769" s="402"/>
    </row>
    <row r="770" spans="1:1" x14ac:dyDescent="0.25">
      <c r="A770" s="402"/>
    </row>
    <row r="771" spans="1:1" x14ac:dyDescent="0.25">
      <c r="A771" s="402"/>
    </row>
    <row r="772" spans="1:1" x14ac:dyDescent="0.25">
      <c r="A772" s="402"/>
    </row>
    <row r="773" spans="1:1" x14ac:dyDescent="0.25">
      <c r="A773" s="402"/>
    </row>
    <row r="774" spans="1:1" x14ac:dyDescent="0.25">
      <c r="A774" s="402"/>
    </row>
    <row r="775" spans="1:1" x14ac:dyDescent="0.25">
      <c r="A775" s="402"/>
    </row>
    <row r="776" spans="1:1" x14ac:dyDescent="0.25">
      <c r="A776" s="402"/>
    </row>
    <row r="777" spans="1:1" x14ac:dyDescent="0.25">
      <c r="A777" s="402"/>
    </row>
    <row r="778" spans="1:1" x14ac:dyDescent="0.25">
      <c r="A778" s="402"/>
    </row>
    <row r="779" spans="1:1" x14ac:dyDescent="0.25">
      <c r="A779" s="402"/>
    </row>
    <row r="780" spans="1:1" x14ac:dyDescent="0.25">
      <c r="A780" s="402"/>
    </row>
    <row r="781" spans="1:1" x14ac:dyDescent="0.25">
      <c r="A781" s="402"/>
    </row>
    <row r="782" spans="1:1" x14ac:dyDescent="0.25">
      <c r="A782" s="402"/>
    </row>
    <row r="783" spans="1:1" x14ac:dyDescent="0.25">
      <c r="A783" s="402"/>
    </row>
    <row r="784" spans="1:1" x14ac:dyDescent="0.25">
      <c r="A784" s="402"/>
    </row>
    <row r="785" spans="1:1" x14ac:dyDescent="0.25">
      <c r="A785" s="402"/>
    </row>
    <row r="786" spans="1:1" x14ac:dyDescent="0.25">
      <c r="A786" s="402"/>
    </row>
    <row r="787" spans="1:1" x14ac:dyDescent="0.25">
      <c r="A787" s="402"/>
    </row>
    <row r="788" spans="1:1" x14ac:dyDescent="0.25">
      <c r="A788" s="402"/>
    </row>
    <row r="789" spans="1:1" x14ac:dyDescent="0.25">
      <c r="A789" s="402"/>
    </row>
    <row r="790" spans="1:1" x14ac:dyDescent="0.25">
      <c r="A790" s="402"/>
    </row>
    <row r="791" spans="1:1" x14ac:dyDescent="0.25">
      <c r="A791" s="402"/>
    </row>
    <row r="792" spans="1:1" x14ac:dyDescent="0.25">
      <c r="A792" s="402"/>
    </row>
    <row r="793" spans="1:1" x14ac:dyDescent="0.25">
      <c r="A793" s="402"/>
    </row>
    <row r="794" spans="1:1" x14ac:dyDescent="0.25">
      <c r="A794" s="402"/>
    </row>
    <row r="795" spans="1:1" x14ac:dyDescent="0.25">
      <c r="A795" s="402"/>
    </row>
    <row r="796" spans="1:1" x14ac:dyDescent="0.25">
      <c r="A796" s="402"/>
    </row>
    <row r="797" spans="1:1" x14ac:dyDescent="0.25">
      <c r="A797" s="402"/>
    </row>
    <row r="798" spans="1:1" x14ac:dyDescent="0.25">
      <c r="A798" s="402"/>
    </row>
    <row r="799" spans="1:1" x14ac:dyDescent="0.25">
      <c r="A799" s="402"/>
    </row>
    <row r="800" spans="1:1" x14ac:dyDescent="0.25">
      <c r="A800" s="402"/>
    </row>
    <row r="801" spans="1:1" x14ac:dyDescent="0.25">
      <c r="A801" s="402"/>
    </row>
    <row r="802" spans="1:1" x14ac:dyDescent="0.25">
      <c r="A802" s="402"/>
    </row>
    <row r="803" spans="1:1" x14ac:dyDescent="0.25">
      <c r="A803" s="402"/>
    </row>
    <row r="804" spans="1:1" x14ac:dyDescent="0.25">
      <c r="A804" s="402"/>
    </row>
    <row r="805" spans="1:1" x14ac:dyDescent="0.25">
      <c r="A805" s="402"/>
    </row>
    <row r="806" spans="1:1" x14ac:dyDescent="0.25">
      <c r="A806" s="402"/>
    </row>
    <row r="807" spans="1:1" x14ac:dyDescent="0.25">
      <c r="A807" s="402"/>
    </row>
    <row r="808" spans="1:1" x14ac:dyDescent="0.25">
      <c r="A808" s="402"/>
    </row>
    <row r="809" spans="1:1" x14ac:dyDescent="0.25">
      <c r="A809" s="402"/>
    </row>
    <row r="810" spans="1:1" x14ac:dyDescent="0.25">
      <c r="A810" s="402"/>
    </row>
    <row r="811" spans="1:1" x14ac:dyDescent="0.25">
      <c r="A811" s="402"/>
    </row>
    <row r="812" spans="1:1" x14ac:dyDescent="0.25">
      <c r="A812" s="402"/>
    </row>
    <row r="813" spans="1:1" x14ac:dyDescent="0.25">
      <c r="A813" s="402"/>
    </row>
    <row r="814" spans="1:1" x14ac:dyDescent="0.25">
      <c r="A814" s="402"/>
    </row>
    <row r="815" spans="1:1" x14ac:dyDescent="0.25">
      <c r="A815" s="402"/>
    </row>
    <row r="816" spans="1:1" x14ac:dyDescent="0.25">
      <c r="A816" s="402"/>
    </row>
    <row r="817" spans="1:1" x14ac:dyDescent="0.25">
      <c r="A817" s="402"/>
    </row>
    <row r="818" spans="1:1" x14ac:dyDescent="0.25">
      <c r="A818" s="402"/>
    </row>
    <row r="819" spans="1:1" x14ac:dyDescent="0.25">
      <c r="A819" s="402"/>
    </row>
    <row r="820" spans="1:1" x14ac:dyDescent="0.25">
      <c r="A820" s="402"/>
    </row>
    <row r="821" spans="1:1" x14ac:dyDescent="0.25">
      <c r="A821" s="402"/>
    </row>
    <row r="822" spans="1:1" x14ac:dyDescent="0.25">
      <c r="A822" s="402"/>
    </row>
    <row r="823" spans="1:1" x14ac:dyDescent="0.25">
      <c r="A823" s="402"/>
    </row>
    <row r="824" spans="1:1" x14ac:dyDescent="0.25">
      <c r="A824" s="402"/>
    </row>
    <row r="825" spans="1:1" x14ac:dyDescent="0.25">
      <c r="A825" s="402"/>
    </row>
    <row r="826" spans="1:1" x14ac:dyDescent="0.25">
      <c r="A826" s="402"/>
    </row>
    <row r="827" spans="1:1" x14ac:dyDescent="0.25">
      <c r="A827" s="402"/>
    </row>
    <row r="828" spans="1:1" x14ac:dyDescent="0.25">
      <c r="A828" s="402"/>
    </row>
    <row r="829" spans="1:1" x14ac:dyDescent="0.25">
      <c r="A829" s="402"/>
    </row>
    <row r="830" spans="1:1" x14ac:dyDescent="0.25">
      <c r="A830" s="402"/>
    </row>
    <row r="831" spans="1:1" x14ac:dyDescent="0.25">
      <c r="A831" s="402"/>
    </row>
    <row r="832" spans="1:1" x14ac:dyDescent="0.25">
      <c r="A832" s="402"/>
    </row>
    <row r="833" spans="1:1" x14ac:dyDescent="0.25">
      <c r="A833" s="402"/>
    </row>
    <row r="834" spans="1:1" x14ac:dyDescent="0.25">
      <c r="A834" s="402"/>
    </row>
    <row r="835" spans="1:1" x14ac:dyDescent="0.25">
      <c r="A835" s="402"/>
    </row>
    <row r="836" spans="1:1" x14ac:dyDescent="0.25">
      <c r="A836" s="402"/>
    </row>
    <row r="837" spans="1:1" x14ac:dyDescent="0.25">
      <c r="A837" s="402"/>
    </row>
    <row r="838" spans="1:1" x14ac:dyDescent="0.25">
      <c r="A838" s="402"/>
    </row>
    <row r="839" spans="1:1" x14ac:dyDescent="0.25">
      <c r="A839" s="402"/>
    </row>
    <row r="840" spans="1:1" x14ac:dyDescent="0.25">
      <c r="A840" s="402"/>
    </row>
    <row r="841" spans="1:1" x14ac:dyDescent="0.25">
      <c r="A841" s="402"/>
    </row>
    <row r="842" spans="1:1" x14ac:dyDescent="0.25">
      <c r="A842" s="402"/>
    </row>
    <row r="843" spans="1:1" x14ac:dyDescent="0.25">
      <c r="A843" s="402"/>
    </row>
    <row r="844" spans="1:1" x14ac:dyDescent="0.25">
      <c r="A844" s="402"/>
    </row>
    <row r="845" spans="1:1" x14ac:dyDescent="0.25">
      <c r="A845" s="402"/>
    </row>
    <row r="846" spans="1:1" x14ac:dyDescent="0.25">
      <c r="A846" s="402"/>
    </row>
    <row r="847" spans="1:1" x14ac:dyDescent="0.25">
      <c r="A847" s="402"/>
    </row>
    <row r="848" spans="1:1" x14ac:dyDescent="0.25">
      <c r="A848" s="402"/>
    </row>
    <row r="849" spans="1:1" x14ac:dyDescent="0.25">
      <c r="A849" s="402"/>
    </row>
    <row r="850" spans="1:1" x14ac:dyDescent="0.25">
      <c r="A850" s="402"/>
    </row>
    <row r="851" spans="1:1" x14ac:dyDescent="0.25">
      <c r="A851" s="402"/>
    </row>
    <row r="852" spans="1:1" x14ac:dyDescent="0.25">
      <c r="A852" s="402"/>
    </row>
    <row r="853" spans="1:1" x14ac:dyDescent="0.25">
      <c r="A853" s="402"/>
    </row>
    <row r="854" spans="1:1" x14ac:dyDescent="0.25">
      <c r="A854" s="402"/>
    </row>
    <row r="855" spans="1:1" x14ac:dyDescent="0.25">
      <c r="A855" s="402"/>
    </row>
    <row r="856" spans="1:1" x14ac:dyDescent="0.25">
      <c r="A856" s="402"/>
    </row>
    <row r="857" spans="1:1" x14ac:dyDescent="0.25">
      <c r="A857" s="402"/>
    </row>
    <row r="858" spans="1:1" x14ac:dyDescent="0.25">
      <c r="A858" s="402"/>
    </row>
    <row r="859" spans="1:1" x14ac:dyDescent="0.25">
      <c r="A859" s="402"/>
    </row>
    <row r="860" spans="1:1" x14ac:dyDescent="0.25">
      <c r="A860" s="402"/>
    </row>
    <row r="861" spans="1:1" x14ac:dyDescent="0.25">
      <c r="A861" s="402"/>
    </row>
    <row r="862" spans="1:1" x14ac:dyDescent="0.25">
      <c r="A862" s="402"/>
    </row>
    <row r="863" spans="1:1" x14ac:dyDescent="0.25">
      <c r="A863" s="402"/>
    </row>
    <row r="864" spans="1:1" x14ac:dyDescent="0.25">
      <c r="A864" s="402"/>
    </row>
    <row r="865" spans="1:1" x14ac:dyDescent="0.25">
      <c r="A865" s="402"/>
    </row>
    <row r="866" spans="1:1" x14ac:dyDescent="0.25">
      <c r="A866" s="402"/>
    </row>
    <row r="867" spans="1:1" x14ac:dyDescent="0.25">
      <c r="A867" s="402"/>
    </row>
    <row r="868" spans="1:1" x14ac:dyDescent="0.25">
      <c r="A868" s="402"/>
    </row>
    <row r="869" spans="1:1" x14ac:dyDescent="0.25">
      <c r="A869" s="402"/>
    </row>
    <row r="870" spans="1:1" x14ac:dyDescent="0.25">
      <c r="A870" s="402"/>
    </row>
    <row r="871" spans="1:1" x14ac:dyDescent="0.25">
      <c r="A871" s="402"/>
    </row>
    <row r="872" spans="1:1" x14ac:dyDescent="0.25">
      <c r="A872" s="402"/>
    </row>
    <row r="873" spans="1:1" x14ac:dyDescent="0.25">
      <c r="A873" s="402"/>
    </row>
    <row r="874" spans="1:1" x14ac:dyDescent="0.25">
      <c r="A874" s="402"/>
    </row>
    <row r="875" spans="1:1" x14ac:dyDescent="0.25">
      <c r="A875" s="402"/>
    </row>
    <row r="876" spans="1:1" x14ac:dyDescent="0.25">
      <c r="A876" s="402"/>
    </row>
    <row r="877" spans="1:1" x14ac:dyDescent="0.25">
      <c r="A877" s="402"/>
    </row>
    <row r="878" spans="1:1" x14ac:dyDescent="0.25">
      <c r="A878" s="402"/>
    </row>
    <row r="879" spans="1:1" x14ac:dyDescent="0.25">
      <c r="A879" s="402"/>
    </row>
    <row r="880" spans="1:1" x14ac:dyDescent="0.25">
      <c r="A880" s="402"/>
    </row>
    <row r="881" spans="1:1" x14ac:dyDescent="0.25">
      <c r="A881" s="402"/>
    </row>
    <row r="882" spans="1:1" x14ac:dyDescent="0.25">
      <c r="A882" s="402"/>
    </row>
    <row r="883" spans="1:1" x14ac:dyDescent="0.25">
      <c r="A883" s="402"/>
    </row>
    <row r="884" spans="1:1" x14ac:dyDescent="0.25">
      <c r="A884" s="402"/>
    </row>
    <row r="885" spans="1:1" x14ac:dyDescent="0.25">
      <c r="A885" s="402"/>
    </row>
    <row r="886" spans="1:1" x14ac:dyDescent="0.25">
      <c r="A886" s="402"/>
    </row>
    <row r="887" spans="1:1" x14ac:dyDescent="0.25">
      <c r="A887" s="402"/>
    </row>
    <row r="888" spans="1:1" x14ac:dyDescent="0.25">
      <c r="A888" s="402"/>
    </row>
    <row r="889" spans="1:1" x14ac:dyDescent="0.25">
      <c r="A889" s="402"/>
    </row>
    <row r="890" spans="1:1" x14ac:dyDescent="0.25">
      <c r="A890" s="402"/>
    </row>
    <row r="891" spans="1:1" x14ac:dyDescent="0.25">
      <c r="A891" s="402"/>
    </row>
    <row r="892" spans="1:1" x14ac:dyDescent="0.25">
      <c r="A892" s="402"/>
    </row>
    <row r="893" spans="1:1" x14ac:dyDescent="0.25">
      <c r="A893" s="402"/>
    </row>
    <row r="894" spans="1:1" x14ac:dyDescent="0.25">
      <c r="A894" s="402"/>
    </row>
    <row r="895" spans="1:1" x14ac:dyDescent="0.25">
      <c r="A895" s="402"/>
    </row>
    <row r="896" spans="1:1" x14ac:dyDescent="0.25">
      <c r="A896" s="402"/>
    </row>
    <row r="897" spans="1:1" x14ac:dyDescent="0.25">
      <c r="A897" s="402"/>
    </row>
    <row r="898" spans="1:1" x14ac:dyDescent="0.25">
      <c r="A898" s="402"/>
    </row>
    <row r="899" spans="1:1" x14ac:dyDescent="0.25">
      <c r="A899" s="402"/>
    </row>
    <row r="900" spans="1:1" x14ac:dyDescent="0.25">
      <c r="A900" s="402"/>
    </row>
    <row r="901" spans="1:1" x14ac:dyDescent="0.25">
      <c r="A901" s="402"/>
    </row>
    <row r="902" spans="1:1" x14ac:dyDescent="0.25">
      <c r="A902" s="402"/>
    </row>
    <row r="903" spans="1:1" x14ac:dyDescent="0.25">
      <c r="A903" s="402"/>
    </row>
    <row r="904" spans="1:1" x14ac:dyDescent="0.25">
      <c r="A904" s="402"/>
    </row>
    <row r="905" spans="1:1" x14ac:dyDescent="0.25">
      <c r="A905" s="402"/>
    </row>
    <row r="906" spans="1:1" x14ac:dyDescent="0.25">
      <c r="A906" s="402"/>
    </row>
    <row r="907" spans="1:1" x14ac:dyDescent="0.25">
      <c r="A907" s="402"/>
    </row>
    <row r="908" spans="1:1" x14ac:dyDescent="0.25">
      <c r="A908" s="402"/>
    </row>
    <row r="909" spans="1:1" x14ac:dyDescent="0.25">
      <c r="A909" s="402"/>
    </row>
    <row r="910" spans="1:1" x14ac:dyDescent="0.25">
      <c r="A910" s="402"/>
    </row>
    <row r="911" spans="1:1" x14ac:dyDescent="0.25">
      <c r="A911" s="402"/>
    </row>
    <row r="912" spans="1:1" x14ac:dyDescent="0.25">
      <c r="A912" s="402"/>
    </row>
    <row r="913" spans="1:1" x14ac:dyDescent="0.25">
      <c r="A913" s="402"/>
    </row>
    <row r="914" spans="1:1" x14ac:dyDescent="0.25">
      <c r="A914" s="402"/>
    </row>
    <row r="915" spans="1:1" x14ac:dyDescent="0.25">
      <c r="A915" s="402"/>
    </row>
    <row r="916" spans="1:1" x14ac:dyDescent="0.25">
      <c r="A916" s="402"/>
    </row>
    <row r="917" spans="1:1" x14ac:dyDescent="0.25">
      <c r="A917" s="402"/>
    </row>
    <row r="918" spans="1:1" x14ac:dyDescent="0.25">
      <c r="A918" s="402"/>
    </row>
    <row r="919" spans="1:1" x14ac:dyDescent="0.25">
      <c r="A919" s="402"/>
    </row>
    <row r="920" spans="1:1" x14ac:dyDescent="0.25">
      <c r="A920" s="402"/>
    </row>
    <row r="921" spans="1:1" x14ac:dyDescent="0.25">
      <c r="A921" s="402"/>
    </row>
    <row r="922" spans="1:1" x14ac:dyDescent="0.25">
      <c r="A922" s="402"/>
    </row>
    <row r="923" spans="1:1" x14ac:dyDescent="0.25">
      <c r="A923" s="402"/>
    </row>
    <row r="924" spans="1:1" x14ac:dyDescent="0.25">
      <c r="A924" s="402"/>
    </row>
    <row r="925" spans="1:1" x14ac:dyDescent="0.25">
      <c r="A925" s="402"/>
    </row>
    <row r="926" spans="1:1" x14ac:dyDescent="0.25">
      <c r="A926" s="402"/>
    </row>
    <row r="927" spans="1:1" x14ac:dyDescent="0.25">
      <c r="A927" s="402"/>
    </row>
    <row r="928" spans="1:1" x14ac:dyDescent="0.25">
      <c r="A928" s="402"/>
    </row>
    <row r="929" spans="1:1" x14ac:dyDescent="0.25">
      <c r="A929" s="402"/>
    </row>
    <row r="930" spans="1:1" x14ac:dyDescent="0.25">
      <c r="A930" s="402"/>
    </row>
    <row r="931" spans="1:1" x14ac:dyDescent="0.25">
      <c r="A931" s="402"/>
    </row>
    <row r="932" spans="1:1" x14ac:dyDescent="0.25">
      <c r="A932" s="402"/>
    </row>
    <row r="933" spans="1:1" x14ac:dyDescent="0.25">
      <c r="A933" s="402"/>
    </row>
    <row r="934" spans="1:1" x14ac:dyDescent="0.25">
      <c r="A934" s="402"/>
    </row>
    <row r="935" spans="1:1" x14ac:dyDescent="0.25">
      <c r="A935" s="402"/>
    </row>
    <row r="936" spans="1:1" x14ac:dyDescent="0.25">
      <c r="A936" s="402"/>
    </row>
    <row r="937" spans="1:1" x14ac:dyDescent="0.25">
      <c r="A937" s="402"/>
    </row>
    <row r="938" spans="1:1" x14ac:dyDescent="0.25">
      <c r="A938" s="402"/>
    </row>
    <row r="939" spans="1:1" x14ac:dyDescent="0.25">
      <c r="A939" s="402"/>
    </row>
    <row r="940" spans="1:1" x14ac:dyDescent="0.25">
      <c r="A940" s="402"/>
    </row>
    <row r="941" spans="1:1" x14ac:dyDescent="0.25">
      <c r="A941" s="402"/>
    </row>
    <row r="942" spans="1:1" x14ac:dyDescent="0.25">
      <c r="A942" s="402"/>
    </row>
    <row r="943" spans="1:1" x14ac:dyDescent="0.25">
      <c r="A943" s="402"/>
    </row>
    <row r="944" spans="1:1" x14ac:dyDescent="0.25">
      <c r="A944" s="402"/>
    </row>
    <row r="945" spans="1:1" x14ac:dyDescent="0.25">
      <c r="A945" s="402"/>
    </row>
    <row r="946" spans="1:1" x14ac:dyDescent="0.25">
      <c r="A946" s="402"/>
    </row>
    <row r="947" spans="1:1" x14ac:dyDescent="0.25">
      <c r="A947" s="402"/>
    </row>
    <row r="948" spans="1:1" x14ac:dyDescent="0.25">
      <c r="A948" s="402"/>
    </row>
    <row r="949" spans="1:1" x14ac:dyDescent="0.25">
      <c r="A949" s="402"/>
    </row>
    <row r="950" spans="1:1" x14ac:dyDescent="0.25">
      <c r="A950" s="402"/>
    </row>
    <row r="951" spans="1:1" x14ac:dyDescent="0.25">
      <c r="A951" s="402"/>
    </row>
    <row r="952" spans="1:1" x14ac:dyDescent="0.25">
      <c r="A952" s="402"/>
    </row>
    <row r="953" spans="1:1" x14ac:dyDescent="0.25">
      <c r="A953" s="402"/>
    </row>
    <row r="954" spans="1:1" x14ac:dyDescent="0.25">
      <c r="A954" s="402"/>
    </row>
    <row r="955" spans="1:1" x14ac:dyDescent="0.25">
      <c r="A955" s="402"/>
    </row>
    <row r="956" spans="1:1" x14ac:dyDescent="0.25">
      <c r="A956" s="402"/>
    </row>
    <row r="957" spans="1:1" x14ac:dyDescent="0.25">
      <c r="A957" s="402"/>
    </row>
    <row r="958" spans="1:1" x14ac:dyDescent="0.25">
      <c r="A958" s="402"/>
    </row>
    <row r="959" spans="1:1" x14ac:dyDescent="0.25">
      <c r="A959" s="402"/>
    </row>
    <row r="960" spans="1:1" x14ac:dyDescent="0.25">
      <c r="A960" s="402"/>
    </row>
    <row r="961" spans="1:1" x14ac:dyDescent="0.25">
      <c r="A961" s="402"/>
    </row>
    <row r="962" spans="1:1" x14ac:dyDescent="0.25">
      <c r="A962" s="402"/>
    </row>
    <row r="963" spans="1:1" x14ac:dyDescent="0.25">
      <c r="A963" s="402"/>
    </row>
    <row r="964" spans="1:1" x14ac:dyDescent="0.25">
      <c r="A964" s="402"/>
    </row>
    <row r="965" spans="1:1" x14ac:dyDescent="0.25">
      <c r="A965" s="402"/>
    </row>
    <row r="966" spans="1:1" x14ac:dyDescent="0.25">
      <c r="A966" s="402"/>
    </row>
    <row r="967" spans="1:1" x14ac:dyDescent="0.25">
      <c r="A967" s="402"/>
    </row>
    <row r="968" spans="1:1" x14ac:dyDescent="0.25">
      <c r="A968" s="402"/>
    </row>
    <row r="969" spans="1:1" x14ac:dyDescent="0.25">
      <c r="A969" s="402"/>
    </row>
    <row r="970" spans="1:1" x14ac:dyDescent="0.25">
      <c r="A970" s="402"/>
    </row>
    <row r="971" spans="1:1" x14ac:dyDescent="0.25">
      <c r="A971" s="402"/>
    </row>
    <row r="972" spans="1:1" x14ac:dyDescent="0.25">
      <c r="A972" s="402"/>
    </row>
    <row r="973" spans="1:1" x14ac:dyDescent="0.25">
      <c r="A973" s="402"/>
    </row>
    <row r="974" spans="1:1" x14ac:dyDescent="0.25">
      <c r="A974" s="402"/>
    </row>
    <row r="975" spans="1:1" x14ac:dyDescent="0.25">
      <c r="A975" s="402"/>
    </row>
    <row r="976" spans="1:1" x14ac:dyDescent="0.25">
      <c r="A976" s="402"/>
    </row>
    <row r="977" spans="1:1" x14ac:dyDescent="0.25">
      <c r="A977" s="402"/>
    </row>
    <row r="978" spans="1:1" x14ac:dyDescent="0.25">
      <c r="A978" s="402"/>
    </row>
    <row r="979" spans="1:1" x14ac:dyDescent="0.25">
      <c r="A979" s="402"/>
    </row>
    <row r="980" spans="1:1" x14ac:dyDescent="0.25">
      <c r="A980" s="402"/>
    </row>
    <row r="981" spans="1:1" x14ac:dyDescent="0.25">
      <c r="A981" s="402"/>
    </row>
    <row r="982" spans="1:1" x14ac:dyDescent="0.25">
      <c r="A982" s="402"/>
    </row>
    <row r="983" spans="1:1" x14ac:dyDescent="0.25">
      <c r="A983" s="402"/>
    </row>
    <row r="984" spans="1:1" x14ac:dyDescent="0.25">
      <c r="A984" s="402"/>
    </row>
    <row r="985" spans="1:1" x14ac:dyDescent="0.25">
      <c r="A985" s="402"/>
    </row>
    <row r="986" spans="1:1" x14ac:dyDescent="0.25">
      <c r="A986" s="402"/>
    </row>
    <row r="987" spans="1:1" x14ac:dyDescent="0.25">
      <c r="A987" s="402"/>
    </row>
    <row r="988" spans="1:1" x14ac:dyDescent="0.25">
      <c r="A988" s="402"/>
    </row>
    <row r="989" spans="1:1" x14ac:dyDescent="0.25">
      <c r="A989" s="402"/>
    </row>
    <row r="990" spans="1:1" x14ac:dyDescent="0.25">
      <c r="A990" s="402"/>
    </row>
    <row r="991" spans="1:1" x14ac:dyDescent="0.25">
      <c r="A991" s="402"/>
    </row>
    <row r="992" spans="1:1" x14ac:dyDescent="0.25">
      <c r="A992" s="402"/>
    </row>
    <row r="993" spans="1:1" x14ac:dyDescent="0.25">
      <c r="A993" s="402"/>
    </row>
    <row r="994" spans="1:1" x14ac:dyDescent="0.25">
      <c r="A994" s="402"/>
    </row>
    <row r="995" spans="1:1" x14ac:dyDescent="0.25">
      <c r="A995" s="402"/>
    </row>
    <row r="996" spans="1:1" x14ac:dyDescent="0.25">
      <c r="A996" s="402"/>
    </row>
    <row r="997" spans="1:1" x14ac:dyDescent="0.25">
      <c r="A997" s="402"/>
    </row>
    <row r="998" spans="1:1" x14ac:dyDescent="0.25">
      <c r="A998" s="402"/>
    </row>
    <row r="999" spans="1:1" x14ac:dyDescent="0.25">
      <c r="A999" s="402"/>
    </row>
    <row r="1000" spans="1:1" x14ac:dyDescent="0.25">
      <c r="A1000" s="402"/>
    </row>
    <row r="1001" spans="1:1" x14ac:dyDescent="0.25">
      <c r="A1001" s="402"/>
    </row>
    <row r="1002" spans="1:1" x14ac:dyDescent="0.25">
      <c r="A1002" s="402"/>
    </row>
    <row r="1003" spans="1:1" x14ac:dyDescent="0.25">
      <c r="A1003" s="402"/>
    </row>
    <row r="1004" spans="1:1" x14ac:dyDescent="0.25">
      <c r="A1004" s="402"/>
    </row>
    <row r="1005" spans="1:1" x14ac:dyDescent="0.25">
      <c r="A1005" s="402"/>
    </row>
    <row r="1006" spans="1:1" x14ac:dyDescent="0.25">
      <c r="A1006" s="402"/>
    </row>
    <row r="1007" spans="1:1" x14ac:dyDescent="0.25">
      <c r="A1007" s="402"/>
    </row>
    <row r="1008" spans="1:1" x14ac:dyDescent="0.25">
      <c r="A1008" s="402"/>
    </row>
    <row r="1009" spans="1:1" x14ac:dyDescent="0.25">
      <c r="A1009" s="402"/>
    </row>
    <row r="1010" spans="1:1" x14ac:dyDescent="0.25">
      <c r="A1010" s="402"/>
    </row>
    <row r="1011" spans="1:1" x14ac:dyDescent="0.25">
      <c r="A1011" s="402"/>
    </row>
    <row r="1012" spans="1:1" x14ac:dyDescent="0.25">
      <c r="A1012" s="402"/>
    </row>
    <row r="1013" spans="1:1" x14ac:dyDescent="0.25">
      <c r="A1013" s="402"/>
    </row>
    <row r="1014" spans="1:1" x14ac:dyDescent="0.25">
      <c r="A1014" s="402"/>
    </row>
    <row r="1015" spans="1:1" x14ac:dyDescent="0.25">
      <c r="A1015" s="402"/>
    </row>
    <row r="1016" spans="1:1" x14ac:dyDescent="0.25">
      <c r="A1016" s="402"/>
    </row>
    <row r="1017" spans="1:1" x14ac:dyDescent="0.25">
      <c r="A1017" s="402"/>
    </row>
    <row r="1018" spans="1:1" x14ac:dyDescent="0.25">
      <c r="A1018" s="402"/>
    </row>
    <row r="1019" spans="1:1" x14ac:dyDescent="0.25">
      <c r="A1019" s="402"/>
    </row>
    <row r="1020" spans="1:1" x14ac:dyDescent="0.25">
      <c r="A1020" s="402"/>
    </row>
    <row r="1021" spans="1:1" x14ac:dyDescent="0.25">
      <c r="A1021" s="402"/>
    </row>
    <row r="1022" spans="1:1" x14ac:dyDescent="0.25">
      <c r="A1022" s="402"/>
    </row>
    <row r="1023" spans="1:1" x14ac:dyDescent="0.25">
      <c r="A1023" s="402"/>
    </row>
    <row r="1024" spans="1:1" x14ac:dyDescent="0.25">
      <c r="A1024" s="402"/>
    </row>
    <row r="1025" spans="1:1" x14ac:dyDescent="0.25">
      <c r="A1025" s="402"/>
    </row>
    <row r="1026" spans="1:1" x14ac:dyDescent="0.25">
      <c r="A1026" s="402"/>
    </row>
    <row r="1027" spans="1:1" x14ac:dyDescent="0.25">
      <c r="A1027" s="402"/>
    </row>
    <row r="1028" spans="1:1" x14ac:dyDescent="0.25">
      <c r="A1028" s="402"/>
    </row>
    <row r="1029" spans="1:1" x14ac:dyDescent="0.25">
      <c r="A1029" s="402"/>
    </row>
    <row r="1030" spans="1:1" x14ac:dyDescent="0.25">
      <c r="A1030" s="402"/>
    </row>
    <row r="1031" spans="1:1" x14ac:dyDescent="0.25">
      <c r="A1031" s="402"/>
    </row>
    <row r="1032" spans="1:1" x14ac:dyDescent="0.25">
      <c r="A1032" s="402"/>
    </row>
    <row r="1033" spans="1:1" x14ac:dyDescent="0.25">
      <c r="A1033" s="402"/>
    </row>
    <row r="1034" spans="1:1" x14ac:dyDescent="0.25">
      <c r="A1034" s="402"/>
    </row>
    <row r="1035" spans="1:1" x14ac:dyDescent="0.25">
      <c r="A1035" s="402"/>
    </row>
    <row r="1036" spans="1:1" x14ac:dyDescent="0.25">
      <c r="A1036" s="402"/>
    </row>
    <row r="1037" spans="1:1" x14ac:dyDescent="0.25">
      <c r="A1037" s="402"/>
    </row>
    <row r="1038" spans="1:1" x14ac:dyDescent="0.25">
      <c r="A1038" s="402"/>
    </row>
    <row r="1039" spans="1:1" x14ac:dyDescent="0.25">
      <c r="A1039" s="402"/>
    </row>
    <row r="1040" spans="1:1" x14ac:dyDescent="0.25">
      <c r="A1040" s="402"/>
    </row>
    <row r="1041" spans="1:1" x14ac:dyDescent="0.25">
      <c r="A1041" s="402"/>
    </row>
    <row r="1042" spans="1:1" x14ac:dyDescent="0.25">
      <c r="A1042" s="402"/>
    </row>
    <row r="1043" spans="1:1" x14ac:dyDescent="0.25">
      <c r="A1043" s="402"/>
    </row>
    <row r="1044" spans="1:1" x14ac:dyDescent="0.25">
      <c r="A1044" s="402"/>
    </row>
    <row r="1045" spans="1:1" x14ac:dyDescent="0.25">
      <c r="A1045" s="402"/>
    </row>
    <row r="1046" spans="1:1" x14ac:dyDescent="0.25">
      <c r="A1046" s="402"/>
    </row>
    <row r="1047" spans="1:1" x14ac:dyDescent="0.25">
      <c r="A1047" s="402"/>
    </row>
    <row r="1048" spans="1:1" x14ac:dyDescent="0.25">
      <c r="A1048" s="402"/>
    </row>
    <row r="1049" spans="1:1" x14ac:dyDescent="0.25">
      <c r="A1049" s="402"/>
    </row>
    <row r="1050" spans="1:1" x14ac:dyDescent="0.25">
      <c r="A1050" s="402"/>
    </row>
    <row r="1051" spans="1:1" x14ac:dyDescent="0.25">
      <c r="A1051" s="402"/>
    </row>
    <row r="1052" spans="1:1" x14ac:dyDescent="0.25">
      <c r="A1052" s="402"/>
    </row>
    <row r="1053" spans="1:1" x14ac:dyDescent="0.25">
      <c r="A1053" s="402"/>
    </row>
    <row r="1054" spans="1:1" x14ac:dyDescent="0.25">
      <c r="A1054" s="402"/>
    </row>
    <row r="1055" spans="1:1" x14ac:dyDescent="0.25">
      <c r="A1055" s="402"/>
    </row>
    <row r="1056" spans="1:1" x14ac:dyDescent="0.25">
      <c r="A1056" s="402"/>
    </row>
    <row r="1057" spans="1:1" x14ac:dyDescent="0.25">
      <c r="A1057" s="402"/>
    </row>
    <row r="1058" spans="1:1" x14ac:dyDescent="0.25">
      <c r="A1058" s="402"/>
    </row>
    <row r="1059" spans="1:1" x14ac:dyDescent="0.25">
      <c r="A1059" s="402"/>
    </row>
    <row r="1060" spans="1:1" x14ac:dyDescent="0.25">
      <c r="A1060" s="402"/>
    </row>
    <row r="1061" spans="1:1" x14ac:dyDescent="0.25">
      <c r="A1061" s="402"/>
    </row>
    <row r="1062" spans="1:1" x14ac:dyDescent="0.25">
      <c r="A1062" s="402"/>
    </row>
    <row r="1063" spans="1:1" x14ac:dyDescent="0.25">
      <c r="A1063" s="402"/>
    </row>
    <row r="1064" spans="1:1" x14ac:dyDescent="0.25">
      <c r="A1064" s="402"/>
    </row>
    <row r="1065" spans="1:1" x14ac:dyDescent="0.25">
      <c r="A1065" s="402"/>
    </row>
    <row r="1066" spans="1:1" x14ac:dyDescent="0.25">
      <c r="A1066" s="402"/>
    </row>
    <row r="1067" spans="1:1" x14ac:dyDescent="0.25">
      <c r="A1067" s="402"/>
    </row>
    <row r="1068" spans="1:1" x14ac:dyDescent="0.25">
      <c r="A1068" s="402"/>
    </row>
    <row r="1069" spans="1:1" x14ac:dyDescent="0.25">
      <c r="A1069" s="402"/>
    </row>
    <row r="1070" spans="1:1" x14ac:dyDescent="0.25">
      <c r="A1070" s="402"/>
    </row>
    <row r="1071" spans="1:1" x14ac:dyDescent="0.25">
      <c r="A1071" s="402"/>
    </row>
    <row r="1072" spans="1:1" x14ac:dyDescent="0.25">
      <c r="A1072" s="402"/>
    </row>
    <row r="1073" spans="1:1" x14ac:dyDescent="0.25">
      <c r="A1073" s="402"/>
    </row>
    <row r="1074" spans="1:1" x14ac:dyDescent="0.25">
      <c r="A1074" s="402"/>
    </row>
    <row r="1075" spans="1:1" x14ac:dyDescent="0.25">
      <c r="A1075" s="402"/>
    </row>
    <row r="1076" spans="1:1" x14ac:dyDescent="0.25">
      <c r="A1076" s="402"/>
    </row>
    <row r="1077" spans="1:1" x14ac:dyDescent="0.25">
      <c r="A1077" s="402"/>
    </row>
    <row r="1078" spans="1:1" x14ac:dyDescent="0.25">
      <c r="A1078" s="402"/>
    </row>
    <row r="1079" spans="1:1" x14ac:dyDescent="0.25">
      <c r="A1079" s="402"/>
    </row>
    <row r="1080" spans="1:1" x14ac:dyDescent="0.25">
      <c r="A1080" s="402"/>
    </row>
    <row r="1081" spans="1:1" x14ac:dyDescent="0.25">
      <c r="A1081" s="402"/>
    </row>
    <row r="1082" spans="1:1" x14ac:dyDescent="0.25">
      <c r="A1082" s="402"/>
    </row>
    <row r="1083" spans="1:1" x14ac:dyDescent="0.25">
      <c r="A1083" s="402"/>
    </row>
    <row r="1084" spans="1:1" x14ac:dyDescent="0.25">
      <c r="A1084" s="402"/>
    </row>
    <row r="1085" spans="1:1" x14ac:dyDescent="0.25">
      <c r="A1085" s="402"/>
    </row>
    <row r="1086" spans="1:1" x14ac:dyDescent="0.25">
      <c r="A1086" s="402"/>
    </row>
    <row r="1087" spans="1:1" x14ac:dyDescent="0.25">
      <c r="A1087" s="402"/>
    </row>
    <row r="1088" spans="1:1" x14ac:dyDescent="0.25">
      <c r="A1088" s="402"/>
    </row>
    <row r="1089" spans="1:1" x14ac:dyDescent="0.25">
      <c r="A1089" s="402"/>
    </row>
    <row r="1090" spans="1:1" x14ac:dyDescent="0.25">
      <c r="A1090" s="402"/>
    </row>
    <row r="1091" spans="1:1" x14ac:dyDescent="0.25">
      <c r="A1091" s="402"/>
    </row>
    <row r="1092" spans="1:1" x14ac:dyDescent="0.25">
      <c r="A1092" s="402"/>
    </row>
    <row r="1093" spans="1:1" x14ac:dyDescent="0.25">
      <c r="A1093" s="402"/>
    </row>
    <row r="1094" spans="1:1" x14ac:dyDescent="0.25">
      <c r="A1094" s="402"/>
    </row>
    <row r="1095" spans="1:1" x14ac:dyDescent="0.25">
      <c r="A1095" s="402"/>
    </row>
    <row r="1096" spans="1:1" x14ac:dyDescent="0.25">
      <c r="A1096" s="402"/>
    </row>
    <row r="1097" spans="1:1" x14ac:dyDescent="0.25">
      <c r="A1097" s="402"/>
    </row>
    <row r="1098" spans="1:1" x14ac:dyDescent="0.25">
      <c r="A1098" s="402"/>
    </row>
    <row r="1099" spans="1:1" x14ac:dyDescent="0.25">
      <c r="A1099" s="402"/>
    </row>
    <row r="1100" spans="1:1" x14ac:dyDescent="0.25">
      <c r="A1100" s="402"/>
    </row>
    <row r="1101" spans="1:1" x14ac:dyDescent="0.25">
      <c r="A1101" s="402"/>
    </row>
    <row r="1102" spans="1:1" x14ac:dyDescent="0.25">
      <c r="A1102" s="402"/>
    </row>
    <row r="1103" spans="1:1" x14ac:dyDescent="0.25">
      <c r="A1103" s="402"/>
    </row>
    <row r="1104" spans="1:1" x14ac:dyDescent="0.25">
      <c r="A1104" s="402"/>
    </row>
    <row r="1105" spans="1:1" x14ac:dyDescent="0.25">
      <c r="A1105" s="402"/>
    </row>
    <row r="1106" spans="1:1" x14ac:dyDescent="0.25">
      <c r="A1106" s="402"/>
    </row>
    <row r="1107" spans="1:1" x14ac:dyDescent="0.25">
      <c r="A1107" s="402"/>
    </row>
    <row r="1108" spans="1:1" x14ac:dyDescent="0.25">
      <c r="A1108" s="402"/>
    </row>
    <row r="1109" spans="1:1" x14ac:dyDescent="0.25">
      <c r="A1109" s="402"/>
    </row>
    <row r="1110" spans="1:1" x14ac:dyDescent="0.25">
      <c r="A1110" s="402"/>
    </row>
    <row r="1111" spans="1:1" x14ac:dyDescent="0.25">
      <c r="A1111" s="402"/>
    </row>
    <row r="1112" spans="1:1" x14ac:dyDescent="0.25">
      <c r="A1112" s="402"/>
    </row>
    <row r="1113" spans="1:1" x14ac:dyDescent="0.25">
      <c r="A1113" s="402"/>
    </row>
    <row r="1114" spans="1:1" x14ac:dyDescent="0.25">
      <c r="A1114" s="402"/>
    </row>
    <row r="1115" spans="1:1" x14ac:dyDescent="0.25">
      <c r="A1115" s="402"/>
    </row>
    <row r="1116" spans="1:1" x14ac:dyDescent="0.25">
      <c r="A1116" s="402"/>
    </row>
    <row r="1117" spans="1:1" x14ac:dyDescent="0.25">
      <c r="A1117" s="402"/>
    </row>
    <row r="1118" spans="1:1" x14ac:dyDescent="0.25">
      <c r="A1118" s="402"/>
    </row>
    <row r="1119" spans="1:1" x14ac:dyDescent="0.25">
      <c r="A1119" s="402"/>
    </row>
    <row r="1120" spans="1:1" x14ac:dyDescent="0.25">
      <c r="A1120" s="402"/>
    </row>
    <row r="1121" spans="1:1" x14ac:dyDescent="0.25">
      <c r="A1121" s="402"/>
    </row>
    <row r="1122" spans="1:1" x14ac:dyDescent="0.25">
      <c r="A1122" s="402"/>
    </row>
    <row r="1123" spans="1:1" x14ac:dyDescent="0.25">
      <c r="A1123" s="402"/>
    </row>
    <row r="1124" spans="1:1" x14ac:dyDescent="0.25">
      <c r="A1124" s="402"/>
    </row>
    <row r="1125" spans="1:1" x14ac:dyDescent="0.25">
      <c r="A1125" s="402"/>
    </row>
    <row r="1126" spans="1:1" x14ac:dyDescent="0.25">
      <c r="A1126" s="402"/>
    </row>
    <row r="1127" spans="1:1" x14ac:dyDescent="0.25">
      <c r="A1127" s="402"/>
    </row>
    <row r="1128" spans="1:1" x14ac:dyDescent="0.25">
      <c r="A1128" s="402"/>
    </row>
    <row r="1129" spans="1:1" x14ac:dyDescent="0.25">
      <c r="A1129" s="402"/>
    </row>
    <row r="1130" spans="1:1" x14ac:dyDescent="0.25">
      <c r="A1130" s="402"/>
    </row>
    <row r="1131" spans="1:1" x14ac:dyDescent="0.25">
      <c r="A1131" s="402"/>
    </row>
    <row r="1132" spans="1:1" x14ac:dyDescent="0.25">
      <c r="A1132" s="402"/>
    </row>
    <row r="1133" spans="1:1" x14ac:dyDescent="0.25">
      <c r="A1133" s="402"/>
    </row>
    <row r="1134" spans="1:1" x14ac:dyDescent="0.25">
      <c r="A1134" s="402"/>
    </row>
    <row r="1135" spans="1:1" x14ac:dyDescent="0.25">
      <c r="A1135" s="402"/>
    </row>
    <row r="1136" spans="1:1" x14ac:dyDescent="0.25">
      <c r="A1136" s="402"/>
    </row>
    <row r="1137" spans="1:1" x14ac:dyDescent="0.25">
      <c r="A1137" s="402"/>
    </row>
    <row r="1138" spans="1:1" x14ac:dyDescent="0.25">
      <c r="A1138" s="402"/>
    </row>
    <row r="1139" spans="1:1" x14ac:dyDescent="0.25">
      <c r="A1139" s="402"/>
    </row>
    <row r="1140" spans="1:1" x14ac:dyDescent="0.25">
      <c r="A1140" s="402"/>
    </row>
    <row r="1141" spans="1:1" x14ac:dyDescent="0.25">
      <c r="A1141" s="402"/>
    </row>
    <row r="1142" spans="1:1" x14ac:dyDescent="0.25">
      <c r="A1142" s="402"/>
    </row>
    <row r="1143" spans="1:1" x14ac:dyDescent="0.25">
      <c r="A1143" s="402"/>
    </row>
    <row r="1144" spans="1:1" x14ac:dyDescent="0.25">
      <c r="A1144" s="402"/>
    </row>
    <row r="1145" spans="1:1" x14ac:dyDescent="0.25">
      <c r="A1145" s="402"/>
    </row>
    <row r="1146" spans="1:1" x14ac:dyDescent="0.25">
      <c r="A1146" s="402"/>
    </row>
    <row r="1147" spans="1:1" x14ac:dyDescent="0.25">
      <c r="A1147" s="402"/>
    </row>
    <row r="1148" spans="1:1" x14ac:dyDescent="0.25">
      <c r="A1148" s="402"/>
    </row>
    <row r="1149" spans="1:1" x14ac:dyDescent="0.25">
      <c r="A1149" s="402"/>
    </row>
    <row r="1150" spans="1:1" x14ac:dyDescent="0.25">
      <c r="A1150" s="402"/>
    </row>
    <row r="1151" spans="1:1" x14ac:dyDescent="0.25">
      <c r="A1151" s="402"/>
    </row>
    <row r="1152" spans="1:1" x14ac:dyDescent="0.25">
      <c r="A1152" s="402"/>
    </row>
    <row r="1153" spans="1:1" x14ac:dyDescent="0.25">
      <c r="A1153" s="402"/>
    </row>
    <row r="1154" spans="1:1" x14ac:dyDescent="0.25">
      <c r="A1154" s="402"/>
    </row>
    <row r="1155" spans="1:1" x14ac:dyDescent="0.25">
      <c r="A1155" s="402"/>
    </row>
    <row r="1156" spans="1:1" x14ac:dyDescent="0.25">
      <c r="A1156" s="402"/>
    </row>
    <row r="1157" spans="1:1" x14ac:dyDescent="0.25">
      <c r="A1157" s="402"/>
    </row>
    <row r="1158" spans="1:1" x14ac:dyDescent="0.25">
      <c r="A1158" s="402"/>
    </row>
    <row r="1159" spans="1:1" x14ac:dyDescent="0.25">
      <c r="A1159" s="402"/>
    </row>
    <row r="1160" spans="1:1" x14ac:dyDescent="0.25">
      <c r="A1160" s="402"/>
    </row>
    <row r="1161" spans="1:1" x14ac:dyDescent="0.25">
      <c r="A1161" s="402"/>
    </row>
    <row r="1162" spans="1:1" x14ac:dyDescent="0.25">
      <c r="A1162" s="402"/>
    </row>
    <row r="1163" spans="1:1" x14ac:dyDescent="0.25">
      <c r="A1163" s="402"/>
    </row>
    <row r="1164" spans="1:1" x14ac:dyDescent="0.25">
      <c r="A1164" s="402"/>
    </row>
    <row r="1165" spans="1:1" x14ac:dyDescent="0.25">
      <c r="A1165" s="402"/>
    </row>
    <row r="1166" spans="1:1" x14ac:dyDescent="0.25">
      <c r="A1166" s="402"/>
    </row>
    <row r="1167" spans="1:1" x14ac:dyDescent="0.25">
      <c r="A1167" s="402"/>
    </row>
    <row r="1168" spans="1:1" x14ac:dyDescent="0.25">
      <c r="A1168" s="402"/>
    </row>
    <row r="1169" spans="1:1" x14ac:dyDescent="0.25">
      <c r="A1169" s="402"/>
    </row>
    <row r="1170" spans="1:1" x14ac:dyDescent="0.25">
      <c r="A1170" s="402"/>
    </row>
    <row r="1171" spans="1:1" x14ac:dyDescent="0.25">
      <c r="A1171" s="402"/>
    </row>
    <row r="1172" spans="1:1" x14ac:dyDescent="0.25">
      <c r="A1172" s="402"/>
    </row>
    <row r="1173" spans="1:1" x14ac:dyDescent="0.25">
      <c r="A1173" s="402"/>
    </row>
    <row r="1174" spans="1:1" x14ac:dyDescent="0.25">
      <c r="A1174" s="402"/>
    </row>
    <row r="1175" spans="1:1" x14ac:dyDescent="0.25">
      <c r="A1175" s="402"/>
    </row>
    <row r="1176" spans="1:1" x14ac:dyDescent="0.25">
      <c r="A1176" s="402"/>
    </row>
    <row r="1177" spans="1:1" x14ac:dyDescent="0.25">
      <c r="A1177" s="402"/>
    </row>
    <row r="1178" spans="1:1" x14ac:dyDescent="0.25">
      <c r="A1178" s="402"/>
    </row>
    <row r="1179" spans="1:1" x14ac:dyDescent="0.25">
      <c r="A1179" s="402"/>
    </row>
    <row r="1180" spans="1:1" x14ac:dyDescent="0.25">
      <c r="A1180" s="402"/>
    </row>
    <row r="1181" spans="1:1" x14ac:dyDescent="0.25">
      <c r="A1181" s="402"/>
    </row>
    <row r="1182" spans="1:1" x14ac:dyDescent="0.25">
      <c r="A1182" s="402"/>
    </row>
    <row r="1183" spans="1:1" x14ac:dyDescent="0.25">
      <c r="A1183" s="402"/>
    </row>
    <row r="1184" spans="1:1" x14ac:dyDescent="0.25">
      <c r="A1184" s="402"/>
    </row>
    <row r="1185" spans="1:1" x14ac:dyDescent="0.25">
      <c r="A1185" s="402"/>
    </row>
    <row r="1186" spans="1:1" x14ac:dyDescent="0.25">
      <c r="A1186" s="402"/>
    </row>
    <row r="1187" spans="1:1" x14ac:dyDescent="0.25">
      <c r="A1187" s="402"/>
    </row>
    <row r="1188" spans="1:1" x14ac:dyDescent="0.25">
      <c r="A1188" s="402"/>
    </row>
    <row r="1189" spans="1:1" x14ac:dyDescent="0.25">
      <c r="A1189" s="402"/>
    </row>
    <row r="1190" spans="1:1" x14ac:dyDescent="0.25">
      <c r="A1190" s="402"/>
    </row>
    <row r="1191" spans="1:1" x14ac:dyDescent="0.25">
      <c r="A1191" s="402"/>
    </row>
    <row r="1192" spans="1:1" x14ac:dyDescent="0.25">
      <c r="A1192" s="402"/>
    </row>
    <row r="1193" spans="1:1" x14ac:dyDescent="0.25">
      <c r="A1193" s="402"/>
    </row>
    <row r="1194" spans="1:1" x14ac:dyDescent="0.25">
      <c r="A1194" s="402"/>
    </row>
    <row r="1195" spans="1:1" x14ac:dyDescent="0.25">
      <c r="A1195" s="402"/>
    </row>
    <row r="1196" spans="1:1" x14ac:dyDescent="0.25">
      <c r="A1196" s="402"/>
    </row>
    <row r="1197" spans="1:1" x14ac:dyDescent="0.25">
      <c r="A1197" s="402"/>
    </row>
    <row r="1198" spans="1:1" x14ac:dyDescent="0.25">
      <c r="A1198" s="402"/>
    </row>
    <row r="1199" spans="1:1" x14ac:dyDescent="0.25">
      <c r="A1199" s="402"/>
    </row>
    <row r="1200" spans="1:1" x14ac:dyDescent="0.25">
      <c r="A1200" s="402"/>
    </row>
    <row r="1201" spans="1:1" x14ac:dyDescent="0.25">
      <c r="A1201" s="402"/>
    </row>
    <row r="1202" spans="1:1" x14ac:dyDescent="0.25">
      <c r="A1202" s="402"/>
    </row>
    <row r="1203" spans="1:1" x14ac:dyDescent="0.25">
      <c r="A1203" s="402"/>
    </row>
    <row r="1204" spans="1:1" x14ac:dyDescent="0.25">
      <c r="A1204" s="402"/>
    </row>
    <row r="1205" spans="1:1" x14ac:dyDescent="0.25">
      <c r="A1205" s="402"/>
    </row>
    <row r="1206" spans="1:1" x14ac:dyDescent="0.25">
      <c r="A1206" s="402"/>
    </row>
    <row r="1207" spans="1:1" x14ac:dyDescent="0.25">
      <c r="A1207" s="402"/>
    </row>
    <row r="1208" spans="1:1" x14ac:dyDescent="0.25">
      <c r="A1208" s="402"/>
    </row>
    <row r="1209" spans="1:1" x14ac:dyDescent="0.25">
      <c r="A1209" s="402"/>
    </row>
    <row r="1210" spans="1:1" x14ac:dyDescent="0.25">
      <c r="A1210" s="402"/>
    </row>
    <row r="1211" spans="1:1" x14ac:dyDescent="0.25">
      <c r="A1211" s="402"/>
    </row>
    <row r="1212" spans="1:1" x14ac:dyDescent="0.25">
      <c r="A1212" s="402"/>
    </row>
    <row r="1213" spans="1:1" x14ac:dyDescent="0.25">
      <c r="A1213" s="402"/>
    </row>
    <row r="1214" spans="1:1" x14ac:dyDescent="0.25">
      <c r="A1214" s="402"/>
    </row>
    <row r="1215" spans="1:1" x14ac:dyDescent="0.25">
      <c r="A1215" s="402"/>
    </row>
    <row r="1216" spans="1:1" x14ac:dyDescent="0.25">
      <c r="A1216" s="402"/>
    </row>
    <row r="1217" spans="1:1" x14ac:dyDescent="0.25">
      <c r="A1217" s="402"/>
    </row>
    <row r="1218" spans="1:1" x14ac:dyDescent="0.25">
      <c r="A1218" s="402"/>
    </row>
    <row r="1219" spans="1:1" x14ac:dyDescent="0.25">
      <c r="A1219" s="402"/>
    </row>
    <row r="1220" spans="1:1" x14ac:dyDescent="0.25">
      <c r="A1220" s="402"/>
    </row>
    <row r="1221" spans="1:1" x14ac:dyDescent="0.25">
      <c r="A1221" s="402"/>
    </row>
    <row r="1222" spans="1:1" x14ac:dyDescent="0.25">
      <c r="A1222" s="402"/>
    </row>
    <row r="1223" spans="1:1" x14ac:dyDescent="0.25">
      <c r="A1223" s="402"/>
    </row>
    <row r="1224" spans="1:1" x14ac:dyDescent="0.25">
      <c r="A1224" s="402"/>
    </row>
    <row r="1225" spans="1:1" x14ac:dyDescent="0.25">
      <c r="A1225" s="402"/>
    </row>
    <row r="1226" spans="1:1" x14ac:dyDescent="0.25">
      <c r="A1226" s="402"/>
    </row>
    <row r="1227" spans="1:1" x14ac:dyDescent="0.25">
      <c r="A1227" s="402"/>
    </row>
    <row r="1228" spans="1:1" x14ac:dyDescent="0.25">
      <c r="A1228" s="402"/>
    </row>
    <row r="1229" spans="1:1" x14ac:dyDescent="0.25">
      <c r="A1229" s="402"/>
    </row>
    <row r="1230" spans="1:1" x14ac:dyDescent="0.25">
      <c r="A1230" s="402"/>
    </row>
    <row r="1231" spans="1:1" x14ac:dyDescent="0.25">
      <c r="A1231" s="402"/>
    </row>
    <row r="1232" spans="1:1" x14ac:dyDescent="0.25">
      <c r="A1232" s="402"/>
    </row>
    <row r="1233" spans="1:1" x14ac:dyDescent="0.25">
      <c r="A1233" s="402"/>
    </row>
    <row r="1234" spans="1:1" x14ac:dyDescent="0.25">
      <c r="A1234" s="402"/>
    </row>
    <row r="1235" spans="1:1" x14ac:dyDescent="0.25">
      <c r="A1235" s="402"/>
    </row>
    <row r="1236" spans="1:1" x14ac:dyDescent="0.25">
      <c r="A1236" s="402"/>
    </row>
    <row r="1237" spans="1:1" x14ac:dyDescent="0.25">
      <c r="A1237" s="402"/>
    </row>
    <row r="1238" spans="1:1" x14ac:dyDescent="0.25">
      <c r="A1238" s="402"/>
    </row>
    <row r="1239" spans="1:1" x14ac:dyDescent="0.25">
      <c r="A1239" s="402"/>
    </row>
    <row r="1240" spans="1:1" x14ac:dyDescent="0.25">
      <c r="A1240" s="402"/>
    </row>
    <row r="1241" spans="1:1" x14ac:dyDescent="0.25">
      <c r="A1241" s="402"/>
    </row>
    <row r="1242" spans="1:1" x14ac:dyDescent="0.25">
      <c r="A1242" s="402"/>
    </row>
    <row r="1243" spans="1:1" x14ac:dyDescent="0.25">
      <c r="A1243" s="402"/>
    </row>
    <row r="1244" spans="1:1" x14ac:dyDescent="0.25">
      <c r="A1244" s="402"/>
    </row>
    <row r="1245" spans="1:1" x14ac:dyDescent="0.25">
      <c r="A1245" s="402"/>
    </row>
    <row r="1246" spans="1:1" x14ac:dyDescent="0.25">
      <c r="A1246" s="402"/>
    </row>
    <row r="1247" spans="1:1" x14ac:dyDescent="0.25">
      <c r="A1247" s="402"/>
    </row>
    <row r="1248" spans="1:1" x14ac:dyDescent="0.25">
      <c r="A1248" s="402"/>
    </row>
    <row r="1249" spans="1:1" x14ac:dyDescent="0.25">
      <c r="A1249" s="402"/>
    </row>
    <row r="1250" spans="1:1" x14ac:dyDescent="0.25">
      <c r="A1250" s="402"/>
    </row>
    <row r="1251" spans="1:1" x14ac:dyDescent="0.25">
      <c r="A1251" s="402"/>
    </row>
    <row r="1252" spans="1:1" x14ac:dyDescent="0.25">
      <c r="A1252" s="402"/>
    </row>
    <row r="1253" spans="1:1" x14ac:dyDescent="0.25">
      <c r="A1253" s="402"/>
    </row>
    <row r="1254" spans="1:1" x14ac:dyDescent="0.25">
      <c r="A1254" s="402"/>
    </row>
    <row r="1255" spans="1:1" x14ac:dyDescent="0.25">
      <c r="A1255" s="402"/>
    </row>
    <row r="1256" spans="1:1" x14ac:dyDescent="0.25">
      <c r="A1256" s="402"/>
    </row>
    <row r="1257" spans="1:1" x14ac:dyDescent="0.25">
      <c r="A1257" s="402"/>
    </row>
    <row r="1258" spans="1:1" x14ac:dyDescent="0.25">
      <c r="A1258" s="402"/>
    </row>
    <row r="1259" spans="1:1" x14ac:dyDescent="0.25">
      <c r="A1259" s="402"/>
    </row>
    <row r="1260" spans="1:1" x14ac:dyDescent="0.25">
      <c r="A1260" s="402"/>
    </row>
    <row r="1261" spans="1:1" x14ac:dyDescent="0.25">
      <c r="A1261" s="402"/>
    </row>
    <row r="1262" spans="1:1" x14ac:dyDescent="0.25">
      <c r="A1262" s="402"/>
    </row>
    <row r="1263" spans="1:1" x14ac:dyDescent="0.25">
      <c r="A1263" s="402"/>
    </row>
    <row r="1264" spans="1:1" x14ac:dyDescent="0.25">
      <c r="A1264" s="402"/>
    </row>
    <row r="1265" spans="1:1" x14ac:dyDescent="0.25">
      <c r="A1265" s="402"/>
    </row>
    <row r="1266" spans="1:1" x14ac:dyDescent="0.25">
      <c r="A1266" s="402"/>
    </row>
    <row r="1267" spans="1:1" x14ac:dyDescent="0.25">
      <c r="A1267" s="402"/>
    </row>
    <row r="1268" spans="1:1" x14ac:dyDescent="0.25">
      <c r="A1268" s="402"/>
    </row>
    <row r="1269" spans="1:1" x14ac:dyDescent="0.25">
      <c r="A1269" s="402"/>
    </row>
    <row r="1270" spans="1:1" x14ac:dyDescent="0.25">
      <c r="A1270" s="402"/>
    </row>
    <row r="1271" spans="1:1" x14ac:dyDescent="0.25">
      <c r="A1271" s="402"/>
    </row>
    <row r="1272" spans="1:1" x14ac:dyDescent="0.25">
      <c r="A1272" s="402"/>
    </row>
    <row r="1273" spans="1:1" x14ac:dyDescent="0.25">
      <c r="A1273" s="402"/>
    </row>
    <row r="1274" spans="1:1" x14ac:dyDescent="0.25">
      <c r="A1274" s="402"/>
    </row>
    <row r="1275" spans="1:1" x14ac:dyDescent="0.25">
      <c r="A1275" s="402"/>
    </row>
    <row r="1276" spans="1:1" x14ac:dyDescent="0.25">
      <c r="A1276" s="402"/>
    </row>
    <row r="1277" spans="1:1" x14ac:dyDescent="0.25">
      <c r="A1277" s="402"/>
    </row>
    <row r="1278" spans="1:1" x14ac:dyDescent="0.25">
      <c r="A1278" s="402"/>
    </row>
    <row r="1279" spans="1:1" x14ac:dyDescent="0.25">
      <c r="A1279" s="402"/>
    </row>
    <row r="1280" spans="1:1" x14ac:dyDescent="0.25">
      <c r="A1280" s="402"/>
    </row>
    <row r="1281" spans="1:1" x14ac:dyDescent="0.25">
      <c r="A1281" s="402"/>
    </row>
    <row r="1282" spans="1:1" x14ac:dyDescent="0.25">
      <c r="A1282" s="402"/>
    </row>
    <row r="1283" spans="1:1" x14ac:dyDescent="0.25">
      <c r="A1283" s="402"/>
    </row>
    <row r="1284" spans="1:1" x14ac:dyDescent="0.25">
      <c r="A1284" s="402"/>
    </row>
    <row r="1285" spans="1:1" x14ac:dyDescent="0.25">
      <c r="A1285" s="402"/>
    </row>
    <row r="1286" spans="1:1" x14ac:dyDescent="0.25">
      <c r="A1286" s="402"/>
    </row>
    <row r="1287" spans="1:1" x14ac:dyDescent="0.25">
      <c r="A1287" s="402"/>
    </row>
    <row r="1288" spans="1:1" x14ac:dyDescent="0.25">
      <c r="A1288" s="402"/>
    </row>
    <row r="1289" spans="1:1" x14ac:dyDescent="0.25">
      <c r="A1289" s="402"/>
    </row>
    <row r="1290" spans="1:1" x14ac:dyDescent="0.25">
      <c r="A1290" s="402"/>
    </row>
    <row r="1291" spans="1:1" x14ac:dyDescent="0.25">
      <c r="A1291" s="402"/>
    </row>
    <row r="1292" spans="1:1" x14ac:dyDescent="0.25">
      <c r="A1292" s="402"/>
    </row>
    <row r="1293" spans="1:1" x14ac:dyDescent="0.25">
      <c r="A1293" s="402"/>
    </row>
    <row r="1294" spans="1:1" x14ac:dyDescent="0.25">
      <c r="A1294" s="402"/>
    </row>
    <row r="1295" spans="1:1" x14ac:dyDescent="0.25">
      <c r="A1295" s="402"/>
    </row>
    <row r="1296" spans="1:1" x14ac:dyDescent="0.25">
      <c r="A1296" s="402"/>
    </row>
    <row r="1297" spans="1:1" x14ac:dyDescent="0.25">
      <c r="A1297" s="402"/>
    </row>
    <row r="1298" spans="1:1" x14ac:dyDescent="0.25">
      <c r="A1298" s="402"/>
    </row>
    <row r="1299" spans="1:1" x14ac:dyDescent="0.25">
      <c r="A1299" s="402"/>
    </row>
    <row r="1300" spans="1:1" x14ac:dyDescent="0.25">
      <c r="A1300" s="402"/>
    </row>
    <row r="1301" spans="1:1" x14ac:dyDescent="0.25">
      <c r="A1301" s="402"/>
    </row>
    <row r="1302" spans="1:1" x14ac:dyDescent="0.25">
      <c r="A1302" s="402"/>
    </row>
    <row r="1303" spans="1:1" x14ac:dyDescent="0.25">
      <c r="A1303" s="402"/>
    </row>
    <row r="1304" spans="1:1" x14ac:dyDescent="0.25">
      <c r="A1304" s="402"/>
    </row>
    <row r="1305" spans="1:1" x14ac:dyDescent="0.25">
      <c r="A1305" s="402"/>
    </row>
    <row r="1306" spans="1:1" x14ac:dyDescent="0.25">
      <c r="A1306" s="402"/>
    </row>
    <row r="1307" spans="1:1" x14ac:dyDescent="0.25">
      <c r="A1307" s="402"/>
    </row>
    <row r="1308" spans="1:1" x14ac:dyDescent="0.25">
      <c r="A1308" s="402"/>
    </row>
    <row r="1309" spans="1:1" x14ac:dyDescent="0.25">
      <c r="A1309" s="402"/>
    </row>
    <row r="1310" spans="1:1" x14ac:dyDescent="0.25">
      <c r="A1310" s="402"/>
    </row>
    <row r="1311" spans="1:1" x14ac:dyDescent="0.25">
      <c r="A1311" s="402"/>
    </row>
    <row r="1312" spans="1:1" x14ac:dyDescent="0.25">
      <c r="A1312" s="402"/>
    </row>
    <row r="1313" spans="1:1" x14ac:dyDescent="0.25">
      <c r="A1313" s="402"/>
    </row>
    <row r="1314" spans="1:1" x14ac:dyDescent="0.25">
      <c r="A1314" s="402"/>
    </row>
    <row r="1315" spans="1:1" x14ac:dyDescent="0.25">
      <c r="A1315" s="402"/>
    </row>
    <row r="1316" spans="1:1" x14ac:dyDescent="0.25">
      <c r="A1316" s="402"/>
    </row>
    <row r="1317" spans="1:1" x14ac:dyDescent="0.25">
      <c r="A1317" s="402"/>
    </row>
    <row r="1318" spans="1:1" x14ac:dyDescent="0.25">
      <c r="A1318" s="402"/>
    </row>
    <row r="1319" spans="1:1" x14ac:dyDescent="0.25">
      <c r="A1319" s="402"/>
    </row>
    <row r="1320" spans="1:1" x14ac:dyDescent="0.25">
      <c r="A1320" s="402"/>
    </row>
    <row r="1321" spans="1:1" x14ac:dyDescent="0.25">
      <c r="A1321" s="402"/>
    </row>
    <row r="1322" spans="1:1" x14ac:dyDescent="0.25">
      <c r="A1322" s="402"/>
    </row>
    <row r="1323" spans="1:1" x14ac:dyDescent="0.25">
      <c r="A1323" s="402"/>
    </row>
    <row r="1324" spans="1:1" x14ac:dyDescent="0.25">
      <c r="A1324" s="402"/>
    </row>
    <row r="1325" spans="1:1" x14ac:dyDescent="0.25">
      <c r="A1325" s="402"/>
    </row>
    <row r="1326" spans="1:1" x14ac:dyDescent="0.25">
      <c r="A1326" s="402"/>
    </row>
    <row r="1327" spans="1:1" x14ac:dyDescent="0.25">
      <c r="A1327" s="402"/>
    </row>
    <row r="1328" spans="1:1" x14ac:dyDescent="0.25">
      <c r="A1328" s="402"/>
    </row>
    <row r="1329" spans="1:1" x14ac:dyDescent="0.25">
      <c r="A1329" s="402"/>
    </row>
    <row r="1330" spans="1:1" x14ac:dyDescent="0.25">
      <c r="A1330" s="402"/>
    </row>
    <row r="1331" spans="1:1" x14ac:dyDescent="0.25">
      <c r="A1331" s="402"/>
    </row>
    <row r="1332" spans="1:1" x14ac:dyDescent="0.25">
      <c r="A1332" s="402"/>
    </row>
    <row r="1333" spans="1:1" x14ac:dyDescent="0.25">
      <c r="A1333" s="402"/>
    </row>
    <row r="1334" spans="1:1" x14ac:dyDescent="0.25">
      <c r="A1334" s="402"/>
    </row>
    <row r="1335" spans="1:1" x14ac:dyDescent="0.25">
      <c r="A1335" s="402"/>
    </row>
    <row r="1336" spans="1:1" x14ac:dyDescent="0.25">
      <c r="A1336" s="402"/>
    </row>
    <row r="1337" spans="1:1" x14ac:dyDescent="0.25">
      <c r="A1337" s="402"/>
    </row>
    <row r="1338" spans="1:1" x14ac:dyDescent="0.25">
      <c r="A1338" s="402"/>
    </row>
    <row r="1339" spans="1:1" x14ac:dyDescent="0.25">
      <c r="A1339" s="402"/>
    </row>
    <row r="1340" spans="1:1" x14ac:dyDescent="0.25">
      <c r="A1340" s="402"/>
    </row>
    <row r="1341" spans="1:1" x14ac:dyDescent="0.25">
      <c r="A1341" s="402"/>
    </row>
    <row r="1342" spans="1:1" x14ac:dyDescent="0.25">
      <c r="A1342" s="402"/>
    </row>
    <row r="1343" spans="1:1" x14ac:dyDescent="0.25">
      <c r="A1343" s="402"/>
    </row>
    <row r="1344" spans="1:1" x14ac:dyDescent="0.25">
      <c r="A1344" s="402"/>
    </row>
    <row r="1345" spans="1:1" x14ac:dyDescent="0.25">
      <c r="A1345" s="402"/>
    </row>
    <row r="1346" spans="1:1" x14ac:dyDescent="0.25">
      <c r="A1346" s="402"/>
    </row>
    <row r="1347" spans="1:1" x14ac:dyDescent="0.25">
      <c r="A1347" s="402"/>
    </row>
    <row r="1348" spans="1:1" x14ac:dyDescent="0.25">
      <c r="A1348" s="402"/>
    </row>
    <row r="1349" spans="1:1" x14ac:dyDescent="0.25">
      <c r="A1349" s="402"/>
    </row>
    <row r="1350" spans="1:1" x14ac:dyDescent="0.25">
      <c r="A1350" s="402"/>
    </row>
    <row r="1351" spans="1:1" x14ac:dyDescent="0.25">
      <c r="A1351" s="402"/>
    </row>
    <row r="1352" spans="1:1" x14ac:dyDescent="0.25">
      <c r="A1352" s="402"/>
    </row>
    <row r="1353" spans="1:1" x14ac:dyDescent="0.25">
      <c r="A1353" s="402"/>
    </row>
    <row r="1354" spans="1:1" x14ac:dyDescent="0.25">
      <c r="A1354" s="402"/>
    </row>
    <row r="1355" spans="1:1" x14ac:dyDescent="0.25">
      <c r="A1355" s="402"/>
    </row>
    <row r="1356" spans="1:1" x14ac:dyDescent="0.25">
      <c r="A1356" s="402"/>
    </row>
    <row r="1357" spans="1:1" x14ac:dyDescent="0.25">
      <c r="A1357" s="402"/>
    </row>
    <row r="1358" spans="1:1" x14ac:dyDescent="0.25">
      <c r="A1358" s="402"/>
    </row>
    <row r="1359" spans="1:1" x14ac:dyDescent="0.25">
      <c r="A1359" s="402"/>
    </row>
    <row r="1360" spans="1:1" x14ac:dyDescent="0.25">
      <c r="A1360" s="402"/>
    </row>
    <row r="1361" spans="1:1" x14ac:dyDescent="0.25">
      <c r="A1361" s="402"/>
    </row>
    <row r="1362" spans="1:1" x14ac:dyDescent="0.25">
      <c r="A1362" s="402"/>
    </row>
    <row r="1363" spans="1:1" x14ac:dyDescent="0.25">
      <c r="A1363" s="402"/>
    </row>
    <row r="1364" spans="1:1" x14ac:dyDescent="0.25">
      <c r="A1364" s="402"/>
    </row>
    <row r="1365" spans="1:1" x14ac:dyDescent="0.25">
      <c r="A1365" s="402"/>
    </row>
    <row r="1366" spans="1:1" x14ac:dyDescent="0.25">
      <c r="A1366" s="402"/>
    </row>
    <row r="1367" spans="1:1" x14ac:dyDescent="0.25">
      <c r="A1367" s="402"/>
    </row>
    <row r="1368" spans="1:1" x14ac:dyDescent="0.25">
      <c r="A1368" s="402"/>
    </row>
    <row r="1369" spans="1:1" x14ac:dyDescent="0.25">
      <c r="A1369" s="402"/>
    </row>
    <row r="1370" spans="1:1" x14ac:dyDescent="0.25">
      <c r="A1370" s="402"/>
    </row>
    <row r="1371" spans="1:1" x14ac:dyDescent="0.25">
      <c r="A1371" s="402"/>
    </row>
    <row r="1372" spans="1:1" x14ac:dyDescent="0.25">
      <c r="A1372" s="402"/>
    </row>
    <row r="1373" spans="1:1" x14ac:dyDescent="0.25">
      <c r="A1373" s="402"/>
    </row>
    <row r="1374" spans="1:1" x14ac:dyDescent="0.25">
      <c r="A1374" s="402"/>
    </row>
    <row r="1375" spans="1:1" x14ac:dyDescent="0.25">
      <c r="A1375" s="402"/>
    </row>
    <row r="1376" spans="1:1" x14ac:dyDescent="0.25">
      <c r="A1376" s="402"/>
    </row>
    <row r="1377" spans="1:1" x14ac:dyDescent="0.25">
      <c r="A1377" s="402"/>
    </row>
    <row r="1378" spans="1:1" x14ac:dyDescent="0.25">
      <c r="A1378" s="402"/>
    </row>
    <row r="1379" spans="1:1" x14ac:dyDescent="0.25">
      <c r="A1379" s="402"/>
    </row>
    <row r="1380" spans="1:1" x14ac:dyDescent="0.25">
      <c r="A1380" s="402"/>
    </row>
    <row r="1381" spans="1:1" x14ac:dyDescent="0.25">
      <c r="A1381" s="402"/>
    </row>
    <row r="1382" spans="1:1" x14ac:dyDescent="0.25">
      <c r="A1382" s="402"/>
    </row>
    <row r="1383" spans="1:1" x14ac:dyDescent="0.25">
      <c r="A1383" s="402"/>
    </row>
    <row r="1384" spans="1:1" x14ac:dyDescent="0.25">
      <c r="A1384" s="402"/>
    </row>
    <row r="1385" spans="1:1" x14ac:dyDescent="0.25">
      <c r="A1385" s="402"/>
    </row>
    <row r="1386" spans="1:1" x14ac:dyDescent="0.25">
      <c r="A1386" s="402"/>
    </row>
    <row r="1387" spans="1:1" x14ac:dyDescent="0.25">
      <c r="A1387" s="402"/>
    </row>
    <row r="1388" spans="1:1" x14ac:dyDescent="0.25">
      <c r="A1388" s="402"/>
    </row>
    <row r="1389" spans="1:1" x14ac:dyDescent="0.25">
      <c r="A1389" s="402"/>
    </row>
    <row r="1390" spans="1:1" x14ac:dyDescent="0.25">
      <c r="A1390" s="402"/>
    </row>
    <row r="1391" spans="1:1" x14ac:dyDescent="0.25">
      <c r="A1391" s="402"/>
    </row>
    <row r="1392" spans="1:1" x14ac:dyDescent="0.25">
      <c r="A1392" s="402"/>
    </row>
    <row r="1393" spans="1:1" x14ac:dyDescent="0.25">
      <c r="A1393" s="402"/>
    </row>
    <row r="1394" spans="1:1" x14ac:dyDescent="0.25">
      <c r="A1394" s="402"/>
    </row>
    <row r="1395" spans="1:1" x14ac:dyDescent="0.25">
      <c r="A1395" s="402"/>
    </row>
    <row r="1396" spans="1:1" x14ac:dyDescent="0.25">
      <c r="A1396" s="402"/>
    </row>
    <row r="1397" spans="1:1" x14ac:dyDescent="0.25">
      <c r="A1397" s="402"/>
    </row>
    <row r="1398" spans="1:1" x14ac:dyDescent="0.25">
      <c r="A1398" s="402"/>
    </row>
    <row r="1399" spans="1:1" x14ac:dyDescent="0.25">
      <c r="A1399" s="402"/>
    </row>
    <row r="1400" spans="1:1" x14ac:dyDescent="0.25">
      <c r="A1400" s="402"/>
    </row>
    <row r="1401" spans="1:1" x14ac:dyDescent="0.25">
      <c r="A1401" s="402"/>
    </row>
    <row r="1402" spans="1:1" x14ac:dyDescent="0.25">
      <c r="A1402" s="402"/>
    </row>
    <row r="1403" spans="1:1" x14ac:dyDescent="0.25">
      <c r="A1403" s="402"/>
    </row>
    <row r="1404" spans="1:1" x14ac:dyDescent="0.25">
      <c r="A1404" s="402"/>
    </row>
    <row r="1405" spans="1:1" x14ac:dyDescent="0.25">
      <c r="A1405" s="402"/>
    </row>
    <row r="1406" spans="1:1" x14ac:dyDescent="0.25">
      <c r="A1406" s="402"/>
    </row>
    <row r="1407" spans="1:1" x14ac:dyDescent="0.25">
      <c r="A1407" s="402"/>
    </row>
    <row r="1408" spans="1:1" x14ac:dyDescent="0.25">
      <c r="A1408" s="402"/>
    </row>
    <row r="1409" spans="1:1" x14ac:dyDescent="0.25">
      <c r="A1409" s="402"/>
    </row>
    <row r="1410" spans="1:1" x14ac:dyDescent="0.25">
      <c r="A1410" s="402"/>
    </row>
    <row r="1411" spans="1:1" x14ac:dyDescent="0.25">
      <c r="A1411" s="402"/>
    </row>
    <row r="1412" spans="1:1" x14ac:dyDescent="0.25">
      <c r="A1412" s="402"/>
    </row>
    <row r="1413" spans="1:1" x14ac:dyDescent="0.25">
      <c r="A1413" s="402"/>
    </row>
    <row r="1414" spans="1:1" x14ac:dyDescent="0.25">
      <c r="A1414" s="402"/>
    </row>
    <row r="1415" spans="1:1" x14ac:dyDescent="0.25">
      <c r="A1415" s="402"/>
    </row>
    <row r="1416" spans="1:1" x14ac:dyDescent="0.25">
      <c r="A1416" s="402"/>
    </row>
    <row r="1417" spans="1:1" x14ac:dyDescent="0.25">
      <c r="A1417" s="402"/>
    </row>
    <row r="1418" spans="1:1" x14ac:dyDescent="0.25">
      <c r="A1418" s="402"/>
    </row>
    <row r="1419" spans="1:1" x14ac:dyDescent="0.25">
      <c r="A1419" s="402"/>
    </row>
    <row r="1420" spans="1:1" x14ac:dyDescent="0.25">
      <c r="A1420" s="402"/>
    </row>
    <row r="1421" spans="1:1" x14ac:dyDescent="0.25">
      <c r="A1421" s="402"/>
    </row>
    <row r="1422" spans="1:1" x14ac:dyDescent="0.25">
      <c r="A1422" s="402"/>
    </row>
    <row r="1423" spans="1:1" x14ac:dyDescent="0.25">
      <c r="A1423" s="402"/>
    </row>
    <row r="1424" spans="1:1" x14ac:dyDescent="0.25">
      <c r="A1424" s="402"/>
    </row>
    <row r="1425" spans="1:1" x14ac:dyDescent="0.25">
      <c r="A1425" s="402"/>
    </row>
    <row r="1426" spans="1:1" x14ac:dyDescent="0.25">
      <c r="A1426" s="402"/>
    </row>
    <row r="1427" spans="1:1" x14ac:dyDescent="0.25">
      <c r="A1427" s="402"/>
    </row>
    <row r="1428" spans="1:1" x14ac:dyDescent="0.25">
      <c r="A1428" s="402"/>
    </row>
    <row r="1429" spans="1:1" x14ac:dyDescent="0.25">
      <c r="A1429" s="402"/>
    </row>
    <row r="1430" spans="1:1" x14ac:dyDescent="0.25">
      <c r="A1430" s="402"/>
    </row>
    <row r="1431" spans="1:1" x14ac:dyDescent="0.25">
      <c r="A1431" s="402"/>
    </row>
    <row r="1432" spans="1:1" x14ac:dyDescent="0.25">
      <c r="A1432" s="402"/>
    </row>
    <row r="1433" spans="1:1" x14ac:dyDescent="0.25">
      <c r="A1433" s="402"/>
    </row>
    <row r="1434" spans="1:1" x14ac:dyDescent="0.25">
      <c r="A1434" s="402"/>
    </row>
    <row r="1435" spans="1:1" x14ac:dyDescent="0.25">
      <c r="A1435" s="402"/>
    </row>
    <row r="1436" spans="1:1" x14ac:dyDescent="0.25">
      <c r="A1436" s="402"/>
    </row>
    <row r="1437" spans="1:1" x14ac:dyDescent="0.25">
      <c r="A1437" s="402"/>
    </row>
    <row r="1438" spans="1:1" x14ac:dyDescent="0.25">
      <c r="A1438" s="402"/>
    </row>
    <row r="1439" spans="1:1" x14ac:dyDescent="0.25">
      <c r="A1439" s="402"/>
    </row>
    <row r="1440" spans="1:1" x14ac:dyDescent="0.25">
      <c r="A1440" s="402"/>
    </row>
    <row r="1441" spans="1:1" x14ac:dyDescent="0.25">
      <c r="A1441" s="402"/>
    </row>
    <row r="1442" spans="1:1" x14ac:dyDescent="0.25">
      <c r="A1442" s="402"/>
    </row>
    <row r="1443" spans="1:1" x14ac:dyDescent="0.25">
      <c r="A1443" s="402"/>
    </row>
    <row r="1444" spans="1:1" x14ac:dyDescent="0.25">
      <c r="A1444" s="402"/>
    </row>
    <row r="1445" spans="1:1" x14ac:dyDescent="0.25">
      <c r="A1445" s="402"/>
    </row>
    <row r="1446" spans="1:1" x14ac:dyDescent="0.25">
      <c r="A1446" s="402"/>
    </row>
    <row r="1447" spans="1:1" x14ac:dyDescent="0.25">
      <c r="A1447" s="402"/>
    </row>
    <row r="1448" spans="1:1" x14ac:dyDescent="0.25">
      <c r="A1448" s="402"/>
    </row>
    <row r="1449" spans="1:1" x14ac:dyDescent="0.25">
      <c r="A1449" s="402"/>
    </row>
    <row r="1450" spans="1:1" x14ac:dyDescent="0.25">
      <c r="A1450" s="402"/>
    </row>
    <row r="1451" spans="1:1" x14ac:dyDescent="0.25">
      <c r="A1451" s="402"/>
    </row>
    <row r="1452" spans="1:1" x14ac:dyDescent="0.25">
      <c r="A1452" s="402"/>
    </row>
    <row r="1453" spans="1:1" x14ac:dyDescent="0.25">
      <c r="A1453" s="402"/>
    </row>
    <row r="1454" spans="1:1" x14ac:dyDescent="0.25">
      <c r="A1454" s="402"/>
    </row>
    <row r="1455" spans="1:1" x14ac:dyDescent="0.25">
      <c r="A1455" s="402"/>
    </row>
    <row r="1456" spans="1:1" x14ac:dyDescent="0.25">
      <c r="A1456" s="402"/>
    </row>
    <row r="1457" spans="1:1" x14ac:dyDescent="0.25">
      <c r="A1457" s="402"/>
    </row>
    <row r="1458" spans="1:1" x14ac:dyDescent="0.25">
      <c r="A1458" s="402"/>
    </row>
    <row r="1459" spans="1:1" x14ac:dyDescent="0.25">
      <c r="A1459" s="402"/>
    </row>
    <row r="1460" spans="1:1" x14ac:dyDescent="0.25">
      <c r="A1460" s="402"/>
    </row>
    <row r="1461" spans="1:1" x14ac:dyDescent="0.25">
      <c r="A1461" s="402"/>
    </row>
    <row r="1462" spans="1:1" x14ac:dyDescent="0.25">
      <c r="A1462" s="402"/>
    </row>
    <row r="1463" spans="1:1" x14ac:dyDescent="0.25">
      <c r="A1463" s="402"/>
    </row>
    <row r="1464" spans="1:1" x14ac:dyDescent="0.25">
      <c r="A1464" s="402"/>
    </row>
    <row r="1465" spans="1:1" x14ac:dyDescent="0.25">
      <c r="A1465" s="402"/>
    </row>
    <row r="1466" spans="1:1" x14ac:dyDescent="0.25">
      <c r="A1466" s="402"/>
    </row>
    <row r="1467" spans="1:1" x14ac:dyDescent="0.25">
      <c r="A1467" s="402"/>
    </row>
    <row r="1468" spans="1:1" x14ac:dyDescent="0.25">
      <c r="A1468" s="402"/>
    </row>
    <row r="1469" spans="1:1" x14ac:dyDescent="0.25">
      <c r="A1469" s="402"/>
    </row>
    <row r="1470" spans="1:1" x14ac:dyDescent="0.25">
      <c r="A1470" s="402"/>
    </row>
    <row r="1471" spans="1:1" x14ac:dyDescent="0.25">
      <c r="A1471" s="402"/>
    </row>
    <row r="1472" spans="1:1" x14ac:dyDescent="0.25">
      <c r="A1472" s="402"/>
    </row>
    <row r="1473" spans="1:1" x14ac:dyDescent="0.25">
      <c r="A1473" s="402"/>
    </row>
    <row r="1474" spans="1:1" x14ac:dyDescent="0.25">
      <c r="A1474" s="402"/>
    </row>
    <row r="1475" spans="1:1" x14ac:dyDescent="0.25">
      <c r="A1475" s="402"/>
    </row>
    <row r="1476" spans="1:1" x14ac:dyDescent="0.25">
      <c r="A1476" s="402"/>
    </row>
    <row r="1477" spans="1:1" x14ac:dyDescent="0.25">
      <c r="A1477" s="402"/>
    </row>
    <row r="1478" spans="1:1" x14ac:dyDescent="0.25">
      <c r="A1478" s="402"/>
    </row>
    <row r="1479" spans="1:1" x14ac:dyDescent="0.25">
      <c r="A1479" s="402"/>
    </row>
    <row r="1480" spans="1:1" x14ac:dyDescent="0.25">
      <c r="A1480" s="402"/>
    </row>
    <row r="1481" spans="1:1" x14ac:dyDescent="0.25">
      <c r="A1481" s="402"/>
    </row>
    <row r="1482" spans="1:1" x14ac:dyDescent="0.25">
      <c r="A1482" s="402"/>
    </row>
    <row r="1483" spans="1:1" x14ac:dyDescent="0.25">
      <c r="A1483" s="402"/>
    </row>
    <row r="1484" spans="1:1" x14ac:dyDescent="0.25">
      <c r="A1484" s="402"/>
    </row>
    <row r="1485" spans="1:1" x14ac:dyDescent="0.25">
      <c r="A1485" s="402"/>
    </row>
    <row r="1486" spans="1:1" x14ac:dyDescent="0.25">
      <c r="A1486" s="402"/>
    </row>
    <row r="1487" spans="1:1" x14ac:dyDescent="0.25">
      <c r="A1487" s="402"/>
    </row>
    <row r="1488" spans="1:1" x14ac:dyDescent="0.25">
      <c r="A1488" s="402"/>
    </row>
    <row r="1489" spans="1:1" x14ac:dyDescent="0.25">
      <c r="A1489" s="402"/>
    </row>
    <row r="1490" spans="1:1" x14ac:dyDescent="0.25">
      <c r="A1490" s="402"/>
    </row>
    <row r="1491" spans="1:1" x14ac:dyDescent="0.25">
      <c r="A1491" s="402"/>
    </row>
    <row r="1492" spans="1:1" x14ac:dyDescent="0.25">
      <c r="A1492" s="402"/>
    </row>
    <row r="1493" spans="1:1" x14ac:dyDescent="0.25">
      <c r="A1493" s="402"/>
    </row>
    <row r="1494" spans="1:1" x14ac:dyDescent="0.25">
      <c r="A1494" s="402"/>
    </row>
    <row r="1495" spans="1:1" x14ac:dyDescent="0.25">
      <c r="A1495" s="402"/>
    </row>
    <row r="1496" spans="1:1" x14ac:dyDescent="0.25">
      <c r="A1496" s="402"/>
    </row>
    <row r="1497" spans="1:1" x14ac:dyDescent="0.25">
      <c r="A1497" s="402"/>
    </row>
    <row r="1498" spans="1:1" x14ac:dyDescent="0.25">
      <c r="A1498" s="402"/>
    </row>
    <row r="1499" spans="1:1" x14ac:dyDescent="0.25">
      <c r="A1499" s="402"/>
    </row>
    <row r="1500" spans="1:1" x14ac:dyDescent="0.25">
      <c r="A1500" s="402"/>
    </row>
    <row r="1501" spans="1:1" x14ac:dyDescent="0.25">
      <c r="A1501" s="402"/>
    </row>
    <row r="1502" spans="1:1" x14ac:dyDescent="0.25">
      <c r="A1502" s="402"/>
    </row>
    <row r="1503" spans="1:1" x14ac:dyDescent="0.25">
      <c r="A1503" s="402"/>
    </row>
    <row r="1504" spans="1:1" x14ac:dyDescent="0.25">
      <c r="A1504" s="402"/>
    </row>
    <row r="1505" spans="1:1" x14ac:dyDescent="0.25">
      <c r="A1505" s="402"/>
    </row>
    <row r="1506" spans="1:1" x14ac:dyDescent="0.25">
      <c r="A1506" s="402"/>
    </row>
    <row r="1507" spans="1:1" x14ac:dyDescent="0.25">
      <c r="A1507" s="402"/>
    </row>
    <row r="1508" spans="1:1" x14ac:dyDescent="0.25">
      <c r="A1508" s="402"/>
    </row>
    <row r="1509" spans="1:1" x14ac:dyDescent="0.25">
      <c r="A1509" s="402"/>
    </row>
    <row r="1510" spans="1:1" x14ac:dyDescent="0.25">
      <c r="A1510" s="402"/>
    </row>
    <row r="1511" spans="1:1" x14ac:dyDescent="0.25">
      <c r="A1511" s="402"/>
    </row>
    <row r="1512" spans="1:1" x14ac:dyDescent="0.25">
      <c r="A1512" s="402"/>
    </row>
    <row r="1513" spans="1:1" x14ac:dyDescent="0.25">
      <c r="A1513" s="402"/>
    </row>
    <row r="1514" spans="1:1" x14ac:dyDescent="0.25">
      <c r="A1514" s="402"/>
    </row>
    <row r="1515" spans="1:1" x14ac:dyDescent="0.25">
      <c r="A1515" s="402"/>
    </row>
    <row r="1516" spans="1:1" x14ac:dyDescent="0.25">
      <c r="A1516" s="402"/>
    </row>
    <row r="1517" spans="1:1" x14ac:dyDescent="0.25">
      <c r="A1517" s="402"/>
    </row>
    <row r="1518" spans="1:1" x14ac:dyDescent="0.25">
      <c r="A1518" s="402"/>
    </row>
    <row r="1519" spans="1:1" x14ac:dyDescent="0.25">
      <c r="A1519" s="402"/>
    </row>
    <row r="1520" spans="1:1" x14ac:dyDescent="0.25">
      <c r="A1520" s="402"/>
    </row>
    <row r="1521" spans="1:1" x14ac:dyDescent="0.25">
      <c r="A1521" s="402"/>
    </row>
    <row r="1522" spans="1:1" x14ac:dyDescent="0.25">
      <c r="A1522" s="402"/>
    </row>
    <row r="1523" spans="1:1" x14ac:dyDescent="0.25">
      <c r="A1523" s="402"/>
    </row>
    <row r="1524" spans="1:1" x14ac:dyDescent="0.25">
      <c r="A1524" s="402"/>
    </row>
    <row r="1525" spans="1:1" x14ac:dyDescent="0.25">
      <c r="A1525" s="402"/>
    </row>
    <row r="1526" spans="1:1" x14ac:dyDescent="0.25">
      <c r="A1526" s="402"/>
    </row>
    <row r="1527" spans="1:1" x14ac:dyDescent="0.25">
      <c r="A1527" s="402"/>
    </row>
    <row r="1528" spans="1:1" x14ac:dyDescent="0.25">
      <c r="A1528" s="402"/>
    </row>
    <row r="1529" spans="1:1" x14ac:dyDescent="0.25">
      <c r="A1529" s="402"/>
    </row>
    <row r="1530" spans="1:1" x14ac:dyDescent="0.25">
      <c r="A1530" s="402"/>
    </row>
    <row r="1531" spans="1:1" x14ac:dyDescent="0.25">
      <c r="A1531" s="402"/>
    </row>
    <row r="1532" spans="1:1" x14ac:dyDescent="0.25">
      <c r="A1532" s="402"/>
    </row>
    <row r="1533" spans="1:1" x14ac:dyDescent="0.25">
      <c r="A1533" s="402"/>
    </row>
    <row r="1534" spans="1:1" x14ac:dyDescent="0.25">
      <c r="A1534" s="402"/>
    </row>
    <row r="1535" spans="1:1" x14ac:dyDescent="0.25">
      <c r="A1535" s="402"/>
    </row>
    <row r="1536" spans="1:1" x14ac:dyDescent="0.25">
      <c r="A1536" s="402"/>
    </row>
    <row r="1537" spans="1:1" x14ac:dyDescent="0.25">
      <c r="A1537" s="402"/>
    </row>
    <row r="1538" spans="1:1" x14ac:dyDescent="0.25">
      <c r="A1538" s="402"/>
    </row>
    <row r="1539" spans="1:1" x14ac:dyDescent="0.25">
      <c r="A1539" s="402"/>
    </row>
    <row r="1540" spans="1:1" x14ac:dyDescent="0.25">
      <c r="A1540" s="402"/>
    </row>
    <row r="1541" spans="1:1" x14ac:dyDescent="0.25">
      <c r="A1541" s="402"/>
    </row>
    <row r="1542" spans="1:1" x14ac:dyDescent="0.25">
      <c r="A1542" s="402"/>
    </row>
    <row r="1543" spans="1:1" x14ac:dyDescent="0.25">
      <c r="A1543" s="402"/>
    </row>
    <row r="1544" spans="1:1" x14ac:dyDescent="0.25">
      <c r="A1544" s="402"/>
    </row>
    <row r="1545" spans="1:1" x14ac:dyDescent="0.25">
      <c r="A1545" s="402"/>
    </row>
    <row r="1546" spans="1:1" x14ac:dyDescent="0.25">
      <c r="A1546" s="402"/>
    </row>
    <row r="1547" spans="1:1" x14ac:dyDescent="0.25">
      <c r="A1547" s="402"/>
    </row>
    <row r="1548" spans="1:1" x14ac:dyDescent="0.25">
      <c r="A1548" s="402"/>
    </row>
    <row r="1549" spans="1:1" x14ac:dyDescent="0.25">
      <c r="A1549" s="402"/>
    </row>
    <row r="1550" spans="1:1" x14ac:dyDescent="0.25">
      <c r="A1550" s="402"/>
    </row>
    <row r="1551" spans="1:1" x14ac:dyDescent="0.25">
      <c r="A1551" s="402"/>
    </row>
    <row r="1552" spans="1:1" x14ac:dyDescent="0.25">
      <c r="A1552" s="402"/>
    </row>
    <row r="1553" spans="1:1" x14ac:dyDescent="0.25">
      <c r="A1553" s="402"/>
    </row>
    <row r="1554" spans="1:1" x14ac:dyDescent="0.25">
      <c r="A1554" s="402"/>
    </row>
    <row r="1555" spans="1:1" x14ac:dyDescent="0.25">
      <c r="A1555" s="402"/>
    </row>
    <row r="1556" spans="1:1" x14ac:dyDescent="0.25">
      <c r="A1556" s="402"/>
    </row>
    <row r="1557" spans="1:1" x14ac:dyDescent="0.25">
      <c r="A1557" s="402"/>
    </row>
    <row r="1558" spans="1:1" x14ac:dyDescent="0.25">
      <c r="A1558" s="402"/>
    </row>
    <row r="1559" spans="1:1" x14ac:dyDescent="0.25">
      <c r="A1559" s="402"/>
    </row>
    <row r="1560" spans="1:1" x14ac:dyDescent="0.25">
      <c r="A1560" s="402"/>
    </row>
    <row r="1561" spans="1:1" x14ac:dyDescent="0.25">
      <c r="A1561" s="402"/>
    </row>
    <row r="1562" spans="1:1" x14ac:dyDescent="0.25">
      <c r="A1562" s="402"/>
    </row>
    <row r="1563" spans="1:1" x14ac:dyDescent="0.25">
      <c r="A1563" s="402"/>
    </row>
    <row r="1564" spans="1:1" x14ac:dyDescent="0.25">
      <c r="A1564" s="402"/>
    </row>
    <row r="1565" spans="1:1" x14ac:dyDescent="0.25">
      <c r="A1565" s="402"/>
    </row>
    <row r="1566" spans="1:1" x14ac:dyDescent="0.25">
      <c r="A1566" s="402"/>
    </row>
    <row r="1567" spans="1:1" x14ac:dyDescent="0.25">
      <c r="A1567" s="402"/>
    </row>
    <row r="1568" spans="1:1" x14ac:dyDescent="0.25">
      <c r="A1568" s="402"/>
    </row>
    <row r="1569" spans="1:1" x14ac:dyDescent="0.25">
      <c r="A1569" s="402"/>
    </row>
    <row r="1570" spans="1:1" x14ac:dyDescent="0.25">
      <c r="A1570" s="402"/>
    </row>
    <row r="1571" spans="1:1" x14ac:dyDescent="0.25">
      <c r="A1571" s="402"/>
    </row>
    <row r="1572" spans="1:1" x14ac:dyDescent="0.25">
      <c r="A1572" s="402"/>
    </row>
    <row r="1573" spans="1:1" x14ac:dyDescent="0.25">
      <c r="A1573" s="402"/>
    </row>
    <row r="1574" spans="1:1" x14ac:dyDescent="0.25">
      <c r="A1574" s="402"/>
    </row>
    <row r="1575" spans="1:1" x14ac:dyDescent="0.25">
      <c r="A1575" s="402"/>
    </row>
    <row r="1576" spans="1:1" x14ac:dyDescent="0.25">
      <c r="A1576" s="402"/>
    </row>
    <row r="1577" spans="1:1" x14ac:dyDescent="0.25">
      <c r="A1577" s="402"/>
    </row>
    <row r="1578" spans="1:1" x14ac:dyDescent="0.25">
      <c r="A1578" s="402"/>
    </row>
    <row r="1579" spans="1:1" x14ac:dyDescent="0.25">
      <c r="A1579" s="402"/>
    </row>
    <row r="1580" spans="1:1" x14ac:dyDescent="0.25">
      <c r="A1580" s="402"/>
    </row>
    <row r="1581" spans="1:1" x14ac:dyDescent="0.25">
      <c r="A1581" s="402"/>
    </row>
    <row r="1582" spans="1:1" x14ac:dyDescent="0.25">
      <c r="A1582" s="402"/>
    </row>
    <row r="1583" spans="1:1" x14ac:dyDescent="0.25">
      <c r="A1583" s="402"/>
    </row>
    <row r="1584" spans="1:1" x14ac:dyDescent="0.25">
      <c r="A1584" s="402"/>
    </row>
    <row r="1585" spans="1:1" x14ac:dyDescent="0.25">
      <c r="A1585" s="402"/>
    </row>
    <row r="1586" spans="1:1" x14ac:dyDescent="0.25">
      <c r="A1586" s="402"/>
    </row>
    <row r="1587" spans="1:1" x14ac:dyDescent="0.25">
      <c r="A1587" s="402"/>
    </row>
    <row r="1588" spans="1:1" x14ac:dyDescent="0.25">
      <c r="A1588" s="402"/>
    </row>
    <row r="1589" spans="1:1" x14ac:dyDescent="0.25">
      <c r="A1589" s="402"/>
    </row>
    <row r="1590" spans="1:1" x14ac:dyDescent="0.25">
      <c r="A1590" s="402"/>
    </row>
    <row r="1591" spans="1:1" x14ac:dyDescent="0.25">
      <c r="A1591" s="402"/>
    </row>
    <row r="1592" spans="1:1" x14ac:dyDescent="0.25">
      <c r="A1592" s="402"/>
    </row>
    <row r="1593" spans="1:1" x14ac:dyDescent="0.25">
      <c r="A1593" s="402"/>
    </row>
    <row r="1594" spans="1:1" x14ac:dyDescent="0.25">
      <c r="A1594" s="402"/>
    </row>
    <row r="1595" spans="1:1" x14ac:dyDescent="0.25">
      <c r="A1595" s="402"/>
    </row>
    <row r="1596" spans="1:1" x14ac:dyDescent="0.25">
      <c r="A1596" s="402"/>
    </row>
    <row r="1597" spans="1:1" x14ac:dyDescent="0.25">
      <c r="A1597" s="402"/>
    </row>
    <row r="1598" spans="1:1" x14ac:dyDescent="0.25">
      <c r="A1598" s="402"/>
    </row>
    <row r="1599" spans="1:1" x14ac:dyDescent="0.25">
      <c r="A1599" s="402"/>
    </row>
    <row r="1600" spans="1:1" x14ac:dyDescent="0.25">
      <c r="A1600" s="402"/>
    </row>
    <row r="1601" spans="1:1" x14ac:dyDescent="0.25">
      <c r="A1601" s="402"/>
    </row>
    <row r="1602" spans="1:1" x14ac:dyDescent="0.25">
      <c r="A1602" s="402"/>
    </row>
    <row r="1603" spans="1:1" x14ac:dyDescent="0.25">
      <c r="A1603" s="402"/>
    </row>
    <row r="1604" spans="1:1" x14ac:dyDescent="0.25">
      <c r="A1604" s="402"/>
    </row>
    <row r="1605" spans="1:1" x14ac:dyDescent="0.25">
      <c r="A1605" s="402"/>
    </row>
    <row r="1606" spans="1:1" x14ac:dyDescent="0.25">
      <c r="A1606" s="402"/>
    </row>
    <row r="1607" spans="1:1" x14ac:dyDescent="0.25">
      <c r="A1607" s="402"/>
    </row>
    <row r="1608" spans="1:1" x14ac:dyDescent="0.25">
      <c r="A1608" s="402"/>
    </row>
    <row r="1609" spans="1:1" x14ac:dyDescent="0.25">
      <c r="A1609" s="402"/>
    </row>
    <row r="1610" spans="1:1" x14ac:dyDescent="0.25">
      <c r="A1610" s="402"/>
    </row>
    <row r="1611" spans="1:1" x14ac:dyDescent="0.25">
      <c r="A1611" s="402"/>
    </row>
    <row r="1612" spans="1:1" x14ac:dyDescent="0.25">
      <c r="A1612" s="402"/>
    </row>
    <row r="1613" spans="1:1" x14ac:dyDescent="0.25">
      <c r="A1613" s="402"/>
    </row>
    <row r="1614" spans="1:1" x14ac:dyDescent="0.25">
      <c r="A1614" s="402"/>
    </row>
    <row r="1615" spans="1:1" x14ac:dyDescent="0.25">
      <c r="A1615" s="402"/>
    </row>
    <row r="1616" spans="1:1" x14ac:dyDescent="0.25">
      <c r="A1616" s="402"/>
    </row>
    <row r="1617" spans="1:1" x14ac:dyDescent="0.25">
      <c r="A1617" s="402"/>
    </row>
    <row r="1618" spans="1:1" x14ac:dyDescent="0.25">
      <c r="A1618" s="402"/>
    </row>
    <row r="1619" spans="1:1" x14ac:dyDescent="0.25">
      <c r="A1619" s="402"/>
    </row>
    <row r="1620" spans="1:1" x14ac:dyDescent="0.25">
      <c r="A1620" s="402"/>
    </row>
    <row r="1621" spans="1:1" x14ac:dyDescent="0.25">
      <c r="A1621" s="402"/>
    </row>
    <row r="1622" spans="1:1" x14ac:dyDescent="0.25">
      <c r="A1622" s="402"/>
    </row>
    <row r="1623" spans="1:1" x14ac:dyDescent="0.25">
      <c r="A1623" s="402"/>
    </row>
    <row r="1624" spans="1:1" x14ac:dyDescent="0.25">
      <c r="A1624" s="402"/>
    </row>
    <row r="1625" spans="1:1" x14ac:dyDescent="0.25">
      <c r="A1625" s="402"/>
    </row>
    <row r="1626" spans="1:1" x14ac:dyDescent="0.25">
      <c r="A1626" s="402"/>
    </row>
    <row r="1627" spans="1:1" x14ac:dyDescent="0.25">
      <c r="A1627" s="402"/>
    </row>
    <row r="1628" spans="1:1" x14ac:dyDescent="0.25">
      <c r="A1628" s="402"/>
    </row>
    <row r="1629" spans="1:1" x14ac:dyDescent="0.25">
      <c r="A1629" s="402"/>
    </row>
    <row r="1630" spans="1:1" x14ac:dyDescent="0.25">
      <c r="A1630" s="402"/>
    </row>
    <row r="1631" spans="1:1" x14ac:dyDescent="0.25">
      <c r="A1631" s="402"/>
    </row>
    <row r="1632" spans="1:1" x14ac:dyDescent="0.25">
      <c r="A1632" s="402"/>
    </row>
    <row r="1633" spans="1:1" x14ac:dyDescent="0.25">
      <c r="A1633" s="402"/>
    </row>
    <row r="1634" spans="1:1" x14ac:dyDescent="0.25">
      <c r="A1634" s="402"/>
    </row>
    <row r="1635" spans="1:1" x14ac:dyDescent="0.25">
      <c r="A1635" s="402"/>
    </row>
    <row r="1636" spans="1:1" x14ac:dyDescent="0.25">
      <c r="A1636" s="402"/>
    </row>
    <row r="1637" spans="1:1" x14ac:dyDescent="0.25">
      <c r="A1637" s="402"/>
    </row>
    <row r="1638" spans="1:1" x14ac:dyDescent="0.25">
      <c r="A1638" s="402"/>
    </row>
    <row r="1639" spans="1:1" x14ac:dyDescent="0.25">
      <c r="A1639" s="402"/>
    </row>
    <row r="1640" spans="1:1" x14ac:dyDescent="0.25">
      <c r="A1640" s="402"/>
    </row>
    <row r="1641" spans="1:1" x14ac:dyDescent="0.25">
      <c r="A1641" s="402"/>
    </row>
    <row r="1642" spans="1:1" x14ac:dyDescent="0.25">
      <c r="A1642" s="402"/>
    </row>
    <row r="1643" spans="1:1" x14ac:dyDescent="0.25">
      <c r="A1643" s="402"/>
    </row>
    <row r="1644" spans="1:1" x14ac:dyDescent="0.25">
      <c r="A1644" s="402"/>
    </row>
    <row r="1645" spans="1:1" x14ac:dyDescent="0.25">
      <c r="A1645" s="402"/>
    </row>
    <row r="1646" spans="1:1" x14ac:dyDescent="0.25">
      <c r="A1646" s="402"/>
    </row>
    <row r="1647" spans="1:1" x14ac:dyDescent="0.25">
      <c r="A1647" s="402"/>
    </row>
    <row r="1648" spans="1:1" x14ac:dyDescent="0.25">
      <c r="A1648" s="402"/>
    </row>
    <row r="1649" spans="1:1" x14ac:dyDescent="0.25">
      <c r="A1649" s="402"/>
    </row>
    <row r="1650" spans="1:1" x14ac:dyDescent="0.25">
      <c r="A1650" s="402"/>
    </row>
    <row r="1651" spans="1:1" x14ac:dyDescent="0.25">
      <c r="A1651" s="402"/>
    </row>
    <row r="1652" spans="1:1" x14ac:dyDescent="0.25">
      <c r="A1652" s="402"/>
    </row>
    <row r="1653" spans="1:1" x14ac:dyDescent="0.25">
      <c r="A1653" s="402"/>
    </row>
    <row r="1654" spans="1:1" x14ac:dyDescent="0.25">
      <c r="A1654" s="402"/>
    </row>
    <row r="1655" spans="1:1" x14ac:dyDescent="0.25">
      <c r="A1655" s="402"/>
    </row>
    <row r="1656" spans="1:1" x14ac:dyDescent="0.25">
      <c r="A1656" s="402"/>
    </row>
    <row r="1657" spans="1:1" x14ac:dyDescent="0.25">
      <c r="A1657" s="402"/>
    </row>
    <row r="1658" spans="1:1" x14ac:dyDescent="0.25">
      <c r="A1658" s="402"/>
    </row>
    <row r="1659" spans="1:1" x14ac:dyDescent="0.25">
      <c r="A1659" s="402"/>
    </row>
    <row r="1660" spans="1:1" x14ac:dyDescent="0.25">
      <c r="A1660" s="402"/>
    </row>
    <row r="1661" spans="1:1" x14ac:dyDescent="0.25">
      <c r="A1661" s="402"/>
    </row>
    <row r="1662" spans="1:1" x14ac:dyDescent="0.25">
      <c r="A1662" s="402"/>
    </row>
    <row r="1663" spans="1:1" x14ac:dyDescent="0.25">
      <c r="A1663" s="402"/>
    </row>
    <row r="1664" spans="1:1" x14ac:dyDescent="0.25">
      <c r="A1664" s="402"/>
    </row>
    <row r="1665" spans="1:1" x14ac:dyDescent="0.25">
      <c r="A1665" s="402"/>
    </row>
    <row r="1666" spans="1:1" x14ac:dyDescent="0.25">
      <c r="A1666" s="402"/>
    </row>
    <row r="1667" spans="1:1" x14ac:dyDescent="0.25">
      <c r="A1667" s="402"/>
    </row>
    <row r="1668" spans="1:1" x14ac:dyDescent="0.25">
      <c r="A1668" s="402"/>
    </row>
    <row r="1669" spans="1:1" x14ac:dyDescent="0.25">
      <c r="A1669" s="402"/>
    </row>
    <row r="1670" spans="1:1" x14ac:dyDescent="0.25">
      <c r="A1670" s="402"/>
    </row>
    <row r="1671" spans="1:1" x14ac:dyDescent="0.25">
      <c r="A1671" s="402"/>
    </row>
    <row r="1672" spans="1:1" x14ac:dyDescent="0.25">
      <c r="A1672" s="402"/>
    </row>
    <row r="1673" spans="1:1" x14ac:dyDescent="0.25">
      <c r="A1673" s="402"/>
    </row>
    <row r="1674" spans="1:1" x14ac:dyDescent="0.25">
      <c r="A1674" s="402"/>
    </row>
    <row r="1675" spans="1:1" x14ac:dyDescent="0.25">
      <c r="A1675" s="402"/>
    </row>
    <row r="1676" spans="1:1" x14ac:dyDescent="0.25">
      <c r="A1676" s="402"/>
    </row>
    <row r="1677" spans="1:1" x14ac:dyDescent="0.25">
      <c r="A1677" s="402"/>
    </row>
    <row r="1678" spans="1:1" x14ac:dyDescent="0.25">
      <c r="A1678" s="402"/>
    </row>
    <row r="1679" spans="1:1" x14ac:dyDescent="0.25">
      <c r="A1679" s="402"/>
    </row>
    <row r="1680" spans="1:1" x14ac:dyDescent="0.25">
      <c r="A1680" s="402"/>
    </row>
    <row r="1681" spans="1:1" x14ac:dyDescent="0.25">
      <c r="A1681" s="402"/>
    </row>
    <row r="1682" spans="1:1" x14ac:dyDescent="0.25">
      <c r="A1682" s="402"/>
    </row>
    <row r="1683" spans="1:1" x14ac:dyDescent="0.25">
      <c r="A1683" s="402"/>
    </row>
    <row r="1684" spans="1:1" x14ac:dyDescent="0.25">
      <c r="A1684" s="402"/>
    </row>
    <row r="1685" spans="1:1" x14ac:dyDescent="0.25">
      <c r="A1685" s="402"/>
    </row>
    <row r="1686" spans="1:1" x14ac:dyDescent="0.25">
      <c r="A1686" s="402"/>
    </row>
    <row r="1687" spans="1:1" x14ac:dyDescent="0.25">
      <c r="A1687" s="402"/>
    </row>
    <row r="1688" spans="1:1" x14ac:dyDescent="0.25">
      <c r="A1688" s="402"/>
    </row>
    <row r="1689" spans="1:1" x14ac:dyDescent="0.25">
      <c r="A1689" s="402"/>
    </row>
    <row r="1690" spans="1:1" x14ac:dyDescent="0.25">
      <c r="A1690" s="402"/>
    </row>
    <row r="1691" spans="1:1" x14ac:dyDescent="0.25">
      <c r="A1691" s="402"/>
    </row>
    <row r="1692" spans="1:1" x14ac:dyDescent="0.25">
      <c r="A1692" s="402"/>
    </row>
    <row r="1693" spans="1:1" x14ac:dyDescent="0.25">
      <c r="A1693" s="402"/>
    </row>
    <row r="1694" spans="1:1" x14ac:dyDescent="0.25">
      <c r="A1694" s="402"/>
    </row>
    <row r="1695" spans="1:1" x14ac:dyDescent="0.25">
      <c r="A1695" s="402"/>
    </row>
    <row r="1696" spans="1:1" x14ac:dyDescent="0.25">
      <c r="A1696" s="402"/>
    </row>
    <row r="1697" spans="1:1" x14ac:dyDescent="0.25">
      <c r="A1697" s="402"/>
    </row>
    <row r="1698" spans="1:1" x14ac:dyDescent="0.25">
      <c r="A1698" s="402"/>
    </row>
    <row r="1699" spans="1:1" x14ac:dyDescent="0.25">
      <c r="A1699" s="402"/>
    </row>
    <row r="1700" spans="1:1" x14ac:dyDescent="0.25">
      <c r="A1700" s="402"/>
    </row>
    <row r="1701" spans="1:1" x14ac:dyDescent="0.25">
      <c r="A1701" s="402"/>
    </row>
    <row r="1702" spans="1:1" x14ac:dyDescent="0.25">
      <c r="A1702" s="402"/>
    </row>
    <row r="1703" spans="1:1" x14ac:dyDescent="0.25">
      <c r="A1703" s="402"/>
    </row>
    <row r="1704" spans="1:1" x14ac:dyDescent="0.25">
      <c r="A1704" s="402"/>
    </row>
    <row r="1705" spans="1:1" x14ac:dyDescent="0.25">
      <c r="A1705" s="402"/>
    </row>
    <row r="1706" spans="1:1" x14ac:dyDescent="0.25">
      <c r="A1706" s="402"/>
    </row>
    <row r="1707" spans="1:1" x14ac:dyDescent="0.25">
      <c r="A1707" s="402"/>
    </row>
    <row r="1708" spans="1:1" x14ac:dyDescent="0.25">
      <c r="A1708" s="402"/>
    </row>
    <row r="1709" spans="1:1" x14ac:dyDescent="0.25">
      <c r="A1709" s="402"/>
    </row>
    <row r="1710" spans="1:1" x14ac:dyDescent="0.25">
      <c r="A1710" s="402"/>
    </row>
    <row r="1711" spans="1:1" x14ac:dyDescent="0.25">
      <c r="A1711" s="402"/>
    </row>
    <row r="1712" spans="1:1" x14ac:dyDescent="0.25">
      <c r="A1712" s="402"/>
    </row>
    <row r="1713" spans="1:1" x14ac:dyDescent="0.25">
      <c r="A1713" s="402"/>
    </row>
    <row r="1714" spans="1:1" x14ac:dyDescent="0.25">
      <c r="A1714" s="402"/>
    </row>
    <row r="1715" spans="1:1" x14ac:dyDescent="0.25">
      <c r="A1715" s="402"/>
    </row>
    <row r="1716" spans="1:1" x14ac:dyDescent="0.25">
      <c r="A1716" s="402"/>
    </row>
    <row r="1717" spans="1:1" x14ac:dyDescent="0.25">
      <c r="A1717" s="402"/>
    </row>
    <row r="1718" spans="1:1" x14ac:dyDescent="0.25">
      <c r="A1718" s="402"/>
    </row>
    <row r="1719" spans="1:1" x14ac:dyDescent="0.25">
      <c r="A1719" s="402"/>
    </row>
    <row r="1720" spans="1:1" x14ac:dyDescent="0.25">
      <c r="A1720" s="402"/>
    </row>
    <row r="1721" spans="1:1" x14ac:dyDescent="0.25">
      <c r="A1721" s="402"/>
    </row>
    <row r="1722" spans="1:1" x14ac:dyDescent="0.25">
      <c r="A1722" s="402"/>
    </row>
    <row r="1723" spans="1:1" x14ac:dyDescent="0.25">
      <c r="A1723" s="402"/>
    </row>
    <row r="1724" spans="1:1" x14ac:dyDescent="0.25">
      <c r="A1724" s="402"/>
    </row>
    <row r="1725" spans="1:1" x14ac:dyDescent="0.25">
      <c r="A1725" s="402"/>
    </row>
    <row r="1726" spans="1:1" x14ac:dyDescent="0.25">
      <c r="A1726" s="402"/>
    </row>
    <row r="1727" spans="1:1" x14ac:dyDescent="0.25">
      <c r="A1727" s="402"/>
    </row>
    <row r="1728" spans="1:1" x14ac:dyDescent="0.25">
      <c r="A1728" s="402"/>
    </row>
    <row r="1729" spans="1:1" x14ac:dyDescent="0.25">
      <c r="A1729" s="402"/>
    </row>
    <row r="1730" spans="1:1" x14ac:dyDescent="0.25">
      <c r="A1730" s="402"/>
    </row>
    <row r="1731" spans="1:1" x14ac:dyDescent="0.25">
      <c r="A1731" s="402"/>
    </row>
    <row r="1732" spans="1:1" x14ac:dyDescent="0.25">
      <c r="A1732" s="402"/>
    </row>
    <row r="1733" spans="1:1" x14ac:dyDescent="0.25">
      <c r="A1733" s="402"/>
    </row>
    <row r="1734" spans="1:1" x14ac:dyDescent="0.25">
      <c r="A1734" s="402"/>
    </row>
    <row r="1735" spans="1:1" x14ac:dyDescent="0.25">
      <c r="A1735" s="402"/>
    </row>
    <row r="1736" spans="1:1" x14ac:dyDescent="0.25">
      <c r="A1736" s="402"/>
    </row>
    <row r="1737" spans="1:1" x14ac:dyDescent="0.25">
      <c r="A1737" s="402"/>
    </row>
    <row r="1738" spans="1:1" x14ac:dyDescent="0.25">
      <c r="A1738" s="402"/>
    </row>
    <row r="1739" spans="1:1" x14ac:dyDescent="0.25">
      <c r="A1739" s="402"/>
    </row>
    <row r="1740" spans="1:1" x14ac:dyDescent="0.25">
      <c r="A1740" s="402"/>
    </row>
    <row r="1741" spans="1:1" x14ac:dyDescent="0.25">
      <c r="A1741" s="402"/>
    </row>
    <row r="1742" spans="1:1" x14ac:dyDescent="0.25">
      <c r="A1742" s="402"/>
    </row>
    <row r="1743" spans="1:1" x14ac:dyDescent="0.25">
      <c r="A1743" s="402"/>
    </row>
    <row r="1744" spans="1:1" x14ac:dyDescent="0.25">
      <c r="A1744" s="402"/>
    </row>
    <row r="1745" spans="1:1" x14ac:dyDescent="0.25">
      <c r="A1745" s="402"/>
    </row>
    <row r="1746" spans="1:1" x14ac:dyDescent="0.25">
      <c r="A1746" s="402"/>
    </row>
    <row r="1747" spans="1:1" x14ac:dyDescent="0.25">
      <c r="A1747" s="402"/>
    </row>
    <row r="1748" spans="1:1" x14ac:dyDescent="0.25">
      <c r="A1748" s="402"/>
    </row>
    <row r="1749" spans="1:1" x14ac:dyDescent="0.25">
      <c r="A1749" s="402"/>
    </row>
    <row r="1750" spans="1:1" x14ac:dyDescent="0.25">
      <c r="A1750" s="402"/>
    </row>
    <row r="1751" spans="1:1" x14ac:dyDescent="0.25">
      <c r="A1751" s="402"/>
    </row>
    <row r="1752" spans="1:1" x14ac:dyDescent="0.25">
      <c r="A1752" s="402"/>
    </row>
    <row r="1753" spans="1:1" x14ac:dyDescent="0.25">
      <c r="A1753" s="402"/>
    </row>
    <row r="1754" spans="1:1" x14ac:dyDescent="0.25">
      <c r="A1754" s="402"/>
    </row>
    <row r="1755" spans="1:1" x14ac:dyDescent="0.25">
      <c r="A1755" s="402"/>
    </row>
    <row r="1756" spans="1:1" x14ac:dyDescent="0.25">
      <c r="A1756" s="402"/>
    </row>
    <row r="1757" spans="1:1" x14ac:dyDescent="0.25">
      <c r="A1757" s="402"/>
    </row>
    <row r="1758" spans="1:1" x14ac:dyDescent="0.25">
      <c r="A1758" s="402"/>
    </row>
    <row r="1759" spans="1:1" x14ac:dyDescent="0.25">
      <c r="A1759" s="402"/>
    </row>
    <row r="1760" spans="1:1" x14ac:dyDescent="0.25">
      <c r="A1760" s="402"/>
    </row>
    <row r="1761" spans="1:1" x14ac:dyDescent="0.25">
      <c r="A1761" s="402"/>
    </row>
    <row r="1762" spans="1:1" x14ac:dyDescent="0.25">
      <c r="A1762" s="402"/>
    </row>
    <row r="1763" spans="1:1" x14ac:dyDescent="0.25">
      <c r="A1763" s="402"/>
    </row>
    <row r="1764" spans="1:1" x14ac:dyDescent="0.25">
      <c r="A1764" s="402"/>
    </row>
    <row r="1765" spans="1:1" x14ac:dyDescent="0.25">
      <c r="A1765" s="402"/>
    </row>
    <row r="1766" spans="1:1" x14ac:dyDescent="0.25">
      <c r="A1766" s="402"/>
    </row>
    <row r="1767" spans="1:1" x14ac:dyDescent="0.25">
      <c r="A1767" s="402"/>
    </row>
    <row r="1768" spans="1:1" x14ac:dyDescent="0.25">
      <c r="A1768" s="402"/>
    </row>
    <row r="1769" spans="1:1" x14ac:dyDescent="0.25">
      <c r="A1769" s="402"/>
    </row>
    <row r="1770" spans="1:1" x14ac:dyDescent="0.25">
      <c r="A1770" s="402"/>
    </row>
    <row r="1771" spans="1:1" x14ac:dyDescent="0.25">
      <c r="A1771" s="402"/>
    </row>
    <row r="1772" spans="1:1" x14ac:dyDescent="0.25">
      <c r="A1772" s="402"/>
    </row>
    <row r="1773" spans="1:1" x14ac:dyDescent="0.25">
      <c r="A1773" s="402"/>
    </row>
    <row r="1774" spans="1:1" x14ac:dyDescent="0.25">
      <c r="A1774" s="402"/>
    </row>
    <row r="1775" spans="1:1" x14ac:dyDescent="0.25">
      <c r="A1775" s="402"/>
    </row>
    <row r="1776" spans="1:1" x14ac:dyDescent="0.25">
      <c r="A1776" s="402"/>
    </row>
    <row r="1777" spans="1:1" x14ac:dyDescent="0.25">
      <c r="A1777" s="402"/>
    </row>
    <row r="1778" spans="1:1" x14ac:dyDescent="0.25">
      <c r="A1778" s="402"/>
    </row>
    <row r="1779" spans="1:1" x14ac:dyDescent="0.25">
      <c r="A1779" s="402"/>
    </row>
    <row r="1780" spans="1:1" x14ac:dyDescent="0.25">
      <c r="A1780" s="402"/>
    </row>
    <row r="1781" spans="1:1" x14ac:dyDescent="0.25">
      <c r="A1781" s="402"/>
    </row>
    <row r="1782" spans="1:1" x14ac:dyDescent="0.25">
      <c r="A1782" s="402"/>
    </row>
    <row r="1783" spans="1:1" x14ac:dyDescent="0.25">
      <c r="A1783" s="402"/>
    </row>
    <row r="1784" spans="1:1" x14ac:dyDescent="0.25">
      <c r="A1784" s="402"/>
    </row>
    <row r="1785" spans="1:1" x14ac:dyDescent="0.25">
      <c r="A1785" s="402"/>
    </row>
    <row r="1786" spans="1:1" x14ac:dyDescent="0.25">
      <c r="A1786" s="402"/>
    </row>
    <row r="1787" spans="1:1" x14ac:dyDescent="0.25">
      <c r="A1787" s="402"/>
    </row>
    <row r="1788" spans="1:1" x14ac:dyDescent="0.25">
      <c r="A1788" s="402"/>
    </row>
    <row r="1789" spans="1:1" x14ac:dyDescent="0.25">
      <c r="A1789" s="402"/>
    </row>
    <row r="1790" spans="1:1" x14ac:dyDescent="0.25">
      <c r="A1790" s="402"/>
    </row>
    <row r="1791" spans="1:1" x14ac:dyDescent="0.25">
      <c r="A1791" s="402"/>
    </row>
    <row r="1792" spans="1:1" x14ac:dyDescent="0.25">
      <c r="A1792" s="402"/>
    </row>
    <row r="1793" spans="1:1" x14ac:dyDescent="0.25">
      <c r="A1793" s="402"/>
    </row>
    <row r="1794" spans="1:1" x14ac:dyDescent="0.25">
      <c r="A1794" s="402"/>
    </row>
    <row r="1795" spans="1:1" x14ac:dyDescent="0.25">
      <c r="A1795" s="402"/>
    </row>
    <row r="1796" spans="1:1" x14ac:dyDescent="0.25">
      <c r="A1796" s="402"/>
    </row>
    <row r="1797" spans="1:1" x14ac:dyDescent="0.25">
      <c r="A1797" s="402"/>
    </row>
    <row r="1798" spans="1:1" x14ac:dyDescent="0.25">
      <c r="A1798" s="402"/>
    </row>
    <row r="1799" spans="1:1" x14ac:dyDescent="0.25">
      <c r="A1799" s="402"/>
    </row>
    <row r="1800" spans="1:1" x14ac:dyDescent="0.25">
      <c r="A1800" s="402"/>
    </row>
    <row r="1801" spans="1:1" x14ac:dyDescent="0.25">
      <c r="A1801" s="402"/>
    </row>
    <row r="1802" spans="1:1" x14ac:dyDescent="0.25">
      <c r="A1802" s="402"/>
    </row>
    <row r="1803" spans="1:1" x14ac:dyDescent="0.25">
      <c r="A1803" s="402"/>
    </row>
    <row r="1804" spans="1:1" x14ac:dyDescent="0.25">
      <c r="A1804" s="402"/>
    </row>
    <row r="1805" spans="1:1" x14ac:dyDescent="0.25">
      <c r="A1805" s="402"/>
    </row>
    <row r="1806" spans="1:1" x14ac:dyDescent="0.25">
      <c r="A1806" s="402"/>
    </row>
    <row r="1807" spans="1:1" x14ac:dyDescent="0.25">
      <c r="A1807" s="402"/>
    </row>
    <row r="1808" spans="1:1" x14ac:dyDescent="0.25">
      <c r="A1808" s="402"/>
    </row>
    <row r="1809" spans="1:1" x14ac:dyDescent="0.25">
      <c r="A1809" s="402"/>
    </row>
    <row r="1810" spans="1:1" x14ac:dyDescent="0.25">
      <c r="A1810" s="402"/>
    </row>
    <row r="1811" spans="1:1" x14ac:dyDescent="0.25">
      <c r="A1811" s="402"/>
    </row>
    <row r="1812" spans="1:1" x14ac:dyDescent="0.25">
      <c r="A1812" s="402"/>
    </row>
    <row r="1813" spans="1:1" x14ac:dyDescent="0.25">
      <c r="A1813" s="402"/>
    </row>
    <row r="1814" spans="1:1" x14ac:dyDescent="0.25">
      <c r="A1814" s="402"/>
    </row>
    <row r="1815" spans="1:1" x14ac:dyDescent="0.25">
      <c r="A1815" s="402"/>
    </row>
    <row r="1816" spans="1:1" x14ac:dyDescent="0.25">
      <c r="A1816" s="402"/>
    </row>
    <row r="1817" spans="1:1" x14ac:dyDescent="0.25">
      <c r="A1817" s="402"/>
    </row>
    <row r="1818" spans="1:1" x14ac:dyDescent="0.25">
      <c r="A1818" s="402"/>
    </row>
    <row r="1819" spans="1:1" x14ac:dyDescent="0.25">
      <c r="A1819" s="402"/>
    </row>
    <row r="1820" spans="1:1" x14ac:dyDescent="0.25">
      <c r="A1820" s="402"/>
    </row>
    <row r="1821" spans="1:1" x14ac:dyDescent="0.25">
      <c r="A1821" s="402"/>
    </row>
    <row r="1822" spans="1:1" x14ac:dyDescent="0.25">
      <c r="A1822" s="402"/>
    </row>
    <row r="1823" spans="1:1" x14ac:dyDescent="0.25">
      <c r="A1823" s="402"/>
    </row>
    <row r="1824" spans="1:1" x14ac:dyDescent="0.25">
      <c r="A1824" s="402"/>
    </row>
    <row r="1825" spans="1:1" x14ac:dyDescent="0.25">
      <c r="A1825" s="402"/>
    </row>
    <row r="1826" spans="1:1" x14ac:dyDescent="0.25">
      <c r="A1826" s="402"/>
    </row>
    <row r="1827" spans="1:1" x14ac:dyDescent="0.25">
      <c r="A1827" s="402"/>
    </row>
    <row r="1828" spans="1:1" x14ac:dyDescent="0.25">
      <c r="A1828" s="402"/>
    </row>
    <row r="1829" spans="1:1" x14ac:dyDescent="0.25">
      <c r="A1829" s="402"/>
    </row>
    <row r="1830" spans="1:1" x14ac:dyDescent="0.25">
      <c r="A1830" s="402"/>
    </row>
    <row r="1831" spans="1:1" x14ac:dyDescent="0.25">
      <c r="A1831" s="402"/>
    </row>
    <row r="1832" spans="1:1" x14ac:dyDescent="0.25">
      <c r="A1832" s="402"/>
    </row>
    <row r="1833" spans="1:1" x14ac:dyDescent="0.25">
      <c r="A1833" s="402"/>
    </row>
    <row r="1834" spans="1:1" x14ac:dyDescent="0.25">
      <c r="A1834" s="402"/>
    </row>
    <row r="1835" spans="1:1" x14ac:dyDescent="0.25">
      <c r="A1835" s="402"/>
    </row>
    <row r="1836" spans="1:1" x14ac:dyDescent="0.25">
      <c r="A1836" s="402"/>
    </row>
    <row r="1837" spans="1:1" x14ac:dyDescent="0.25">
      <c r="A1837" s="402"/>
    </row>
    <row r="1838" spans="1:1" x14ac:dyDescent="0.25">
      <c r="A1838" s="402"/>
    </row>
    <row r="1839" spans="1:1" x14ac:dyDescent="0.25">
      <c r="A1839" s="402"/>
    </row>
    <row r="1840" spans="1:1" x14ac:dyDescent="0.25">
      <c r="A1840" s="402"/>
    </row>
    <row r="1841" spans="1:1" x14ac:dyDescent="0.25">
      <c r="A1841" s="402"/>
    </row>
    <row r="1842" spans="1:1" x14ac:dyDescent="0.25">
      <c r="A1842" s="402"/>
    </row>
    <row r="1843" spans="1:1" x14ac:dyDescent="0.25">
      <c r="A1843" s="402"/>
    </row>
    <row r="1844" spans="1:1" x14ac:dyDescent="0.25">
      <c r="A1844" s="402"/>
    </row>
    <row r="1845" spans="1:1" x14ac:dyDescent="0.25">
      <c r="A1845" s="402"/>
    </row>
    <row r="1846" spans="1:1" x14ac:dyDescent="0.25">
      <c r="A1846" s="402"/>
    </row>
    <row r="1847" spans="1:1" x14ac:dyDescent="0.25">
      <c r="A1847" s="402"/>
    </row>
    <row r="1848" spans="1:1" x14ac:dyDescent="0.25">
      <c r="A1848" s="402"/>
    </row>
    <row r="1849" spans="1:1" x14ac:dyDescent="0.25">
      <c r="A1849" s="402"/>
    </row>
    <row r="1850" spans="1:1" x14ac:dyDescent="0.25">
      <c r="A1850" s="402"/>
    </row>
    <row r="1851" spans="1:1" x14ac:dyDescent="0.25">
      <c r="A1851" s="402"/>
    </row>
    <row r="1852" spans="1:1" x14ac:dyDescent="0.25">
      <c r="A1852" s="402"/>
    </row>
    <row r="1853" spans="1:1" x14ac:dyDescent="0.25">
      <c r="A1853" s="402"/>
    </row>
    <row r="1854" spans="1:1" x14ac:dyDescent="0.25">
      <c r="A1854" s="402"/>
    </row>
    <row r="1855" spans="1:1" x14ac:dyDescent="0.25">
      <c r="A1855" s="402"/>
    </row>
    <row r="1856" spans="1:1" x14ac:dyDescent="0.25">
      <c r="A1856" s="402"/>
    </row>
    <row r="1857" spans="1:1" x14ac:dyDescent="0.25">
      <c r="A1857" s="402"/>
    </row>
    <row r="1858" spans="1:1" x14ac:dyDescent="0.25">
      <c r="A1858" s="402"/>
    </row>
    <row r="1859" spans="1:1" x14ac:dyDescent="0.25">
      <c r="A1859" s="402"/>
    </row>
    <row r="1860" spans="1:1" x14ac:dyDescent="0.25">
      <c r="A1860" s="402"/>
    </row>
    <row r="1861" spans="1:1" x14ac:dyDescent="0.25">
      <c r="A1861" s="402"/>
    </row>
    <row r="1862" spans="1:1" x14ac:dyDescent="0.25">
      <c r="A1862" s="402"/>
    </row>
    <row r="1863" spans="1:1" x14ac:dyDescent="0.25">
      <c r="A1863" s="402"/>
    </row>
    <row r="1864" spans="1:1" x14ac:dyDescent="0.25">
      <c r="A1864" s="402"/>
    </row>
    <row r="1865" spans="1:1" x14ac:dyDescent="0.25">
      <c r="A1865" s="402"/>
    </row>
    <row r="1866" spans="1:1" x14ac:dyDescent="0.25">
      <c r="A1866" s="402"/>
    </row>
    <row r="1867" spans="1:1" x14ac:dyDescent="0.25">
      <c r="A1867" s="402"/>
    </row>
    <row r="1868" spans="1:1" x14ac:dyDescent="0.25">
      <c r="A1868" s="402"/>
    </row>
    <row r="1869" spans="1:1" x14ac:dyDescent="0.25">
      <c r="A1869" s="402"/>
    </row>
    <row r="1870" spans="1:1" x14ac:dyDescent="0.25">
      <c r="A1870" s="402"/>
    </row>
    <row r="1871" spans="1:1" x14ac:dyDescent="0.25">
      <c r="A1871" s="402"/>
    </row>
    <row r="1872" spans="1:1" x14ac:dyDescent="0.25">
      <c r="A1872" s="402"/>
    </row>
    <row r="1873" spans="1:1" x14ac:dyDescent="0.25">
      <c r="A1873" s="402"/>
    </row>
    <row r="1874" spans="1:1" x14ac:dyDescent="0.25">
      <c r="A1874" s="402"/>
    </row>
    <row r="1875" spans="1:1" x14ac:dyDescent="0.25">
      <c r="A1875" s="402"/>
    </row>
    <row r="1876" spans="1:1" x14ac:dyDescent="0.25">
      <c r="A1876" s="402"/>
    </row>
    <row r="1877" spans="1:1" x14ac:dyDescent="0.25">
      <c r="A1877" s="402"/>
    </row>
    <row r="1878" spans="1:1" x14ac:dyDescent="0.25">
      <c r="A1878" s="402"/>
    </row>
    <row r="1879" spans="1:1" x14ac:dyDescent="0.25">
      <c r="A1879" s="402"/>
    </row>
    <row r="1880" spans="1:1" x14ac:dyDescent="0.25">
      <c r="A1880" s="402"/>
    </row>
    <row r="1881" spans="1:1" x14ac:dyDescent="0.25">
      <c r="A1881" s="402"/>
    </row>
    <row r="1882" spans="1:1" x14ac:dyDescent="0.25">
      <c r="A1882" s="402"/>
    </row>
    <row r="1883" spans="1:1" x14ac:dyDescent="0.25">
      <c r="A1883" s="402"/>
    </row>
    <row r="1884" spans="1:1" x14ac:dyDescent="0.25">
      <c r="A1884" s="402"/>
    </row>
    <row r="1885" spans="1:1" x14ac:dyDescent="0.25">
      <c r="A1885" s="402"/>
    </row>
    <row r="1886" spans="1:1" x14ac:dyDescent="0.25">
      <c r="A1886" s="402"/>
    </row>
    <row r="1887" spans="1:1" x14ac:dyDescent="0.25">
      <c r="A1887" s="402"/>
    </row>
    <row r="1888" spans="1:1" x14ac:dyDescent="0.25">
      <c r="A1888" s="402"/>
    </row>
    <row r="1889" spans="1:1" x14ac:dyDescent="0.25">
      <c r="A1889" s="402"/>
    </row>
    <row r="1890" spans="1:1" x14ac:dyDescent="0.25">
      <c r="A1890" s="402"/>
    </row>
    <row r="1891" spans="1:1" x14ac:dyDescent="0.25">
      <c r="A1891" s="402"/>
    </row>
    <row r="1892" spans="1:1" x14ac:dyDescent="0.25">
      <c r="A1892" s="402"/>
    </row>
    <row r="1893" spans="1:1" x14ac:dyDescent="0.25">
      <c r="A1893" s="402"/>
    </row>
    <row r="1894" spans="1:1" x14ac:dyDescent="0.25">
      <c r="A1894" s="402"/>
    </row>
    <row r="1895" spans="1:1" x14ac:dyDescent="0.25">
      <c r="A1895" s="402"/>
    </row>
    <row r="1896" spans="1:1" x14ac:dyDescent="0.25">
      <c r="A1896" s="402"/>
    </row>
    <row r="1897" spans="1:1" x14ac:dyDescent="0.25">
      <c r="A1897" s="402"/>
    </row>
    <row r="1898" spans="1:1" x14ac:dyDescent="0.25">
      <c r="A1898" s="402"/>
    </row>
    <row r="1899" spans="1:1" x14ac:dyDescent="0.25">
      <c r="A1899" s="402"/>
    </row>
    <row r="1900" spans="1:1" x14ac:dyDescent="0.25">
      <c r="A1900" s="402"/>
    </row>
    <row r="1901" spans="1:1" x14ac:dyDescent="0.25">
      <c r="A1901" s="402"/>
    </row>
    <row r="1902" spans="1:1" x14ac:dyDescent="0.25">
      <c r="A1902" s="402"/>
    </row>
    <row r="1903" spans="1:1" x14ac:dyDescent="0.25">
      <c r="A1903" s="402"/>
    </row>
    <row r="1904" spans="1:1" x14ac:dyDescent="0.25">
      <c r="A1904" s="402"/>
    </row>
    <row r="1905" spans="1:1" x14ac:dyDescent="0.25">
      <c r="A1905" s="402"/>
    </row>
    <row r="1906" spans="1:1" x14ac:dyDescent="0.25">
      <c r="A1906" s="402"/>
    </row>
    <row r="1907" spans="1:1" x14ac:dyDescent="0.25">
      <c r="A1907" s="402"/>
    </row>
    <row r="1908" spans="1:1" x14ac:dyDescent="0.25">
      <c r="A1908" s="402"/>
    </row>
    <row r="1909" spans="1:1" x14ac:dyDescent="0.25">
      <c r="A1909" s="402"/>
    </row>
    <row r="1910" spans="1:1" x14ac:dyDescent="0.25">
      <c r="A1910" s="402"/>
    </row>
    <row r="1911" spans="1:1" x14ac:dyDescent="0.25">
      <c r="A1911" s="402"/>
    </row>
    <row r="1912" spans="1:1" x14ac:dyDescent="0.25">
      <c r="A1912" s="402"/>
    </row>
    <row r="1913" spans="1:1" x14ac:dyDescent="0.25">
      <c r="A1913" s="402"/>
    </row>
    <row r="1914" spans="1:1" x14ac:dyDescent="0.25">
      <c r="A1914" s="402"/>
    </row>
    <row r="1915" spans="1:1" x14ac:dyDescent="0.25">
      <c r="A1915" s="402"/>
    </row>
    <row r="1916" spans="1:1" x14ac:dyDescent="0.25">
      <c r="A1916" s="402"/>
    </row>
    <row r="1917" spans="1:1" x14ac:dyDescent="0.25">
      <c r="A1917" s="402"/>
    </row>
    <row r="1918" spans="1:1" x14ac:dyDescent="0.25">
      <c r="A1918" s="402"/>
    </row>
    <row r="1919" spans="1:1" x14ac:dyDescent="0.25">
      <c r="A1919" s="402"/>
    </row>
    <row r="1920" spans="1:1" x14ac:dyDescent="0.25">
      <c r="A1920" s="402"/>
    </row>
    <row r="1921" spans="1:1" x14ac:dyDescent="0.25">
      <c r="A1921" s="402"/>
    </row>
    <row r="1922" spans="1:1" x14ac:dyDescent="0.25">
      <c r="A1922" s="402"/>
    </row>
    <row r="1923" spans="1:1" x14ac:dyDescent="0.25">
      <c r="A1923" s="402"/>
    </row>
    <row r="1924" spans="1:1" x14ac:dyDescent="0.25">
      <c r="A1924" s="402"/>
    </row>
    <row r="1925" spans="1:1" x14ac:dyDescent="0.25">
      <c r="A1925" s="402"/>
    </row>
    <row r="1926" spans="1:1" x14ac:dyDescent="0.25">
      <c r="A1926" s="402"/>
    </row>
    <row r="1927" spans="1:1" x14ac:dyDescent="0.25">
      <c r="A1927" s="402"/>
    </row>
    <row r="1928" spans="1:1" x14ac:dyDescent="0.25">
      <c r="A1928" s="402"/>
    </row>
    <row r="1929" spans="1:1" x14ac:dyDescent="0.25">
      <c r="A1929" s="402"/>
    </row>
    <row r="1930" spans="1:1" x14ac:dyDescent="0.25">
      <c r="A1930" s="402"/>
    </row>
    <row r="1931" spans="1:1" x14ac:dyDescent="0.25">
      <c r="A1931" s="402"/>
    </row>
    <row r="1932" spans="1:1" x14ac:dyDescent="0.25">
      <c r="A1932" s="402"/>
    </row>
    <row r="1933" spans="1:1" x14ac:dyDescent="0.25">
      <c r="A1933" s="402"/>
    </row>
    <row r="1934" spans="1:1" x14ac:dyDescent="0.25">
      <c r="A1934" s="402"/>
    </row>
    <row r="1935" spans="1:1" x14ac:dyDescent="0.25">
      <c r="A1935" s="402"/>
    </row>
    <row r="1936" spans="1:1" x14ac:dyDescent="0.25">
      <c r="A1936" s="402"/>
    </row>
    <row r="1937" spans="1:1" x14ac:dyDescent="0.25">
      <c r="A1937" s="402"/>
    </row>
    <row r="1938" spans="1:1" x14ac:dyDescent="0.25">
      <c r="A1938" s="402"/>
    </row>
    <row r="1939" spans="1:1" x14ac:dyDescent="0.25">
      <c r="A1939" s="402"/>
    </row>
    <row r="1940" spans="1:1" x14ac:dyDescent="0.25">
      <c r="A1940" s="402"/>
    </row>
    <row r="1941" spans="1:1" x14ac:dyDescent="0.25">
      <c r="A1941" s="402"/>
    </row>
    <row r="1942" spans="1:1" x14ac:dyDescent="0.25">
      <c r="A1942" s="402"/>
    </row>
    <row r="1943" spans="1:1" x14ac:dyDescent="0.25">
      <c r="A1943" s="402"/>
    </row>
    <row r="1944" spans="1:1" x14ac:dyDescent="0.25">
      <c r="A1944" s="402"/>
    </row>
    <row r="1945" spans="1:1" x14ac:dyDescent="0.25">
      <c r="A1945" s="402"/>
    </row>
    <row r="1946" spans="1:1" x14ac:dyDescent="0.25">
      <c r="A1946" s="402"/>
    </row>
    <row r="1947" spans="1:1" x14ac:dyDescent="0.25">
      <c r="A1947" s="402"/>
    </row>
    <row r="1948" spans="1:1" x14ac:dyDescent="0.25">
      <c r="A1948" s="402"/>
    </row>
    <row r="1949" spans="1:1" x14ac:dyDescent="0.25">
      <c r="A1949" s="402"/>
    </row>
    <row r="1950" spans="1:1" x14ac:dyDescent="0.25">
      <c r="A1950" s="402"/>
    </row>
    <row r="1951" spans="1:1" x14ac:dyDescent="0.25">
      <c r="A1951" s="402"/>
    </row>
    <row r="1952" spans="1:1" x14ac:dyDescent="0.25">
      <c r="A1952" s="402"/>
    </row>
    <row r="1953" spans="1:1" x14ac:dyDescent="0.25">
      <c r="A1953" s="402"/>
    </row>
    <row r="1954" spans="1:1" x14ac:dyDescent="0.25">
      <c r="A1954" s="402"/>
    </row>
    <row r="1955" spans="1:1" x14ac:dyDescent="0.25">
      <c r="A1955" s="402"/>
    </row>
    <row r="1956" spans="1:1" x14ac:dyDescent="0.25">
      <c r="A1956" s="402"/>
    </row>
    <row r="1957" spans="1:1" x14ac:dyDescent="0.25">
      <c r="A1957" s="402"/>
    </row>
    <row r="1958" spans="1:1" x14ac:dyDescent="0.25">
      <c r="A1958" s="402"/>
    </row>
    <row r="1959" spans="1:1" x14ac:dyDescent="0.25">
      <c r="A1959" s="402"/>
    </row>
    <row r="1960" spans="1:1" x14ac:dyDescent="0.25">
      <c r="A1960" s="402"/>
    </row>
    <row r="1961" spans="1:1" x14ac:dyDescent="0.25">
      <c r="A1961" s="402"/>
    </row>
    <row r="1962" spans="1:1" x14ac:dyDescent="0.25">
      <c r="A1962" s="402"/>
    </row>
    <row r="1963" spans="1:1" x14ac:dyDescent="0.25">
      <c r="A1963" s="402"/>
    </row>
    <row r="1964" spans="1:1" x14ac:dyDescent="0.25">
      <c r="A1964" s="402"/>
    </row>
    <row r="1965" spans="1:1" x14ac:dyDescent="0.25">
      <c r="A1965" s="402"/>
    </row>
    <row r="1966" spans="1:1" x14ac:dyDescent="0.25">
      <c r="A1966" s="402"/>
    </row>
    <row r="1967" spans="1:1" x14ac:dyDescent="0.25">
      <c r="A1967" s="402"/>
    </row>
    <row r="1968" spans="1:1" x14ac:dyDescent="0.25">
      <c r="A1968" s="402"/>
    </row>
    <row r="1969" spans="1:1" x14ac:dyDescent="0.25">
      <c r="A1969" s="402"/>
    </row>
    <row r="1970" spans="1:1" x14ac:dyDescent="0.25">
      <c r="A1970" s="402"/>
    </row>
    <row r="1971" spans="1:1" x14ac:dyDescent="0.25">
      <c r="A1971" s="402"/>
    </row>
    <row r="1972" spans="1:1" x14ac:dyDescent="0.25">
      <c r="A1972" s="402"/>
    </row>
    <row r="1973" spans="1:1" x14ac:dyDescent="0.25">
      <c r="A1973" s="402"/>
    </row>
    <row r="1974" spans="1:1" x14ac:dyDescent="0.25">
      <c r="A1974" s="402"/>
    </row>
    <row r="1975" spans="1:1" x14ac:dyDescent="0.25">
      <c r="A1975" s="402"/>
    </row>
    <row r="1976" spans="1:1" x14ac:dyDescent="0.25">
      <c r="A1976" s="402"/>
    </row>
    <row r="1977" spans="1:1" x14ac:dyDescent="0.25">
      <c r="A1977" s="402"/>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25"/>
  <sheetViews>
    <sheetView workbookViewId="0">
      <selection activeCell="J5" sqref="J5"/>
    </sheetView>
  </sheetViews>
  <sheetFormatPr defaultRowHeight="15" x14ac:dyDescent="0.25"/>
  <cols>
    <col min="1" max="1" width="10.140625" bestFit="1" customWidth="1"/>
    <col min="9" max="9" width="18.5703125" customWidth="1"/>
    <col min="10" max="10" width="9.5703125" customWidth="1"/>
    <col min="11" max="11" width="12.140625" bestFit="1" customWidth="1"/>
    <col min="12" max="12" width="11.5703125" bestFit="1" customWidth="1"/>
  </cols>
  <sheetData>
    <row r="1" spans="1:131" ht="60" x14ac:dyDescent="0.25">
      <c r="A1" t="s">
        <v>931</v>
      </c>
      <c r="B1" t="s">
        <v>930</v>
      </c>
      <c r="C1" t="s">
        <v>953</v>
      </c>
      <c r="E1" s="378" t="s">
        <v>954</v>
      </c>
      <c r="J1" s="395" t="s">
        <v>932</v>
      </c>
      <c r="K1" s="396"/>
      <c r="L1" s="396"/>
      <c r="M1" s="396"/>
      <c r="N1" s="396"/>
      <c r="O1" s="396"/>
      <c r="P1" s="396"/>
      <c r="Q1" s="396"/>
      <c r="R1" s="396"/>
    </row>
    <row r="2" spans="1:131" x14ac:dyDescent="0.25">
      <c r="A2">
        <v>124</v>
      </c>
      <c r="B2" s="384">
        <v>39448</v>
      </c>
      <c r="C2" s="385">
        <v>7.5289999999999999</v>
      </c>
      <c r="D2" s="385"/>
      <c r="E2" s="385"/>
      <c r="I2" s="384"/>
      <c r="J2" s="395" t="s">
        <v>966</v>
      </c>
      <c r="K2" s="395"/>
      <c r="L2" s="395"/>
      <c r="M2" s="395"/>
      <c r="N2" s="395"/>
      <c r="O2" s="395"/>
      <c r="P2" s="395"/>
      <c r="Q2" s="395"/>
      <c r="R2" s="395"/>
      <c r="S2" s="386"/>
      <c r="T2" s="386"/>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4"/>
      <c r="DG2" s="384"/>
      <c r="DH2" s="384"/>
      <c r="DI2" s="384"/>
      <c r="DJ2" s="384"/>
      <c r="DK2" s="384"/>
      <c r="DL2" s="384"/>
      <c r="DM2" s="384"/>
      <c r="DN2" s="384"/>
      <c r="DO2" s="384"/>
      <c r="DP2" s="384"/>
      <c r="DQ2" s="384"/>
      <c r="DR2" s="384"/>
      <c r="DS2" s="384"/>
      <c r="DT2" s="384"/>
      <c r="DU2" s="384"/>
      <c r="DV2" s="384"/>
      <c r="DW2" s="384"/>
      <c r="DX2" s="384"/>
      <c r="DY2" s="384"/>
      <c r="DZ2" s="384"/>
      <c r="EA2" s="384"/>
    </row>
    <row r="3" spans="1:131" x14ac:dyDescent="0.25">
      <c r="A3">
        <v>123</v>
      </c>
      <c r="B3" s="384">
        <v>39479</v>
      </c>
      <c r="C3" s="385">
        <v>7.5679999999999996</v>
      </c>
      <c r="D3" s="385"/>
      <c r="E3" s="385"/>
      <c r="I3" s="385"/>
    </row>
    <row r="4" spans="1:131" x14ac:dyDescent="0.25">
      <c r="A4">
        <v>122</v>
      </c>
      <c r="B4" s="384">
        <v>39508</v>
      </c>
      <c r="C4" s="385">
        <v>7.9379999999999997</v>
      </c>
      <c r="D4" s="385"/>
      <c r="E4" s="384"/>
      <c r="I4" s="385"/>
      <c r="J4" s="397" t="s">
        <v>955</v>
      </c>
      <c r="K4" s="397" t="s">
        <v>956</v>
      </c>
      <c r="L4" s="397" t="s">
        <v>957</v>
      </c>
      <c r="M4" s="397" t="s">
        <v>958</v>
      </c>
      <c r="N4" s="397" t="s">
        <v>959</v>
      </c>
      <c r="O4" s="397" t="s">
        <v>960</v>
      </c>
      <c r="P4" s="397" t="s">
        <v>961</v>
      </c>
      <c r="Q4" s="397" t="s">
        <v>962</v>
      </c>
      <c r="R4" s="397" t="s">
        <v>963</v>
      </c>
      <c r="S4" s="397" t="s">
        <v>964</v>
      </c>
    </row>
    <row r="5" spans="1:131" ht="15.75" thickBot="1" x14ac:dyDescent="0.3">
      <c r="A5">
        <v>121</v>
      </c>
      <c r="B5" s="384">
        <v>39539</v>
      </c>
      <c r="C5" s="385">
        <v>7.9560000000000004</v>
      </c>
      <c r="D5" s="384">
        <f>B5</f>
        <v>39539</v>
      </c>
      <c r="E5" s="385">
        <f>AVERAGE(C5:C16)</f>
        <v>7.5625000000000009</v>
      </c>
      <c r="I5" s="398" t="s">
        <v>937</v>
      </c>
      <c r="J5" s="380">
        <f>E5/100</f>
        <v>7.5625000000000012E-2</v>
      </c>
      <c r="K5" s="380">
        <f>E17/100</f>
        <v>7.2632499999999989E-2</v>
      </c>
      <c r="L5" s="380">
        <f>E29/100</f>
        <v>7.9168333333333341E-2</v>
      </c>
      <c r="M5" s="380">
        <f>E41/100</f>
        <v>8.4446666666666684E-2</v>
      </c>
      <c r="N5" s="380">
        <f>E53/100</f>
        <v>8.1891666666666668E-2</v>
      </c>
      <c r="O5" s="380">
        <f>E65/100</f>
        <v>8.4279999999999994E-2</v>
      </c>
      <c r="P5" s="380">
        <f>E77/100</f>
        <v>8.283666666666667E-2</v>
      </c>
      <c r="Q5" s="380">
        <f>E89/100</f>
        <v>7.7274166666666672E-2</v>
      </c>
      <c r="R5" s="380">
        <f>E101/100</f>
        <v>6.9346666666666654E-2</v>
      </c>
      <c r="S5" s="380">
        <f>E113/100</f>
        <v>6.9661666666666663E-2</v>
      </c>
    </row>
    <row r="6" spans="1:131" ht="15.75" thickBot="1" x14ac:dyDescent="0.3">
      <c r="A6">
        <v>120</v>
      </c>
      <c r="B6" s="384">
        <v>39569</v>
      </c>
      <c r="C6" s="385">
        <v>8.1010000000000009</v>
      </c>
      <c r="D6" s="385"/>
      <c r="E6" s="385"/>
      <c r="I6" s="398" t="s">
        <v>933</v>
      </c>
      <c r="J6" s="390">
        <v>0.61721184250000005</v>
      </c>
      <c r="K6" s="390">
        <v>-0.38358168129999998</v>
      </c>
      <c r="L6" s="390">
        <v>1.2259413690000001</v>
      </c>
      <c r="M6" s="387">
        <v>0.77999101469999998</v>
      </c>
      <c r="N6" s="387">
        <v>0.26155870590000002</v>
      </c>
      <c r="O6" s="387">
        <v>0.2456203901</v>
      </c>
      <c r="P6" s="387">
        <v>1.0176616119999999</v>
      </c>
      <c r="Q6" s="387">
        <v>1.510072909</v>
      </c>
      <c r="R6" s="387">
        <v>1.2153058489999999</v>
      </c>
      <c r="S6" s="387">
        <v>0.48859162639999998</v>
      </c>
    </row>
    <row r="7" spans="1:131" ht="15.75" thickBot="1" x14ac:dyDescent="0.3">
      <c r="A7">
        <v>119</v>
      </c>
      <c r="B7" s="384">
        <v>39600</v>
      </c>
      <c r="C7" s="385">
        <v>8.7129999999999992</v>
      </c>
      <c r="D7" s="385"/>
      <c r="E7" s="385"/>
      <c r="I7" s="398" t="s">
        <v>934</v>
      </c>
      <c r="J7" s="389">
        <v>-0.36459999999999998</v>
      </c>
      <c r="K7" s="389">
        <v>0.63470000000000004</v>
      </c>
      <c r="L7" s="389">
        <v>8.6699999999999999E-2</v>
      </c>
      <c r="M7" s="388">
        <v>-0.1037</v>
      </c>
      <c r="N7" s="388">
        <v>6.8599999999999994E-2</v>
      </c>
      <c r="O7" s="388">
        <v>0.1663</v>
      </c>
      <c r="P7" s="388">
        <v>0.25750000000000001</v>
      </c>
      <c r="Q7" s="388">
        <v>-0.10639999999999999</v>
      </c>
      <c r="R7" s="388">
        <v>0.18240000000000001</v>
      </c>
      <c r="S7" s="388">
        <v>9.4799999999999995E-2</v>
      </c>
    </row>
    <row r="8" spans="1:131" ht="15.75" thickBot="1" x14ac:dyDescent="0.3">
      <c r="A8">
        <v>118</v>
      </c>
      <c r="B8" s="384">
        <v>39630</v>
      </c>
      <c r="C8" s="385">
        <v>9.3160000000000007</v>
      </c>
      <c r="D8" s="385"/>
      <c r="E8" s="385"/>
      <c r="I8" s="398" t="s">
        <v>935</v>
      </c>
      <c r="J8" s="390">
        <v>0.56577661199999996</v>
      </c>
      <c r="K8" s="390">
        <v>-0.2610093034</v>
      </c>
      <c r="L8" s="390">
        <v>1.2280780170000001</v>
      </c>
      <c r="M8" s="387">
        <v>0.79980171050000004</v>
      </c>
      <c r="N8" s="387">
        <v>-7.8819349309999995E-2</v>
      </c>
      <c r="O8" s="387">
        <v>0.46275340370000001</v>
      </c>
      <c r="P8" s="387">
        <v>0.98211827019999998</v>
      </c>
      <c r="Q8" s="387">
        <v>1.506591781</v>
      </c>
      <c r="R8" s="387">
        <v>1.2119382320000001</v>
      </c>
      <c r="S8" s="387">
        <v>0.4605749985</v>
      </c>
    </row>
    <row r="9" spans="1:131" x14ac:dyDescent="0.25">
      <c r="A9">
        <v>117</v>
      </c>
      <c r="B9" s="384">
        <v>39661</v>
      </c>
      <c r="C9" s="385">
        <v>8.6999999999999993</v>
      </c>
      <c r="D9" s="385"/>
      <c r="E9" s="385"/>
      <c r="I9" s="398" t="s">
        <v>936</v>
      </c>
      <c r="J9" s="399">
        <v>-0.3836</v>
      </c>
      <c r="K9" s="399">
        <v>0.40960000000000002</v>
      </c>
      <c r="L9" s="399">
        <v>7.7600000000000002E-2</v>
      </c>
      <c r="M9" s="400">
        <v>-0.13200000000000001</v>
      </c>
      <c r="N9" s="400">
        <v>7.2099999999999997E-2</v>
      </c>
      <c r="O9" s="400">
        <v>0.14940000000000001</v>
      </c>
      <c r="P9" s="400">
        <v>0.19339999999999999</v>
      </c>
      <c r="Q9" s="400">
        <v>-0.12479999999999999</v>
      </c>
      <c r="R9" s="400">
        <v>0.14249999999999999</v>
      </c>
      <c r="S9" s="400">
        <v>9.2799999999999994E-2</v>
      </c>
    </row>
    <row r="10" spans="1:131" x14ac:dyDescent="0.25">
      <c r="A10">
        <v>116</v>
      </c>
      <c r="B10" s="384">
        <v>39692</v>
      </c>
      <c r="C10" s="385">
        <v>8.6170000000000009</v>
      </c>
      <c r="D10" s="385"/>
      <c r="E10" s="385"/>
    </row>
    <row r="11" spans="1:131" ht="105" x14ac:dyDescent="0.25">
      <c r="A11">
        <v>115</v>
      </c>
      <c r="B11" s="384">
        <v>39722</v>
      </c>
      <c r="C11" s="385">
        <v>7.4779999999999998</v>
      </c>
      <c r="D11" s="385"/>
      <c r="E11" s="385"/>
      <c r="I11" s="391" t="s">
        <v>965</v>
      </c>
      <c r="J11" s="380">
        <f t="shared" ref="J11:S11" si="0">IF((J5+J6*(J7-J5))&gt;0,(J5+J6*(J7-J5)),J5)</f>
        <v>7.5625000000000012E-2</v>
      </c>
      <c r="K11" s="380">
        <f t="shared" si="0"/>
        <v>7.2632499999999989E-2</v>
      </c>
      <c r="L11" s="380">
        <f t="shared" si="0"/>
        <v>8.8401715077518331E-2</v>
      </c>
      <c r="M11" s="380">
        <f t="shared" si="0"/>
        <v>8.4446666666666684E-2</v>
      </c>
      <c r="N11" s="380">
        <f t="shared" si="0"/>
        <v>7.8415115534079163E-2</v>
      </c>
      <c r="O11" s="380">
        <f t="shared" si="0"/>
        <v>0.104425784396002</v>
      </c>
      <c r="P11" s="380">
        <f t="shared" si="0"/>
        <v>0.26058483602395999</v>
      </c>
      <c r="Q11" s="380">
        <f t="shared" si="0"/>
        <v>7.7274166666666672E-2</v>
      </c>
      <c r="R11" s="380">
        <f t="shared" si="0"/>
        <v>0.20674104391561332</v>
      </c>
      <c r="S11" s="380">
        <f t="shared" si="0"/>
        <v>8.1944045834985324E-2</v>
      </c>
    </row>
    <row r="12" spans="1:131" x14ac:dyDescent="0.25">
      <c r="A12">
        <v>114</v>
      </c>
      <c r="B12" s="384">
        <v>39753</v>
      </c>
      <c r="C12" s="385">
        <v>7.08</v>
      </c>
      <c r="D12" s="385"/>
      <c r="E12" s="385"/>
      <c r="I12" s="385"/>
    </row>
    <row r="13" spans="1:131" x14ac:dyDescent="0.25">
      <c r="A13">
        <v>113</v>
      </c>
      <c r="B13" s="384">
        <v>39783</v>
      </c>
      <c r="C13" s="385">
        <v>5.26</v>
      </c>
      <c r="D13" s="385"/>
      <c r="E13" s="385"/>
      <c r="I13" s="385"/>
    </row>
    <row r="14" spans="1:131" x14ac:dyDescent="0.25">
      <c r="A14">
        <v>112</v>
      </c>
      <c r="B14" s="384">
        <v>39814</v>
      </c>
      <c r="C14" s="385">
        <v>6.1870000000000003</v>
      </c>
      <c r="D14" s="385"/>
      <c r="E14" s="385"/>
      <c r="I14" s="385"/>
    </row>
    <row r="15" spans="1:131" x14ac:dyDescent="0.25">
      <c r="A15">
        <v>111</v>
      </c>
      <c r="B15" s="384">
        <v>39845</v>
      </c>
      <c r="C15" s="385">
        <v>6.3280000000000003</v>
      </c>
      <c r="D15" s="385"/>
      <c r="E15" s="385"/>
      <c r="I15" s="385"/>
    </row>
    <row r="16" spans="1:131" x14ac:dyDescent="0.25">
      <c r="A16">
        <v>110</v>
      </c>
      <c r="B16" s="384">
        <v>39873</v>
      </c>
      <c r="C16" s="385">
        <v>7.0140000000000002</v>
      </c>
      <c r="D16" s="385"/>
      <c r="E16" s="385"/>
      <c r="I16" s="385"/>
    </row>
    <row r="17" spans="1:9" x14ac:dyDescent="0.25">
      <c r="A17">
        <v>109</v>
      </c>
      <c r="B17" s="384">
        <v>39904</v>
      </c>
      <c r="C17" s="385">
        <v>6.242</v>
      </c>
      <c r="D17" s="384">
        <f>B17</f>
        <v>39904</v>
      </c>
      <c r="E17" s="385">
        <f>AVERAGE(C17:C28)</f>
        <v>7.2632499999999993</v>
      </c>
      <c r="I17" s="385"/>
    </row>
    <row r="18" spans="1:9" x14ac:dyDescent="0.25">
      <c r="A18">
        <v>108</v>
      </c>
      <c r="B18" s="384">
        <v>39934</v>
      </c>
      <c r="C18" s="385">
        <v>6.71</v>
      </c>
      <c r="D18" s="385"/>
      <c r="E18" s="385"/>
      <c r="I18" s="385"/>
    </row>
    <row r="19" spans="1:9" x14ac:dyDescent="0.25">
      <c r="A19">
        <v>107</v>
      </c>
      <c r="B19" s="384">
        <v>39965</v>
      </c>
      <c r="C19" s="385">
        <v>7.0129999999999999</v>
      </c>
      <c r="D19" s="385"/>
      <c r="E19" s="385"/>
      <c r="I19" s="385"/>
    </row>
    <row r="20" spans="1:9" x14ac:dyDescent="0.25">
      <c r="A20">
        <v>106</v>
      </c>
      <c r="B20" s="384">
        <v>39995</v>
      </c>
      <c r="C20" s="385">
        <v>6.9980000000000002</v>
      </c>
      <c r="D20" s="385"/>
      <c r="E20" s="385"/>
      <c r="I20" s="385"/>
    </row>
    <row r="21" spans="1:9" x14ac:dyDescent="0.25">
      <c r="A21">
        <v>105</v>
      </c>
      <c r="B21" s="384">
        <v>40026</v>
      </c>
      <c r="C21" s="385">
        <v>7.4340000000000002</v>
      </c>
      <c r="D21" s="385"/>
      <c r="E21" s="385"/>
      <c r="I21" s="385"/>
    </row>
    <row r="22" spans="1:9" x14ac:dyDescent="0.25">
      <c r="A22">
        <v>104</v>
      </c>
      <c r="B22" s="384">
        <v>40057</v>
      </c>
      <c r="C22" s="385">
        <v>7.2149999999999999</v>
      </c>
      <c r="D22" s="385"/>
      <c r="E22" s="385"/>
      <c r="I22" s="385"/>
    </row>
    <row r="23" spans="1:9" x14ac:dyDescent="0.25">
      <c r="A23">
        <v>103</v>
      </c>
      <c r="B23" s="384">
        <v>40087</v>
      </c>
      <c r="C23" s="385">
        <v>7.306</v>
      </c>
      <c r="D23" s="385"/>
      <c r="E23" s="385"/>
      <c r="I23" s="385"/>
    </row>
    <row r="24" spans="1:9" x14ac:dyDescent="0.25">
      <c r="A24">
        <v>102</v>
      </c>
      <c r="B24" s="384">
        <v>40118</v>
      </c>
      <c r="C24" s="385">
        <v>7.2569999999999997</v>
      </c>
      <c r="D24" s="385"/>
      <c r="E24" s="385"/>
      <c r="I24" s="385"/>
    </row>
    <row r="25" spans="1:9" x14ac:dyDescent="0.25">
      <c r="A25">
        <v>101</v>
      </c>
      <c r="B25" s="384">
        <v>40148</v>
      </c>
      <c r="C25" s="385">
        <v>7.6790000000000003</v>
      </c>
      <c r="D25" s="385"/>
      <c r="E25" s="385"/>
      <c r="I25" s="385"/>
    </row>
    <row r="26" spans="1:9" x14ac:dyDescent="0.25">
      <c r="A26">
        <v>100</v>
      </c>
      <c r="B26" s="384">
        <v>40179</v>
      </c>
      <c r="C26" s="385">
        <v>7.5910000000000002</v>
      </c>
      <c r="D26" s="385"/>
      <c r="E26" s="385"/>
      <c r="I26" s="385"/>
    </row>
    <row r="27" spans="1:9" x14ac:dyDescent="0.25">
      <c r="A27">
        <v>99</v>
      </c>
      <c r="B27" s="384">
        <v>40210</v>
      </c>
      <c r="C27" s="385">
        <v>7.8639999999999999</v>
      </c>
      <c r="D27" s="385"/>
      <c r="E27" s="385"/>
      <c r="I27" s="385"/>
    </row>
    <row r="28" spans="1:9" x14ac:dyDescent="0.25">
      <c r="A28">
        <v>98</v>
      </c>
      <c r="B28" s="384">
        <v>40238</v>
      </c>
      <c r="C28" s="385">
        <v>7.85</v>
      </c>
      <c r="D28" s="385"/>
      <c r="E28" s="385"/>
      <c r="I28" s="385"/>
    </row>
    <row r="29" spans="1:9" x14ac:dyDescent="0.25">
      <c r="A29">
        <v>97</v>
      </c>
      <c r="B29" s="384">
        <v>40269</v>
      </c>
      <c r="C29" s="385">
        <v>8.0609999999999999</v>
      </c>
      <c r="D29" s="384">
        <f>B29</f>
        <v>40269</v>
      </c>
      <c r="E29" s="385">
        <f>AVERAGE(C29:C40)</f>
        <v>7.9168333333333338</v>
      </c>
      <c r="I29" s="385"/>
    </row>
    <row r="30" spans="1:9" x14ac:dyDescent="0.25">
      <c r="A30">
        <v>96</v>
      </c>
      <c r="B30" s="384">
        <v>40299</v>
      </c>
      <c r="C30" s="385">
        <v>7.5640000000000001</v>
      </c>
      <c r="D30" s="385"/>
      <c r="E30" s="385"/>
      <c r="I30" s="385"/>
    </row>
    <row r="31" spans="1:9" x14ac:dyDescent="0.25">
      <c r="A31">
        <v>95</v>
      </c>
      <c r="B31" s="384">
        <v>40330</v>
      </c>
      <c r="C31" s="385">
        <v>7.5609999999999999</v>
      </c>
      <c r="D31" s="385"/>
      <c r="E31" s="385"/>
      <c r="I31" s="385"/>
    </row>
    <row r="32" spans="1:9" x14ac:dyDescent="0.25">
      <c r="A32">
        <v>94</v>
      </c>
      <c r="B32" s="384">
        <v>40360</v>
      </c>
      <c r="C32" s="385">
        <v>7.8029999999999999</v>
      </c>
      <c r="D32" s="385"/>
      <c r="E32" s="385"/>
      <c r="I32" s="385"/>
    </row>
    <row r="33" spans="1:9" x14ac:dyDescent="0.25">
      <c r="A33">
        <v>93</v>
      </c>
      <c r="B33" s="384">
        <v>40391</v>
      </c>
      <c r="C33" s="385">
        <v>7.9359999999999999</v>
      </c>
      <c r="D33" s="385"/>
      <c r="E33" s="385"/>
      <c r="I33" s="385"/>
    </row>
    <row r="34" spans="1:9" x14ac:dyDescent="0.25">
      <c r="A34">
        <v>92</v>
      </c>
      <c r="B34" s="384">
        <v>40422</v>
      </c>
      <c r="C34" s="385">
        <v>7.8520000000000003</v>
      </c>
      <c r="D34" s="385"/>
      <c r="E34" s="385"/>
      <c r="I34" s="385"/>
    </row>
    <row r="35" spans="1:9" x14ac:dyDescent="0.25">
      <c r="A35">
        <v>91</v>
      </c>
      <c r="B35" s="384">
        <v>40452</v>
      </c>
      <c r="C35" s="385">
        <v>8.1210000000000004</v>
      </c>
      <c r="D35" s="385"/>
      <c r="E35" s="385"/>
      <c r="I35" s="385"/>
    </row>
    <row r="36" spans="1:9" x14ac:dyDescent="0.25">
      <c r="A36">
        <v>90</v>
      </c>
      <c r="B36" s="384">
        <v>40483</v>
      </c>
      <c r="C36" s="385">
        <v>8.0660000000000007</v>
      </c>
      <c r="D36" s="385"/>
      <c r="E36" s="385"/>
      <c r="I36" s="385"/>
    </row>
    <row r="37" spans="1:9" x14ac:dyDescent="0.25">
      <c r="A37">
        <v>89</v>
      </c>
      <c r="B37" s="384">
        <v>40513</v>
      </c>
      <c r="C37" s="385">
        <v>7.9130000000000003</v>
      </c>
      <c r="D37" s="385"/>
      <c r="E37" s="385"/>
      <c r="I37" s="385"/>
    </row>
    <row r="38" spans="1:9" x14ac:dyDescent="0.25">
      <c r="A38">
        <v>88</v>
      </c>
      <c r="B38" s="384">
        <v>40544</v>
      </c>
      <c r="C38" s="385">
        <v>8.1479999999999997</v>
      </c>
      <c r="D38" s="385"/>
      <c r="E38" s="385"/>
      <c r="I38" s="385"/>
    </row>
    <row r="39" spans="1:9" x14ac:dyDescent="0.25">
      <c r="A39">
        <v>87</v>
      </c>
      <c r="B39" s="384">
        <v>40575</v>
      </c>
      <c r="C39" s="385">
        <v>7.992</v>
      </c>
      <c r="D39" s="385"/>
      <c r="E39" s="385"/>
      <c r="I39" s="385"/>
    </row>
    <row r="40" spans="1:9" x14ac:dyDescent="0.25">
      <c r="A40">
        <v>86</v>
      </c>
      <c r="B40" s="384">
        <v>40603</v>
      </c>
      <c r="C40" s="385">
        <v>7.9850000000000003</v>
      </c>
      <c r="D40" s="385"/>
      <c r="E40" s="385"/>
      <c r="I40" s="385"/>
    </row>
    <row r="41" spans="1:9" x14ac:dyDescent="0.25">
      <c r="A41">
        <v>85</v>
      </c>
      <c r="B41" s="384">
        <v>40634</v>
      </c>
      <c r="C41" s="385">
        <v>8.1349999999999998</v>
      </c>
      <c r="D41" s="384">
        <f>B41</f>
        <v>40634</v>
      </c>
      <c r="E41" s="385">
        <f>AVERAGE(C41:C52)</f>
        <v>8.4446666666666683</v>
      </c>
      <c r="I41" s="385"/>
    </row>
    <row r="42" spans="1:9" x14ac:dyDescent="0.25">
      <c r="A42">
        <v>84</v>
      </c>
      <c r="B42" s="384">
        <v>40664</v>
      </c>
      <c r="C42" s="385">
        <v>8.4109999999999996</v>
      </c>
      <c r="D42" s="385"/>
      <c r="E42" s="385"/>
      <c r="I42" s="385"/>
    </row>
    <row r="43" spans="1:9" x14ac:dyDescent="0.25">
      <c r="A43">
        <v>83</v>
      </c>
      <c r="B43" s="384">
        <v>40695</v>
      </c>
      <c r="C43" s="385">
        <v>8.3260000000000005</v>
      </c>
      <c r="D43" s="385"/>
      <c r="E43" s="385"/>
      <c r="I43" s="385"/>
    </row>
    <row r="44" spans="1:9" x14ac:dyDescent="0.25">
      <c r="A44">
        <v>82</v>
      </c>
      <c r="B44" s="384">
        <v>40725</v>
      </c>
      <c r="C44" s="385">
        <v>8.4540000000000006</v>
      </c>
      <c r="D44" s="385"/>
      <c r="E44" s="385"/>
      <c r="I44" s="385"/>
    </row>
    <row r="45" spans="1:9" x14ac:dyDescent="0.25">
      <c r="A45">
        <v>81</v>
      </c>
      <c r="B45" s="384">
        <v>40756</v>
      </c>
      <c r="C45" s="385">
        <v>8.3190000000000008</v>
      </c>
      <c r="D45" s="385"/>
      <c r="E45" s="385"/>
      <c r="I45" s="385"/>
    </row>
    <row r="46" spans="1:9" x14ac:dyDescent="0.25">
      <c r="A46">
        <v>80</v>
      </c>
      <c r="B46" s="384">
        <v>40787</v>
      </c>
      <c r="C46" s="385">
        <v>8.4420000000000002</v>
      </c>
      <c r="D46" s="385"/>
      <c r="E46" s="385"/>
      <c r="I46" s="385"/>
    </row>
    <row r="47" spans="1:9" x14ac:dyDescent="0.25">
      <c r="A47">
        <v>79</v>
      </c>
      <c r="B47" s="384">
        <v>40817</v>
      </c>
      <c r="C47" s="385">
        <v>8.8789999999999996</v>
      </c>
      <c r="D47" s="385"/>
      <c r="E47" s="385"/>
      <c r="I47" s="385"/>
    </row>
    <row r="48" spans="1:9" x14ac:dyDescent="0.25">
      <c r="A48">
        <v>78</v>
      </c>
      <c r="B48" s="384">
        <v>40848</v>
      </c>
      <c r="C48" s="385">
        <v>8.7379999999999995</v>
      </c>
      <c r="D48" s="385"/>
      <c r="E48" s="385"/>
      <c r="I48" s="385"/>
    </row>
    <row r="49" spans="1:9" x14ac:dyDescent="0.25">
      <c r="A49">
        <v>77</v>
      </c>
      <c r="B49" s="384">
        <v>40878</v>
      </c>
      <c r="C49" s="385">
        <v>8.5719999999999992</v>
      </c>
      <c r="D49" s="385"/>
      <c r="E49" s="385"/>
      <c r="I49" s="385"/>
    </row>
    <row r="50" spans="1:9" x14ac:dyDescent="0.25">
      <c r="A50">
        <v>76</v>
      </c>
      <c r="B50" s="384">
        <v>40909</v>
      </c>
      <c r="C50" s="385">
        <v>8.2690000000000001</v>
      </c>
      <c r="D50" s="385"/>
      <c r="E50" s="385"/>
      <c r="I50" s="385"/>
    </row>
    <row r="51" spans="1:9" x14ac:dyDescent="0.25">
      <c r="A51">
        <v>75</v>
      </c>
      <c r="B51" s="384">
        <v>40940</v>
      </c>
      <c r="C51" s="385">
        <v>8.2029999999999994</v>
      </c>
      <c r="D51" s="385"/>
      <c r="E51" s="385"/>
      <c r="I51" s="385"/>
    </row>
    <row r="52" spans="1:9" x14ac:dyDescent="0.25">
      <c r="A52">
        <v>74</v>
      </c>
      <c r="B52" s="384">
        <v>40969</v>
      </c>
      <c r="C52" s="385">
        <v>8.5879999999999992</v>
      </c>
      <c r="D52" s="385"/>
      <c r="E52" s="385"/>
      <c r="I52" s="385"/>
    </row>
    <row r="53" spans="1:9" x14ac:dyDescent="0.25">
      <c r="A53">
        <v>73</v>
      </c>
      <c r="B53" s="384">
        <v>41000</v>
      </c>
      <c r="C53" s="385">
        <v>8.6750000000000007</v>
      </c>
      <c r="D53" s="384">
        <f>B53</f>
        <v>41000</v>
      </c>
      <c r="E53" s="385">
        <f>AVERAGE(C53:C64)</f>
        <v>8.1891666666666669</v>
      </c>
      <c r="I53" s="385"/>
    </row>
    <row r="54" spans="1:9" x14ac:dyDescent="0.25">
      <c r="A54">
        <v>72</v>
      </c>
      <c r="B54" s="384">
        <v>41030</v>
      </c>
      <c r="C54" s="385">
        <v>8.3770000000000007</v>
      </c>
      <c r="D54" s="385"/>
      <c r="E54" s="385"/>
      <c r="I54" s="385"/>
    </row>
    <row r="55" spans="1:9" x14ac:dyDescent="0.25">
      <c r="A55">
        <v>71</v>
      </c>
      <c r="B55" s="384">
        <v>41061</v>
      </c>
      <c r="C55" s="385">
        <v>8.39</v>
      </c>
      <c r="D55" s="385"/>
      <c r="E55" s="385"/>
      <c r="I55" s="385"/>
    </row>
    <row r="56" spans="1:9" x14ac:dyDescent="0.25">
      <c r="A56">
        <v>70</v>
      </c>
      <c r="B56" s="384">
        <v>41091</v>
      </c>
      <c r="C56" s="385">
        <v>8.2469999999999999</v>
      </c>
      <c r="D56" s="385"/>
      <c r="E56" s="385"/>
      <c r="I56" s="385"/>
    </row>
    <row r="57" spans="1:9" x14ac:dyDescent="0.25">
      <c r="A57">
        <v>69</v>
      </c>
      <c r="B57" s="384">
        <v>41122</v>
      </c>
      <c r="C57" s="385">
        <v>8.2409999999999997</v>
      </c>
      <c r="D57" s="385"/>
      <c r="E57" s="385"/>
      <c r="I57" s="385"/>
    </row>
    <row r="58" spans="1:9" x14ac:dyDescent="0.25">
      <c r="A58">
        <v>68</v>
      </c>
      <c r="B58" s="384">
        <v>41153</v>
      </c>
      <c r="C58" s="385">
        <v>8.1519999999999992</v>
      </c>
      <c r="D58" s="385"/>
      <c r="E58" s="385"/>
      <c r="I58" s="385"/>
    </row>
    <row r="59" spans="1:9" x14ac:dyDescent="0.25">
      <c r="A59">
        <v>67</v>
      </c>
      <c r="B59" s="384">
        <v>41183</v>
      </c>
      <c r="C59" s="385">
        <v>8.2170000000000005</v>
      </c>
      <c r="D59" s="385"/>
      <c r="E59" s="385"/>
      <c r="I59" s="385"/>
    </row>
    <row r="60" spans="1:9" x14ac:dyDescent="0.25">
      <c r="A60">
        <v>66</v>
      </c>
      <c r="B60" s="384">
        <v>41214</v>
      </c>
      <c r="C60" s="385">
        <v>8.1769999999999996</v>
      </c>
      <c r="D60" s="385"/>
      <c r="E60" s="385"/>
      <c r="I60" s="385"/>
    </row>
    <row r="61" spans="1:9" x14ac:dyDescent="0.25">
      <c r="A61">
        <v>65</v>
      </c>
      <c r="B61" s="384">
        <v>41244</v>
      </c>
      <c r="C61" s="385">
        <v>8.0489999999999995</v>
      </c>
      <c r="D61" s="385"/>
      <c r="E61" s="385"/>
      <c r="I61" s="385"/>
    </row>
    <row r="62" spans="1:9" x14ac:dyDescent="0.25">
      <c r="A62">
        <v>64</v>
      </c>
      <c r="B62" s="384">
        <v>41275</v>
      </c>
      <c r="C62" s="385">
        <v>7.9119999999999999</v>
      </c>
      <c r="D62" s="385"/>
      <c r="E62" s="385"/>
      <c r="I62" s="385"/>
    </row>
    <row r="63" spans="1:9" x14ac:dyDescent="0.25">
      <c r="A63">
        <v>63</v>
      </c>
      <c r="B63" s="384">
        <v>41306</v>
      </c>
      <c r="C63" s="385">
        <v>7.8730000000000002</v>
      </c>
      <c r="D63" s="385"/>
      <c r="E63" s="385"/>
      <c r="I63" s="385"/>
    </row>
    <row r="64" spans="1:9" x14ac:dyDescent="0.25">
      <c r="A64">
        <v>62</v>
      </c>
      <c r="B64" s="384">
        <v>41334</v>
      </c>
      <c r="C64" s="385">
        <v>7.96</v>
      </c>
      <c r="D64" s="385"/>
      <c r="E64" s="385"/>
      <c r="I64" s="385"/>
    </row>
    <row r="65" spans="1:9" x14ac:dyDescent="0.25">
      <c r="A65">
        <v>61</v>
      </c>
      <c r="B65" s="384">
        <v>41365</v>
      </c>
      <c r="C65" s="385">
        <v>7.7309999999999999</v>
      </c>
      <c r="D65" s="384">
        <f>B65</f>
        <v>41365</v>
      </c>
      <c r="E65" s="385">
        <f>AVERAGE(C65:C76)</f>
        <v>8.427999999999999</v>
      </c>
      <c r="I65" s="385"/>
    </row>
    <row r="66" spans="1:9" x14ac:dyDescent="0.25">
      <c r="A66">
        <v>60</v>
      </c>
      <c r="B66" s="384">
        <v>41395</v>
      </c>
      <c r="C66" s="385">
        <v>7.4489999999999998</v>
      </c>
      <c r="D66" s="385"/>
      <c r="E66" s="385"/>
      <c r="I66" s="385"/>
    </row>
    <row r="67" spans="1:9" x14ac:dyDescent="0.25">
      <c r="A67">
        <v>59</v>
      </c>
      <c r="B67" s="384">
        <v>41426</v>
      </c>
      <c r="C67" s="385">
        <v>7.4489999999999998</v>
      </c>
      <c r="D67" s="385"/>
      <c r="E67" s="385"/>
      <c r="I67" s="385"/>
    </row>
    <row r="68" spans="1:9" x14ac:dyDescent="0.25">
      <c r="A68">
        <v>58</v>
      </c>
      <c r="B68" s="384">
        <v>41456</v>
      </c>
      <c r="C68" s="385">
        <v>8.17</v>
      </c>
      <c r="D68" s="385"/>
      <c r="E68" s="385"/>
      <c r="I68" s="385"/>
    </row>
    <row r="69" spans="1:9" x14ac:dyDescent="0.25">
      <c r="A69">
        <v>57</v>
      </c>
      <c r="B69" s="384">
        <v>41487</v>
      </c>
      <c r="C69" s="385">
        <v>8.6020000000000003</v>
      </c>
      <c r="D69" s="385"/>
      <c r="E69" s="385"/>
      <c r="I69" s="385"/>
    </row>
    <row r="70" spans="1:9" x14ac:dyDescent="0.25">
      <c r="A70">
        <v>56</v>
      </c>
      <c r="B70" s="384">
        <v>41518</v>
      </c>
      <c r="C70" s="385">
        <v>8.7609999999999992</v>
      </c>
      <c r="D70" s="385"/>
      <c r="E70" s="385"/>
      <c r="I70" s="385"/>
    </row>
    <row r="71" spans="1:9" x14ac:dyDescent="0.25">
      <c r="A71">
        <v>55</v>
      </c>
      <c r="B71" s="384">
        <v>41548</v>
      </c>
      <c r="C71" s="385">
        <v>8.6300000000000008</v>
      </c>
      <c r="D71" s="385"/>
      <c r="E71" s="385"/>
      <c r="I71" s="385"/>
    </row>
    <row r="72" spans="1:9" x14ac:dyDescent="0.25">
      <c r="A72">
        <v>54</v>
      </c>
      <c r="B72" s="384">
        <v>41579</v>
      </c>
      <c r="C72" s="385">
        <v>9.06</v>
      </c>
      <c r="D72" s="385"/>
      <c r="E72" s="385"/>
      <c r="I72" s="385"/>
    </row>
    <row r="73" spans="1:9" x14ac:dyDescent="0.25">
      <c r="A73">
        <v>53</v>
      </c>
      <c r="B73" s="384">
        <v>41609</v>
      </c>
      <c r="C73" s="385">
        <v>8.8249999999999993</v>
      </c>
      <c r="D73" s="385"/>
      <c r="E73" s="385"/>
      <c r="I73" s="385"/>
    </row>
    <row r="74" spans="1:9" x14ac:dyDescent="0.25">
      <c r="A74">
        <v>52</v>
      </c>
      <c r="B74" s="384">
        <v>41640</v>
      </c>
      <c r="C74" s="385">
        <v>8.7880000000000003</v>
      </c>
      <c r="D74" s="385"/>
      <c r="E74" s="385"/>
      <c r="I74" s="385"/>
    </row>
    <row r="75" spans="1:9" x14ac:dyDescent="0.25">
      <c r="A75">
        <v>51</v>
      </c>
      <c r="B75" s="384">
        <v>41671</v>
      </c>
      <c r="C75" s="385">
        <v>8.8610000000000007</v>
      </c>
      <c r="D75" s="385"/>
      <c r="E75" s="385"/>
      <c r="I75" s="385"/>
    </row>
    <row r="76" spans="1:9" x14ac:dyDescent="0.25">
      <c r="A76">
        <v>50</v>
      </c>
      <c r="B76" s="384">
        <v>41699</v>
      </c>
      <c r="C76" s="385">
        <v>8.81</v>
      </c>
      <c r="D76" s="385"/>
      <c r="E76" s="385"/>
      <c r="I76" s="385"/>
    </row>
    <row r="77" spans="1:9" x14ac:dyDescent="0.25">
      <c r="A77">
        <v>49</v>
      </c>
      <c r="B77" s="384">
        <v>41730</v>
      </c>
      <c r="C77" s="385">
        <v>8.83</v>
      </c>
      <c r="D77" s="384">
        <f>B77</f>
        <v>41730</v>
      </c>
      <c r="E77" s="385">
        <f>AVERAGE(C77:C88)</f>
        <v>8.283666666666667</v>
      </c>
      <c r="I77" s="385"/>
    </row>
    <row r="78" spans="1:9" x14ac:dyDescent="0.25">
      <c r="A78">
        <v>48</v>
      </c>
      <c r="B78" s="384">
        <v>41760</v>
      </c>
      <c r="C78" s="385">
        <v>8.6460000000000008</v>
      </c>
      <c r="D78" s="385"/>
      <c r="E78" s="385"/>
      <c r="I78" s="385"/>
    </row>
    <row r="79" spans="1:9" x14ac:dyDescent="0.25">
      <c r="A79">
        <v>47</v>
      </c>
      <c r="B79" s="384">
        <v>41791</v>
      </c>
      <c r="C79" s="385">
        <v>8.7469999999999999</v>
      </c>
      <c r="D79" s="385"/>
      <c r="E79" s="385"/>
      <c r="I79" s="385"/>
    </row>
    <row r="80" spans="1:9" x14ac:dyDescent="0.25">
      <c r="A80">
        <v>46</v>
      </c>
      <c r="B80" s="384">
        <v>41821</v>
      </c>
      <c r="C80" s="385">
        <v>8.7219999999999995</v>
      </c>
      <c r="D80" s="385"/>
      <c r="E80" s="385"/>
      <c r="I80" s="385"/>
    </row>
    <row r="81" spans="1:9" x14ac:dyDescent="0.25">
      <c r="A81">
        <v>45</v>
      </c>
      <c r="B81" s="384">
        <v>41852</v>
      </c>
      <c r="C81" s="385">
        <v>8.5649999999999995</v>
      </c>
      <c r="D81" s="385"/>
      <c r="E81" s="385"/>
      <c r="I81" s="385"/>
    </row>
    <row r="82" spans="1:9" x14ac:dyDescent="0.25">
      <c r="A82">
        <v>44</v>
      </c>
      <c r="B82" s="384">
        <v>41883</v>
      </c>
      <c r="C82" s="385">
        <v>8.516</v>
      </c>
      <c r="D82" s="385"/>
      <c r="E82" s="385"/>
      <c r="I82" s="385"/>
    </row>
    <row r="83" spans="1:9" x14ac:dyDescent="0.25">
      <c r="A83">
        <v>43</v>
      </c>
      <c r="B83" s="384">
        <v>41913</v>
      </c>
      <c r="C83" s="385">
        <v>8.2769999999999992</v>
      </c>
      <c r="D83" s="385"/>
      <c r="E83" s="385"/>
      <c r="I83" s="385"/>
    </row>
    <row r="84" spans="1:9" x14ac:dyDescent="0.25">
      <c r="A84">
        <v>42</v>
      </c>
      <c r="B84" s="384">
        <v>41944</v>
      </c>
      <c r="C84" s="385">
        <v>8.0869999999999997</v>
      </c>
      <c r="D84" s="385"/>
      <c r="E84" s="385"/>
      <c r="I84" s="385"/>
    </row>
    <row r="85" spans="1:9" x14ac:dyDescent="0.25">
      <c r="A85">
        <v>41</v>
      </c>
      <c r="B85" s="384">
        <v>41974</v>
      </c>
      <c r="C85" s="385">
        <v>7.8570000000000002</v>
      </c>
      <c r="D85" s="385"/>
      <c r="E85" s="385"/>
      <c r="I85" s="385"/>
    </row>
    <row r="86" spans="1:9" x14ac:dyDescent="0.25">
      <c r="A86">
        <v>40</v>
      </c>
      <c r="B86" s="384">
        <v>42005</v>
      </c>
      <c r="C86" s="385">
        <v>7.6929999999999996</v>
      </c>
      <c r="D86" s="385"/>
      <c r="E86" s="385"/>
      <c r="I86" s="385"/>
    </row>
    <row r="87" spans="1:9" x14ac:dyDescent="0.25">
      <c r="A87">
        <v>39</v>
      </c>
      <c r="B87" s="384">
        <v>42036</v>
      </c>
      <c r="C87" s="385">
        <v>7.7279999999999998</v>
      </c>
      <c r="D87" s="385"/>
      <c r="E87" s="385"/>
      <c r="I87" s="385"/>
    </row>
    <row r="88" spans="1:9" x14ac:dyDescent="0.25">
      <c r="A88">
        <v>38</v>
      </c>
      <c r="B88" s="384">
        <v>42064</v>
      </c>
      <c r="C88" s="385">
        <v>7.7359999999999998</v>
      </c>
      <c r="D88" s="385"/>
      <c r="E88" s="385"/>
      <c r="I88" s="385"/>
    </row>
    <row r="89" spans="1:9" x14ac:dyDescent="0.25">
      <c r="A89">
        <v>37</v>
      </c>
      <c r="B89" s="384">
        <v>42095</v>
      </c>
      <c r="C89" s="385">
        <v>7.86</v>
      </c>
      <c r="D89" s="384">
        <f>B89</f>
        <v>42095</v>
      </c>
      <c r="E89" s="385">
        <f>AVERAGE(C89:C100)</f>
        <v>7.7274166666666666</v>
      </c>
      <c r="I89" s="385"/>
    </row>
    <row r="90" spans="1:9" x14ac:dyDescent="0.25">
      <c r="A90">
        <v>36</v>
      </c>
      <c r="B90" s="384">
        <v>42125</v>
      </c>
      <c r="C90" s="385">
        <v>7.8159999999999998</v>
      </c>
      <c r="D90" s="385"/>
      <c r="E90" s="385"/>
      <c r="I90" s="385"/>
    </row>
    <row r="91" spans="1:9" x14ac:dyDescent="0.25">
      <c r="A91">
        <v>35</v>
      </c>
      <c r="B91" s="384">
        <v>42156</v>
      </c>
      <c r="C91" s="385">
        <v>7.86</v>
      </c>
      <c r="D91" s="385"/>
      <c r="E91" s="385"/>
      <c r="I91" s="385"/>
    </row>
    <row r="92" spans="1:9" x14ac:dyDescent="0.25">
      <c r="A92">
        <v>34</v>
      </c>
      <c r="B92" s="384">
        <v>42186</v>
      </c>
      <c r="C92" s="385">
        <v>7.8079999999999998</v>
      </c>
      <c r="D92" s="385"/>
      <c r="E92" s="385"/>
      <c r="I92" s="385"/>
    </row>
    <row r="93" spans="1:9" x14ac:dyDescent="0.25">
      <c r="A93">
        <v>33</v>
      </c>
      <c r="B93" s="384">
        <v>42217</v>
      </c>
      <c r="C93" s="385">
        <v>7.7869999999999999</v>
      </c>
      <c r="D93" s="385"/>
      <c r="E93" s="385"/>
      <c r="I93" s="385"/>
    </row>
    <row r="94" spans="1:9" x14ac:dyDescent="0.25">
      <c r="A94">
        <v>32</v>
      </c>
      <c r="B94" s="384">
        <v>42248</v>
      </c>
      <c r="C94" s="385">
        <v>7.5410000000000004</v>
      </c>
      <c r="D94" s="385"/>
      <c r="E94" s="385"/>
      <c r="I94" s="385"/>
    </row>
    <row r="95" spans="1:9" x14ac:dyDescent="0.25">
      <c r="A95">
        <v>31</v>
      </c>
      <c r="B95" s="384">
        <v>42278</v>
      </c>
      <c r="C95" s="385">
        <v>7.641</v>
      </c>
      <c r="D95" s="385"/>
      <c r="E95" s="385"/>
      <c r="I95" s="385"/>
    </row>
    <row r="96" spans="1:9" x14ac:dyDescent="0.25">
      <c r="A96">
        <v>30</v>
      </c>
      <c r="B96" s="384">
        <v>42309</v>
      </c>
      <c r="C96" s="385">
        <v>7.7859999999999996</v>
      </c>
      <c r="D96" s="385"/>
      <c r="E96" s="385"/>
      <c r="I96" s="385"/>
    </row>
    <row r="97" spans="1:9" x14ac:dyDescent="0.25">
      <c r="A97">
        <v>29</v>
      </c>
      <c r="B97" s="384">
        <v>42339</v>
      </c>
      <c r="C97" s="385">
        <v>7.758</v>
      </c>
      <c r="D97" s="385"/>
      <c r="E97" s="385"/>
      <c r="I97" s="385"/>
    </row>
    <row r="98" spans="1:9" x14ac:dyDescent="0.25">
      <c r="A98">
        <v>28</v>
      </c>
      <c r="B98" s="384">
        <v>42370</v>
      </c>
      <c r="C98" s="385">
        <v>7.7830000000000004</v>
      </c>
      <c r="D98" s="385"/>
      <c r="E98" s="385"/>
      <c r="I98" s="385"/>
    </row>
    <row r="99" spans="1:9" x14ac:dyDescent="0.25">
      <c r="A99">
        <v>27</v>
      </c>
      <c r="B99" s="384">
        <v>42401</v>
      </c>
      <c r="C99" s="385">
        <v>7.6260000000000003</v>
      </c>
      <c r="D99" s="385"/>
      <c r="E99" s="385"/>
      <c r="I99" s="385"/>
    </row>
    <row r="100" spans="1:9" x14ac:dyDescent="0.25">
      <c r="A100">
        <v>26</v>
      </c>
      <c r="B100" s="384">
        <v>42430</v>
      </c>
      <c r="C100" s="385">
        <v>7.4630000000000001</v>
      </c>
      <c r="D100" s="385"/>
      <c r="E100" s="385"/>
      <c r="I100" s="385"/>
    </row>
    <row r="101" spans="1:9" x14ac:dyDescent="0.25">
      <c r="A101">
        <v>25</v>
      </c>
      <c r="B101" s="384">
        <v>42461</v>
      </c>
      <c r="C101" s="385">
        <v>7.4370000000000003</v>
      </c>
      <c r="D101" s="384">
        <f>B101</f>
        <v>42461</v>
      </c>
      <c r="E101" s="385">
        <f>AVERAGE(C101:C112)</f>
        <v>6.9346666666666659</v>
      </c>
      <c r="I101" s="385"/>
    </row>
    <row r="102" spans="1:9" x14ac:dyDescent="0.25">
      <c r="A102">
        <v>24</v>
      </c>
      <c r="B102" s="384">
        <v>42491</v>
      </c>
      <c r="C102" s="385">
        <v>7.4710000000000001</v>
      </c>
      <c r="D102" s="385"/>
      <c r="E102" s="385"/>
      <c r="I102" s="385"/>
    </row>
    <row r="103" spans="1:9" x14ac:dyDescent="0.25">
      <c r="A103">
        <v>23</v>
      </c>
      <c r="B103" s="384">
        <v>42522</v>
      </c>
      <c r="C103" s="385">
        <v>7.45</v>
      </c>
      <c r="D103" s="385"/>
      <c r="E103" s="385"/>
      <c r="I103" s="385"/>
    </row>
    <row r="104" spans="1:9" x14ac:dyDescent="0.25">
      <c r="A104">
        <v>22</v>
      </c>
      <c r="B104" s="384">
        <v>42552</v>
      </c>
      <c r="C104" s="385">
        <v>7.1639999999999997</v>
      </c>
      <c r="D104" s="385"/>
      <c r="E104" s="385"/>
      <c r="I104" s="385"/>
    </row>
    <row r="105" spans="1:9" x14ac:dyDescent="0.25">
      <c r="A105">
        <v>21</v>
      </c>
      <c r="B105" s="384">
        <v>42583</v>
      </c>
      <c r="C105" s="385">
        <v>7.11</v>
      </c>
      <c r="D105" s="385"/>
      <c r="E105" s="385"/>
      <c r="I105" s="385"/>
    </row>
    <row r="106" spans="1:9" x14ac:dyDescent="0.25">
      <c r="A106">
        <v>20</v>
      </c>
      <c r="B106" s="384">
        <v>42614</v>
      </c>
      <c r="C106" s="385">
        <v>6.9619999999999997</v>
      </c>
      <c r="D106" s="385"/>
      <c r="E106" s="385"/>
      <c r="I106" s="385"/>
    </row>
    <row r="107" spans="1:9" x14ac:dyDescent="0.25">
      <c r="A107">
        <v>19</v>
      </c>
      <c r="B107" s="384">
        <v>42644</v>
      </c>
      <c r="C107" s="385">
        <v>6.8860000000000001</v>
      </c>
      <c r="D107" s="385"/>
      <c r="E107" s="385"/>
      <c r="I107" s="385"/>
    </row>
    <row r="108" spans="1:9" x14ac:dyDescent="0.25">
      <c r="A108">
        <v>18</v>
      </c>
      <c r="B108" s="384">
        <v>42675</v>
      </c>
      <c r="C108" s="385">
        <v>6.2460000000000004</v>
      </c>
      <c r="D108" s="385"/>
      <c r="E108" s="385"/>
      <c r="I108" s="385"/>
    </row>
    <row r="109" spans="1:9" x14ac:dyDescent="0.25">
      <c r="A109">
        <v>17</v>
      </c>
      <c r="B109" s="384">
        <v>42705</v>
      </c>
      <c r="C109" s="385">
        <v>6.516</v>
      </c>
      <c r="D109" s="385"/>
      <c r="E109" s="385"/>
      <c r="I109" s="385"/>
    </row>
    <row r="110" spans="1:9" x14ac:dyDescent="0.25">
      <c r="A110">
        <v>16</v>
      </c>
      <c r="B110" s="384">
        <v>42736</v>
      </c>
      <c r="C110" s="385">
        <v>6.4089999999999998</v>
      </c>
      <c r="D110" s="385"/>
      <c r="E110" s="385"/>
      <c r="I110" s="385"/>
    </row>
    <row r="111" spans="1:9" x14ac:dyDescent="0.25">
      <c r="A111">
        <v>15</v>
      </c>
      <c r="B111" s="384">
        <v>42767</v>
      </c>
      <c r="C111" s="385">
        <v>6.8710000000000004</v>
      </c>
      <c r="D111" s="385"/>
      <c r="E111" s="385"/>
      <c r="I111" s="385"/>
    </row>
    <row r="112" spans="1:9" x14ac:dyDescent="0.25">
      <c r="A112">
        <v>14</v>
      </c>
      <c r="B112" s="384">
        <v>42795</v>
      </c>
      <c r="C112" s="385">
        <v>6.694</v>
      </c>
      <c r="D112" s="385"/>
      <c r="E112" s="385"/>
      <c r="I112" s="385"/>
    </row>
    <row r="113" spans="1:9" x14ac:dyDescent="0.25">
      <c r="A113">
        <v>13</v>
      </c>
      <c r="B113" s="384">
        <v>42826</v>
      </c>
      <c r="C113" s="385">
        <v>6.9640000000000004</v>
      </c>
      <c r="D113" s="384">
        <f>B113</f>
        <v>42826</v>
      </c>
      <c r="E113" s="385">
        <f>AVERAGE(C113:C124)</f>
        <v>6.9661666666666662</v>
      </c>
      <c r="I113" s="385"/>
    </row>
    <row r="114" spans="1:9" x14ac:dyDescent="0.25">
      <c r="A114">
        <v>12</v>
      </c>
      <c r="B114" s="384">
        <v>42856</v>
      </c>
      <c r="C114" s="385">
        <v>6.6639999999999997</v>
      </c>
      <c r="D114" s="385"/>
      <c r="E114" s="385"/>
      <c r="I114" s="385"/>
    </row>
    <row r="115" spans="1:9" x14ac:dyDescent="0.25">
      <c r="A115">
        <v>11</v>
      </c>
      <c r="B115" s="384">
        <v>42887</v>
      </c>
      <c r="C115" s="385">
        <v>6.5110000000000001</v>
      </c>
      <c r="D115" s="385"/>
      <c r="E115" s="385"/>
      <c r="I115" s="385"/>
    </row>
    <row r="116" spans="1:9" x14ac:dyDescent="0.25">
      <c r="A116">
        <v>10</v>
      </c>
      <c r="B116" s="384">
        <v>42917</v>
      </c>
      <c r="C116" s="385">
        <v>6.4660000000000002</v>
      </c>
      <c r="D116" s="385"/>
      <c r="E116" s="385"/>
      <c r="I116" s="385"/>
    </row>
    <row r="117" spans="1:9" x14ac:dyDescent="0.25">
      <c r="A117">
        <v>9</v>
      </c>
      <c r="B117" s="384">
        <v>42948</v>
      </c>
      <c r="C117" s="385">
        <v>6.5259999999999998</v>
      </c>
      <c r="D117" s="385"/>
      <c r="E117" s="385"/>
      <c r="I117" s="385"/>
    </row>
    <row r="118" spans="1:9" x14ac:dyDescent="0.25">
      <c r="A118">
        <v>8</v>
      </c>
      <c r="B118" s="384">
        <v>42979</v>
      </c>
      <c r="C118" s="385">
        <v>6.6669999999999998</v>
      </c>
      <c r="D118" s="385"/>
      <c r="E118" s="385"/>
      <c r="I118" s="385"/>
    </row>
    <row r="119" spans="1:9" x14ac:dyDescent="0.25">
      <c r="A119">
        <v>7</v>
      </c>
      <c r="B119" s="384">
        <v>43009</v>
      </c>
      <c r="C119" s="385">
        <v>6.8620000000000001</v>
      </c>
      <c r="D119" s="385"/>
      <c r="E119" s="385"/>
      <c r="I119" s="385"/>
    </row>
    <row r="120" spans="1:9" x14ac:dyDescent="0.25">
      <c r="A120">
        <v>6</v>
      </c>
      <c r="B120" s="384">
        <v>43040</v>
      </c>
      <c r="C120" s="385">
        <v>7.0620000000000003</v>
      </c>
      <c r="D120" s="385"/>
      <c r="E120" s="385"/>
      <c r="I120" s="385"/>
    </row>
    <row r="121" spans="1:9" x14ac:dyDescent="0.25">
      <c r="A121">
        <v>5</v>
      </c>
      <c r="B121" s="384">
        <v>43070</v>
      </c>
      <c r="C121" s="385">
        <v>7.3179999999999996</v>
      </c>
      <c r="D121" s="385"/>
      <c r="E121" s="385"/>
      <c r="I121" s="385"/>
    </row>
    <row r="122" spans="1:9" x14ac:dyDescent="0.25">
      <c r="A122">
        <v>4</v>
      </c>
      <c r="B122" s="384">
        <v>43101</v>
      </c>
      <c r="C122" s="385">
        <v>7.43</v>
      </c>
      <c r="D122" s="385"/>
      <c r="E122" s="385"/>
      <c r="I122" s="385"/>
    </row>
    <row r="123" spans="1:9" x14ac:dyDescent="0.25">
      <c r="A123">
        <v>3</v>
      </c>
      <c r="B123" s="384">
        <v>43132</v>
      </c>
      <c r="C123" s="385">
        <v>7.726</v>
      </c>
      <c r="D123" s="385"/>
      <c r="E123" s="385"/>
      <c r="I123" s="385"/>
    </row>
    <row r="124" spans="1:9" x14ac:dyDescent="0.25">
      <c r="A124">
        <v>2</v>
      </c>
      <c r="B124" s="384">
        <v>43160</v>
      </c>
      <c r="C124" s="385">
        <v>7.3979999999999997</v>
      </c>
      <c r="D124" s="385"/>
      <c r="E124" s="385"/>
      <c r="I124" s="385"/>
    </row>
    <row r="125" spans="1:9" x14ac:dyDescent="0.25">
      <c r="A125">
        <v>1</v>
      </c>
      <c r="B125" s="384">
        <v>43191</v>
      </c>
      <c r="C125" s="385">
        <v>7.76</v>
      </c>
      <c r="D125" s="385"/>
      <c r="E125" s="385"/>
      <c r="I125" s="385"/>
    </row>
  </sheetData>
  <sortState ref="A2:C125">
    <sortCondition descending="1" ref="A2:A125"/>
  </sortState>
  <pageMargins left="0.7" right="0.7" top="0.75" bottom="0.75" header="0.3" footer="0.3"/>
  <pageSetup orientation="portrait" horizontalDpi="0"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B4" activePane="bottomRight" state="frozen"/>
      <selection pane="topRight" activeCell="B1" sqref="B1"/>
      <selection pane="bottomLeft" activeCell="A4" sqref="A4"/>
      <selection pane="bottomRight" activeCell="K12" sqref="K12"/>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v>8K MILES SOFTWARE SERVICES LTD</v>
      </c>
      <c r="E1" t="str">
        <f>UPDATE</f>
        <v/>
      </c>
      <c r="J1" s="4" t="s">
        <v>1</v>
      </c>
      <c r="K1" s="4"/>
    </row>
    <row r="3" spans="1:11" s="2" customFormat="1" x14ac:dyDescent="0.25">
      <c r="A3" s="15" t="s">
        <v>2</v>
      </c>
      <c r="B3" s="16">
        <f>'Data Sheet'!B41</f>
        <v>42460</v>
      </c>
      <c r="C3" s="16">
        <f>'Data Sheet'!C41</f>
        <v>42551</v>
      </c>
      <c r="D3" s="16">
        <f>'Data Sheet'!D41</f>
        <v>42643</v>
      </c>
      <c r="E3" s="16">
        <f>'Data Sheet'!E41</f>
        <v>42735</v>
      </c>
      <c r="F3" s="16">
        <f>'Data Sheet'!F41</f>
        <v>42825</v>
      </c>
      <c r="G3" s="16">
        <f>'Data Sheet'!G41</f>
        <v>42916</v>
      </c>
      <c r="H3" s="16">
        <f>'Data Sheet'!H41</f>
        <v>43008</v>
      </c>
      <c r="I3" s="16">
        <f>'Data Sheet'!I41</f>
        <v>43100</v>
      </c>
      <c r="J3" s="16">
        <f>'Data Sheet'!J41</f>
        <v>43190</v>
      </c>
      <c r="K3" s="16">
        <f>'Data Sheet'!K41</f>
        <v>43281</v>
      </c>
    </row>
    <row r="4" spans="1:11" s="8" customFormat="1" x14ac:dyDescent="0.25">
      <c r="A4" s="8" t="s">
        <v>6</v>
      </c>
      <c r="B4" s="1">
        <f>'Data Sheet'!B42</f>
        <v>86.23</v>
      </c>
      <c r="C4" s="1">
        <f>'Data Sheet'!C42</f>
        <v>103.87</v>
      </c>
      <c r="D4" s="1">
        <f>'Data Sheet'!D42</f>
        <v>122.18</v>
      </c>
      <c r="E4" s="1">
        <f>'Data Sheet'!E42</f>
        <v>141.72999999999999</v>
      </c>
      <c r="F4" s="1">
        <f>'Data Sheet'!F42</f>
        <v>166.6</v>
      </c>
      <c r="G4" s="1">
        <f>'Data Sheet'!G42</f>
        <v>195.42</v>
      </c>
      <c r="H4" s="1">
        <f>'Data Sheet'!H42</f>
        <v>210.62</v>
      </c>
      <c r="I4" s="1">
        <f>'Data Sheet'!I42</f>
        <v>223.88</v>
      </c>
      <c r="J4" s="1">
        <f>'Data Sheet'!J42</f>
        <v>227.19</v>
      </c>
      <c r="K4" s="1">
        <f>'Data Sheet'!K42</f>
        <v>240.22</v>
      </c>
    </row>
    <row r="5" spans="1:11" x14ac:dyDescent="0.25">
      <c r="A5" s="6" t="s">
        <v>7</v>
      </c>
      <c r="B5" s="9">
        <f>'Data Sheet'!B43</f>
        <v>60.02</v>
      </c>
      <c r="C5" s="9">
        <f>'Data Sheet'!C43</f>
        <v>67.12</v>
      </c>
      <c r="D5" s="9">
        <f>'Data Sheet'!D43</f>
        <v>79.790000000000006</v>
      </c>
      <c r="E5" s="9">
        <f>'Data Sheet'!E43</f>
        <v>92.97</v>
      </c>
      <c r="F5" s="9">
        <f>'Data Sheet'!F43</f>
        <v>108.31</v>
      </c>
      <c r="G5" s="9">
        <f>'Data Sheet'!G43</f>
        <v>131.80000000000001</v>
      </c>
      <c r="H5" s="9">
        <f>'Data Sheet'!H43</f>
        <v>140.57</v>
      </c>
      <c r="I5" s="9">
        <f>'Data Sheet'!I43</f>
        <v>147.13</v>
      </c>
      <c r="J5" s="9">
        <f>'Data Sheet'!J43</f>
        <v>146.04</v>
      </c>
      <c r="K5" s="9">
        <f>'Data Sheet'!K43</f>
        <v>156.52000000000001</v>
      </c>
    </row>
    <row r="6" spans="1:11" s="8" customFormat="1" x14ac:dyDescent="0.25">
      <c r="A6" s="8" t="s">
        <v>8</v>
      </c>
      <c r="B6" s="1">
        <f>'Data Sheet'!B50</f>
        <v>26.21</v>
      </c>
      <c r="C6" s="1">
        <f>'Data Sheet'!C50</f>
        <v>36.75</v>
      </c>
      <c r="D6" s="1">
        <f>'Data Sheet'!D50</f>
        <v>42.39</v>
      </c>
      <c r="E6" s="1">
        <f>'Data Sheet'!E50</f>
        <v>48.76</v>
      </c>
      <c r="F6" s="1">
        <f>'Data Sheet'!F50</f>
        <v>58.29</v>
      </c>
      <c r="G6" s="1">
        <f>'Data Sheet'!G50</f>
        <v>63.62</v>
      </c>
      <c r="H6" s="1">
        <f>'Data Sheet'!H50</f>
        <v>70.05</v>
      </c>
      <c r="I6" s="1">
        <f>'Data Sheet'!I50</f>
        <v>76.75</v>
      </c>
      <c r="J6" s="1">
        <f>'Data Sheet'!J50</f>
        <v>81.150000000000006</v>
      </c>
      <c r="K6" s="1">
        <f>'Data Sheet'!K50</f>
        <v>83.7</v>
      </c>
    </row>
    <row r="7" spans="1:11" x14ac:dyDescent="0.25">
      <c r="A7" s="6" t="s">
        <v>9</v>
      </c>
      <c r="B7" s="9">
        <f>'Data Sheet'!B44</f>
        <v>0.13</v>
      </c>
      <c r="C7" s="9">
        <f>'Data Sheet'!C44</f>
        <v>0.03</v>
      </c>
      <c r="D7" s="9">
        <f>'Data Sheet'!D44</f>
        <v>0.04</v>
      </c>
      <c r="E7" s="9">
        <f>'Data Sheet'!E44</f>
        <v>0.04</v>
      </c>
      <c r="F7" s="9">
        <f>'Data Sheet'!F44</f>
        <v>0.05</v>
      </c>
      <c r="G7" s="9">
        <f>'Data Sheet'!G44</f>
        <v>0.36</v>
      </c>
      <c r="H7" s="9">
        <f>'Data Sheet'!H44</f>
        <v>0.5</v>
      </c>
      <c r="I7" s="9">
        <f>'Data Sheet'!I44</f>
        <v>0.59</v>
      </c>
      <c r="J7" s="9">
        <f>'Data Sheet'!J44</f>
        <v>1.43</v>
      </c>
      <c r="K7" s="9">
        <f>'Data Sheet'!K44</f>
        <v>4.8600000000000003</v>
      </c>
    </row>
    <row r="8" spans="1:11" x14ac:dyDescent="0.25">
      <c r="A8" s="6" t="s">
        <v>10</v>
      </c>
      <c r="B8" s="9">
        <f>'Data Sheet'!B45</f>
        <v>5.44</v>
      </c>
      <c r="C8" s="9">
        <f>'Data Sheet'!C45</f>
        <v>5.58</v>
      </c>
      <c r="D8" s="9">
        <f>'Data Sheet'!D45</f>
        <v>4.54</v>
      </c>
      <c r="E8" s="9">
        <f>'Data Sheet'!E45</f>
        <v>4.9800000000000004</v>
      </c>
      <c r="F8" s="9">
        <f>'Data Sheet'!F45</f>
        <v>4.59</v>
      </c>
      <c r="G8" s="9">
        <f>'Data Sheet'!G45</f>
        <v>5.7</v>
      </c>
      <c r="H8" s="9">
        <f>'Data Sheet'!H45</f>
        <v>7.07</v>
      </c>
      <c r="I8" s="9">
        <f>'Data Sheet'!I45</f>
        <v>8.61</v>
      </c>
      <c r="J8" s="9">
        <f>'Data Sheet'!J45</f>
        <v>4.3899999999999997</v>
      </c>
      <c r="K8" s="9">
        <f>'Data Sheet'!K45</f>
        <v>11.76</v>
      </c>
    </row>
    <row r="9" spans="1:11" x14ac:dyDescent="0.25">
      <c r="A9" s="6" t="s">
        <v>11</v>
      </c>
      <c r="B9" s="9">
        <f>'Data Sheet'!B46</f>
        <v>0.11</v>
      </c>
      <c r="C9" s="9">
        <f>'Data Sheet'!C46</f>
        <v>0.08</v>
      </c>
      <c r="D9" s="9">
        <f>'Data Sheet'!D46</f>
        <v>0.09</v>
      </c>
      <c r="E9" s="9">
        <f>'Data Sheet'!E46</f>
        <v>0.31</v>
      </c>
      <c r="F9" s="9">
        <f>'Data Sheet'!F46</f>
        <v>1.46</v>
      </c>
      <c r="G9" s="9">
        <f>'Data Sheet'!G46</f>
        <v>1.25</v>
      </c>
      <c r="H9" s="9">
        <f>'Data Sheet'!H46</f>
        <v>1.77</v>
      </c>
      <c r="I9" s="9">
        <f>'Data Sheet'!I46</f>
        <v>2.0699999999999998</v>
      </c>
      <c r="J9" s="9">
        <f>'Data Sheet'!J46</f>
        <v>4.62</v>
      </c>
      <c r="K9" s="9">
        <f>'Data Sheet'!K46</f>
        <v>2.08</v>
      </c>
    </row>
    <row r="10" spans="1:11" x14ac:dyDescent="0.25">
      <c r="A10" s="6" t="s">
        <v>12</v>
      </c>
      <c r="B10" s="9">
        <f>'Data Sheet'!B47</f>
        <v>20.79</v>
      </c>
      <c r="C10" s="9">
        <f>'Data Sheet'!C47</f>
        <v>31.12</v>
      </c>
      <c r="D10" s="9">
        <f>'Data Sheet'!D47</f>
        <v>37.799999999999997</v>
      </c>
      <c r="E10" s="9">
        <f>'Data Sheet'!E47</f>
        <v>43.51</v>
      </c>
      <c r="F10" s="9">
        <f>'Data Sheet'!F47</f>
        <v>52.28</v>
      </c>
      <c r="G10" s="9">
        <f>'Data Sheet'!G47</f>
        <v>57.02</v>
      </c>
      <c r="H10" s="9">
        <f>'Data Sheet'!H47</f>
        <v>61.71</v>
      </c>
      <c r="I10" s="9">
        <f>'Data Sheet'!I47</f>
        <v>66.64</v>
      </c>
      <c r="J10" s="9">
        <f>'Data Sheet'!J47</f>
        <v>73.569999999999993</v>
      </c>
      <c r="K10" s="9">
        <f>'Data Sheet'!K47</f>
        <v>74.72</v>
      </c>
    </row>
    <row r="11" spans="1:11" x14ac:dyDescent="0.25">
      <c r="A11" s="6" t="s">
        <v>13</v>
      </c>
      <c r="B11" s="9">
        <f>'Data Sheet'!B48</f>
        <v>4.43</v>
      </c>
      <c r="C11" s="9">
        <f>'Data Sheet'!C48</f>
        <v>6.96</v>
      </c>
      <c r="D11" s="9">
        <f>'Data Sheet'!D48</f>
        <v>9.1300000000000008</v>
      </c>
      <c r="E11" s="9">
        <f>'Data Sheet'!E48</f>
        <v>10.91</v>
      </c>
      <c r="F11" s="9">
        <f>'Data Sheet'!F48</f>
        <v>12.11</v>
      </c>
      <c r="G11" s="9">
        <f>'Data Sheet'!G48</f>
        <v>12.87</v>
      </c>
      <c r="H11" s="9">
        <f>'Data Sheet'!H48</f>
        <v>14</v>
      </c>
      <c r="I11" s="9">
        <f>'Data Sheet'!I48</f>
        <v>15.14</v>
      </c>
      <c r="J11" s="9">
        <f>'Data Sheet'!J48</f>
        <v>17.850000000000001</v>
      </c>
      <c r="K11" s="9">
        <f>'Data Sheet'!K48</f>
        <v>16.22</v>
      </c>
    </row>
    <row r="12" spans="1:11" s="8" customFormat="1" x14ac:dyDescent="0.25">
      <c r="A12" s="8" t="s">
        <v>14</v>
      </c>
      <c r="B12" s="1">
        <f>'Data Sheet'!B49</f>
        <v>16.36</v>
      </c>
      <c r="C12" s="1">
        <f>'Data Sheet'!C49</f>
        <v>24.15</v>
      </c>
      <c r="D12" s="1">
        <f>'Data Sheet'!D49</f>
        <v>28.67</v>
      </c>
      <c r="E12" s="1">
        <f>'Data Sheet'!E49</f>
        <v>32.6</v>
      </c>
      <c r="F12" s="1">
        <f>'Data Sheet'!F49</f>
        <v>40.18</v>
      </c>
      <c r="G12" s="1">
        <f>'Data Sheet'!G49</f>
        <v>44.15</v>
      </c>
      <c r="H12" s="1">
        <f>'Data Sheet'!H49</f>
        <v>47.71</v>
      </c>
      <c r="I12" s="1">
        <f>'Data Sheet'!I49</f>
        <v>51.5</v>
      </c>
      <c r="J12" s="1">
        <f>'Data Sheet'!J49</f>
        <v>55.73</v>
      </c>
      <c r="K12" s="1">
        <f>'Data Sheet'!K49</f>
        <v>58.5</v>
      </c>
    </row>
    <row r="14" spans="1:11" s="8" customFormat="1" x14ac:dyDescent="0.25">
      <c r="A14" s="2" t="s">
        <v>18</v>
      </c>
      <c r="B14" s="14">
        <f>IF(B4&gt;0,B6/B4,"")</f>
        <v>0.30395454018323087</v>
      </c>
      <c r="C14" s="14">
        <f t="shared" ref="C14:K14" si="0">IF(C4&gt;0,C6/C4,"")</f>
        <v>0.35380764417059785</v>
      </c>
      <c r="D14" s="14">
        <f t="shared" si="0"/>
        <v>0.34694712718939269</v>
      </c>
      <c r="E14" s="14">
        <f t="shared" si="0"/>
        <v>0.34403443166584352</v>
      </c>
      <c r="F14" s="14">
        <f t="shared" si="0"/>
        <v>0.3498799519807923</v>
      </c>
      <c r="G14" s="14">
        <f t="shared" si="0"/>
        <v>0.32555521440998875</v>
      </c>
      <c r="H14" s="14">
        <f t="shared" si="0"/>
        <v>0.33258949767353524</v>
      </c>
      <c r="I14" s="14">
        <f t="shared" si="0"/>
        <v>0.34281758084688224</v>
      </c>
      <c r="J14" s="14">
        <f t="shared" si="0"/>
        <v>0.35719001716624854</v>
      </c>
      <c r="K14" s="14">
        <f t="shared" si="0"/>
        <v>0.34843060527849473</v>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topLeftCell="A7" workbookViewId="0">
      <selection activeCell="B16" sqref="B16"/>
    </sheetView>
  </sheetViews>
  <sheetFormatPr defaultRowHeight="15" x14ac:dyDescent="0.25"/>
  <cols>
    <col min="1" max="1" width="20.140625" bestFit="1" customWidth="1"/>
  </cols>
  <sheetData>
    <row r="1" spans="1:13" x14ac:dyDescent="0.25">
      <c r="A1" t="str">
        <f>'Data Sheet'!A1</f>
        <v>COMPANY NAME</v>
      </c>
      <c r="B1" t="str">
        <f>'Data Sheet'!B1</f>
        <v>8K MILES SOFTWARE SERVICES LTD</v>
      </c>
    </row>
    <row r="2" spans="1:13" x14ac:dyDescent="0.25">
      <c r="A2" t="str">
        <f>'Data Sheet'!A2</f>
        <v>LATEST VERSION</v>
      </c>
      <c r="B2">
        <f>'Data Sheet'!B2</f>
        <v>2.1</v>
      </c>
    </row>
    <row r="3" spans="1:13" x14ac:dyDescent="0.25">
      <c r="A3" t="str">
        <f>'Data Sheet'!A3</f>
        <v>CURRENT VERSION</v>
      </c>
      <c r="B3">
        <f>'Data Sheet'!B3</f>
        <v>2.1</v>
      </c>
    </row>
    <row r="5" spans="1:13" x14ac:dyDescent="0.25">
      <c r="A5" t="str">
        <f>'Data Sheet'!A5</f>
        <v>META</v>
      </c>
    </row>
    <row r="6" spans="1:13" x14ac:dyDescent="0.25">
      <c r="A6" t="str">
        <f>'Data Sheet'!A6</f>
        <v>Number of shares</v>
      </c>
      <c r="B6">
        <f>'Data Sheet'!B6</f>
        <v>3.0517574899740509</v>
      </c>
    </row>
    <row r="7" spans="1:13" x14ac:dyDescent="0.25">
      <c r="A7" t="str">
        <f>'Data Sheet'!A7</f>
        <v>Face Value</v>
      </c>
      <c r="B7">
        <f>'Data Sheet'!B7</f>
        <v>5</v>
      </c>
    </row>
    <row r="8" spans="1:13" x14ac:dyDescent="0.25">
      <c r="A8" t="str">
        <f>'Data Sheet'!A8</f>
        <v>Current Price</v>
      </c>
      <c r="B8">
        <f>'Data Sheet'!B8</f>
        <v>211.95</v>
      </c>
    </row>
    <row r="9" spans="1:13" x14ac:dyDescent="0.25">
      <c r="A9" t="str">
        <f>'Data Sheet'!A9</f>
        <v>Market Capitalization</v>
      </c>
      <c r="B9">
        <f>'Data Sheet'!B9</f>
        <v>646.82000000000005</v>
      </c>
    </row>
    <row r="15" spans="1:13" x14ac:dyDescent="0.25">
      <c r="A15" t="str">
        <f>'Data Sheet'!A15</f>
        <v>PROFIT &amp; LOSS</v>
      </c>
    </row>
    <row r="16" spans="1:13" x14ac:dyDescent="0.25">
      <c r="A16" t="str">
        <f>'Data Sheet'!A16</f>
        <v>Report Date</v>
      </c>
      <c r="B16" s="16">
        <f>'Data Sheet'!B16</f>
        <v>39903</v>
      </c>
      <c r="C16" s="16">
        <f>'Data Sheet'!C16</f>
        <v>40268</v>
      </c>
      <c r="D16" s="16">
        <f>'Data Sheet'!D16</f>
        <v>40633</v>
      </c>
      <c r="E16" s="16">
        <f>'Data Sheet'!E16</f>
        <v>40999</v>
      </c>
      <c r="F16" s="16">
        <f>'Data Sheet'!F16</f>
        <v>41364</v>
      </c>
      <c r="G16" s="16">
        <f>'Data Sheet'!G16</f>
        <v>41729</v>
      </c>
      <c r="H16" s="16">
        <f>'Data Sheet'!H16</f>
        <v>42094</v>
      </c>
      <c r="I16" s="16">
        <f>'Data Sheet'!I16</f>
        <v>42460</v>
      </c>
      <c r="J16" s="16">
        <f>'Data Sheet'!J16</f>
        <v>42825</v>
      </c>
      <c r="K16" s="16">
        <f>'Data Sheet'!K16</f>
        <v>43190</v>
      </c>
      <c r="L16" t="s">
        <v>974</v>
      </c>
      <c r="M16" t="s">
        <v>975</v>
      </c>
    </row>
    <row r="17" spans="1:13" x14ac:dyDescent="0.25">
      <c r="A17" t="str">
        <f>'Data Sheet'!A17</f>
        <v>Sales</v>
      </c>
      <c r="B17">
        <f>'Data Sheet'!B17</f>
        <v>0</v>
      </c>
      <c r="C17">
        <f>'Data Sheet'!C17</f>
        <v>0</v>
      </c>
      <c r="D17">
        <f>'Data Sheet'!D17</f>
        <v>16.32</v>
      </c>
      <c r="E17">
        <f>'Data Sheet'!E17</f>
        <v>21.06</v>
      </c>
      <c r="F17">
        <f>'Data Sheet'!F17</f>
        <v>26.21</v>
      </c>
      <c r="G17">
        <f>'Data Sheet'!G17</f>
        <v>44.06</v>
      </c>
      <c r="H17">
        <f>'Data Sheet'!H17</f>
        <v>124.85</v>
      </c>
      <c r="I17">
        <f>'Data Sheet'!I17</f>
        <v>271.93</v>
      </c>
      <c r="J17">
        <f>'Data Sheet'!J17</f>
        <v>528.34</v>
      </c>
      <c r="K17">
        <f>'Data Sheet'!K17</f>
        <v>849.24</v>
      </c>
      <c r="L17">
        <f>L42</f>
        <v>503.75</v>
      </c>
      <c r="M17">
        <f>M42</f>
        <v>691.29</v>
      </c>
    </row>
    <row r="18" spans="1:13" x14ac:dyDescent="0.25">
      <c r="A18" t="str">
        <f>'Data Sheet'!A18</f>
        <v>Raw Material Cost</v>
      </c>
      <c r="B18">
        <f>'Data Sheet'!B18</f>
        <v>0</v>
      </c>
      <c r="C18">
        <f>'Data Sheet'!C18</f>
        <v>0</v>
      </c>
      <c r="D18">
        <f>'Data Sheet'!D18</f>
        <v>0</v>
      </c>
      <c r="E18">
        <f>'Data Sheet'!E18</f>
        <v>0</v>
      </c>
      <c r="F18">
        <f>'Data Sheet'!F18</f>
        <v>0</v>
      </c>
      <c r="G18">
        <f>'Data Sheet'!G18</f>
        <v>0</v>
      </c>
      <c r="H18">
        <f>'Data Sheet'!H18</f>
        <v>0</v>
      </c>
      <c r="I18">
        <f>'Data Sheet'!I18</f>
        <v>0</v>
      </c>
      <c r="J18">
        <f>'Data Sheet'!J18</f>
        <v>0</v>
      </c>
      <c r="K18">
        <f>'Data Sheet'!K18</f>
        <v>0</v>
      </c>
    </row>
    <row r="19" spans="1:13" x14ac:dyDescent="0.25">
      <c r="A19" t="str">
        <f>'Data Sheet'!A19</f>
        <v>Change in Inventory</v>
      </c>
      <c r="B19">
        <f>'Data Sheet'!B19</f>
        <v>0</v>
      </c>
      <c r="C19">
        <f>'Data Sheet'!C19</f>
        <v>0</v>
      </c>
      <c r="D19">
        <f>'Data Sheet'!D19</f>
        <v>0</v>
      </c>
      <c r="E19">
        <f>'Data Sheet'!E19</f>
        <v>0</v>
      </c>
      <c r="F19">
        <f>'Data Sheet'!F19</f>
        <v>0</v>
      </c>
      <c r="G19">
        <f>'Data Sheet'!G19</f>
        <v>0</v>
      </c>
      <c r="H19">
        <f>'Data Sheet'!H19</f>
        <v>0</v>
      </c>
      <c r="I19">
        <f>'Data Sheet'!I19</f>
        <v>0</v>
      </c>
      <c r="J19">
        <f>'Data Sheet'!J19</f>
        <v>0</v>
      </c>
      <c r="K19">
        <f>'Data Sheet'!K19</f>
        <v>0</v>
      </c>
    </row>
    <row r="20" spans="1:13" x14ac:dyDescent="0.25">
      <c r="A20" t="str">
        <f>'Data Sheet'!A20</f>
        <v>Power and Fuel</v>
      </c>
      <c r="B20">
        <f>'Data Sheet'!B20</f>
        <v>0.01</v>
      </c>
      <c r="C20">
        <f>'Data Sheet'!C20</f>
        <v>0</v>
      </c>
      <c r="D20">
        <f>'Data Sheet'!D20</f>
        <v>0</v>
      </c>
      <c r="E20">
        <f>'Data Sheet'!E20</f>
        <v>0</v>
      </c>
      <c r="F20">
        <f>'Data Sheet'!F20</f>
        <v>0</v>
      </c>
      <c r="G20">
        <f>'Data Sheet'!G20</f>
        <v>0.05</v>
      </c>
      <c r="H20">
        <f>'Data Sheet'!H20</f>
        <v>0</v>
      </c>
      <c r="I20">
        <f>'Data Sheet'!I20</f>
        <v>0</v>
      </c>
      <c r="J20">
        <f>'Data Sheet'!J20</f>
        <v>0.28000000000000003</v>
      </c>
      <c r="K20">
        <f>'Data Sheet'!K20</f>
        <v>0.3</v>
      </c>
    </row>
    <row r="21" spans="1:13" x14ac:dyDescent="0.25">
      <c r="A21" t="str">
        <f>'Data Sheet'!A21</f>
        <v>Other Mfr. Exp</v>
      </c>
      <c r="B21">
        <f>'Data Sheet'!B21</f>
        <v>0</v>
      </c>
      <c r="C21">
        <f>'Data Sheet'!C21</f>
        <v>0</v>
      </c>
      <c r="D21">
        <f>'Data Sheet'!D21</f>
        <v>0</v>
      </c>
      <c r="E21">
        <f>'Data Sheet'!E21</f>
        <v>0</v>
      </c>
      <c r="F21">
        <f>'Data Sheet'!F21</f>
        <v>0</v>
      </c>
      <c r="G21">
        <f>'Data Sheet'!G21</f>
        <v>0.01</v>
      </c>
      <c r="H21">
        <f>'Data Sheet'!H21</f>
        <v>0</v>
      </c>
      <c r="I21">
        <f>'Data Sheet'!I21</f>
        <v>0</v>
      </c>
      <c r="J21">
        <f>'Data Sheet'!J21</f>
        <v>2.13</v>
      </c>
      <c r="K21">
        <f>'Data Sheet'!K21</f>
        <v>1.47</v>
      </c>
    </row>
    <row r="22" spans="1:13" x14ac:dyDescent="0.25">
      <c r="A22" t="str">
        <f>'Data Sheet'!A22</f>
        <v>Employee Cost</v>
      </c>
      <c r="B22">
        <f>'Data Sheet'!B22</f>
        <v>0.03</v>
      </c>
      <c r="C22">
        <f>'Data Sheet'!C22</f>
        <v>0.01</v>
      </c>
      <c r="D22">
        <f>'Data Sheet'!D22</f>
        <v>10.56</v>
      </c>
      <c r="E22">
        <f>'Data Sheet'!E22</f>
        <v>13.13</v>
      </c>
      <c r="F22">
        <f>'Data Sheet'!F22</f>
        <v>15.67</v>
      </c>
      <c r="G22">
        <f>'Data Sheet'!G22</f>
        <v>23.36</v>
      </c>
      <c r="H22">
        <f>'Data Sheet'!H22</f>
        <v>56.65</v>
      </c>
      <c r="I22">
        <f>'Data Sheet'!I22</f>
        <v>127.33</v>
      </c>
      <c r="J22">
        <f>'Data Sheet'!J22</f>
        <v>176.36</v>
      </c>
      <c r="K22">
        <f>'Data Sheet'!K22</f>
        <v>235.58</v>
      </c>
    </row>
    <row r="23" spans="1:13" x14ac:dyDescent="0.25">
      <c r="A23" t="str">
        <f>'Data Sheet'!A23</f>
        <v>Selling and admin</v>
      </c>
      <c r="B23">
        <f>'Data Sheet'!B23</f>
        <v>0.02</v>
      </c>
      <c r="C23">
        <f>'Data Sheet'!C23</f>
        <v>0.04</v>
      </c>
      <c r="D23">
        <f>'Data Sheet'!D23</f>
        <v>2.5099999999999998</v>
      </c>
      <c r="E23">
        <f>'Data Sheet'!E23</f>
        <v>0.55000000000000004</v>
      </c>
      <c r="F23">
        <f>'Data Sheet'!F23</f>
        <v>0.24</v>
      </c>
      <c r="G23">
        <f>'Data Sheet'!G23</f>
        <v>6.65</v>
      </c>
      <c r="H23">
        <f>'Data Sheet'!H23</f>
        <v>29.93</v>
      </c>
      <c r="I23">
        <f>'Data Sheet'!I23</f>
        <v>56.09</v>
      </c>
      <c r="J23">
        <f>'Data Sheet'!J23</f>
        <v>151.69999999999999</v>
      </c>
      <c r="K23">
        <f>'Data Sheet'!K23</f>
        <v>295.47000000000003</v>
      </c>
    </row>
    <row r="24" spans="1:13" x14ac:dyDescent="0.25">
      <c r="A24" t="str">
        <f>'Data Sheet'!A24</f>
        <v>Other Expenses</v>
      </c>
      <c r="B24">
        <f>'Data Sheet'!B24</f>
        <v>0.04</v>
      </c>
      <c r="C24">
        <f>'Data Sheet'!C24</f>
        <v>0</v>
      </c>
      <c r="D24">
        <f>'Data Sheet'!D24</f>
        <v>0.02</v>
      </c>
      <c r="E24">
        <f>'Data Sheet'!E24</f>
        <v>2.38</v>
      </c>
      <c r="F24">
        <f>'Data Sheet'!F24</f>
        <v>4.8600000000000003</v>
      </c>
      <c r="G24">
        <f>'Data Sheet'!G24</f>
        <v>0.18</v>
      </c>
      <c r="H24">
        <f>'Data Sheet'!H24</f>
        <v>0</v>
      </c>
      <c r="I24">
        <f>'Data Sheet'!I24</f>
        <v>0</v>
      </c>
      <c r="J24">
        <f>'Data Sheet'!J24</f>
        <v>13.07</v>
      </c>
      <c r="K24">
        <f>'Data Sheet'!K24</f>
        <v>23.05</v>
      </c>
    </row>
    <row r="25" spans="1:13" x14ac:dyDescent="0.25">
      <c r="A25" t="str">
        <f>'Data Sheet'!A25</f>
        <v>Other Income</v>
      </c>
      <c r="B25">
        <f>'Data Sheet'!B25</f>
        <v>1.35</v>
      </c>
      <c r="C25">
        <f>'Data Sheet'!C25</f>
        <v>0.09</v>
      </c>
      <c r="D25">
        <f>'Data Sheet'!D25</f>
        <v>0.02</v>
      </c>
      <c r="E25">
        <f>'Data Sheet'!E25</f>
        <v>0.06</v>
      </c>
      <c r="F25">
        <f>'Data Sheet'!F25</f>
        <v>7.0000000000000007E-2</v>
      </c>
      <c r="G25">
        <f>'Data Sheet'!G25</f>
        <v>0.05</v>
      </c>
      <c r="H25">
        <f>'Data Sheet'!H25</f>
        <v>0.28999999999999998</v>
      </c>
      <c r="I25">
        <f>'Data Sheet'!I25</f>
        <v>0.21</v>
      </c>
      <c r="J25">
        <f>'Data Sheet'!J25</f>
        <v>0.9</v>
      </c>
      <c r="K25">
        <f>'Data Sheet'!K25</f>
        <v>8.4499999999999993</v>
      </c>
      <c r="L25">
        <f t="shared" ref="L25:M30" si="0">L44</f>
        <v>0.44999999999999996</v>
      </c>
      <c r="M25">
        <f t="shared" si="0"/>
        <v>6.88</v>
      </c>
    </row>
    <row r="26" spans="1:13" x14ac:dyDescent="0.25">
      <c r="A26" t="str">
        <f>'Data Sheet'!A26</f>
        <v>Depreciation</v>
      </c>
      <c r="B26">
        <f>'Data Sheet'!B26</f>
        <v>0</v>
      </c>
      <c r="C26">
        <f>'Data Sheet'!C26</f>
        <v>0</v>
      </c>
      <c r="D26">
        <f>'Data Sheet'!D26</f>
        <v>0.69</v>
      </c>
      <c r="E26">
        <f>'Data Sheet'!E26</f>
        <v>0.8</v>
      </c>
      <c r="F26">
        <f>'Data Sheet'!F26</f>
        <v>0.81</v>
      </c>
      <c r="G26">
        <f>'Data Sheet'!G26</f>
        <v>4.3099999999999996</v>
      </c>
      <c r="H26">
        <f>'Data Sheet'!H26</f>
        <v>9.1199999999999992</v>
      </c>
      <c r="I26">
        <f>'Data Sheet'!I26</f>
        <v>20.23</v>
      </c>
      <c r="J26">
        <f>'Data Sheet'!J26</f>
        <v>13.52</v>
      </c>
      <c r="K26">
        <f>'Data Sheet'!K26</f>
        <v>25.19</v>
      </c>
      <c r="L26">
        <f t="shared" si="0"/>
        <v>15.27</v>
      </c>
      <c r="M26">
        <f t="shared" si="0"/>
        <v>24.759999999999998</v>
      </c>
    </row>
    <row r="27" spans="1:13" x14ac:dyDescent="0.25">
      <c r="A27" t="str">
        <f>'Data Sheet'!A27</f>
        <v>Interest</v>
      </c>
      <c r="B27">
        <f>'Data Sheet'!B27</f>
        <v>0</v>
      </c>
      <c r="C27">
        <f>'Data Sheet'!C27</f>
        <v>0</v>
      </c>
      <c r="D27">
        <f>'Data Sheet'!D27</f>
        <v>0.02</v>
      </c>
      <c r="E27">
        <f>'Data Sheet'!E27</f>
        <v>0.05</v>
      </c>
      <c r="F27">
        <f>'Data Sheet'!F27</f>
        <v>0.17</v>
      </c>
      <c r="G27">
        <f>'Data Sheet'!G27</f>
        <v>0.37</v>
      </c>
      <c r="H27">
        <f>'Data Sheet'!H27</f>
        <v>0.45</v>
      </c>
      <c r="I27">
        <f>'Data Sheet'!I27</f>
        <v>0.21</v>
      </c>
      <c r="J27">
        <f>'Data Sheet'!J27</f>
        <v>1.64</v>
      </c>
      <c r="K27">
        <f>'Data Sheet'!K27</f>
        <v>10.66</v>
      </c>
      <c r="L27">
        <f t="shared" si="0"/>
        <v>3.02</v>
      </c>
      <c r="M27">
        <f t="shared" si="0"/>
        <v>8.77</v>
      </c>
    </row>
    <row r="28" spans="1:13" x14ac:dyDescent="0.25">
      <c r="A28" t="str">
        <f>'Data Sheet'!A28</f>
        <v>Profit before tax</v>
      </c>
      <c r="B28">
        <f>'Data Sheet'!B28</f>
        <v>1.25</v>
      </c>
      <c r="C28">
        <f>'Data Sheet'!C28</f>
        <v>0.04</v>
      </c>
      <c r="D28">
        <f>'Data Sheet'!D28</f>
        <v>2.54</v>
      </c>
      <c r="E28">
        <f>'Data Sheet'!E28</f>
        <v>4.21</v>
      </c>
      <c r="F28">
        <f>'Data Sheet'!F28</f>
        <v>4.53</v>
      </c>
      <c r="G28">
        <f>'Data Sheet'!G28</f>
        <v>9.16</v>
      </c>
      <c r="H28">
        <f>'Data Sheet'!H28</f>
        <v>28.99</v>
      </c>
      <c r="I28">
        <f>'Data Sheet'!I28</f>
        <v>68.290000000000006</v>
      </c>
      <c r="J28">
        <f>'Data Sheet'!J28</f>
        <v>170.54</v>
      </c>
      <c r="K28">
        <f>'Data Sheet'!K28</f>
        <v>265.97000000000003</v>
      </c>
      <c r="L28">
        <f t="shared" si="0"/>
        <v>152.81</v>
      </c>
      <c r="M28">
        <f t="shared" si="0"/>
        <v>214.93</v>
      </c>
    </row>
    <row r="29" spans="1:13" x14ac:dyDescent="0.25">
      <c r="A29" t="str">
        <f>'Data Sheet'!A29</f>
        <v>Tax</v>
      </c>
      <c r="B29">
        <f>'Data Sheet'!B29</f>
        <v>0</v>
      </c>
      <c r="C29">
        <f>'Data Sheet'!C29</f>
        <v>0</v>
      </c>
      <c r="D29">
        <f>'Data Sheet'!D29</f>
        <v>0.45</v>
      </c>
      <c r="E29">
        <f>'Data Sheet'!E29</f>
        <v>0.7</v>
      </c>
      <c r="F29">
        <f>'Data Sheet'!F29</f>
        <v>0.55000000000000004</v>
      </c>
      <c r="G29">
        <f>'Data Sheet'!G29</f>
        <v>1.73</v>
      </c>
      <c r="H29">
        <f>'Data Sheet'!H29</f>
        <v>5.9</v>
      </c>
      <c r="I29">
        <f>'Data Sheet'!I29</f>
        <v>15.05</v>
      </c>
      <c r="J29">
        <f>'Data Sheet'!J29</f>
        <v>41.36</v>
      </c>
      <c r="K29">
        <f>'Data Sheet'!K29</f>
        <v>60.55</v>
      </c>
      <c r="L29">
        <f t="shared" si="0"/>
        <v>35.89</v>
      </c>
      <c r="M29">
        <f t="shared" si="0"/>
        <v>49.21</v>
      </c>
    </row>
    <row r="30" spans="1:13" x14ac:dyDescent="0.25">
      <c r="A30" t="str">
        <f>'Data Sheet'!A30</f>
        <v>Net profit</v>
      </c>
      <c r="B30">
        <f>'Data Sheet'!B30</f>
        <v>1.25</v>
      </c>
      <c r="C30">
        <f>'Data Sheet'!C30</f>
        <v>0.04</v>
      </c>
      <c r="D30">
        <f>'Data Sheet'!D30</f>
        <v>2.09</v>
      </c>
      <c r="E30">
        <f>'Data Sheet'!E30</f>
        <v>3.5</v>
      </c>
      <c r="F30">
        <f>'Data Sheet'!F30</f>
        <v>3.97</v>
      </c>
      <c r="G30">
        <f>'Data Sheet'!G30</f>
        <v>6.08</v>
      </c>
      <c r="H30">
        <f>'Data Sheet'!H30</f>
        <v>18.98</v>
      </c>
      <c r="I30">
        <f>'Data Sheet'!I30</f>
        <v>39.590000000000003</v>
      </c>
      <c r="J30">
        <f>'Data Sheet'!J30</f>
        <v>104.47</v>
      </c>
      <c r="K30">
        <f>'Data Sheet'!K30</f>
        <v>171.62</v>
      </c>
      <c r="L30">
        <f t="shared" si="0"/>
        <v>116.93</v>
      </c>
      <c r="M30">
        <f t="shared" si="0"/>
        <v>165.73</v>
      </c>
    </row>
    <row r="31" spans="1:13" x14ac:dyDescent="0.25">
      <c r="A31" t="str">
        <f>'Data Sheet'!A31</f>
        <v>Dividend Amount</v>
      </c>
      <c r="B31">
        <f>'Data Sheet'!B31</f>
        <v>0</v>
      </c>
      <c r="C31">
        <f>'Data Sheet'!C31</f>
        <v>0</v>
      </c>
      <c r="D31">
        <f>'Data Sheet'!D31</f>
        <v>0</v>
      </c>
      <c r="E31">
        <f>'Data Sheet'!E31</f>
        <v>0</v>
      </c>
      <c r="F31">
        <f>'Data Sheet'!F31</f>
        <v>0</v>
      </c>
      <c r="G31">
        <f>'Data Sheet'!G31</f>
        <v>0</v>
      </c>
      <c r="H31">
        <f>'Data Sheet'!H31</f>
        <v>0</v>
      </c>
      <c r="I31">
        <f>'Data Sheet'!I31</f>
        <v>0</v>
      </c>
      <c r="J31">
        <f>'Data Sheet'!J31</f>
        <v>3.05</v>
      </c>
      <c r="K31">
        <f>'Data Sheet'!K31</f>
        <v>0</v>
      </c>
    </row>
    <row r="40" spans="1:13" x14ac:dyDescent="0.25">
      <c r="A40" t="str">
        <f>'Data Sheet'!A40</f>
        <v>Quarters</v>
      </c>
    </row>
    <row r="41" spans="1:13" x14ac:dyDescent="0.25">
      <c r="A41" t="str">
        <f>'Data Sheet'!A41</f>
        <v>Report Date</v>
      </c>
      <c r="B41" s="16">
        <f>'Data Sheet'!B41</f>
        <v>42460</v>
      </c>
      <c r="C41" s="16">
        <f>'Data Sheet'!C41</f>
        <v>42551</v>
      </c>
      <c r="D41" s="16">
        <f>'Data Sheet'!D41</f>
        <v>42643</v>
      </c>
      <c r="E41" s="16">
        <f>'Data Sheet'!E41</f>
        <v>42735</v>
      </c>
      <c r="F41" s="16">
        <f>'Data Sheet'!F41</f>
        <v>42825</v>
      </c>
      <c r="G41" s="16">
        <f>'Data Sheet'!G41</f>
        <v>42916</v>
      </c>
      <c r="H41" s="16">
        <f>'Data Sheet'!H41</f>
        <v>43008</v>
      </c>
      <c r="I41" s="16">
        <f>'Data Sheet'!I41</f>
        <v>43100</v>
      </c>
      <c r="J41" s="16">
        <f>'Data Sheet'!J41</f>
        <v>43190</v>
      </c>
      <c r="K41" s="16">
        <f>'Data Sheet'!K41</f>
        <v>43281</v>
      </c>
      <c r="L41" t="s">
        <v>976</v>
      </c>
      <c r="M41" t="s">
        <v>977</v>
      </c>
    </row>
    <row r="42" spans="1:13" x14ac:dyDescent="0.25">
      <c r="A42" t="str">
        <f>'Data Sheet'!A42</f>
        <v>Sales</v>
      </c>
      <c r="B42">
        <f>'Data Sheet'!B42</f>
        <v>86.23</v>
      </c>
      <c r="C42">
        <f>'Data Sheet'!C42</f>
        <v>103.87</v>
      </c>
      <c r="D42">
        <f>'Data Sheet'!D42</f>
        <v>122.18</v>
      </c>
      <c r="E42">
        <f>'Data Sheet'!E42</f>
        <v>141.72999999999999</v>
      </c>
      <c r="F42">
        <f>'Data Sheet'!F42</f>
        <v>166.6</v>
      </c>
      <c r="G42">
        <f>'Data Sheet'!G42</f>
        <v>195.42</v>
      </c>
      <c r="H42">
        <f>'Data Sheet'!H42</f>
        <v>210.62</v>
      </c>
      <c r="I42">
        <f>'Data Sheet'!I42</f>
        <v>223.88</v>
      </c>
      <c r="J42">
        <f>'Data Sheet'!J42</f>
        <v>227.19</v>
      </c>
      <c r="K42">
        <f>'Data Sheet'!K42</f>
        <v>240.22</v>
      </c>
      <c r="L42">
        <f t="shared" ref="L42:L50" si="1">G42+F42+E42</f>
        <v>503.75</v>
      </c>
      <c r="M42">
        <f t="shared" ref="M42:M50" si="2">K42+J42+I42</f>
        <v>691.29</v>
      </c>
    </row>
    <row r="43" spans="1:13" x14ac:dyDescent="0.25">
      <c r="A43" t="str">
        <f>'Data Sheet'!A43</f>
        <v>Expenses</v>
      </c>
      <c r="B43">
        <f>'Data Sheet'!B43</f>
        <v>60.02</v>
      </c>
      <c r="C43">
        <f>'Data Sheet'!C43</f>
        <v>67.12</v>
      </c>
      <c r="D43">
        <f>'Data Sheet'!D43</f>
        <v>79.790000000000006</v>
      </c>
      <c r="E43">
        <f>'Data Sheet'!E43</f>
        <v>92.97</v>
      </c>
      <c r="F43">
        <f>'Data Sheet'!F43</f>
        <v>108.31</v>
      </c>
      <c r="G43">
        <f>'Data Sheet'!G43</f>
        <v>131.80000000000001</v>
      </c>
      <c r="H43">
        <f>'Data Sheet'!H43</f>
        <v>140.57</v>
      </c>
      <c r="I43">
        <f>'Data Sheet'!I43</f>
        <v>147.13</v>
      </c>
      <c r="J43">
        <f>'Data Sheet'!J43</f>
        <v>146.04</v>
      </c>
      <c r="K43">
        <f>'Data Sheet'!K43</f>
        <v>156.52000000000001</v>
      </c>
      <c r="L43">
        <f t="shared" si="1"/>
        <v>333.08000000000004</v>
      </c>
      <c r="M43">
        <f t="shared" si="2"/>
        <v>449.69</v>
      </c>
    </row>
    <row r="44" spans="1:13" x14ac:dyDescent="0.25">
      <c r="A44" t="str">
        <f>'Data Sheet'!A44</f>
        <v>Other Income</v>
      </c>
      <c r="B44">
        <f>'Data Sheet'!B44</f>
        <v>0.13</v>
      </c>
      <c r="C44">
        <f>'Data Sheet'!C44</f>
        <v>0.03</v>
      </c>
      <c r="D44">
        <f>'Data Sheet'!D44</f>
        <v>0.04</v>
      </c>
      <c r="E44">
        <f>'Data Sheet'!E44</f>
        <v>0.04</v>
      </c>
      <c r="F44">
        <f>'Data Sheet'!F44</f>
        <v>0.05</v>
      </c>
      <c r="G44">
        <f>'Data Sheet'!G44</f>
        <v>0.36</v>
      </c>
      <c r="H44">
        <f>'Data Sheet'!H44</f>
        <v>0.5</v>
      </c>
      <c r="I44">
        <f>'Data Sheet'!I44</f>
        <v>0.59</v>
      </c>
      <c r="J44">
        <f>'Data Sheet'!J44</f>
        <v>1.43</v>
      </c>
      <c r="K44">
        <f>'Data Sheet'!K44</f>
        <v>4.8600000000000003</v>
      </c>
      <c r="L44">
        <f t="shared" si="1"/>
        <v>0.44999999999999996</v>
      </c>
      <c r="M44">
        <f t="shared" si="2"/>
        <v>6.88</v>
      </c>
    </row>
    <row r="45" spans="1:13" x14ac:dyDescent="0.25">
      <c r="A45" t="str">
        <f>'Data Sheet'!A45</f>
        <v>Depreciation</v>
      </c>
      <c r="B45">
        <f>'Data Sheet'!B45</f>
        <v>5.44</v>
      </c>
      <c r="C45">
        <f>'Data Sheet'!C45</f>
        <v>5.58</v>
      </c>
      <c r="D45">
        <f>'Data Sheet'!D45</f>
        <v>4.54</v>
      </c>
      <c r="E45">
        <f>'Data Sheet'!E45</f>
        <v>4.9800000000000004</v>
      </c>
      <c r="F45">
        <f>'Data Sheet'!F45</f>
        <v>4.59</v>
      </c>
      <c r="G45">
        <f>'Data Sheet'!G45</f>
        <v>5.7</v>
      </c>
      <c r="H45">
        <f>'Data Sheet'!H45</f>
        <v>7.07</v>
      </c>
      <c r="I45">
        <f>'Data Sheet'!I45</f>
        <v>8.61</v>
      </c>
      <c r="J45">
        <f>'Data Sheet'!J45</f>
        <v>4.3899999999999997</v>
      </c>
      <c r="K45">
        <f>'Data Sheet'!K45</f>
        <v>11.76</v>
      </c>
      <c r="L45">
        <f t="shared" si="1"/>
        <v>15.27</v>
      </c>
      <c r="M45">
        <f t="shared" si="2"/>
        <v>24.759999999999998</v>
      </c>
    </row>
    <row r="46" spans="1:13" x14ac:dyDescent="0.25">
      <c r="A46" t="str">
        <f>'Data Sheet'!A46</f>
        <v>Interest</v>
      </c>
      <c r="B46">
        <f>'Data Sheet'!B46</f>
        <v>0.11</v>
      </c>
      <c r="C46">
        <f>'Data Sheet'!C46</f>
        <v>0.08</v>
      </c>
      <c r="D46">
        <f>'Data Sheet'!D46</f>
        <v>0.09</v>
      </c>
      <c r="E46">
        <f>'Data Sheet'!E46</f>
        <v>0.31</v>
      </c>
      <c r="F46">
        <f>'Data Sheet'!F46</f>
        <v>1.46</v>
      </c>
      <c r="G46">
        <f>'Data Sheet'!G46</f>
        <v>1.25</v>
      </c>
      <c r="H46">
        <f>'Data Sheet'!H46</f>
        <v>1.77</v>
      </c>
      <c r="I46">
        <f>'Data Sheet'!I46</f>
        <v>2.0699999999999998</v>
      </c>
      <c r="J46">
        <f>'Data Sheet'!J46</f>
        <v>4.62</v>
      </c>
      <c r="K46">
        <f>'Data Sheet'!K46</f>
        <v>2.08</v>
      </c>
      <c r="L46">
        <f t="shared" si="1"/>
        <v>3.02</v>
      </c>
      <c r="M46">
        <f t="shared" si="2"/>
        <v>8.77</v>
      </c>
    </row>
    <row r="47" spans="1:13" x14ac:dyDescent="0.25">
      <c r="A47" t="str">
        <f>'Data Sheet'!A47</f>
        <v>Profit before tax</v>
      </c>
      <c r="B47">
        <f>'Data Sheet'!B47</f>
        <v>20.79</v>
      </c>
      <c r="C47">
        <f>'Data Sheet'!C47</f>
        <v>31.12</v>
      </c>
      <c r="D47">
        <f>'Data Sheet'!D47</f>
        <v>37.799999999999997</v>
      </c>
      <c r="E47">
        <f>'Data Sheet'!E47</f>
        <v>43.51</v>
      </c>
      <c r="F47">
        <f>'Data Sheet'!F47</f>
        <v>52.28</v>
      </c>
      <c r="G47">
        <f>'Data Sheet'!G47</f>
        <v>57.02</v>
      </c>
      <c r="H47">
        <f>'Data Sheet'!H47</f>
        <v>61.71</v>
      </c>
      <c r="I47">
        <f>'Data Sheet'!I47</f>
        <v>66.64</v>
      </c>
      <c r="J47">
        <f>'Data Sheet'!J47</f>
        <v>73.569999999999993</v>
      </c>
      <c r="K47">
        <f>'Data Sheet'!K47</f>
        <v>74.72</v>
      </c>
      <c r="L47">
        <f t="shared" si="1"/>
        <v>152.81</v>
      </c>
      <c r="M47">
        <f t="shared" si="2"/>
        <v>214.93</v>
      </c>
    </row>
    <row r="48" spans="1:13" x14ac:dyDescent="0.25">
      <c r="A48" t="str">
        <f>'Data Sheet'!A48</f>
        <v>Tax</v>
      </c>
      <c r="B48">
        <f>'Data Sheet'!B48</f>
        <v>4.43</v>
      </c>
      <c r="C48">
        <f>'Data Sheet'!C48</f>
        <v>6.96</v>
      </c>
      <c r="D48">
        <f>'Data Sheet'!D48</f>
        <v>9.1300000000000008</v>
      </c>
      <c r="E48">
        <f>'Data Sheet'!E48</f>
        <v>10.91</v>
      </c>
      <c r="F48">
        <f>'Data Sheet'!F48</f>
        <v>12.11</v>
      </c>
      <c r="G48">
        <f>'Data Sheet'!G48</f>
        <v>12.87</v>
      </c>
      <c r="H48">
        <f>'Data Sheet'!H48</f>
        <v>14</v>
      </c>
      <c r="I48">
        <f>'Data Sheet'!I48</f>
        <v>15.14</v>
      </c>
      <c r="J48">
        <f>'Data Sheet'!J48</f>
        <v>17.850000000000001</v>
      </c>
      <c r="K48">
        <f>'Data Sheet'!K48</f>
        <v>16.22</v>
      </c>
      <c r="L48">
        <f t="shared" si="1"/>
        <v>35.89</v>
      </c>
      <c r="M48">
        <f t="shared" si="2"/>
        <v>49.21</v>
      </c>
    </row>
    <row r="49" spans="1:13" x14ac:dyDescent="0.25">
      <c r="A49" t="str">
        <f>'Data Sheet'!A49</f>
        <v>Net profit</v>
      </c>
      <c r="B49">
        <f>'Data Sheet'!B49</f>
        <v>16.36</v>
      </c>
      <c r="C49">
        <f>'Data Sheet'!C49</f>
        <v>24.15</v>
      </c>
      <c r="D49">
        <f>'Data Sheet'!D49</f>
        <v>28.67</v>
      </c>
      <c r="E49">
        <f>'Data Sheet'!E49</f>
        <v>32.6</v>
      </c>
      <c r="F49">
        <f>'Data Sheet'!F49</f>
        <v>40.18</v>
      </c>
      <c r="G49">
        <f>'Data Sheet'!G49</f>
        <v>44.15</v>
      </c>
      <c r="H49">
        <f>'Data Sheet'!H49</f>
        <v>47.71</v>
      </c>
      <c r="I49">
        <f>'Data Sheet'!I49</f>
        <v>51.5</v>
      </c>
      <c r="J49">
        <f>'Data Sheet'!J49</f>
        <v>55.73</v>
      </c>
      <c r="K49">
        <f>'Data Sheet'!K49</f>
        <v>58.5</v>
      </c>
      <c r="L49">
        <f t="shared" si="1"/>
        <v>116.93</v>
      </c>
      <c r="M49">
        <f t="shared" si="2"/>
        <v>165.73</v>
      </c>
    </row>
    <row r="50" spans="1:13" x14ac:dyDescent="0.25">
      <c r="A50" t="str">
        <f>'Data Sheet'!A50</f>
        <v>Operating Profit</v>
      </c>
      <c r="B50">
        <f>'Data Sheet'!B50</f>
        <v>26.21</v>
      </c>
      <c r="C50">
        <f>'Data Sheet'!C50</f>
        <v>36.75</v>
      </c>
      <c r="D50">
        <f>'Data Sheet'!D50</f>
        <v>42.39</v>
      </c>
      <c r="E50">
        <f>'Data Sheet'!E50</f>
        <v>48.76</v>
      </c>
      <c r="F50">
        <f>'Data Sheet'!F50</f>
        <v>58.29</v>
      </c>
      <c r="G50">
        <f>'Data Sheet'!G50</f>
        <v>63.62</v>
      </c>
      <c r="H50">
        <f>'Data Sheet'!H50</f>
        <v>70.05</v>
      </c>
      <c r="I50">
        <f>'Data Sheet'!I50</f>
        <v>76.75</v>
      </c>
      <c r="J50">
        <f>'Data Sheet'!J50</f>
        <v>81.150000000000006</v>
      </c>
      <c r="K50">
        <f>'Data Sheet'!K50</f>
        <v>83.7</v>
      </c>
      <c r="L50">
        <f t="shared" si="1"/>
        <v>170.67</v>
      </c>
      <c r="M50">
        <f t="shared" si="2"/>
        <v>241.60000000000002</v>
      </c>
    </row>
    <row r="55" spans="1:13" x14ac:dyDescent="0.25">
      <c r="A55" t="str">
        <f>'Data Sheet'!A55</f>
        <v>BALANCE SHEET</v>
      </c>
    </row>
    <row r="56" spans="1:13" x14ac:dyDescent="0.25">
      <c r="A56" t="str">
        <f>'Data Sheet'!A56</f>
        <v>Report Date</v>
      </c>
      <c r="B56" s="16">
        <f>'Data Sheet'!B56</f>
        <v>39903</v>
      </c>
      <c r="C56" s="16">
        <f>'Data Sheet'!C56</f>
        <v>40268</v>
      </c>
      <c r="D56" s="16">
        <f>'Data Sheet'!D56</f>
        <v>40633</v>
      </c>
      <c r="E56" s="16">
        <f>'Data Sheet'!E56</f>
        <v>40999</v>
      </c>
      <c r="F56" s="16">
        <f>'Data Sheet'!F56</f>
        <v>41364</v>
      </c>
      <c r="G56" s="16">
        <f>'Data Sheet'!G56</f>
        <v>41729</v>
      </c>
      <c r="H56" s="16">
        <f>'Data Sheet'!H56</f>
        <v>42094</v>
      </c>
      <c r="I56" s="16">
        <f>'Data Sheet'!I56</f>
        <v>42460</v>
      </c>
      <c r="J56" s="16">
        <f>'Data Sheet'!J56</f>
        <v>42825</v>
      </c>
      <c r="K56" s="16">
        <f>'Data Sheet'!K56</f>
        <v>43190</v>
      </c>
    </row>
    <row r="57" spans="1:13" x14ac:dyDescent="0.25">
      <c r="A57" t="str">
        <f>'Data Sheet'!A57</f>
        <v>Equity Share Capital</v>
      </c>
      <c r="B57">
        <f>'Data Sheet'!B57</f>
        <v>1.56</v>
      </c>
      <c r="C57">
        <f>'Data Sheet'!C57</f>
        <v>1.56</v>
      </c>
      <c r="D57">
        <f>'Data Sheet'!D57</f>
        <v>5.55</v>
      </c>
      <c r="E57">
        <f>'Data Sheet'!E57</f>
        <v>5.55</v>
      </c>
      <c r="F57">
        <f>'Data Sheet'!F57</f>
        <v>10.039999999999999</v>
      </c>
      <c r="G57">
        <f>'Data Sheet'!G57</f>
        <v>10.039999999999999</v>
      </c>
      <c r="H57">
        <f>'Data Sheet'!H57</f>
        <v>10.34</v>
      </c>
      <c r="I57">
        <f>'Data Sheet'!I57</f>
        <v>10.89</v>
      </c>
      <c r="J57">
        <f>'Data Sheet'!J57</f>
        <v>15.26</v>
      </c>
      <c r="K57">
        <f>'Data Sheet'!K57</f>
        <v>15.26</v>
      </c>
    </row>
    <row r="58" spans="1:13" x14ac:dyDescent="0.25">
      <c r="A58" t="str">
        <f>'Data Sheet'!A58</f>
        <v>Reserves</v>
      </c>
      <c r="B58">
        <f>'Data Sheet'!B58</f>
        <v>4.88</v>
      </c>
      <c r="C58">
        <f>'Data Sheet'!C58</f>
        <v>4.92</v>
      </c>
      <c r="D58">
        <f>'Data Sheet'!D58</f>
        <v>15.14</v>
      </c>
      <c r="E58">
        <f>'Data Sheet'!E58</f>
        <v>19.96</v>
      </c>
      <c r="F58">
        <f>'Data Sheet'!F58</f>
        <v>17.55</v>
      </c>
      <c r="G58">
        <f>'Data Sheet'!G58</f>
        <v>51.96</v>
      </c>
      <c r="H58">
        <f>'Data Sheet'!H58</f>
        <v>89.44</v>
      </c>
      <c r="I58">
        <f>'Data Sheet'!I58</f>
        <v>193.56</v>
      </c>
      <c r="J58">
        <f>'Data Sheet'!J58</f>
        <v>304.69</v>
      </c>
      <c r="K58">
        <f>'Data Sheet'!K58</f>
        <v>475.84</v>
      </c>
    </row>
    <row r="59" spans="1:13" x14ac:dyDescent="0.25">
      <c r="A59" t="str">
        <f>'Data Sheet'!A59</f>
        <v>Borrowings</v>
      </c>
      <c r="B59">
        <f>'Data Sheet'!B59</f>
        <v>1.31</v>
      </c>
      <c r="C59">
        <f>'Data Sheet'!C59</f>
        <v>0</v>
      </c>
      <c r="D59">
        <f>'Data Sheet'!D59</f>
        <v>1.07</v>
      </c>
      <c r="E59">
        <f>'Data Sheet'!E59</f>
        <v>2.93</v>
      </c>
      <c r="F59">
        <f>'Data Sheet'!F59</f>
        <v>2.11</v>
      </c>
      <c r="G59">
        <f>'Data Sheet'!G59</f>
        <v>3.78</v>
      </c>
      <c r="H59">
        <f>'Data Sheet'!H59</f>
        <v>7.0000000000000007E-2</v>
      </c>
      <c r="I59">
        <f>'Data Sheet'!I59</f>
        <v>2.72</v>
      </c>
      <c r="J59">
        <f>'Data Sheet'!J59</f>
        <v>40.79</v>
      </c>
      <c r="K59">
        <f>'Data Sheet'!K59</f>
        <v>86.48</v>
      </c>
    </row>
    <row r="60" spans="1:13" x14ac:dyDescent="0.25">
      <c r="A60" t="str">
        <f>'Data Sheet'!A60</f>
        <v>Other Liabilities</v>
      </c>
      <c r="B60">
        <f>'Data Sheet'!B60</f>
        <v>0.16</v>
      </c>
      <c r="C60">
        <f>'Data Sheet'!C60</f>
        <v>0.15</v>
      </c>
      <c r="D60">
        <f>'Data Sheet'!D60</f>
        <v>13.57</v>
      </c>
      <c r="E60">
        <f>'Data Sheet'!E60</f>
        <v>15.97</v>
      </c>
      <c r="F60">
        <f>'Data Sheet'!F60</f>
        <v>15.06</v>
      </c>
      <c r="G60">
        <f>'Data Sheet'!G60</f>
        <v>33.78</v>
      </c>
      <c r="H60">
        <f>'Data Sheet'!H60</f>
        <v>52</v>
      </c>
      <c r="I60">
        <f>'Data Sheet'!I60</f>
        <v>106.94</v>
      </c>
      <c r="J60">
        <f>'Data Sheet'!J60</f>
        <v>150.77000000000001</v>
      </c>
      <c r="K60">
        <f>'Data Sheet'!K60</f>
        <v>243.64</v>
      </c>
    </row>
    <row r="61" spans="1:13" x14ac:dyDescent="0.25">
      <c r="A61" t="str">
        <f>'Data Sheet'!A61</f>
        <v>Total</v>
      </c>
      <c r="B61">
        <f>'Data Sheet'!B61</f>
        <v>7.91</v>
      </c>
      <c r="C61">
        <f>'Data Sheet'!C61</f>
        <v>6.63</v>
      </c>
      <c r="D61">
        <f>'Data Sheet'!D61</f>
        <v>35.33</v>
      </c>
      <c r="E61">
        <f>'Data Sheet'!E61</f>
        <v>44.41</v>
      </c>
      <c r="F61">
        <f>'Data Sheet'!F61</f>
        <v>44.76</v>
      </c>
      <c r="G61">
        <f>'Data Sheet'!G61</f>
        <v>99.56</v>
      </c>
      <c r="H61">
        <f>'Data Sheet'!H61</f>
        <v>151.85</v>
      </c>
      <c r="I61">
        <f>'Data Sheet'!I61</f>
        <v>314.11</v>
      </c>
      <c r="J61">
        <f>'Data Sheet'!J61</f>
        <v>511.51</v>
      </c>
      <c r="K61">
        <f>'Data Sheet'!K61</f>
        <v>821.22</v>
      </c>
    </row>
    <row r="62" spans="1:13" x14ac:dyDescent="0.25">
      <c r="A62" t="str">
        <f>'Data Sheet'!A62</f>
        <v>Net Block</v>
      </c>
      <c r="B62">
        <f>'Data Sheet'!B62</f>
        <v>0.11</v>
      </c>
      <c r="C62">
        <f>'Data Sheet'!C62</f>
        <v>0.09</v>
      </c>
      <c r="D62">
        <f>'Data Sheet'!D62</f>
        <v>6.05</v>
      </c>
      <c r="E62">
        <f>'Data Sheet'!E62</f>
        <v>5.98</v>
      </c>
      <c r="F62">
        <f>'Data Sheet'!F62</f>
        <v>0.73</v>
      </c>
      <c r="G62">
        <f>'Data Sheet'!G62</f>
        <v>52.25</v>
      </c>
      <c r="H62">
        <f>'Data Sheet'!H62</f>
        <v>79.12</v>
      </c>
      <c r="I62">
        <f>'Data Sheet'!I62</f>
        <v>146.37</v>
      </c>
      <c r="J62">
        <f>'Data Sheet'!J62</f>
        <v>187.4</v>
      </c>
      <c r="K62">
        <f>'Data Sheet'!K62</f>
        <v>358.34</v>
      </c>
    </row>
    <row r="63" spans="1:13" x14ac:dyDescent="0.25">
      <c r="A63" t="str">
        <f>'Data Sheet'!A63</f>
        <v>Capital Work in Progress</v>
      </c>
      <c r="B63">
        <f>'Data Sheet'!B63</f>
        <v>0</v>
      </c>
      <c r="C63">
        <f>'Data Sheet'!C63</f>
        <v>0</v>
      </c>
      <c r="D63">
        <f>'Data Sheet'!D63</f>
        <v>12.59</v>
      </c>
      <c r="E63">
        <f>'Data Sheet'!E63</f>
        <v>16.43</v>
      </c>
      <c r="F63">
        <f>'Data Sheet'!F63</f>
        <v>17.48</v>
      </c>
      <c r="G63">
        <f>'Data Sheet'!G63</f>
        <v>19.579999999999998</v>
      </c>
      <c r="H63">
        <f>'Data Sheet'!H63</f>
        <v>19.899999999999999</v>
      </c>
      <c r="I63">
        <f>'Data Sheet'!I63</f>
        <v>18.13</v>
      </c>
      <c r="J63">
        <f>'Data Sheet'!J63</f>
        <v>20.72</v>
      </c>
      <c r="K63">
        <f>'Data Sheet'!K63</f>
        <v>28.06</v>
      </c>
    </row>
    <row r="64" spans="1:13" x14ac:dyDescent="0.25">
      <c r="A64" t="str">
        <f>'Data Sheet'!A64</f>
        <v>Investments</v>
      </c>
      <c r="B64">
        <f>'Data Sheet'!B64</f>
        <v>0.71</v>
      </c>
      <c r="C64">
        <f>'Data Sheet'!C64</f>
        <v>0</v>
      </c>
      <c r="D64">
        <f>'Data Sheet'!D64</f>
        <v>0</v>
      </c>
      <c r="E64">
        <f>'Data Sheet'!E64</f>
        <v>0</v>
      </c>
      <c r="F64">
        <f>'Data Sheet'!F64</f>
        <v>0</v>
      </c>
      <c r="G64">
        <f>'Data Sheet'!G64</f>
        <v>0</v>
      </c>
      <c r="H64">
        <f>'Data Sheet'!H64</f>
        <v>0</v>
      </c>
      <c r="I64">
        <f>'Data Sheet'!I64</f>
        <v>0</v>
      </c>
      <c r="J64">
        <f>'Data Sheet'!J64</f>
        <v>0</v>
      </c>
      <c r="K64">
        <f>'Data Sheet'!K64</f>
        <v>0</v>
      </c>
    </row>
    <row r="65" spans="1:11" x14ac:dyDescent="0.25">
      <c r="A65" t="str">
        <f>'Data Sheet'!A65</f>
        <v>Other Assets</v>
      </c>
      <c r="B65">
        <f>'Data Sheet'!B65</f>
        <v>7.09</v>
      </c>
      <c r="C65">
        <f>'Data Sheet'!C65</f>
        <v>6.54</v>
      </c>
      <c r="D65">
        <f>'Data Sheet'!D65</f>
        <v>16.690000000000001</v>
      </c>
      <c r="E65">
        <f>'Data Sheet'!E65</f>
        <v>22</v>
      </c>
      <c r="F65">
        <f>'Data Sheet'!F65</f>
        <v>26.55</v>
      </c>
      <c r="G65">
        <f>'Data Sheet'!G65</f>
        <v>27.73</v>
      </c>
      <c r="H65">
        <f>'Data Sheet'!H65</f>
        <v>52.83</v>
      </c>
      <c r="I65">
        <f>'Data Sheet'!I65</f>
        <v>149.61000000000001</v>
      </c>
      <c r="J65">
        <f>'Data Sheet'!J65</f>
        <v>303.39</v>
      </c>
      <c r="K65">
        <f>'Data Sheet'!K65</f>
        <v>434.82</v>
      </c>
    </row>
    <row r="66" spans="1:11" x14ac:dyDescent="0.25">
      <c r="A66" t="str">
        <f>'Data Sheet'!A66</f>
        <v>Total</v>
      </c>
      <c r="B66">
        <f>'Data Sheet'!B66</f>
        <v>7.91</v>
      </c>
      <c r="C66">
        <f>'Data Sheet'!C66</f>
        <v>6.63</v>
      </c>
      <c r="D66">
        <f>'Data Sheet'!D66</f>
        <v>35.33</v>
      </c>
      <c r="E66">
        <f>'Data Sheet'!E66</f>
        <v>44.41</v>
      </c>
      <c r="F66">
        <f>'Data Sheet'!F66</f>
        <v>44.76</v>
      </c>
      <c r="G66">
        <f>'Data Sheet'!G66</f>
        <v>99.56</v>
      </c>
      <c r="H66">
        <f>'Data Sheet'!H66</f>
        <v>151.85</v>
      </c>
      <c r="I66">
        <f>'Data Sheet'!I66</f>
        <v>314.11</v>
      </c>
      <c r="J66">
        <f>'Data Sheet'!J66</f>
        <v>511.51</v>
      </c>
      <c r="K66">
        <f>'Data Sheet'!K66</f>
        <v>821.22</v>
      </c>
    </row>
    <row r="67" spans="1:11" x14ac:dyDescent="0.25">
      <c r="A67" t="str">
        <f>'Data Sheet'!A67</f>
        <v>Receivables</v>
      </c>
      <c r="B67">
        <f>'Data Sheet'!B67</f>
        <v>2.76</v>
      </c>
      <c r="C67">
        <f>'Data Sheet'!C67</f>
        <v>2.76</v>
      </c>
      <c r="D67">
        <f>'Data Sheet'!D67</f>
        <v>10.96</v>
      </c>
      <c r="E67">
        <f>'Data Sheet'!E67</f>
        <v>12.95</v>
      </c>
      <c r="F67">
        <f>'Data Sheet'!F67</f>
        <v>13.83</v>
      </c>
      <c r="G67">
        <f>'Data Sheet'!G67</f>
        <v>13.42</v>
      </c>
      <c r="H67">
        <f>'Data Sheet'!H67</f>
        <v>28.14</v>
      </c>
      <c r="I67">
        <f>'Data Sheet'!I67</f>
        <v>80.209999999999994</v>
      </c>
      <c r="J67">
        <f>'Data Sheet'!J67</f>
        <v>129.47999999999999</v>
      </c>
      <c r="K67">
        <f>'Data Sheet'!K67</f>
        <v>252.52</v>
      </c>
    </row>
    <row r="68" spans="1:11" x14ac:dyDescent="0.25">
      <c r="A68" t="str">
        <f>'Data Sheet'!A68</f>
        <v>Inventory</v>
      </c>
      <c r="B68">
        <f>'Data Sheet'!B68</f>
        <v>0</v>
      </c>
      <c r="C68">
        <f>'Data Sheet'!C68</f>
        <v>0</v>
      </c>
      <c r="D68">
        <f>'Data Sheet'!D68</f>
        <v>0</v>
      </c>
      <c r="E68">
        <f>'Data Sheet'!E68</f>
        <v>0</v>
      </c>
      <c r="F68">
        <f>'Data Sheet'!F68</f>
        <v>0</v>
      </c>
      <c r="G68">
        <f>'Data Sheet'!G68</f>
        <v>0</v>
      </c>
      <c r="H68">
        <f>'Data Sheet'!H68</f>
        <v>0</v>
      </c>
      <c r="I68">
        <f>'Data Sheet'!I68</f>
        <v>0</v>
      </c>
      <c r="J68">
        <f>'Data Sheet'!J68</f>
        <v>0</v>
      </c>
      <c r="K68">
        <f>'Data Sheet'!K68</f>
        <v>0</v>
      </c>
    </row>
    <row r="69" spans="1:11" x14ac:dyDescent="0.25">
      <c r="A69" t="str">
        <f>'Data Sheet'!A69</f>
        <v>Cash &amp; Bank</v>
      </c>
      <c r="B69">
        <f>'Data Sheet'!B69</f>
        <v>0</v>
      </c>
      <c r="C69">
        <f>'Data Sheet'!C69</f>
        <v>0.01</v>
      </c>
      <c r="D69">
        <f>'Data Sheet'!D69</f>
        <v>0.44</v>
      </c>
      <c r="E69">
        <f>'Data Sheet'!E69</f>
        <v>2.97</v>
      </c>
      <c r="F69">
        <f>'Data Sheet'!F69</f>
        <v>1.45</v>
      </c>
      <c r="G69">
        <f>'Data Sheet'!G69</f>
        <v>4.83</v>
      </c>
      <c r="H69">
        <f>'Data Sheet'!H69</f>
        <v>14.78</v>
      </c>
      <c r="I69">
        <f>'Data Sheet'!I69</f>
        <v>28.56</v>
      </c>
      <c r="J69">
        <f>'Data Sheet'!J69</f>
        <v>89.79</v>
      </c>
      <c r="K69">
        <f>'Data Sheet'!K69</f>
        <v>10.99</v>
      </c>
    </row>
    <row r="70" spans="1:11" x14ac:dyDescent="0.25">
      <c r="A70" t="str">
        <f>'Data Sheet'!A70</f>
        <v>No. of Equity Shares</v>
      </c>
      <c r="B70">
        <f>'Data Sheet'!B70</f>
        <v>1560000</v>
      </c>
      <c r="C70">
        <f>'Data Sheet'!C70</f>
        <v>1560000</v>
      </c>
      <c r="D70">
        <f>'Data Sheet'!D70</f>
        <v>5554161</v>
      </c>
      <c r="E70">
        <f>'Data Sheet'!E70</f>
        <v>5554161</v>
      </c>
      <c r="F70">
        <f>'Data Sheet'!F70</f>
        <v>10044102</v>
      </c>
      <c r="G70">
        <f>'Data Sheet'!G70</f>
        <v>10044102</v>
      </c>
      <c r="H70">
        <f>'Data Sheet'!H70</f>
        <v>10344102</v>
      </c>
      <c r="I70">
        <f>'Data Sheet'!I70</f>
        <v>10894102</v>
      </c>
      <c r="J70">
        <f>'Data Sheet'!J70</f>
        <v>30517605</v>
      </c>
      <c r="K70">
        <f>'Data Sheet'!K70</f>
        <v>30517605</v>
      </c>
    </row>
    <row r="71" spans="1:11" x14ac:dyDescent="0.25">
      <c r="A71" t="str">
        <f>'Data Sheet'!A71</f>
        <v>New Bonus Shares</v>
      </c>
      <c r="B71">
        <f>'Data Sheet'!B71</f>
        <v>0</v>
      </c>
      <c r="C71">
        <f>'Data Sheet'!C71</f>
        <v>0</v>
      </c>
      <c r="D71">
        <f>'Data Sheet'!D71</f>
        <v>0</v>
      </c>
      <c r="E71">
        <f>'Data Sheet'!E71</f>
        <v>0</v>
      </c>
      <c r="F71">
        <f>'Data Sheet'!F71</f>
        <v>4017641</v>
      </c>
      <c r="G71">
        <f>'Data Sheet'!G71</f>
        <v>0</v>
      </c>
      <c r="H71">
        <f>'Data Sheet'!H71</f>
        <v>0</v>
      </c>
      <c r="I71">
        <f>'Data Sheet'!I71</f>
        <v>0</v>
      </c>
      <c r="J71">
        <f>'Data Sheet'!J71</f>
        <v>7629401</v>
      </c>
      <c r="K71">
        <f>'Data Sheet'!K71</f>
        <v>0</v>
      </c>
    </row>
    <row r="72" spans="1:11" x14ac:dyDescent="0.25">
      <c r="A72" t="str">
        <f>'Data Sheet'!A72</f>
        <v>Face value</v>
      </c>
      <c r="B72">
        <f>'Data Sheet'!B72</f>
        <v>10</v>
      </c>
      <c r="C72">
        <f>'Data Sheet'!C72</f>
        <v>10</v>
      </c>
      <c r="D72">
        <f>'Data Sheet'!D72</f>
        <v>10</v>
      </c>
      <c r="E72">
        <f>'Data Sheet'!E72</f>
        <v>10</v>
      </c>
      <c r="F72">
        <f>'Data Sheet'!F72</f>
        <v>10</v>
      </c>
      <c r="G72">
        <f>'Data Sheet'!G72</f>
        <v>10</v>
      </c>
      <c r="H72">
        <f>'Data Sheet'!H72</f>
        <v>10</v>
      </c>
      <c r="I72">
        <f>'Data Sheet'!I72</f>
        <v>10</v>
      </c>
      <c r="J72">
        <f>'Data Sheet'!J72</f>
        <v>5</v>
      </c>
      <c r="K72">
        <f>'Data Sheet'!K72</f>
        <v>5</v>
      </c>
    </row>
    <row r="80" spans="1:11" x14ac:dyDescent="0.25">
      <c r="A80" t="str">
        <f>'Data Sheet'!A80</f>
        <v>CASH FLOW:</v>
      </c>
    </row>
    <row r="81" spans="1:11" x14ac:dyDescent="0.25">
      <c r="A81" t="str">
        <f>'Data Sheet'!A81</f>
        <v>Report Date</v>
      </c>
      <c r="B81" s="16">
        <f>'Data Sheet'!B81</f>
        <v>39903</v>
      </c>
      <c r="C81" s="16">
        <f>'Data Sheet'!C81</f>
        <v>40268</v>
      </c>
      <c r="D81" s="16">
        <f>'Data Sheet'!D81</f>
        <v>40633</v>
      </c>
      <c r="E81" s="16">
        <f>'Data Sheet'!E81</f>
        <v>40999</v>
      </c>
      <c r="F81" s="16">
        <f>'Data Sheet'!F81</f>
        <v>41364</v>
      </c>
      <c r="G81" s="16">
        <f>'Data Sheet'!G81</f>
        <v>41729</v>
      </c>
      <c r="H81" s="16">
        <f>'Data Sheet'!H81</f>
        <v>42094</v>
      </c>
      <c r="I81" s="16">
        <f>'Data Sheet'!I81</f>
        <v>42460</v>
      </c>
      <c r="J81" s="16">
        <f>'Data Sheet'!J81</f>
        <v>42825</v>
      </c>
      <c r="K81" s="16">
        <f>'Data Sheet'!K81</f>
        <v>43190</v>
      </c>
    </row>
    <row r="82" spans="1:11" x14ac:dyDescent="0.25">
      <c r="A82" t="str">
        <f>'Data Sheet'!A82</f>
        <v>Cash from Operating Activity</v>
      </c>
      <c r="B82">
        <f>'Data Sheet'!B82</f>
        <v>0</v>
      </c>
      <c r="C82">
        <f>'Data Sheet'!C82</f>
        <v>0</v>
      </c>
      <c r="D82">
        <f>'Data Sheet'!D82</f>
        <v>11.4</v>
      </c>
      <c r="E82">
        <f>'Data Sheet'!E82</f>
        <v>-3.35</v>
      </c>
      <c r="F82">
        <f>'Data Sheet'!F82</f>
        <v>-7.42</v>
      </c>
      <c r="G82">
        <f>'Data Sheet'!G82</f>
        <v>12.16</v>
      </c>
      <c r="H82">
        <f>'Data Sheet'!H82</f>
        <v>26.08</v>
      </c>
      <c r="I82">
        <f>'Data Sheet'!I82</f>
        <v>18.89</v>
      </c>
      <c r="J82">
        <f>'Data Sheet'!J82</f>
        <v>71.73</v>
      </c>
      <c r="K82">
        <f>'Data Sheet'!K82</f>
        <v>125.1</v>
      </c>
    </row>
    <row r="83" spans="1:11" x14ac:dyDescent="0.25">
      <c r="A83" t="str">
        <f>'Data Sheet'!A83</f>
        <v>Cash from Investing Activity</v>
      </c>
      <c r="B83">
        <f>'Data Sheet'!B83</f>
        <v>0</v>
      </c>
      <c r="C83">
        <f>'Data Sheet'!C83</f>
        <v>0</v>
      </c>
      <c r="D83">
        <f>'Data Sheet'!D83</f>
        <v>-18.8</v>
      </c>
      <c r="E83">
        <f>'Data Sheet'!E83</f>
        <v>-3.77</v>
      </c>
      <c r="F83">
        <f>'Data Sheet'!F83</f>
        <v>-2.0699999999999998</v>
      </c>
      <c r="G83">
        <f>'Data Sheet'!G83</f>
        <v>-57.5</v>
      </c>
      <c r="H83">
        <f>'Data Sheet'!H83</f>
        <v>-36.65</v>
      </c>
      <c r="I83">
        <f>'Data Sheet'!I83</f>
        <v>-85.71</v>
      </c>
      <c r="J83">
        <f>'Data Sheet'!J83</f>
        <v>-56.67</v>
      </c>
      <c r="K83">
        <f>'Data Sheet'!K83</f>
        <v>-238.07</v>
      </c>
    </row>
    <row r="84" spans="1:11" x14ac:dyDescent="0.25">
      <c r="A84" t="str">
        <f>'Data Sheet'!A84</f>
        <v>Cash from Financing Activity</v>
      </c>
      <c r="B84">
        <f>'Data Sheet'!B84</f>
        <v>0</v>
      </c>
      <c r="C84">
        <f>'Data Sheet'!C84</f>
        <v>0</v>
      </c>
      <c r="D84">
        <f>'Data Sheet'!D84</f>
        <v>7.84</v>
      </c>
      <c r="E84">
        <f>'Data Sheet'!E84</f>
        <v>9.65</v>
      </c>
      <c r="F84">
        <f>'Data Sheet'!F84</f>
        <v>7.96</v>
      </c>
      <c r="G84">
        <f>'Data Sheet'!G84</f>
        <v>48.73</v>
      </c>
      <c r="H84">
        <f>'Data Sheet'!H84</f>
        <v>20.52</v>
      </c>
      <c r="I84">
        <f>'Data Sheet'!I84</f>
        <v>80.59</v>
      </c>
      <c r="J84">
        <f>'Data Sheet'!J84</f>
        <v>45.49</v>
      </c>
      <c r="K84">
        <f>'Data Sheet'!K84</f>
        <v>34.369999999999997</v>
      </c>
    </row>
    <row r="85" spans="1:11" x14ac:dyDescent="0.25">
      <c r="A85" t="str">
        <f>'Data Sheet'!A85</f>
        <v>Net Cash Flow</v>
      </c>
      <c r="B85">
        <f>'Data Sheet'!B85</f>
        <v>0</v>
      </c>
      <c r="C85">
        <f>'Data Sheet'!C85</f>
        <v>0</v>
      </c>
      <c r="D85">
        <f>'Data Sheet'!D85</f>
        <v>0.44</v>
      </c>
      <c r="E85">
        <f>'Data Sheet'!E85</f>
        <v>2.5299999999999998</v>
      </c>
      <c r="F85">
        <f>'Data Sheet'!F85</f>
        <v>-1.53</v>
      </c>
      <c r="G85">
        <f>'Data Sheet'!G85</f>
        <v>3.39</v>
      </c>
      <c r="H85">
        <f>'Data Sheet'!H85</f>
        <v>9.9499999999999993</v>
      </c>
      <c r="I85">
        <f>'Data Sheet'!I85</f>
        <v>13.77</v>
      </c>
      <c r="J85">
        <f>'Data Sheet'!J85</f>
        <v>60.54</v>
      </c>
      <c r="K85">
        <f>'Data Sheet'!K85</f>
        <v>-78.599999999999994</v>
      </c>
    </row>
    <row r="90" spans="1:11" x14ac:dyDescent="0.25">
      <c r="A90" t="str">
        <f>'Data Sheet'!A90</f>
        <v>PRICE:</v>
      </c>
      <c r="B90">
        <f>'Data Sheet'!B90</f>
        <v>0</v>
      </c>
      <c r="C90">
        <f>'Data Sheet'!C90</f>
        <v>0</v>
      </c>
      <c r="D90">
        <f>'Data Sheet'!D90</f>
        <v>11.087142999999999</v>
      </c>
      <c r="E90">
        <f>'Data Sheet'!E90</f>
        <v>12.092000000000001</v>
      </c>
      <c r="F90">
        <f>'Data Sheet'!F90</f>
        <v>19.812000000000001</v>
      </c>
      <c r="G90">
        <f>'Data Sheet'!G90</f>
        <v>40.534210999999999</v>
      </c>
      <c r="H90">
        <f>'Data Sheet'!H90</f>
        <v>275.565</v>
      </c>
      <c r="I90">
        <f>'Data Sheet'!I90</f>
        <v>744.72578899999996</v>
      </c>
      <c r="J90">
        <f>'Data Sheet'!J90</f>
        <v>581.47894699999995</v>
      </c>
      <c r="K90">
        <f>'Data Sheet'!K90</f>
        <v>749.45476199999996</v>
      </c>
    </row>
    <row r="92" spans="1:11" x14ac:dyDescent="0.25">
      <c r="A92" t="str">
        <f>'Data Sheet'!A92</f>
        <v>DERIVED:</v>
      </c>
    </row>
    <row r="93" spans="1:11" x14ac:dyDescent="0.25">
      <c r="A93" t="str">
        <f>'Data Sheet'!A93</f>
        <v>Adjusted Equity Shares in Cr</v>
      </c>
      <c r="B93" s="403">
        <f>'Data Sheet'!B93</f>
        <v>2.2396443000000001</v>
      </c>
      <c r="C93" s="403">
        <f>'Data Sheet'!C93</f>
        <v>2.2396443000000001</v>
      </c>
      <c r="D93" s="403">
        <f>'Data Sheet'!D93</f>
        <v>2.2755364</v>
      </c>
      <c r="E93" s="403">
        <f>'Data Sheet'!E93</f>
        <v>2.2755364</v>
      </c>
      <c r="F93" s="403">
        <f>'Data Sheet'!F93</f>
        <v>2.7717605000000001</v>
      </c>
      <c r="G93" s="403">
        <f>'Data Sheet'!G93</f>
        <v>2.7717605000000001</v>
      </c>
      <c r="H93" s="403">
        <f>'Data Sheet'!H93</f>
        <v>2.8317605000000001</v>
      </c>
      <c r="I93" s="403">
        <f>'Data Sheet'!I93</f>
        <v>2.9417605</v>
      </c>
      <c r="J93" s="403">
        <f>'Data Sheet'!J93</f>
        <v>3.0517604999999999</v>
      </c>
      <c r="K93" s="403">
        <f>'Data Sheet'!K93</f>
        <v>3.0517604999999999</v>
      </c>
    </row>
  </sheetData>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19" workbookViewId="0">
      <selection activeCell="C29" sqref="C29"/>
    </sheetView>
  </sheetViews>
  <sheetFormatPr defaultRowHeight="12" x14ac:dyDescent="0.2"/>
  <cols>
    <col min="1" max="1" width="34.7109375" style="246" customWidth="1"/>
    <col min="2" max="2" width="7.7109375" style="246" bestFit="1" customWidth="1"/>
    <col min="3" max="4" width="6.7109375" style="246" customWidth="1"/>
    <col min="5" max="9" width="6.28515625" style="246" customWidth="1"/>
    <col min="10" max="10" width="6.42578125" style="246" customWidth="1"/>
    <col min="11" max="12" width="6.28515625" style="246" customWidth="1"/>
    <col min="13" max="14" width="16.42578125" style="246" customWidth="1"/>
    <col min="15" max="15" width="17.42578125" style="246" customWidth="1"/>
    <col min="16" max="17" width="10.28515625" style="246" customWidth="1"/>
    <col min="18" max="18" width="11" style="246" customWidth="1"/>
    <col min="19" max="16384" width="9.140625" style="246"/>
  </cols>
  <sheetData>
    <row r="1" spans="1:15" x14ac:dyDescent="0.2">
      <c r="B1" s="257">
        <f>'Data Sheet'!B16</f>
        <v>39903</v>
      </c>
      <c r="C1" s="257">
        <f>'Data Sheet'!C16</f>
        <v>40268</v>
      </c>
      <c r="D1" s="257">
        <f>'Data Sheet'!D16</f>
        <v>40633</v>
      </c>
      <c r="E1" s="257">
        <f>'Data Sheet'!E16</f>
        <v>40999</v>
      </c>
      <c r="F1" s="257">
        <f>'Data Sheet'!F16</f>
        <v>41364</v>
      </c>
      <c r="G1" s="257">
        <f>'Data Sheet'!G16</f>
        <v>41729</v>
      </c>
      <c r="H1" s="257">
        <f>'Data Sheet'!H16</f>
        <v>42094</v>
      </c>
      <c r="I1" s="257">
        <f>'Data Sheet'!I16</f>
        <v>42460</v>
      </c>
      <c r="J1" s="257">
        <f>'Data Sheet'!J16</f>
        <v>42825</v>
      </c>
      <c r="K1" s="257">
        <f>'Data Sheet'!K16</f>
        <v>43190</v>
      </c>
      <c r="L1" s="257"/>
      <c r="M1" s="246" t="s">
        <v>556</v>
      </c>
      <c r="N1" s="246" t="s">
        <v>557</v>
      </c>
      <c r="O1" s="246" t="s">
        <v>558</v>
      </c>
    </row>
    <row r="2" spans="1:15" ht="15" x14ac:dyDescent="0.25">
      <c r="A2" s="1" t="s">
        <v>78</v>
      </c>
      <c r="B2" s="258">
        <f>'Data Sheet'!B90</f>
        <v>0</v>
      </c>
      <c r="C2" s="258">
        <f>'Data Sheet'!C90</f>
        <v>0</v>
      </c>
      <c r="D2" s="258">
        <f>'Data Sheet'!D90</f>
        <v>11.087142999999999</v>
      </c>
      <c r="E2" s="258">
        <f>'Data Sheet'!E90</f>
        <v>12.092000000000001</v>
      </c>
      <c r="F2" s="258">
        <f>'Data Sheet'!F90</f>
        <v>19.812000000000001</v>
      </c>
      <c r="G2" s="258">
        <f>'Data Sheet'!G90</f>
        <v>40.534210999999999</v>
      </c>
      <c r="H2" s="258">
        <f>'Data Sheet'!H90</f>
        <v>275.565</v>
      </c>
      <c r="I2" s="258">
        <f>'Data Sheet'!I90</f>
        <v>744.72578899999996</v>
      </c>
      <c r="J2" s="258">
        <f>'Data Sheet'!J90</f>
        <v>581.47894699999995</v>
      </c>
      <c r="K2" s="258">
        <f>'Data Sheet'!K90</f>
        <v>749.45476199999996</v>
      </c>
      <c r="L2" s="257"/>
    </row>
    <row r="3" spans="1:15" ht="15" x14ac:dyDescent="0.25">
      <c r="A3" s="5" t="s">
        <v>90</v>
      </c>
      <c r="B3" s="5">
        <f>'Data Sheet'!B93</f>
        <v>2.2396443000000001</v>
      </c>
      <c r="C3" s="5">
        <f>'Data Sheet'!C93</f>
        <v>2.2396443000000001</v>
      </c>
      <c r="D3" s="5">
        <f>'Data Sheet'!D93</f>
        <v>2.2755364</v>
      </c>
      <c r="E3" s="5">
        <f>'Data Sheet'!E93</f>
        <v>2.2755364</v>
      </c>
      <c r="F3" s="5">
        <f>'Data Sheet'!F93</f>
        <v>2.7717605000000001</v>
      </c>
      <c r="G3" s="5">
        <f>'Data Sheet'!G93</f>
        <v>2.7717605000000001</v>
      </c>
      <c r="H3" s="5">
        <f>'Data Sheet'!H93</f>
        <v>2.8317605000000001</v>
      </c>
      <c r="I3" s="5">
        <f>'Data Sheet'!I93</f>
        <v>2.9417605</v>
      </c>
      <c r="J3" s="5">
        <f>'Data Sheet'!J93</f>
        <v>3.0517604999999999</v>
      </c>
      <c r="K3" s="5">
        <f>'Data Sheet'!K93</f>
        <v>3.0517604999999999</v>
      </c>
      <c r="L3" s="5"/>
      <c r="M3" s="5"/>
    </row>
    <row r="4" spans="1:15" ht="15" x14ac:dyDescent="0.25">
      <c r="A4" s="5" t="s">
        <v>319</v>
      </c>
      <c r="B4" s="369" t="e">
        <f>Other_input_data!C41/Other_input_data!C32</f>
        <v>#DIV/0!</v>
      </c>
      <c r="C4" s="369" t="e">
        <f>Other_input_data!D41/Other_input_data!D32</f>
        <v>#DIV/0!</v>
      </c>
      <c r="D4" s="369">
        <f>Other_input_data!E41/Other_input_data!E32</f>
        <v>0.12806372549019607</v>
      </c>
      <c r="E4" s="369">
        <f>Other_input_data!F41/Other_input_data!F32</f>
        <v>0.16666666666666657</v>
      </c>
      <c r="F4" s="369">
        <f>Other_input_data!G41/Other_input_data!G32</f>
        <v>0.15185043876383064</v>
      </c>
      <c r="G4" s="369">
        <f>Other_input_data!H41/Other_input_data!H32</f>
        <v>0.16908760780753535</v>
      </c>
      <c r="H4" s="369">
        <f>Other_input_data!I41/Other_input_data!I32</f>
        <v>0.18494193031637957</v>
      </c>
      <c r="I4" s="369">
        <f>Other_input_data!J41/Other_input_data!J32</f>
        <v>0.19574890596844782</v>
      </c>
      <c r="J4" s="369">
        <f>Other_input_data!K41/Other_input_data!K32</f>
        <v>0.24450164666691915</v>
      </c>
      <c r="K4" s="369">
        <f>Other_input_data!L41/Other_input_data!L32</f>
        <v>0.24188686354858449</v>
      </c>
      <c r="L4" s="5"/>
      <c r="M4" s="370">
        <f>SUM(Other_input_data!J41:L41)/SUM(Other_input_data!J32:L32)</f>
        <v>0.23511830786112239</v>
      </c>
      <c r="N4" s="261">
        <f>SUM(Other_input_data!H41:L41)/SUM(Other_input_data!H32:L32)</f>
        <v>0.23007336038978893</v>
      </c>
      <c r="O4" s="261">
        <f>SUM(Other_input_data!D41:L41)/SUM(Other_input_data!D32:L32)</f>
        <v>0.22741111896323613</v>
      </c>
    </row>
    <row r="5" spans="1:15" ht="15" x14ac:dyDescent="0.25">
      <c r="A5" s="5" t="s">
        <v>874</v>
      </c>
      <c r="B5" s="371">
        <f>Other_input_data!C32/Other_input_data!C55</f>
        <v>0</v>
      </c>
      <c r="C5" s="371">
        <f>Other_input_data!D32/Other_input_data!D55</f>
        <v>0</v>
      </c>
      <c r="D5" s="371">
        <f>Other_input_data!E32/Other_input_data!E55</f>
        <v>0.46193037078969718</v>
      </c>
      <c r="E5" s="371">
        <f>Other_input_data!F32/Other_input_data!F55</f>
        <v>0.47421751857689709</v>
      </c>
      <c r="F5" s="371">
        <f>Other_input_data!G32/Other_input_data!G55</f>
        <v>0.58556747095621098</v>
      </c>
      <c r="G5" s="371">
        <f>Other_input_data!H32/Other_input_data!H55</f>
        <v>0.44254720771394135</v>
      </c>
      <c r="H5" s="371">
        <f>Other_input_data!I32/Other_input_data!I55</f>
        <v>0.82219295357260458</v>
      </c>
      <c r="I5" s="371">
        <f>Other_input_data!J32/Other_input_data!J55</f>
        <v>0.86571583203336411</v>
      </c>
      <c r="J5" s="371">
        <f>Other_input_data!K32/Other_input_data!K55</f>
        <v>1.0329025825497058</v>
      </c>
      <c r="K5" s="371">
        <f>Other_input_data!L32/Other_input_data!L55</f>
        <v>1.0341199678527069</v>
      </c>
      <c r="L5" s="5"/>
      <c r="M5" s="372">
        <f>AVERAGE(I5:K5)</f>
        <v>0.97757946081192559</v>
      </c>
      <c r="N5" s="373">
        <f>AVERAGE(G5:K5)</f>
        <v>0.83949570874446455</v>
      </c>
      <c r="O5" s="373">
        <f>AVERAGE(C5:K5)</f>
        <v>0.63546598933834764</v>
      </c>
    </row>
    <row r="6" spans="1:15" ht="15" x14ac:dyDescent="0.25">
      <c r="A6" s="5" t="s">
        <v>760</v>
      </c>
      <c r="B6" s="369" t="e">
        <f>B4*B5</f>
        <v>#DIV/0!</v>
      </c>
      <c r="C6" s="369" t="e">
        <f t="shared" ref="C6:K6" si="0">C4*C5</f>
        <v>#DIV/0!</v>
      </c>
      <c r="D6" s="369">
        <f t="shared" si="0"/>
        <v>5.9156524200396264E-2</v>
      </c>
      <c r="E6" s="369">
        <f t="shared" si="0"/>
        <v>7.9036253096149478E-2</v>
      </c>
      <c r="F6" s="369">
        <f t="shared" si="0"/>
        <v>8.8918677390527293E-2</v>
      </c>
      <c r="G6" s="369">
        <f t="shared" si="0"/>
        <v>7.4829248694254794E-2</v>
      </c>
      <c r="H6" s="369">
        <f t="shared" si="0"/>
        <v>0.15205795192624294</v>
      </c>
      <c r="I6" s="369">
        <f t="shared" si="0"/>
        <v>0.16946292700009555</v>
      </c>
      <c r="J6" s="369">
        <f t="shared" si="0"/>
        <v>0.25254638227991644</v>
      </c>
      <c r="K6" s="369">
        <f t="shared" si="0"/>
        <v>0.25014003555685427</v>
      </c>
      <c r="L6" s="5"/>
      <c r="M6" s="370">
        <f>M4*M5</f>
        <v>0.22984682862588834</v>
      </c>
      <c r="N6" s="370">
        <f>N4*N5</f>
        <v>0.19314559874364648</v>
      </c>
      <c r="O6" s="370">
        <f>O4*O5</f>
        <v>0.14451203169851351</v>
      </c>
    </row>
    <row r="7" spans="1:15" ht="15" x14ac:dyDescent="0.25">
      <c r="A7" s="5" t="s">
        <v>875</v>
      </c>
      <c r="B7" s="371">
        <f>'Data Sheet'!B61/('Data Sheet'!B57+'Data Sheet'!B58)</f>
        <v>1.2282608695652175</v>
      </c>
      <c r="C7" s="371">
        <f>'Data Sheet'!C61/('Data Sheet'!C57+'Data Sheet'!C58)</f>
        <v>1.0231481481481481</v>
      </c>
      <c r="D7" s="371">
        <f>'Data Sheet'!D61/('Data Sheet'!D57+'Data Sheet'!D58)</f>
        <v>1.7075882068632187</v>
      </c>
      <c r="E7" s="371">
        <f>'Data Sheet'!E61/('Data Sheet'!E57+'Data Sheet'!E58)</f>
        <v>1.7408859270874164</v>
      </c>
      <c r="F7" s="371">
        <f>'Data Sheet'!F61/('Data Sheet'!F57+'Data Sheet'!F58)</f>
        <v>1.6223269300471184</v>
      </c>
      <c r="G7" s="371">
        <f>'Data Sheet'!G61/('Data Sheet'!G57+'Data Sheet'!G58)</f>
        <v>1.6058064516129034</v>
      </c>
      <c r="H7" s="371">
        <f>'Data Sheet'!H61/('Data Sheet'!H57+'Data Sheet'!H58)</f>
        <v>1.521848065744638</v>
      </c>
      <c r="I7" s="371">
        <f>'Data Sheet'!I61/('Data Sheet'!I57+'Data Sheet'!I58)</f>
        <v>1.53636585962338</v>
      </c>
      <c r="J7" s="371">
        <f>'Data Sheet'!J61/('Data Sheet'!J57+'Data Sheet'!J58)</f>
        <v>1.5987185497734022</v>
      </c>
      <c r="K7" s="371">
        <f>'Data Sheet'!K61/('Data Sheet'!K57+'Data Sheet'!K58)</f>
        <v>1.6722052535125231</v>
      </c>
      <c r="L7" s="5"/>
      <c r="M7" s="372">
        <f>AVERAGE(I7:K7)</f>
        <v>1.6024298876364351</v>
      </c>
      <c r="N7" s="373">
        <f>AVERAGE(G7:K7)</f>
        <v>1.5869888360533693</v>
      </c>
      <c r="O7" s="373">
        <f>AVERAGE(C7:K7)</f>
        <v>1.5587659324903056</v>
      </c>
    </row>
    <row r="8" spans="1:15" ht="15" x14ac:dyDescent="0.25">
      <c r="A8" s="5" t="s">
        <v>60</v>
      </c>
      <c r="B8" s="369" t="e">
        <f>B6*B7</f>
        <v>#DIV/0!</v>
      </c>
      <c r="C8" s="369" t="e">
        <f t="shared" ref="C8:K8" si="1">C6*C7</f>
        <v>#DIV/0!</v>
      </c>
      <c r="D8" s="369">
        <f t="shared" si="1"/>
        <v>0.10101498308361526</v>
      </c>
      <c r="E8" s="369">
        <f t="shared" si="1"/>
        <v>0.13759310074480588</v>
      </c>
      <c r="F8" s="369">
        <f t="shared" si="1"/>
        <v>0.14425516491482426</v>
      </c>
      <c r="G8" s="369">
        <f t="shared" si="1"/>
        <v>0.12016129032258077</v>
      </c>
      <c r="H8" s="369">
        <f t="shared" si="1"/>
        <v>0.23140910002004397</v>
      </c>
      <c r="I8" s="369">
        <f t="shared" si="1"/>
        <v>0.26035705551479588</v>
      </c>
      <c r="J8" s="369">
        <f t="shared" si="1"/>
        <v>0.40375058602906727</v>
      </c>
      <c r="K8" s="369">
        <f t="shared" si="1"/>
        <v>0.41828548157198103</v>
      </c>
      <c r="L8" s="5"/>
      <c r="M8" s="370">
        <f>AVERAGE(I8:K8)</f>
        <v>0.36079770770528136</v>
      </c>
      <c r="N8" s="368">
        <f>AVERAGE(G8:K8)</f>
        <v>0.28679270269169377</v>
      </c>
      <c r="O8" s="368" t="e">
        <f>AVERAGE(C8:K8)</f>
        <v>#DIV/0!</v>
      </c>
    </row>
    <row r="9" spans="1:15" ht="15" x14ac:dyDescent="0.25">
      <c r="A9" s="5" t="s">
        <v>244</v>
      </c>
      <c r="B9" s="369">
        <f>Other_input_data!C80/Other_input_data!C63</f>
        <v>0.16129032258064516</v>
      </c>
      <c r="C9" s="369">
        <f>Other_input_data!D80/Other_input_data!D63</f>
        <v>6.1728395061728383E-3</v>
      </c>
      <c r="D9" s="369">
        <f>Other_input_data!E80/Other_input_data!E63</f>
        <v>9.6804075961093097E-2</v>
      </c>
      <c r="E9" s="369">
        <f>Other_input_data!F80/Other_input_data!F63</f>
        <v>0.12488349018310825</v>
      </c>
      <c r="F9" s="369">
        <f>Other_input_data!G80/Other_input_data!G63</f>
        <v>0.13903568428954749</v>
      </c>
      <c r="G9" s="369">
        <f>Other_input_data!H80/Other_input_data!H63</f>
        <v>0.1178211056727682</v>
      </c>
      <c r="H9" s="369">
        <f>Other_input_data!I80/Other_input_data!I63</f>
        <v>0.23483642158650175</v>
      </c>
      <c r="I9" s="369">
        <f>Other_input_data!J80/Other_input_data!J63</f>
        <v>0.25772897935887712</v>
      </c>
      <c r="J9" s="369">
        <f>Other_input_data!K80/Other_input_data!K63</f>
        <v>0.36154089109365595</v>
      </c>
      <c r="K9" s="369">
        <f>Other_input_data!L80/Other_input_data!L63</f>
        <v>0.36991096240555926</v>
      </c>
      <c r="L9" s="5"/>
      <c r="M9" s="370">
        <f>AVERAGE(I9:K9)</f>
        <v>0.32972694428603072</v>
      </c>
      <c r="N9" s="368">
        <f>AVERAGE(G9:K9)</f>
        <v>0.26836767202347245</v>
      </c>
      <c r="O9" s="368">
        <f>AVERAGE(C9:K9)</f>
        <v>0.18985938333969821</v>
      </c>
    </row>
    <row r="10" spans="1:15" ht="15" x14ac:dyDescent="0.25">
      <c r="A10" s="5" t="s">
        <v>876</v>
      </c>
      <c r="B10" s="369"/>
      <c r="C10" s="369">
        <f>Other_input_data!D80/Other_input_data!D64</f>
        <v>5.6219255094869984E-3</v>
      </c>
      <c r="D10" s="369">
        <f>Other_input_data!E80/Other_input_data!E64</f>
        <v>0.14918248533380918</v>
      </c>
      <c r="E10" s="369">
        <f>Other_input_data!F80/Other_input_data!F64</f>
        <v>0.14150145262181668</v>
      </c>
      <c r="F10" s="369">
        <f>Other_input_data!G80/Other_input_data!G64</f>
        <v>0.1420488415342126</v>
      </c>
      <c r="G10" s="369">
        <f>Other_input_data!H80/Other_input_data!H64</f>
        <v>0.16234336680257</v>
      </c>
      <c r="H10" s="369">
        <f>Other_input_data!I80/Other_input_data!I64</f>
        <v>0.28314214448363462</v>
      </c>
      <c r="I10" s="369">
        <f>Other_input_data!J80/Other_input_data!J64</f>
        <v>0.34781911702024998</v>
      </c>
      <c r="J10" s="369">
        <f>Other_input_data!K80/Other_input_data!K64</f>
        <v>0.45930609094090774</v>
      </c>
      <c r="K10" s="369">
        <f>Other_input_data!L80/Other_input_data!L64</f>
        <v>0.45539511822449252</v>
      </c>
      <c r="L10" s="5"/>
      <c r="M10" s="370">
        <f t="shared" ref="M10:M24" si="2">AVERAGE(I10:K10)</f>
        <v>0.4208401087285501</v>
      </c>
      <c r="N10" s="368">
        <f t="shared" ref="N10:N24" si="3">AVERAGE(G10:K10)</f>
        <v>0.34160116749437097</v>
      </c>
      <c r="O10" s="368">
        <f t="shared" ref="O10:O24" si="4">AVERAGE(C10:K10)</f>
        <v>0.23848450471902005</v>
      </c>
    </row>
    <row r="11" spans="1:15" ht="15" x14ac:dyDescent="0.25">
      <c r="A11" s="5" t="s">
        <v>877</v>
      </c>
      <c r="B11" s="369">
        <f>Other_input_data!C37/Other_input_data!C65</f>
        <v>0.16129032258064516</v>
      </c>
      <c r="C11" s="369">
        <f>Other_input_data!D37/Other_input_data!D65</f>
        <v>6.1728395061728392E-3</v>
      </c>
      <c r="D11" s="369">
        <f>Other_input_data!E37/Other_input_data!E65</f>
        <v>0.11764705882352942</v>
      </c>
      <c r="E11" s="369">
        <f>Other_input_data!F37/Other_input_data!F65</f>
        <v>0.14978902953586493</v>
      </c>
      <c r="F11" s="369">
        <f>Other_input_data!G37/Other_input_data!G65</f>
        <v>0.15824915824915831</v>
      </c>
      <c r="G11" s="369">
        <f>Other_input_data!H37/Other_input_data!H65</f>
        <v>0.14518090605047138</v>
      </c>
      <c r="H11" s="369">
        <f>Other_input_data!I37/Other_input_data!I65</f>
        <v>0.29484226339509256</v>
      </c>
      <c r="I11" s="369">
        <f>Other_input_data!J37/Other_input_data!J65</f>
        <v>0.3305980595646088</v>
      </c>
      <c r="J11" s="369">
        <f>Other_input_data!K37/Other_input_data!K65</f>
        <v>0.47729666796030401</v>
      </c>
      <c r="K11" s="369">
        <f>Other_input_data!L37/Other_input_data!L65</f>
        <v>0.47894663942657278</v>
      </c>
      <c r="L11" s="5"/>
      <c r="M11" s="370">
        <f t="shared" si="2"/>
        <v>0.42894712231716187</v>
      </c>
      <c r="N11" s="368">
        <f t="shared" si="3"/>
        <v>0.34537290727940989</v>
      </c>
      <c r="O11" s="368">
        <f t="shared" si="4"/>
        <v>0.239858069167975</v>
      </c>
    </row>
    <row r="12" spans="1:15" ht="15" x14ac:dyDescent="0.25">
      <c r="A12" s="5" t="s">
        <v>878</v>
      </c>
      <c r="B12" s="369">
        <f>Other_input_data!C37/Other_input_data!C66</f>
        <v>0.16129032258064516</v>
      </c>
      <c r="C12" s="369">
        <f>Other_input_data!D37/Other_input_data!D66</f>
        <v>6.1728395061728392E-3</v>
      </c>
      <c r="D12" s="369">
        <f>Other_input_data!E37/Other_input_data!E66</f>
        <v>0.27917121046892046</v>
      </c>
      <c r="E12" s="369">
        <f>Other_input_data!F37/Other_input_data!F66</f>
        <v>0.3547044129891756</v>
      </c>
      <c r="F12" s="369">
        <f>Other_input_data!G37/Other_input_data!G66</f>
        <v>0.38461538461538486</v>
      </c>
      <c r="G12" s="369">
        <f>Other_input_data!H37/Other_input_data!H66</f>
        <v>0.20670995670995687</v>
      </c>
      <c r="H12" s="369">
        <f>Other_input_data!I37/Other_input_data!I66</f>
        <v>0.36823014383989988</v>
      </c>
      <c r="I12" s="369">
        <f>Other_input_data!J37/Other_input_data!J66</f>
        <v>0.36230427422767669</v>
      </c>
      <c r="J12" s="369">
        <f>Other_input_data!K37/Other_input_data!K66</f>
        <v>0.50638197753073366</v>
      </c>
      <c r="K12" s="369">
        <f>Other_input_data!L37/Other_input_data!L66</f>
        <v>0.50340296986460886</v>
      </c>
      <c r="L12" s="5"/>
      <c r="M12" s="370">
        <f t="shared" si="2"/>
        <v>0.45736307387433978</v>
      </c>
      <c r="N12" s="368">
        <f t="shared" si="3"/>
        <v>0.3894058644345752</v>
      </c>
      <c r="O12" s="368">
        <f t="shared" si="4"/>
        <v>0.33018812997250335</v>
      </c>
    </row>
    <row r="13" spans="1:15" ht="15" x14ac:dyDescent="0.25">
      <c r="A13" s="5" t="s">
        <v>879</v>
      </c>
      <c r="B13" s="369">
        <f>Other_input_data!C37/Other_input_data!C67</f>
        <v>0.15802781289506954</v>
      </c>
      <c r="C13" s="369">
        <f>Other_input_data!D37/Other_input_data!D67</f>
        <v>6.0331825037707384E-3</v>
      </c>
      <c r="D13" s="369">
        <f>Other_input_data!E37/Other_input_data!E67</f>
        <v>0.11257695690413368</v>
      </c>
      <c r="E13" s="369">
        <f>Other_input_data!F37/Other_input_data!F67</f>
        <v>0.15225160829163681</v>
      </c>
      <c r="F13" s="369">
        <f>Other_input_data!G37/Other_input_data!G67</f>
        <v>0.17228739002932555</v>
      </c>
      <c r="G13" s="369">
        <f>Other_input_data!H37/Other_input_data!H67</f>
        <v>0.1194048512128033</v>
      </c>
      <c r="H13" s="369">
        <f>Other_input_data!I37/Other_input_data!I67</f>
        <v>0.22311481621826446</v>
      </c>
      <c r="I13" s="369">
        <f>Other_input_data!J37/Other_input_data!J67</f>
        <v>0.23140077032231909</v>
      </c>
      <c r="J13" s="369">
        <f>Other_input_data!K37/Other_input_data!K67</f>
        <v>0.35082214389046246</v>
      </c>
      <c r="K13" s="369">
        <f>Other_input_data!L37/Other_input_data!L67</f>
        <v>0.34876947904584188</v>
      </c>
      <c r="L13" s="5"/>
      <c r="M13" s="370">
        <f t="shared" si="2"/>
        <v>0.31033079775287448</v>
      </c>
      <c r="N13" s="368">
        <f t="shared" si="3"/>
        <v>0.25470241213793826</v>
      </c>
      <c r="O13" s="368">
        <f t="shared" si="4"/>
        <v>0.19074013315761754</v>
      </c>
    </row>
    <row r="14" spans="1:15" ht="15" x14ac:dyDescent="0.25">
      <c r="A14" s="5" t="s">
        <v>880</v>
      </c>
      <c r="B14" s="369"/>
      <c r="C14" s="369">
        <f>Other_input_data!D37/Other_input_data!D68</f>
        <v>5.6219255094869993E-3</v>
      </c>
      <c r="D14" s="369">
        <f>Other_input_data!E37/Other_input_data!E68</f>
        <v>0.18130311614730876</v>
      </c>
      <c r="E14" s="369">
        <f>Other_input_data!F37/Other_input_data!F68</f>
        <v>0.16972111553784855</v>
      </c>
      <c r="F14" s="369">
        <f>Other_input_data!G37/Other_input_data!G68</f>
        <v>0.16167870657034752</v>
      </c>
      <c r="G14" s="369">
        <f>Other_input_data!H37/Other_input_data!H68</f>
        <v>0.20004189359028088</v>
      </c>
      <c r="H14" s="369">
        <f>Other_input_data!I37/Other_input_data!I68</f>
        <v>0.35549115498400036</v>
      </c>
      <c r="I14" s="369">
        <f>Other_input_data!J37/Other_input_data!J68</f>
        <v>0.44615985929255425</v>
      </c>
      <c r="J14" s="369">
        <f>Other_input_data!K37/Other_input_data!K68</f>
        <v>0.60636368438661081</v>
      </c>
      <c r="K14" s="369">
        <f>Other_input_data!L37/Other_input_data!L68</f>
        <v>0.58962827180492783</v>
      </c>
      <c r="L14" s="5"/>
      <c r="M14" s="370">
        <f t="shared" si="2"/>
        <v>0.54738393849469758</v>
      </c>
      <c r="N14" s="368">
        <f t="shared" si="3"/>
        <v>0.43953697281167481</v>
      </c>
      <c r="O14" s="368">
        <f t="shared" si="4"/>
        <v>0.30177885864704063</v>
      </c>
    </row>
    <row r="15" spans="1:15" ht="15" x14ac:dyDescent="0.25">
      <c r="A15" s="5" t="s">
        <v>881</v>
      </c>
      <c r="B15" s="369"/>
      <c r="C15" s="369">
        <f>Other_input_data!D37/Other_input_data!D69</f>
        <v>5.6219255094869984E-3</v>
      </c>
      <c r="D15" s="369">
        <f>Other_input_data!E37/Other_input_data!E69</f>
        <v>0.32715654952076684</v>
      </c>
      <c r="E15" s="369">
        <f>Other_input_data!F37/Other_input_data!F69</f>
        <v>0.40226628895184124</v>
      </c>
      <c r="F15" s="369">
        <f>Other_input_data!G37/Other_input_data!G69</f>
        <v>0.38794882377218343</v>
      </c>
      <c r="G15" s="369">
        <f>Other_input_data!H37/Other_input_data!H69</f>
        <v>0.32694282779869932</v>
      </c>
      <c r="H15" s="369">
        <f>Other_input_data!I37/Other_input_data!I69</f>
        <v>0.4667459373761394</v>
      </c>
      <c r="I15" s="369">
        <f>Other_input_data!J37/Other_input_data!J69</f>
        <v>0.50923826164541441</v>
      </c>
      <c r="J15" s="369">
        <f>Other_input_data!K37/Other_input_data!K69</f>
        <v>0.65089025819377799</v>
      </c>
      <c r="K15" s="369">
        <f>Other_input_data!L37/Other_input_data!L69</f>
        <v>0.62196191289880143</v>
      </c>
      <c r="L15" s="5"/>
      <c r="M15" s="370">
        <f t="shared" si="2"/>
        <v>0.59403014424599798</v>
      </c>
      <c r="N15" s="368">
        <f t="shared" si="3"/>
        <v>0.5151558395825665</v>
      </c>
      <c r="O15" s="368">
        <f t="shared" si="4"/>
        <v>0.41097475396301231</v>
      </c>
    </row>
    <row r="16" spans="1:15" ht="15" x14ac:dyDescent="0.25">
      <c r="A16" s="5" t="s">
        <v>882</v>
      </c>
      <c r="B16" s="369"/>
      <c r="C16" s="369">
        <f>Other_input_data!D37/Other_input_data!D70</f>
        <v>5.5020632737276471E-3</v>
      </c>
      <c r="D16" s="369">
        <f>Other_input_data!E37/Other_input_data!E70</f>
        <v>0.17432754511406195</v>
      </c>
      <c r="E16" s="369">
        <f>Other_input_data!F37/Other_input_data!F70</f>
        <v>0.16798107255520497</v>
      </c>
      <c r="F16" s="369">
        <f>Other_input_data!G37/Other_input_data!G70</f>
        <v>0.17010495837857403</v>
      </c>
      <c r="G16" s="369">
        <f>Other_input_data!H37/Other_input_data!H70</f>
        <v>0.17807197464105926</v>
      </c>
      <c r="H16" s="369">
        <f>Other_input_data!I37/Other_input_data!I70</f>
        <v>0.27782758457981399</v>
      </c>
      <c r="I16" s="369">
        <f>Other_input_data!J37/Other_input_data!J70</f>
        <v>0.32009908162549955</v>
      </c>
      <c r="J16" s="369">
        <f>Other_input_data!K37/Other_input_data!K70</f>
        <v>0.43768826976117559</v>
      </c>
      <c r="K16" s="369">
        <f>Other_input_data!L37/Other_input_data!L70</f>
        <v>0.43090463024261066</v>
      </c>
      <c r="L16" s="5"/>
      <c r="M16" s="370">
        <f t="shared" si="2"/>
        <v>0.39623066054309525</v>
      </c>
      <c r="N16" s="368">
        <f t="shared" si="3"/>
        <v>0.32891830817003187</v>
      </c>
      <c r="O16" s="368">
        <f t="shared" si="4"/>
        <v>0.24027857557463639</v>
      </c>
    </row>
    <row r="17" spans="1:15" ht="15" x14ac:dyDescent="0.25">
      <c r="A17" s="5" t="s">
        <v>883</v>
      </c>
      <c r="B17" s="369"/>
      <c r="C17" s="369">
        <f>Other_input_data!D77/Other_input_data!D64</f>
        <v>0</v>
      </c>
      <c r="D17" s="369">
        <f>Other_input_data!E77/Other_input_data!E64</f>
        <v>0.80736543909348435</v>
      </c>
      <c r="E17" s="369">
        <f>Other_input_data!F77/Other_input_data!F64</f>
        <v>-0.13346613545816732</v>
      </c>
      <c r="F17" s="369">
        <f>Other_input_data!G77/Other_input_data!G64</f>
        <v>-0.25524595803233574</v>
      </c>
      <c r="G17" s="369">
        <f>Other_input_data!H77/Other_input_data!H64</f>
        <v>0.25471302890657727</v>
      </c>
      <c r="H17" s="369">
        <f>Other_input_data!I77/Other_input_data!I64</f>
        <v>0.31491879490430474</v>
      </c>
      <c r="I17" s="369">
        <f>Other_input_data!J77/Other_input_data!J64</f>
        <v>0.12305387271187546</v>
      </c>
      <c r="J17" s="369">
        <f>Other_input_data!K77/Other_input_data!K64</f>
        <v>0.25261044883872447</v>
      </c>
      <c r="K17" s="369">
        <f>Other_input_data!L77/Other_input_data!L64</f>
        <v>0.26664677295592121</v>
      </c>
      <c r="L17" s="5"/>
      <c r="M17" s="370">
        <f t="shared" si="2"/>
        <v>0.21410369816884037</v>
      </c>
      <c r="N17" s="368">
        <f t="shared" si="3"/>
        <v>0.24238858366348062</v>
      </c>
      <c r="O17" s="368">
        <f t="shared" si="4"/>
        <v>0.18117736265782047</v>
      </c>
    </row>
    <row r="18" spans="1:15" ht="15" x14ac:dyDescent="0.25">
      <c r="A18" s="5" t="s">
        <v>884</v>
      </c>
      <c r="B18" s="369"/>
      <c r="C18" s="369">
        <f>Other_input_data!D78/Other_input_data!D64</f>
        <v>2.8109627547435001E-3</v>
      </c>
      <c r="D18" s="369">
        <f>Other_input_data!E78/Other_input_data!E64</f>
        <v>-0.55524079320113318</v>
      </c>
      <c r="E18" s="369">
        <f>Other_input_data!F78/Other_input_data!F64</f>
        <v>-0.31553784860557765</v>
      </c>
      <c r="F18" s="369">
        <f>Other_input_data!G78/Other_input_data!G64</f>
        <v>-0.13863089095287243</v>
      </c>
      <c r="G18" s="369">
        <f>Other_input_data!H78/Other_input_data!H64</f>
        <v>-0.95873481357352341</v>
      </c>
      <c r="H18" s="369">
        <f>Other_input_data!I78/Other_input_data!I64</f>
        <v>-0.12352834631407358</v>
      </c>
      <c r="I18" s="369">
        <f>Other_input_data!J78/Other_input_data!J64</f>
        <v>-0.43528108917985808</v>
      </c>
      <c r="J18" s="369">
        <f>Other_input_data!K78/Other_input_data!K64</f>
        <v>5.1381380852599898E-2</v>
      </c>
      <c r="K18" s="369">
        <f>Other_input_data!L78/Other_input_data!L64</f>
        <v>-0.16704322619149115</v>
      </c>
      <c r="L18" s="5"/>
      <c r="M18" s="370">
        <f t="shared" si="2"/>
        <v>-0.1836476448395831</v>
      </c>
      <c r="N18" s="368">
        <f t="shared" si="3"/>
        <v>-0.32664121888126929</v>
      </c>
      <c r="O18" s="368">
        <f t="shared" si="4"/>
        <v>-0.29331162937902072</v>
      </c>
    </row>
    <row r="19" spans="1:15" ht="15" x14ac:dyDescent="0.25">
      <c r="A19" s="5" t="s">
        <v>885</v>
      </c>
      <c r="B19" s="369"/>
      <c r="C19" s="369">
        <f>Other_input_data!D77/Other_input_data!D68</f>
        <v>0</v>
      </c>
      <c r="D19" s="369">
        <f>Other_input_data!E77/Other_input_data!E68</f>
        <v>0.80736543909348435</v>
      </c>
      <c r="E19" s="369">
        <f>Other_input_data!F77/Other_input_data!F68</f>
        <v>-0.13346613545816735</v>
      </c>
      <c r="F19" s="369">
        <f>Other_input_data!G77/Other_input_data!G68</f>
        <v>-0.2552459580323358</v>
      </c>
      <c r="G19" s="369">
        <f>Other_input_data!H77/Other_input_data!H68</f>
        <v>0.25471302890657732</v>
      </c>
      <c r="H19" s="369">
        <f>Other_input_data!I77/Other_input_data!I68</f>
        <v>0.31491879490430474</v>
      </c>
      <c r="I19" s="369">
        <f>Other_input_data!J77/Other_input_data!J68</f>
        <v>0.12305387271187544</v>
      </c>
      <c r="J19" s="369">
        <f>Other_input_data!K77/Other_input_data!K68</f>
        <v>0.25261044883872447</v>
      </c>
      <c r="K19" s="369">
        <f>Other_input_data!L77/Other_input_data!L68</f>
        <v>0.26664677295592121</v>
      </c>
      <c r="L19" s="5"/>
      <c r="M19" s="370">
        <f t="shared" si="2"/>
        <v>0.21410369816884037</v>
      </c>
      <c r="N19" s="368">
        <f t="shared" si="3"/>
        <v>0.24238858366348062</v>
      </c>
      <c r="O19" s="368">
        <f t="shared" si="4"/>
        <v>0.18117736265782047</v>
      </c>
    </row>
    <row r="20" spans="1:15" ht="15" x14ac:dyDescent="0.25">
      <c r="A20" s="5" t="s">
        <v>886</v>
      </c>
      <c r="B20" s="369"/>
      <c r="C20" s="369">
        <f>Other_input_data!D77/Other_input_data!D69</f>
        <v>0</v>
      </c>
      <c r="D20" s="369">
        <f>Other_input_data!E77/Other_input_data!E69</f>
        <v>1.4568690095846648</v>
      </c>
      <c r="E20" s="369">
        <f>Other_input_data!F77/Other_input_data!F69</f>
        <v>-0.31633616619452321</v>
      </c>
      <c r="F20" s="369">
        <f>Other_input_data!G77/Other_input_data!G69</f>
        <v>-0.61246388774246818</v>
      </c>
      <c r="G20" s="369">
        <f>Other_input_data!H77/Other_input_data!H69</f>
        <v>0.41629578911331733</v>
      </c>
      <c r="H20" s="369">
        <f>Other_input_data!I77/Other_input_data!I69</f>
        <v>0.41347602061038446</v>
      </c>
      <c r="I20" s="369">
        <f>Other_input_data!J77/Other_input_data!J69</f>
        <v>0.14045131789285847</v>
      </c>
      <c r="J20" s="369">
        <f>Other_input_data!K77/Other_input_data!K69</f>
        <v>0.27116017086908861</v>
      </c>
      <c r="K20" s="369">
        <f>Other_input_data!L77/Other_input_data!L69</f>
        <v>0.28126897047912403</v>
      </c>
      <c r="L20" s="5"/>
      <c r="M20" s="370">
        <f t="shared" si="2"/>
        <v>0.23096015308035703</v>
      </c>
      <c r="N20" s="368">
        <f t="shared" si="3"/>
        <v>0.30453045379295463</v>
      </c>
      <c r="O20" s="368">
        <f t="shared" si="4"/>
        <v>0.22785791384582735</v>
      </c>
    </row>
    <row r="21" spans="1:15" ht="15" x14ac:dyDescent="0.25">
      <c r="A21" s="5" t="s">
        <v>887</v>
      </c>
      <c r="B21" s="369"/>
      <c r="C21" s="369">
        <f>Other_input_data!D77/Other_input_data!D70</f>
        <v>0</v>
      </c>
      <c r="D21" s="369">
        <f>Other_input_data!E77/Other_input_data!E70</f>
        <v>0.77630234933605724</v>
      </c>
      <c r="E21" s="369">
        <f>Other_input_data!F77/Other_input_data!F70</f>
        <v>-0.13209779179810727</v>
      </c>
      <c r="F21" s="369">
        <f>Other_input_data!G77/Other_input_data!G70</f>
        <v>-0.26854867897213169</v>
      </c>
      <c r="G21" s="369">
        <f>Other_input_data!H77/Other_input_data!H70</f>
        <v>0.22673876561625955</v>
      </c>
      <c r="H21" s="369">
        <f>Other_input_data!I77/Other_input_data!I70</f>
        <v>0.24611900155711788</v>
      </c>
      <c r="I21" s="369">
        <f>Other_input_data!J77/Other_input_data!J70</f>
        <v>8.8285467249316477E-2</v>
      </c>
      <c r="J21" s="369">
        <f>Other_input_data!K77/Other_input_data!K70</f>
        <v>0.18234045527917944</v>
      </c>
      <c r="K21" s="369">
        <f>Other_input_data!L77/Other_input_data!L70</f>
        <v>0.19486740137855837</v>
      </c>
      <c r="L21" s="5"/>
      <c r="M21" s="370">
        <f t="shared" si="2"/>
        <v>0.15516444130235144</v>
      </c>
      <c r="N21" s="368">
        <f t="shared" si="3"/>
        <v>0.18767021821608637</v>
      </c>
      <c r="O21" s="368">
        <f t="shared" si="4"/>
        <v>0.14600077440513889</v>
      </c>
    </row>
    <row r="22" spans="1:15" ht="15" x14ac:dyDescent="0.25">
      <c r="A22" s="5" t="s">
        <v>888</v>
      </c>
      <c r="B22" s="369"/>
      <c r="C22" s="369">
        <f>Other_input_data!D78/Other_input_data!D68</f>
        <v>2.8109627547435005E-3</v>
      </c>
      <c r="D22" s="369">
        <f>Other_input_data!E78/Other_input_data!E68</f>
        <v>-0.55524079320113318</v>
      </c>
      <c r="E22" s="369">
        <f>Other_input_data!F78/Other_input_data!F68</f>
        <v>-0.31553784860557771</v>
      </c>
      <c r="F22" s="369">
        <f>Other_input_data!G78/Other_input_data!G68</f>
        <v>-0.13863089095287245</v>
      </c>
      <c r="G22" s="369">
        <f>Other_input_data!H78/Other_input_data!H68</f>
        <v>-0.95873481357352353</v>
      </c>
      <c r="H22" s="369">
        <f>Other_input_data!I78/Other_input_data!I68</f>
        <v>-0.12352834631407358</v>
      </c>
      <c r="I22" s="369">
        <f>Other_input_data!J78/Other_input_data!J68</f>
        <v>-0.43528108917985797</v>
      </c>
      <c r="J22" s="369">
        <f>Other_input_data!K78/Other_input_data!K68</f>
        <v>5.1381380852599898E-2</v>
      </c>
      <c r="K22" s="369">
        <f>Other_input_data!L78/Other_input_data!L68</f>
        <v>-0.16704322619149112</v>
      </c>
      <c r="L22" s="5"/>
      <c r="M22" s="370">
        <f t="shared" si="2"/>
        <v>-0.18364764483958307</v>
      </c>
      <c r="N22" s="368">
        <f t="shared" si="3"/>
        <v>-0.32664121888126929</v>
      </c>
      <c r="O22" s="368">
        <f t="shared" si="4"/>
        <v>-0.29331162937902072</v>
      </c>
    </row>
    <row r="23" spans="1:15" ht="15" x14ac:dyDescent="0.25">
      <c r="A23" s="5" t="s">
        <v>889</v>
      </c>
      <c r="B23" s="369"/>
      <c r="C23" s="369">
        <f>Other_input_data!D78/Other_input_data!D69</f>
        <v>2.8109627547435001E-3</v>
      </c>
      <c r="D23" s="369">
        <f>Other_input_data!E78/Other_input_data!E69</f>
        <v>-1.0019169329073485</v>
      </c>
      <c r="E23" s="369">
        <f>Other_input_data!F78/Other_input_data!F69</f>
        <v>-0.74787535410764883</v>
      </c>
      <c r="F23" s="369">
        <f>Other_input_data!G78/Other_input_data!G69</f>
        <v>-0.33264548080891476</v>
      </c>
      <c r="G23" s="369">
        <f>Other_input_data!H78/Other_input_data!H69</f>
        <v>-1.566929133858268</v>
      </c>
      <c r="H23" s="369">
        <f>Other_input_data!I78/Other_input_data!I69</f>
        <v>-0.16218787158145073</v>
      </c>
      <c r="I23" s="369">
        <f>Other_input_data!J78/Other_input_data!J69</f>
        <v>-0.49682144317632632</v>
      </c>
      <c r="J23" s="369">
        <f>Other_input_data!K78/Other_input_data!K69</f>
        <v>5.5154424828941916E-2</v>
      </c>
      <c r="K23" s="369">
        <f>Other_input_data!L78/Other_input_data!L69</f>
        <v>-0.17620343098680211</v>
      </c>
      <c r="L23" s="5"/>
      <c r="M23" s="370">
        <f t="shared" si="2"/>
        <v>-0.20595681644472885</v>
      </c>
      <c r="N23" s="368">
        <f t="shared" si="3"/>
        <v>-0.469397490954781</v>
      </c>
      <c r="O23" s="368">
        <f t="shared" si="4"/>
        <v>-0.49184602887145268</v>
      </c>
    </row>
    <row r="24" spans="1:15" ht="15" x14ac:dyDescent="0.25">
      <c r="A24" s="5" t="s">
        <v>890</v>
      </c>
      <c r="B24" s="369"/>
      <c r="C24" s="369">
        <f>Other_input_data!D78/Other_input_data!D70</f>
        <v>2.7510316368638248E-3</v>
      </c>
      <c r="D24" s="369">
        <f>Other_input_data!E78/Other_input_data!E70</f>
        <v>-0.53387810691181492</v>
      </c>
      <c r="E24" s="369">
        <f>Other_input_data!F78/Other_input_data!F70</f>
        <v>-0.31230283911671924</v>
      </c>
      <c r="F24" s="369">
        <f>Other_input_data!G78/Other_input_data!G70</f>
        <v>-0.14585595367354329</v>
      </c>
      <c r="G24" s="369">
        <f>Other_input_data!H78/Other_input_data!H70</f>
        <v>-0.85344023867238505</v>
      </c>
      <c r="H24" s="369">
        <f>Other_input_data!I78/Other_input_data!I70</f>
        <v>-9.6541310810173211E-2</v>
      </c>
      <c r="I24" s="369">
        <f>Other_input_data!J78/Other_input_data!J70</f>
        <v>-0.31229406678662402</v>
      </c>
      <c r="J24" s="369">
        <f>Other_input_data!K78/Other_input_data!K70</f>
        <v>3.7088348564383498E-2</v>
      </c>
      <c r="K24" s="369">
        <f>Other_input_data!L78/Other_input_data!L70</f>
        <v>-0.12207640484442539</v>
      </c>
      <c r="L24" s="5"/>
      <c r="M24" s="370">
        <f t="shared" si="2"/>
        <v>-0.13242737435555532</v>
      </c>
      <c r="N24" s="368">
        <f t="shared" si="3"/>
        <v>-0.26945273450984486</v>
      </c>
      <c r="O24" s="368">
        <f t="shared" si="4"/>
        <v>-0.25961661562382643</v>
      </c>
    </row>
    <row r="25" spans="1:15" ht="15" x14ac:dyDescent="0.25">
      <c r="A25" s="5" t="s">
        <v>188</v>
      </c>
      <c r="B25" s="374">
        <f>Other_input_data!C91</f>
        <v>1.048</v>
      </c>
      <c r="C25" s="374">
        <f>Other_input_data!D91</f>
        <v>-0.25000000000000006</v>
      </c>
      <c r="D25" s="374">
        <f>Other_input_data!E91</f>
        <v>7.9566761441554457</v>
      </c>
      <c r="E25" s="374">
        <f>Other_input_data!F91</f>
        <v>5.4299972626086985</v>
      </c>
      <c r="F25" s="374">
        <f>Other_input_data!G91</f>
        <v>10.086047010163337</v>
      </c>
      <c r="G25" s="374">
        <f>Other_input_data!H91</f>
        <v>8.0303841954159765</v>
      </c>
      <c r="H25" s="374">
        <f>Other_input_data!I91</f>
        <v>19.855396322160281</v>
      </c>
      <c r="I25" s="374">
        <f>Other_input_data!J91</f>
        <v>24.402219447830635</v>
      </c>
      <c r="J25" s="374">
        <f>Other_input_data!K91</f>
        <v>9.2920542920635043</v>
      </c>
      <c r="K25" s="374">
        <f>Other_input_data!L91</f>
        <v>7.8279982744963927</v>
      </c>
      <c r="L25" s="5"/>
      <c r="M25" s="375">
        <f>AVERAGE(I25:K25)</f>
        <v>13.84075733813018</v>
      </c>
      <c r="N25" s="376">
        <f>AVERAGE(G25:K25)</f>
        <v>13.881610506393358</v>
      </c>
      <c r="O25" s="376">
        <f>AVERAGE(C25:K25)</f>
        <v>10.292308105432697</v>
      </c>
    </row>
    <row r="26" spans="1:15" ht="15" x14ac:dyDescent="0.25">
      <c r="A26" s="5" t="s">
        <v>891</v>
      </c>
      <c r="B26" s="374" t="e">
        <f>Other_input_data!C93/Other_input_data!C77</f>
        <v>#DIV/0!</v>
      </c>
      <c r="C26" s="374" t="e">
        <f>Other_input_data!D93/Other_input_data!D77</f>
        <v>#DIV/0!</v>
      </c>
      <c r="D26" s="374">
        <f>Other_input_data!E93/Other_input_data!E77</f>
        <v>2.2683506551320347</v>
      </c>
      <c r="E26" s="374">
        <f>Other_input_data!F93/Other_input_data!F77</f>
        <v>-8.2017272085970152</v>
      </c>
      <c r="F26" s="374">
        <f>Other_input_data!G93/Other_input_data!G77</f>
        <v>-7.4897734536388141</v>
      </c>
      <c r="G26" s="374">
        <f>Other_input_data!H93/Other_input_data!H77</f>
        <v>9.1530530385251225</v>
      </c>
      <c r="H26" s="374">
        <f>Other_input_data!I93/Other_input_data!I77</f>
        <v>29.356751617427154</v>
      </c>
      <c r="I26" s="374">
        <f>Other_input_data!J93/Other_input_data!J77</f>
        <v>114.60904761310398</v>
      </c>
      <c r="J26" s="374">
        <f>Other_input_data!K93/Other_input_data!K77</f>
        <v>24.055966569583067</v>
      </c>
      <c r="K26" s="374">
        <f>Other_input_data!L93/Other_input_data!L77</f>
        <v>18.886062663537178</v>
      </c>
      <c r="L26" s="5"/>
      <c r="M26" s="375">
        <f t="shared" ref="M26:M49" si="5">AVERAGE(I26:K26)</f>
        <v>52.51702561540808</v>
      </c>
      <c r="N26" s="376">
        <f t="shared" ref="N26:N49" si="6">AVERAGE(G26:K26)</f>
        <v>39.212176300435303</v>
      </c>
      <c r="O26" s="376" t="e">
        <f t="shared" ref="O26:O32" si="7">AVERAGE(C26:K26)</f>
        <v>#DIV/0!</v>
      </c>
    </row>
    <row r="27" spans="1:15" ht="15" x14ac:dyDescent="0.25">
      <c r="A27" s="5" t="s">
        <v>892</v>
      </c>
      <c r="B27" s="374" t="e">
        <f>Other_input_data!C93/Other_input_data!C78</f>
        <v>#DIV/0!</v>
      </c>
      <c r="C27" s="374">
        <f>Other_input_data!D93/Other_input_data!D78</f>
        <v>-0.49999999999999989</v>
      </c>
      <c r="D27" s="374">
        <f>Other_input_data!E93/Other_input_data!E78</f>
        <v>-3.2983670240440297</v>
      </c>
      <c r="E27" s="374">
        <f>Other_input_data!F93/Other_input_data!F78</f>
        <v>-3.4691649177777779</v>
      </c>
      <c r="F27" s="374">
        <f>Other_input_data!G93/Other_input_data!G78</f>
        <v>-13.790103976674933</v>
      </c>
      <c r="G27" s="374">
        <f>Other_input_data!H93/Other_input_data!H78</f>
        <v>-2.4317484148670632</v>
      </c>
      <c r="H27" s="374">
        <f>Other_input_data!I93/Other_input_data!I78</f>
        <v>-74.841063751955019</v>
      </c>
      <c r="I27" s="374">
        <f>Other_input_data!J93/Other_input_data!J78</f>
        <v>-32.399953747553639</v>
      </c>
      <c r="J27" s="374">
        <f>Other_input_data!K93/Other_input_data!K78</f>
        <v>118.26829897437923</v>
      </c>
      <c r="K27" s="374">
        <f>Other_input_data!L93/Other_input_data!L78</f>
        <v>-30.147332387501613</v>
      </c>
      <c r="L27" s="5"/>
      <c r="M27" s="375">
        <f t="shared" si="5"/>
        <v>18.573670946441329</v>
      </c>
      <c r="N27" s="376">
        <f t="shared" si="6"/>
        <v>-4.3103598654996187</v>
      </c>
      <c r="O27" s="376">
        <f t="shared" si="7"/>
        <v>-4.7343816939994277</v>
      </c>
    </row>
    <row r="28" spans="1:15" ht="15" x14ac:dyDescent="0.25">
      <c r="A28" s="5" t="s">
        <v>521</v>
      </c>
      <c r="B28" s="369" t="e">
        <f>Other_input_data!C77/Other_input_data!C32</f>
        <v>#DIV/0!</v>
      </c>
      <c r="C28" s="369" t="e">
        <f>Other_input_data!D77/Other_input_data!D32</f>
        <v>#DIV/0!</v>
      </c>
      <c r="D28" s="369">
        <f>Other_input_data!E77/Other_input_data!E32</f>
        <v>0.69852941176470584</v>
      </c>
      <c r="E28" s="369">
        <f>Other_input_data!F77/Other_input_data!F32</f>
        <v>-0.15906932573599242</v>
      </c>
      <c r="F28" s="369">
        <f>Other_input_data!G77/Other_input_data!G32</f>
        <v>-0.28309805417779471</v>
      </c>
      <c r="G28" s="369">
        <f>Other_input_data!H77/Other_input_data!H32</f>
        <v>0.2759872900590104</v>
      </c>
      <c r="H28" s="369">
        <f>Other_input_data!I77/Other_input_data!I32</f>
        <v>0.20889066880256307</v>
      </c>
      <c r="I28" s="369">
        <f>Other_input_data!J77/Other_input_data!J32</f>
        <v>6.9466406795866589E-2</v>
      </c>
      <c r="J28" s="369">
        <f>Other_input_data!K77/Other_input_data!K32</f>
        <v>0.1357648483930802</v>
      </c>
      <c r="K28" s="369">
        <f>Other_input_data!L77/Other_input_data!L32</f>
        <v>0.14730818143281049</v>
      </c>
      <c r="L28" s="5"/>
      <c r="M28" s="375">
        <f t="shared" si="5"/>
        <v>0.11751314554058577</v>
      </c>
      <c r="N28" s="376">
        <f t="shared" si="6"/>
        <v>0.16748347909666617</v>
      </c>
      <c r="O28" s="376" t="e">
        <f t="shared" si="7"/>
        <v>#DIV/0!</v>
      </c>
    </row>
    <row r="29" spans="1:15" ht="15" x14ac:dyDescent="0.25">
      <c r="A29" s="5" t="s">
        <v>524</v>
      </c>
      <c r="B29" s="369" t="e">
        <f>Other_input_data!C78/Other_input_data!C32</f>
        <v>#DIV/0!</v>
      </c>
      <c r="C29" s="369" t="e">
        <f>Other_input_data!D78/Other_input_data!D32</f>
        <v>#DIV/0!</v>
      </c>
      <c r="D29" s="369">
        <f>Other_input_data!E78/Other_input_data!E32</f>
        <v>-0.48039215686274517</v>
      </c>
      <c r="E29" s="369">
        <f>Other_input_data!F78/Other_input_data!F32</f>
        <v>-0.37606837606837606</v>
      </c>
      <c r="F29" s="369">
        <f>Other_input_data!G78/Other_input_data!G32</f>
        <v>-0.15375810759252198</v>
      </c>
      <c r="G29" s="369">
        <f>Other_input_data!H78/Other_input_data!H32</f>
        <v>-1.0388107126645485</v>
      </c>
      <c r="H29" s="369">
        <f>Other_input_data!I78/Other_input_data!I32</f>
        <v>-8.1938325991189456E-2</v>
      </c>
      <c r="I29" s="369">
        <f>Other_input_data!J78/Other_input_data!J32</f>
        <v>-0.24572500275806275</v>
      </c>
      <c r="J29" s="369">
        <f>Other_input_data!K78/Other_input_data!K32</f>
        <v>2.7614793504182916E-2</v>
      </c>
      <c r="K29" s="369">
        <f>Other_input_data!L78/Other_input_data!L32</f>
        <v>-9.228251142197727E-2</v>
      </c>
      <c r="L29" s="5"/>
      <c r="M29" s="375">
        <f t="shared" si="5"/>
        <v>-0.10346424022528571</v>
      </c>
      <c r="N29" s="376">
        <f t="shared" si="6"/>
        <v>-0.28622835186631901</v>
      </c>
      <c r="O29" s="376" t="e">
        <f t="shared" si="7"/>
        <v>#DIV/0!</v>
      </c>
    </row>
    <row r="30" spans="1:15" ht="15" x14ac:dyDescent="0.25">
      <c r="A30" s="5" t="s">
        <v>229</v>
      </c>
      <c r="B30" s="375">
        <f>Other_input_data!C77/Other_input_data!C41</f>
        <v>0</v>
      </c>
      <c r="C30" s="375">
        <f>Other_input_data!D77/Other_input_data!D41</f>
        <v>0</v>
      </c>
      <c r="D30" s="375">
        <f>Other_input_data!E77/Other_input_data!E41</f>
        <v>5.454545454545455</v>
      </c>
      <c r="E30" s="375">
        <f>Other_input_data!F77/Other_input_data!F41</f>
        <v>-0.95441595441595495</v>
      </c>
      <c r="F30" s="375">
        <f>Other_input_data!G77/Other_input_data!G41</f>
        <v>-1.8643216080402003</v>
      </c>
      <c r="G30" s="375">
        <f>Other_input_data!H77/Other_input_data!H41</f>
        <v>1.6322147651006693</v>
      </c>
      <c r="H30" s="375">
        <f>Other_input_data!I77/Other_input_data!I41</f>
        <v>1.1294932871372894</v>
      </c>
      <c r="I30" s="375">
        <f>Other_input_data!J77/Other_input_data!J41</f>
        <v>0.3548750704489948</v>
      </c>
      <c r="J30" s="375">
        <f>Other_input_data!K77/Other_input_data!K41</f>
        <v>0.55527171388759844</v>
      </c>
      <c r="K30" s="375">
        <f>Other_input_data!L77/Other_input_data!L41</f>
        <v>0.60899620290137302</v>
      </c>
      <c r="L30" s="5"/>
      <c r="M30" s="375">
        <f t="shared" si="5"/>
        <v>0.50638099574598872</v>
      </c>
      <c r="N30" s="376">
        <f t="shared" si="6"/>
        <v>0.85617020789518494</v>
      </c>
      <c r="O30" s="376">
        <f t="shared" si="7"/>
        <v>0.76851765906280267</v>
      </c>
    </row>
    <row r="31" spans="1:15" ht="15" x14ac:dyDescent="0.25">
      <c r="A31" s="5" t="s">
        <v>316</v>
      </c>
      <c r="B31" s="375">
        <f>Other_input_data!C78/Other_input_data!C41</f>
        <v>0</v>
      </c>
      <c r="C31" s="375">
        <f>Other_input_data!D78/Other_input_data!D41</f>
        <v>0.50000000000000022</v>
      </c>
      <c r="D31" s="375">
        <f>Other_input_data!E78/Other_input_data!E41</f>
        <v>-3.7511961722488047</v>
      </c>
      <c r="E31" s="375">
        <f>Other_input_data!F78/Other_input_data!F41</f>
        <v>-2.2564102564102577</v>
      </c>
      <c r="F31" s="375">
        <f>Other_input_data!G78/Other_input_data!G41</f>
        <v>-1.0125628140703518</v>
      </c>
      <c r="G31" s="375">
        <f>Other_input_data!H78/Other_input_data!H41</f>
        <v>-6.14362416107382</v>
      </c>
      <c r="H31" s="375">
        <f>Other_input_data!I78/Other_input_data!I41</f>
        <v>-0.44304893893460412</v>
      </c>
      <c r="I31" s="375">
        <f>Other_input_data!J78/Other_input_data!J41</f>
        <v>-1.2553071576178843</v>
      </c>
      <c r="J31" s="375">
        <f>Other_input_data!K78/Other_input_data!K41</f>
        <v>0.11294318005883261</v>
      </c>
      <c r="K31" s="375">
        <f>Other_input_data!L78/Other_input_data!L41</f>
        <v>-0.38151105053062023</v>
      </c>
      <c r="L31" s="5"/>
      <c r="M31" s="375">
        <f t="shared" si="5"/>
        <v>-0.50795834269655737</v>
      </c>
      <c r="N31" s="376">
        <f t="shared" si="6"/>
        <v>-1.622109625619619</v>
      </c>
      <c r="O31" s="376">
        <f t="shared" si="7"/>
        <v>-1.6256352634252789</v>
      </c>
    </row>
    <row r="32" spans="1:15" ht="15" x14ac:dyDescent="0.25">
      <c r="A32" s="246" t="s">
        <v>231</v>
      </c>
      <c r="B32" s="375" t="e">
        <f>Other_input_data!C78/Other_input_data!C77</f>
        <v>#DIV/0!</v>
      </c>
      <c r="C32" s="375" t="e">
        <f>Other_input_data!D78/Other_input_data!D77</f>
        <v>#DIV/0!</v>
      </c>
      <c r="D32" s="375">
        <f>Other_input_data!E78/Other_input_data!E77</f>
        <v>-0.68771929824561417</v>
      </c>
      <c r="E32" s="375">
        <f>Other_input_data!F78/Other_input_data!F77</f>
        <v>2.3641791044776119</v>
      </c>
      <c r="F32" s="375">
        <f>Other_input_data!G78/Other_input_data!G77</f>
        <v>0.54312668463611879</v>
      </c>
      <c r="G32" s="375">
        <f>Other_input_data!H78/Other_input_data!H77</f>
        <v>-3.7639802631578956</v>
      </c>
      <c r="H32" s="375">
        <f>Other_input_data!I78/Other_input_data!I77</f>
        <v>-0.39225460122699407</v>
      </c>
      <c r="I32" s="375">
        <f>Other_input_data!J78/Other_input_data!J77</f>
        <v>-3.5373213340391745</v>
      </c>
      <c r="J32" s="375">
        <f>Other_input_data!K78/Other_input_data!K77</f>
        <v>0.20340164505785588</v>
      </c>
      <c r="K32" s="375">
        <f>Other_input_data!L78/Other_input_data!L77</f>
        <v>-0.6264588329336529</v>
      </c>
      <c r="L32" s="5"/>
      <c r="M32" s="375">
        <f t="shared" si="5"/>
        <v>-1.320126173971657</v>
      </c>
      <c r="N32" s="376">
        <f t="shared" si="6"/>
        <v>-1.623322677259972</v>
      </c>
      <c r="O32" s="376" t="e">
        <f t="shared" si="7"/>
        <v>#DIV/0!</v>
      </c>
    </row>
    <row r="33" spans="1:15" x14ac:dyDescent="0.2">
      <c r="A33" s="377" t="s">
        <v>528</v>
      </c>
      <c r="B33" s="276">
        <f>Other_input_data!C$32/Other_input_data!C63</f>
        <v>0</v>
      </c>
      <c r="C33" s="276">
        <f>Other_input_data!D$32/Other_input_data!D63</f>
        <v>0</v>
      </c>
      <c r="D33" s="276">
        <f>Other_input_data!E$32/Other_input_data!E63</f>
        <v>0.75</v>
      </c>
      <c r="E33" s="276">
        <f>Other_input_data!F$32/Other_input_data!F63</f>
        <v>0.740506329113924</v>
      </c>
      <c r="F33" s="276">
        <f>Other_input_data!G$32/Other_input_data!G63</f>
        <v>0.88249158249158255</v>
      </c>
      <c r="G33" s="276">
        <f>Other_input_data!H$32/Other_input_data!H63</f>
        <v>0.66980845241714804</v>
      </c>
      <c r="H33" s="276">
        <f>Other_input_data!I$32/Other_input_data!I63</f>
        <v>1.2503755633450175</v>
      </c>
      <c r="I33" s="276">
        <f>Other_input_data!J$32/Other_input_data!J63</f>
        <v>1.312593522228122</v>
      </c>
      <c r="J33" s="276">
        <f>Other_input_data!K$32/Other_input_data!K63</f>
        <v>1.4646005433276044</v>
      </c>
      <c r="K33" s="276">
        <f>Other_input_data!L$32/Other_input_data!L63</f>
        <v>1.4703417708369406</v>
      </c>
      <c r="L33" s="277"/>
      <c r="M33" s="260">
        <f t="shared" si="5"/>
        <v>1.4158452787975557</v>
      </c>
      <c r="N33" s="260">
        <f t="shared" si="6"/>
        <v>1.2335439704309663</v>
      </c>
      <c r="O33" s="260">
        <f t="shared" ref="O33:O40" si="8">AVERAGE(C33:K33)</f>
        <v>0.94896864041781548</v>
      </c>
    </row>
    <row r="34" spans="1:15" x14ac:dyDescent="0.2">
      <c r="A34" s="377" t="s">
        <v>893</v>
      </c>
      <c r="B34" s="276"/>
      <c r="C34" s="276">
        <f>Other_input_data!D$32/Other_input_data!D64</f>
        <v>0</v>
      </c>
      <c r="D34" s="276">
        <f>Other_input_data!E$32/Other_input_data!E64</f>
        <v>1.1558073654390935</v>
      </c>
      <c r="E34" s="276">
        <f>Other_input_data!F$32/Other_input_data!F64</f>
        <v>0.8390438247011951</v>
      </c>
      <c r="F34" s="276">
        <f>Other_input_data!G$32/Other_input_data!G64</f>
        <v>0.90161678706570347</v>
      </c>
      <c r="G34" s="276">
        <f>Other_input_data!H$32/Other_input_data!H64</f>
        <v>0.92291579388353584</v>
      </c>
      <c r="H34" s="276">
        <f>Other_input_data!I$32/Other_input_data!I64</f>
        <v>1.5075771297470264</v>
      </c>
      <c r="I34" s="276">
        <f>Other_input_data!J$32/Other_input_data!J64</f>
        <v>1.7714155429613707</v>
      </c>
      <c r="J34" s="276">
        <f>Other_input_data!K$32/Other_input_data!K64</f>
        <v>1.8606469334929832</v>
      </c>
      <c r="K34" s="276">
        <f>Other_input_data!L$32/Other_input_data!L64</f>
        <v>1.8101287407281099</v>
      </c>
      <c r="L34" s="264"/>
      <c r="M34" s="260">
        <f t="shared" si="5"/>
        <v>1.8140637390608212</v>
      </c>
      <c r="N34" s="260">
        <f t="shared" si="6"/>
        <v>1.5745368281626051</v>
      </c>
      <c r="O34" s="260">
        <f t="shared" si="8"/>
        <v>1.1965724575576688</v>
      </c>
    </row>
    <row r="35" spans="1:15" x14ac:dyDescent="0.2">
      <c r="A35" s="377" t="s">
        <v>529</v>
      </c>
      <c r="B35" s="261">
        <f>Other_input_data!C$41/Other_input_data!C63</f>
        <v>0.16129032258064516</v>
      </c>
      <c r="C35" s="261">
        <f>Other_input_data!D$41/Other_input_data!D63</f>
        <v>6.1728395061728383E-3</v>
      </c>
      <c r="D35" s="261">
        <f>Other_input_data!E$41/Other_input_data!E63</f>
        <v>9.6047794117647051E-2</v>
      </c>
      <c r="E35" s="261">
        <f>Other_input_data!F$41/Other_input_data!F63</f>
        <v>0.12341772151898726</v>
      </c>
      <c r="F35" s="261">
        <f>Other_input_data!G$41/Other_input_data!G63</f>
        <v>0.13400673400673405</v>
      </c>
      <c r="G35" s="261">
        <f>Other_input_data!H$41/Other_input_data!H63</f>
        <v>0.11325630890848294</v>
      </c>
      <c r="H35" s="261">
        <f>Other_input_data!I$41/Other_input_data!I63</f>
        <v>0.2312468703054581</v>
      </c>
      <c r="I35" s="261">
        <f>Other_input_data!J$41/Other_input_data!J63</f>
        <v>0.25693874595742638</v>
      </c>
      <c r="J35" s="261">
        <f>Other_input_data!K$41/Other_input_data!K63</f>
        <v>0.35809724455286374</v>
      </c>
      <c r="K35" s="261">
        <f>Other_input_data!L$41/Other_input_data!L63</f>
        <v>0.35565635929221912</v>
      </c>
      <c r="L35" s="265"/>
      <c r="M35" s="261">
        <f t="shared" si="5"/>
        <v>0.32356411660083645</v>
      </c>
      <c r="N35" s="261">
        <f t="shared" si="6"/>
        <v>0.26303910580329004</v>
      </c>
      <c r="O35" s="261">
        <f t="shared" si="8"/>
        <v>0.18609340201844349</v>
      </c>
    </row>
    <row r="36" spans="1:15" x14ac:dyDescent="0.2">
      <c r="A36" s="377" t="s">
        <v>894</v>
      </c>
      <c r="B36" s="261"/>
      <c r="C36" s="261">
        <f>Other_input_data!D$41/Other_input_data!D64</f>
        <v>5.6219255094869984E-3</v>
      </c>
      <c r="D36" s="261">
        <f>Other_input_data!E$41/Other_input_data!E64</f>
        <v>0.14801699716713879</v>
      </c>
      <c r="E36" s="261">
        <f>Other_input_data!F$41/Other_input_data!F64</f>
        <v>0.13984063745019912</v>
      </c>
      <c r="F36" s="261">
        <f>Other_input_data!G$41/Other_input_data!G64</f>
        <v>0.13691090471276235</v>
      </c>
      <c r="G36" s="261">
        <f>Other_input_data!H$41/Other_input_data!H64</f>
        <v>0.15605362379555945</v>
      </c>
      <c r="H36" s="261">
        <f>Other_input_data!I$41/Other_input_data!I64</f>
        <v>0.2788142244762421</v>
      </c>
      <c r="I36" s="261">
        <f>Other_input_data!J$41/Other_input_data!J64</f>
        <v>0.34675265455019233</v>
      </c>
      <c r="J36" s="261">
        <f>Other_input_data!K$41/Other_input_data!K64</f>
        <v>0.454931239104788</v>
      </c>
      <c r="K36" s="261">
        <f>Other_input_data!L$41/Other_input_data!L64</f>
        <v>0.43784636371387142</v>
      </c>
      <c r="L36" s="265"/>
      <c r="M36" s="261">
        <f t="shared" si="5"/>
        <v>0.41317675245628394</v>
      </c>
      <c r="N36" s="261">
        <f t="shared" si="6"/>
        <v>0.33487962112813069</v>
      </c>
      <c r="O36" s="261">
        <f t="shared" si="8"/>
        <v>0.23386539672002676</v>
      </c>
    </row>
    <row r="37" spans="1:15" x14ac:dyDescent="0.2">
      <c r="A37" s="377" t="s">
        <v>530</v>
      </c>
      <c r="B37" s="261">
        <f>Other_input_data!C$77/Other_input_data!C63</f>
        <v>0</v>
      </c>
      <c r="C37" s="261">
        <f>Other_input_data!D$77/Other_input_data!D63</f>
        <v>0</v>
      </c>
      <c r="D37" s="261">
        <f>Other_input_data!E$77/Other_input_data!E63</f>
        <v>0.52389705882352944</v>
      </c>
      <c r="E37" s="261">
        <f>Other_input_data!F$77/Other_input_data!F63</f>
        <v>-0.11779184247538678</v>
      </c>
      <c r="F37" s="261">
        <f>Other_input_data!G$77/Other_input_data!G63</f>
        <v>-0.24983164983164985</v>
      </c>
      <c r="G37" s="261">
        <f>Other_input_data!H$77/Other_input_data!H63</f>
        <v>0.18485861964122832</v>
      </c>
      <c r="H37" s="261">
        <f>Other_input_data!I$77/Other_input_data!I63</f>
        <v>0.26119178768152229</v>
      </c>
      <c r="I37" s="261">
        <f>Other_input_data!J$77/Other_input_data!J63</f>
        <v>9.1181155572718067E-2</v>
      </c>
      <c r="J37" s="261">
        <f>Other_input_data!K$77/Other_input_data!K63</f>
        <v>0.19884127072129512</v>
      </c>
      <c r="K37" s="261">
        <f>Other_input_data!L$77/Other_input_data!L63</f>
        <v>0.21659337234668793</v>
      </c>
      <c r="L37" s="265"/>
      <c r="M37" s="261">
        <f t="shared" si="5"/>
        <v>0.16887193288023372</v>
      </c>
      <c r="N37" s="261">
        <f t="shared" si="6"/>
        <v>0.19053324119269036</v>
      </c>
      <c r="O37" s="261">
        <f t="shared" si="8"/>
        <v>0.12321553027554939</v>
      </c>
    </row>
    <row r="38" spans="1:15" x14ac:dyDescent="0.2">
      <c r="A38" s="377" t="s">
        <v>895</v>
      </c>
      <c r="B38" s="261"/>
      <c r="C38" s="261">
        <f>Other_input_data!D$77/Other_input_data!D64</f>
        <v>0</v>
      </c>
      <c r="D38" s="261">
        <f>Other_input_data!E$77/Other_input_data!E64</f>
        <v>0.80736543909348435</v>
      </c>
      <c r="E38" s="261">
        <f>Other_input_data!F$77/Other_input_data!F64</f>
        <v>-0.13346613545816732</v>
      </c>
      <c r="F38" s="261">
        <f>Other_input_data!G$77/Other_input_data!G64</f>
        <v>-0.25524595803233574</v>
      </c>
      <c r="G38" s="261">
        <f>Other_input_data!H$77/Other_input_data!H64</f>
        <v>0.25471302890657727</v>
      </c>
      <c r="H38" s="261">
        <f>Other_input_data!I$77/Other_input_data!I64</f>
        <v>0.31491879490430474</v>
      </c>
      <c r="I38" s="261">
        <f>Other_input_data!J$77/Other_input_data!J64</f>
        <v>0.12305387271187546</v>
      </c>
      <c r="J38" s="261">
        <f>Other_input_data!K$77/Other_input_data!K64</f>
        <v>0.25261044883872447</v>
      </c>
      <c r="K38" s="261">
        <f>Other_input_data!L$77/Other_input_data!L64</f>
        <v>0.26664677295592121</v>
      </c>
      <c r="L38" s="265"/>
      <c r="M38" s="261">
        <f t="shared" si="5"/>
        <v>0.21410369816884037</v>
      </c>
      <c r="N38" s="261">
        <f t="shared" si="6"/>
        <v>0.24238858366348062</v>
      </c>
      <c r="O38" s="261">
        <f t="shared" si="8"/>
        <v>0.18117736265782047</v>
      </c>
    </row>
    <row r="39" spans="1:15" x14ac:dyDescent="0.2">
      <c r="A39" s="377" t="s">
        <v>531</v>
      </c>
      <c r="B39" s="261">
        <f>Other_input_data!C$78/Other_input_data!C63</f>
        <v>0</v>
      </c>
      <c r="C39" s="261">
        <f>Other_input_data!D$78/Other_input_data!D63</f>
        <v>3.08641975308642E-3</v>
      </c>
      <c r="D39" s="261">
        <f>Other_input_data!E$78/Other_input_data!E63</f>
        <v>-0.36029411764705888</v>
      </c>
      <c r="E39" s="261">
        <f>Other_input_data!F$78/Other_input_data!F63</f>
        <v>-0.27848101265822783</v>
      </c>
      <c r="F39" s="261">
        <f>Other_input_data!G$78/Other_input_data!G63</f>
        <v>-0.13569023569023572</v>
      </c>
      <c r="G39" s="261">
        <f>Other_input_data!H$78/Other_input_data!H63</f>
        <v>-0.69580419580419595</v>
      </c>
      <c r="H39" s="261">
        <f>Other_input_data!I$78/Other_input_data!I63</f>
        <v>-0.10245368052078122</v>
      </c>
      <c r="I39" s="261">
        <f>Other_input_data!J$78/Other_input_data!J63</f>
        <v>-0.32253704686972057</v>
      </c>
      <c r="J39" s="261">
        <f>Other_input_data!K$78/Other_input_data!K63</f>
        <v>4.0444641570105903E-2</v>
      </c>
      <c r="K39" s="261">
        <f>Other_input_data!L$78/Other_input_data!L63</f>
        <v>-0.13568683126147024</v>
      </c>
      <c r="L39" s="265"/>
      <c r="M39" s="261">
        <f t="shared" si="5"/>
        <v>-0.13925974552036163</v>
      </c>
      <c r="N39" s="261">
        <f t="shared" si="6"/>
        <v>-0.24320742257721242</v>
      </c>
      <c r="O39" s="261">
        <f t="shared" si="8"/>
        <v>-0.22082400656983314</v>
      </c>
    </row>
    <row r="40" spans="1:15" x14ac:dyDescent="0.2">
      <c r="A40" s="377" t="s">
        <v>896</v>
      </c>
      <c r="B40" s="261"/>
      <c r="C40" s="261">
        <f>Other_input_data!D$78/Other_input_data!D64</f>
        <v>2.8109627547435001E-3</v>
      </c>
      <c r="D40" s="261">
        <f>Other_input_data!E$78/Other_input_data!E64</f>
        <v>-0.55524079320113318</v>
      </c>
      <c r="E40" s="261">
        <f>Other_input_data!F$78/Other_input_data!F64</f>
        <v>-0.31553784860557765</v>
      </c>
      <c r="F40" s="261">
        <f>Other_input_data!G$78/Other_input_data!G64</f>
        <v>-0.13863089095287243</v>
      </c>
      <c r="G40" s="261">
        <f>Other_input_data!H$78/Other_input_data!H64</f>
        <v>-0.95873481357352341</v>
      </c>
      <c r="H40" s="261">
        <f>Other_input_data!I$78/Other_input_data!I64</f>
        <v>-0.12352834631407358</v>
      </c>
      <c r="I40" s="261">
        <f>Other_input_data!J$78/Other_input_data!J64</f>
        <v>-0.43528108917985808</v>
      </c>
      <c r="J40" s="261">
        <f>Other_input_data!K$78/Other_input_data!K64</f>
        <v>5.1381380852599898E-2</v>
      </c>
      <c r="K40" s="261">
        <f>Other_input_data!L$78/Other_input_data!L64</f>
        <v>-0.16704322619149115</v>
      </c>
      <c r="L40" s="265"/>
      <c r="M40" s="261">
        <f t="shared" si="5"/>
        <v>-0.1836476448395831</v>
      </c>
      <c r="N40" s="261">
        <f t="shared" si="6"/>
        <v>-0.32664121888126929</v>
      </c>
      <c r="O40" s="261">
        <f t="shared" si="8"/>
        <v>-0.29331162937902072</v>
      </c>
    </row>
    <row r="41" spans="1:15" x14ac:dyDescent="0.2">
      <c r="A41" s="377" t="s">
        <v>897</v>
      </c>
      <c r="C41" s="260"/>
      <c r="D41" s="260" t="e">
        <f>((Other_input_data!E32-Other_input_data!D32)/Other_input_data!D32)/((Other_input_data!E64-Other_input_data!D64)/Other_input_data!D64)</f>
        <v>#DIV/0!</v>
      </c>
      <c r="E41" s="260">
        <f>((Other_input_data!F32-Other_input_data!E32)/Other_input_data!E32)/((Other_input_data!F64-Other_input_data!E64)/Other_input_data!E64)</f>
        <v>0.37349994642665796</v>
      </c>
      <c r="F41" s="260">
        <f>((Other_input_data!G32-Other_input_data!F32)/Other_input_data!F32)/((Other_input_data!G64-Other_input_data!F64)/Other_input_data!F64)</f>
        <v>1.5460804083809976</v>
      </c>
      <c r="G41" s="260">
        <f>((Other_input_data!H32-Other_input_data!G32)/Other_input_data!G32)/((Other_input_data!H64-Other_input_data!G64)/Other_input_data!G64)</f>
        <v>1.0604053576577628</v>
      </c>
      <c r="H41" s="260">
        <f>((Other_input_data!I32-Other_input_data!H32)/Other_input_data!H32)/((Other_input_data!I64-Other_input_data!H64)/Other_input_data!H64)</f>
        <v>2.4957314411857867</v>
      </c>
      <c r="I41" s="260">
        <f>((Other_input_data!J32-Other_input_data!I32)/Other_input_data!I32)/((Other_input_data!J64-Other_input_data!I64)/Other_input_data!I64)</f>
        <v>1.3800200044849069</v>
      </c>
      <c r="J41" s="260">
        <f>((Other_input_data!K32-Other_input_data!J32)/Other_input_data!J32)/((Other_input_data!K64-Other_input_data!J64)/Other_input_data!J64)</f>
        <v>1.1096526907093698</v>
      </c>
      <c r="K41" s="260">
        <f>((Other_input_data!L32-Other_input_data!K32)/Other_input_data!K32)/((Other_input_data!L64-Other_input_data!K64)/Other_input_data!K64)</f>
        <v>0.93122159428960016</v>
      </c>
      <c r="L41" s="275"/>
      <c r="M41" s="260">
        <f t="shared" si="5"/>
        <v>1.1402980964946257</v>
      </c>
      <c r="N41" s="260">
        <f t="shared" si="6"/>
        <v>1.3954062176654853</v>
      </c>
      <c r="O41" s="260" t="e">
        <f t="shared" ref="O41:O49" si="9">AVERAGE(B41:K41)</f>
        <v>#DIV/0!</v>
      </c>
    </row>
    <row r="42" spans="1:15" x14ac:dyDescent="0.2">
      <c r="A42" s="377" t="s">
        <v>898</v>
      </c>
      <c r="C42" s="261"/>
      <c r="D42" s="276">
        <f>((Other_input_data!E41-Other_input_data!D41)/Other_input_data!D41)/((Other_input_data!E64-Other_input_data!D64)/Other_input_data!D64)</f>
        <v>52.054782298358312</v>
      </c>
      <c r="E42" s="276">
        <f>((Other_input_data!F41-Other_input_data!E41)/Other_input_data!E41)/((Other_input_data!F64-Other_input_data!E64)/Other_input_data!E64)</f>
        <v>0.87372430081662078</v>
      </c>
      <c r="F42" s="276">
        <f>((Other_input_data!G41-Other_input_data!F41)/Other_input_data!F41)/((Other_input_data!G64-Other_input_data!F64)/Other_input_data!F64)</f>
        <v>0.84659160225911523</v>
      </c>
      <c r="G42" s="276">
        <f>((Other_input_data!H41-Other_input_data!G41)/Other_input_data!G41)/((Other_input_data!H64-Other_input_data!G64)/Other_input_data!G64)</f>
        <v>1.3575227503344274</v>
      </c>
      <c r="H42" s="276">
        <f>((Other_input_data!I41-Other_input_data!H41)/Other_input_data!H41)/((Other_input_data!I64-Other_input_data!H64)/Other_input_data!H64)</f>
        <v>2.8573616459456423</v>
      </c>
      <c r="I42" s="276">
        <f>((Other_input_data!J41-Other_input_data!I41)/Other_input_data!I41)/((Other_input_data!J64-Other_input_data!I64)/Other_input_data!I64)</f>
        <v>1.5291131475034245</v>
      </c>
      <c r="J42" s="276">
        <f>((Other_input_data!K41-Other_input_data!J41)/Other_input_data!J41)/((Other_input_data!K64-Other_input_data!J64)/Other_input_data!J64)</f>
        <v>1.6791154071101309</v>
      </c>
      <c r="K42" s="276">
        <f>((Other_input_data!L41-Other_input_data!K41)/Other_input_data!K41)/((Other_input_data!L64-Other_input_data!K64)/Other_input_data!K64)</f>
        <v>0.90486631353575453</v>
      </c>
      <c r="L42" s="264"/>
      <c r="M42" s="261">
        <f t="shared" si="5"/>
        <v>1.3710316227164367</v>
      </c>
      <c r="N42" s="261">
        <f t="shared" si="6"/>
        <v>1.6655958528858759</v>
      </c>
      <c r="O42" s="261">
        <f t="shared" si="9"/>
        <v>7.7628846832329286</v>
      </c>
    </row>
    <row r="43" spans="1:15" x14ac:dyDescent="0.2">
      <c r="A43" s="377" t="s">
        <v>899</v>
      </c>
      <c r="C43" s="261"/>
      <c r="D43" s="276" t="e">
        <f>((Other_input_data!E77-Other_input_data!D77)/Other_input_data!D77)/((Other_input_data!E64-Other_input_data!D64)/Other_input_data!D64)</f>
        <v>#DIV/0!</v>
      </c>
      <c r="E43" s="276">
        <f>((Other_input_data!F77-Other_input_data!E77)/Other_input_data!E77)/((Other_input_data!F64-Other_input_data!E64)/Other_input_data!E64)</f>
        <v>-1.6638705141724985</v>
      </c>
      <c r="F43" s="276">
        <f>((Other_input_data!G77-Other_input_data!F77)/Other_input_data!F77)/((Other_input_data!G64-Other_input_data!F64)/Other_input_data!F64)</f>
        <v>7.6812662130155296</v>
      </c>
      <c r="G43" s="276">
        <f>((Other_input_data!H77-Other_input_data!G77)/Other_input_data!G77)/((Other_input_data!H64-Other_input_data!G64)/Other_input_data!G64)</f>
        <v>-4.1087479084164302</v>
      </c>
      <c r="H43" s="276">
        <f>((Other_input_data!I77-Other_input_data!H77)/Other_input_data!H77)/((Other_input_data!I64-Other_input_data!H64)/Other_input_data!H64)</f>
        <v>1.558082304835503</v>
      </c>
      <c r="I43" s="276">
        <f>((Other_input_data!J77-Other_input_data!I77)/Other_input_data!I77)/((Other_input_data!J64-Other_input_data!I64)/Other_input_data!I64)</f>
        <v>-0.32295470106831509</v>
      </c>
      <c r="J43" s="276">
        <f>((Other_input_data!K77-Other_input_data!J77)/Other_input_data!J77)/((Other_input_data!K64-Other_input_data!J64)/Other_input_data!J64)</f>
        <v>3.2918503649629853</v>
      </c>
      <c r="K43" s="276">
        <f>((Other_input_data!L77-Other_input_data!K77)/Other_input_data!K77)/((Other_input_data!L64-Other_input_data!K64)/Other_input_data!K64)</f>
        <v>1.1407571121383109</v>
      </c>
      <c r="L43" s="265"/>
      <c r="M43" s="261">
        <f t="shared" si="5"/>
        <v>1.3698842586776603</v>
      </c>
      <c r="N43" s="261">
        <f t="shared" si="6"/>
        <v>0.31179743449041081</v>
      </c>
      <c r="O43" s="261" t="e">
        <f t="shared" si="9"/>
        <v>#DIV/0!</v>
      </c>
    </row>
    <row r="44" spans="1:15" x14ac:dyDescent="0.2">
      <c r="A44" s="377" t="s">
        <v>900</v>
      </c>
      <c r="C44" s="261"/>
      <c r="D44" s="276">
        <f>((Other_input_data!E78-Other_input_data!D78)/Other_input_data!D78)/((Other_input_data!E64-Other_input_data!D64)/Other_input_data!D64)</f>
        <v>-399.17130620985006</v>
      </c>
      <c r="E44" s="276">
        <f>((Other_input_data!F78-Other_input_data!E78)/Other_input_data!E78)/((Other_input_data!F64-Other_input_data!E64)/Other_input_data!E64)</f>
        <v>1.3122188766216587E-2</v>
      </c>
      <c r="F44" s="276">
        <f>((Other_input_data!G78-Other_input_data!F78)/Other_input_data!F78)/((Other_input_data!G64-Other_input_data!F64)/Other_input_data!F64)</f>
        <v>-3.1053291097371707</v>
      </c>
      <c r="G44" s="276">
        <f>((Other_input_data!H78-Other_input_data!G78)/Other_input_data!G78)/((Other_input_data!H64-Other_input_data!G64)/Other_input_data!G64)</f>
        <v>16.126796748010701</v>
      </c>
      <c r="H44" s="276">
        <f>((Other_input_data!I78-Other_input_data!H78)/Other_input_data!H78)/((Other_input_data!I64-Other_input_data!H64)/Other_input_data!H64)</f>
        <v>-1.0568692107847804</v>
      </c>
      <c r="I44" s="276">
        <f>((Other_input_data!J78-Other_input_data!I78)/Other_input_data!I78)/((Other_input_data!J64-Other_input_data!I64)/Other_input_data!I64)</f>
        <v>6.4801396855974769</v>
      </c>
      <c r="J44" s="276">
        <f>((Other_input_data!K78-Other_input_data!J78)/Other_input_data!J78)/((Other_input_data!K64-Other_input_data!J64)/Other_input_data!J64)</f>
        <v>-1.4337733971190116</v>
      </c>
      <c r="K44" s="276">
        <f>((Other_input_data!L78-Other_input_data!K78)/Other_input_data!K78)/((Other_input_data!L64-Other_input_data!K64)/Other_input_data!K64)</f>
        <v>-9.7687194296803757</v>
      </c>
      <c r="L44" s="261"/>
      <c r="M44" s="261">
        <f t="shared" si="5"/>
        <v>-1.5741177137339701</v>
      </c>
      <c r="N44" s="261">
        <f t="shared" si="6"/>
        <v>2.0695148792048021</v>
      </c>
      <c r="O44" s="261">
        <f t="shared" si="9"/>
        <v>-48.989492341849633</v>
      </c>
    </row>
    <row r="45" spans="1:15" x14ac:dyDescent="0.2">
      <c r="A45" s="246" t="s">
        <v>247</v>
      </c>
      <c r="M45" s="260"/>
      <c r="N45" s="260"/>
      <c r="O45" s="260"/>
    </row>
    <row r="46" spans="1:15" x14ac:dyDescent="0.2">
      <c r="A46" s="246" t="s">
        <v>192</v>
      </c>
      <c r="B46" s="261"/>
      <c r="C46" s="261"/>
      <c r="D46" s="261">
        <f>'Financial Analysis'!D61</f>
        <v>23.108172635445364</v>
      </c>
      <c r="E46" s="261">
        <f>'Financial Analysis'!E61</f>
        <v>0.44473313248016799</v>
      </c>
      <c r="F46" s="261">
        <f>'Financial Analysis'!F61</f>
        <v>-0.44570944243368305</v>
      </c>
      <c r="G46" s="261">
        <f>'Financial Analysis'!G61</f>
        <v>8.2462790850101584</v>
      </c>
      <c r="H46" s="261">
        <f>'Financial Analysis'!H61</f>
        <v>0.24798564109510846</v>
      </c>
      <c r="I46" s="261">
        <f>'Financial Analysis'!I61</f>
        <v>0.3621677887658552</v>
      </c>
      <c r="J46" s="261">
        <f>'Financial Analysis'!J61</f>
        <v>0.62075640678740696</v>
      </c>
      <c r="K46" s="261">
        <f>'Financial Analysis'!K61</f>
        <v>0.84549872413582161</v>
      </c>
      <c r="L46" s="261"/>
      <c r="M46" s="261">
        <f t="shared" si="5"/>
        <v>0.60947430656302792</v>
      </c>
      <c r="N46" s="261">
        <f t="shared" si="6"/>
        <v>2.0645375291588706</v>
      </c>
      <c r="O46" s="261">
        <f>AVERAGE(D46:K46)</f>
        <v>4.1787354964107752</v>
      </c>
    </row>
    <row r="47" spans="1:15" x14ac:dyDescent="0.2">
      <c r="A47" s="246" t="s">
        <v>901</v>
      </c>
      <c r="B47" s="261"/>
      <c r="C47" s="261"/>
      <c r="D47" s="261"/>
      <c r="E47" s="261"/>
      <c r="F47" s="261"/>
      <c r="G47" s="261"/>
      <c r="H47" s="261"/>
      <c r="I47" s="261"/>
      <c r="J47" s="261"/>
      <c r="K47" s="261"/>
      <c r="L47" s="261"/>
      <c r="M47" s="261"/>
      <c r="N47" s="261"/>
      <c r="O47" s="261"/>
    </row>
    <row r="48" spans="1:15" x14ac:dyDescent="0.2">
      <c r="A48" s="246" t="s">
        <v>537</v>
      </c>
      <c r="B48" s="266">
        <f>IFERROR(('Data Sheet'!B31*10000000/'Data Sheet'!B70)/'Data Sheet'!B90,0)</f>
        <v>0</v>
      </c>
      <c r="C48" s="266">
        <f>IFERROR(('Data Sheet'!C31*10000000/'Data Sheet'!C70)/'Data Sheet'!C90,0)</f>
        <v>0</v>
      </c>
      <c r="D48" s="266">
        <f>IFERROR(('Data Sheet'!D31*10000000/'Data Sheet'!D70)/'Data Sheet'!D90,0)</f>
        <v>0</v>
      </c>
      <c r="E48" s="266">
        <f>IFERROR(('Data Sheet'!E31*10000000/'Data Sheet'!E70)/'Data Sheet'!E90,0)</f>
        <v>0</v>
      </c>
      <c r="F48" s="266">
        <f>IFERROR(('Data Sheet'!F31*10000000/'Data Sheet'!F70)/'Data Sheet'!F90,0)</f>
        <v>0</v>
      </c>
      <c r="G48" s="266">
        <f>IFERROR(('Data Sheet'!G31*10000000/'Data Sheet'!G70)/'Data Sheet'!G90,0)</f>
        <v>0</v>
      </c>
      <c r="H48" s="266">
        <f>IFERROR(('Data Sheet'!H31*10000000/'Data Sheet'!H70)/'Data Sheet'!H90,0)</f>
        <v>0</v>
      </c>
      <c r="I48" s="266">
        <f>IFERROR(('Data Sheet'!I31*10000000/'Data Sheet'!I70)/'Data Sheet'!I90,0)</f>
        <v>0</v>
      </c>
      <c r="J48" s="266">
        <f>IFERROR(('Data Sheet'!J31*10000000/'Data Sheet'!J70)/'Data Sheet'!J90,0)</f>
        <v>1.718760627576124E-3</v>
      </c>
      <c r="K48" s="266">
        <f>IFERROR(('Data Sheet'!K31*10000000/'Data Sheet'!K70)/'Data Sheet'!K90,0)</f>
        <v>0</v>
      </c>
      <c r="L48" s="266"/>
      <c r="M48" s="261">
        <f t="shared" si="5"/>
        <v>5.7292020919204139E-4</v>
      </c>
      <c r="N48" s="261">
        <f t="shared" si="6"/>
        <v>3.437521255152248E-4</v>
      </c>
      <c r="O48" s="261">
        <f t="shared" si="9"/>
        <v>1.718760627576124E-4</v>
      </c>
    </row>
    <row r="49" spans="1:15" x14ac:dyDescent="0.2">
      <c r="A49" s="246" t="s">
        <v>17</v>
      </c>
      <c r="B49" s="261">
        <f>'Data Sheet'!B31/'Data Sheet'!B30</f>
        <v>0</v>
      </c>
      <c r="C49" s="261">
        <f>'Data Sheet'!C31/'Data Sheet'!C30</f>
        <v>0</v>
      </c>
      <c r="D49" s="261">
        <f>'Data Sheet'!D31/'Data Sheet'!D30</f>
        <v>0</v>
      </c>
      <c r="E49" s="261">
        <f>'Data Sheet'!E31/'Data Sheet'!E30</f>
        <v>0</v>
      </c>
      <c r="F49" s="261">
        <f>'Data Sheet'!F31/'Data Sheet'!F30</f>
        <v>0</v>
      </c>
      <c r="G49" s="261">
        <f>'Data Sheet'!G31/'Data Sheet'!G30</f>
        <v>0</v>
      </c>
      <c r="H49" s="261">
        <f>'Data Sheet'!H31/'Data Sheet'!H30</f>
        <v>0</v>
      </c>
      <c r="I49" s="261">
        <f>'Data Sheet'!I31/'Data Sheet'!I30</f>
        <v>0</v>
      </c>
      <c r="J49" s="261">
        <f>'Data Sheet'!J31/'Data Sheet'!J30</f>
        <v>2.9194984205992151E-2</v>
      </c>
      <c r="K49" s="261">
        <f>'Data Sheet'!K31/'Data Sheet'!K30</f>
        <v>0</v>
      </c>
      <c r="L49" s="261"/>
      <c r="M49" s="261">
        <f t="shared" si="5"/>
        <v>9.7316614019973841E-3</v>
      </c>
      <c r="N49" s="261">
        <f t="shared" si="6"/>
        <v>5.8389968411984303E-3</v>
      </c>
      <c r="O49" s="261">
        <f t="shared" si="9"/>
        <v>2.9194984205992152E-3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25" workbookViewId="0">
      <selection activeCell="D25" sqref="D25"/>
    </sheetView>
  </sheetViews>
  <sheetFormatPr defaultRowHeight="12" x14ac:dyDescent="0.2"/>
  <cols>
    <col min="1" max="1" width="53.42578125" style="246" bestFit="1" customWidth="1"/>
    <col min="2" max="2" width="6.85546875" style="246" customWidth="1"/>
    <col min="3" max="4" width="6.7109375" style="246" customWidth="1"/>
    <col min="5" max="9" width="6.28515625" style="246" customWidth="1"/>
    <col min="10" max="10" width="6.42578125" style="246" customWidth="1"/>
    <col min="11" max="12" width="6.28515625" style="246" customWidth="1"/>
    <col min="13" max="14" width="16.42578125" style="246" customWidth="1"/>
    <col min="15" max="15" width="17.42578125" style="246" customWidth="1"/>
    <col min="16" max="17" width="10.28515625" style="246" customWidth="1"/>
    <col min="18" max="18" width="11" style="246" customWidth="1"/>
    <col min="19" max="16384" width="9.140625" style="246"/>
  </cols>
  <sheetData>
    <row r="1" spans="1:18" x14ac:dyDescent="0.2">
      <c r="B1" s="257">
        <f>'Data Sheet'!B16</f>
        <v>39903</v>
      </c>
      <c r="C1" s="257">
        <f>'Data Sheet'!C16</f>
        <v>40268</v>
      </c>
      <c r="D1" s="257">
        <f>'Data Sheet'!D16</f>
        <v>40633</v>
      </c>
      <c r="E1" s="257">
        <f>'Data Sheet'!E16</f>
        <v>40999</v>
      </c>
      <c r="F1" s="257">
        <f>'Data Sheet'!F16</f>
        <v>41364</v>
      </c>
      <c r="G1" s="257">
        <f>'Data Sheet'!G16</f>
        <v>41729</v>
      </c>
      <c r="H1" s="257">
        <f>'Data Sheet'!H16</f>
        <v>42094</v>
      </c>
      <c r="I1" s="257">
        <f>'Data Sheet'!I16</f>
        <v>42460</v>
      </c>
      <c r="J1" s="257">
        <f>'Data Sheet'!J16</f>
        <v>42825</v>
      </c>
      <c r="K1" s="257">
        <f>'Data Sheet'!K16</f>
        <v>43190</v>
      </c>
      <c r="L1" s="257"/>
      <c r="M1" s="246" t="s">
        <v>556</v>
      </c>
      <c r="N1" s="246" t="s">
        <v>557</v>
      </c>
      <c r="O1" s="246" t="s">
        <v>558</v>
      </c>
      <c r="P1" s="246" t="s">
        <v>559</v>
      </c>
      <c r="Q1" s="246" t="s">
        <v>560</v>
      </c>
      <c r="R1" s="246" t="s">
        <v>561</v>
      </c>
    </row>
    <row r="2" spans="1:18" ht="15" x14ac:dyDescent="0.25">
      <c r="A2" s="1" t="s">
        <v>78</v>
      </c>
      <c r="B2" s="258">
        <f>'Data Sheet'!B90</f>
        <v>0</v>
      </c>
      <c r="C2" s="258">
        <f>'Data Sheet'!C90</f>
        <v>0</v>
      </c>
      <c r="D2" s="258">
        <f>'Data Sheet'!D90</f>
        <v>11.087142999999999</v>
      </c>
      <c r="E2" s="258">
        <f>'Data Sheet'!E90</f>
        <v>12.092000000000001</v>
      </c>
      <c r="F2" s="258">
        <f>'Data Sheet'!F90</f>
        <v>19.812000000000001</v>
      </c>
      <c r="G2" s="258">
        <f>'Data Sheet'!G90</f>
        <v>40.534210999999999</v>
      </c>
      <c r="H2" s="258">
        <f>'Data Sheet'!H90</f>
        <v>275.565</v>
      </c>
      <c r="I2" s="258">
        <f>'Data Sheet'!I90</f>
        <v>744.72578899999996</v>
      </c>
      <c r="J2" s="258">
        <f>'Data Sheet'!J90</f>
        <v>581.47894699999995</v>
      </c>
      <c r="K2" s="258">
        <f>'Data Sheet'!K90</f>
        <v>749.45476199999996</v>
      </c>
      <c r="L2" s="257"/>
    </row>
    <row r="3" spans="1:18" x14ac:dyDescent="0.2">
      <c r="A3" s="253" t="s">
        <v>496</v>
      </c>
      <c r="B3" s="266" t="e">
        <f>'Data Sheet'!B26/'Data Sheet'!B$17</f>
        <v>#DIV/0!</v>
      </c>
      <c r="C3" s="266" t="e">
        <f>'Data Sheet'!C26/'Data Sheet'!C$17</f>
        <v>#DIV/0!</v>
      </c>
      <c r="D3" s="266">
        <f>'Data Sheet'!D26/'Data Sheet'!D$17</f>
        <v>4.2279411764705878E-2</v>
      </c>
      <c r="E3" s="266">
        <f>'Data Sheet'!E26/'Data Sheet'!E$17</f>
        <v>3.7986704653371325E-2</v>
      </c>
      <c r="F3" s="266">
        <f>'Data Sheet'!F26/'Data Sheet'!F$17</f>
        <v>3.0904235024799696E-2</v>
      </c>
      <c r="G3" s="266">
        <f>'Data Sheet'!G26/'Data Sheet'!G$17</f>
        <v>9.782115297321832E-2</v>
      </c>
      <c r="H3" s="266">
        <f>'Data Sheet'!H26/'Data Sheet'!H$17</f>
        <v>7.3047657188626353E-2</v>
      </c>
      <c r="I3" s="266">
        <f>'Data Sheet'!I26/'Data Sheet'!I$17</f>
        <v>7.4394145552164156E-2</v>
      </c>
      <c r="J3" s="266">
        <f>'Data Sheet'!J26/'Data Sheet'!J$17</f>
        <v>2.558958246583639E-2</v>
      </c>
      <c r="K3" s="268">
        <f>'Data Sheet'!K26/'Data Sheet'!K$17</f>
        <v>2.9661815270123876E-2</v>
      </c>
      <c r="L3" s="268"/>
      <c r="M3" s="261">
        <f>SUM('Data Sheet'!I26:K26)/SUM('Data Sheet'!$I$17:$K$17)</f>
        <v>3.5731823389976415E-2</v>
      </c>
      <c r="N3" s="261">
        <f>SUM('Data Sheet'!F26:I26)/SUM('Data Sheet'!$F$17:$I$17)</f>
        <v>7.3803661278235733E-2</v>
      </c>
      <c r="O3" s="261">
        <f>SUM('Data Sheet'!B26:I26)/SUM('Data Sheet'!$B$17:$I$17)</f>
        <v>7.1288384909700062E-2</v>
      </c>
    </row>
    <row r="4" spans="1:18" x14ac:dyDescent="0.2">
      <c r="A4" s="246" t="s">
        <v>499</v>
      </c>
      <c r="B4" s="261" t="e">
        <f>('Data Sheet'!B62+'Data Sheet'!B45)/'Data Sheet'!B17</f>
        <v>#DIV/0!</v>
      </c>
      <c r="C4" s="261" t="e">
        <f>('Data Sheet'!C62+'Data Sheet'!C45)/'Data Sheet'!C17</f>
        <v>#DIV/0!</v>
      </c>
      <c r="D4" s="261">
        <f>('Data Sheet'!D62+'Data Sheet'!D45)/'Data Sheet'!D17</f>
        <v>0.64889705882352944</v>
      </c>
      <c r="E4" s="261">
        <f>('Data Sheet'!E62+'Data Sheet'!E45)/'Data Sheet'!E17</f>
        <v>0.52041785375118721</v>
      </c>
      <c r="F4" s="261">
        <f>('Data Sheet'!F62+'Data Sheet'!F45)/'Data Sheet'!F17</f>
        <v>0.2029759633727585</v>
      </c>
      <c r="G4" s="261">
        <f>('Data Sheet'!G62+'Data Sheet'!G45)/'Data Sheet'!G17</f>
        <v>1.3152519291874716</v>
      </c>
      <c r="H4" s="261">
        <f>('Data Sheet'!H62+'Data Sheet'!H45)/'Data Sheet'!H17</f>
        <v>0.69034841810172209</v>
      </c>
      <c r="I4" s="261">
        <f>('Data Sheet'!I62+'Data Sheet'!I45)/'Data Sheet'!I17</f>
        <v>0.56992608391865562</v>
      </c>
      <c r="J4" s="261">
        <f>('Data Sheet'!J62+'Data Sheet'!J45)/'Data Sheet'!J17</f>
        <v>0.36300488321913915</v>
      </c>
      <c r="K4" s="261">
        <f>('Data Sheet'!K62+'Data Sheet'!K45)/'Data Sheet'!K17</f>
        <v>0.43580142244830666</v>
      </c>
      <c r="L4" s="261"/>
      <c r="M4" s="269">
        <f t="shared" ref="M4:M23" si="0">AVERAGE(I4:K4)</f>
        <v>0.45624412986203383</v>
      </c>
      <c r="N4" s="269">
        <f t="shared" ref="N4:N23" si="1">AVERAGE(G4:K4)</f>
        <v>0.67486654737505902</v>
      </c>
      <c r="O4" s="269" t="e">
        <f t="shared" ref="O4:O23" si="2">AVERAGE(B4:K4)</f>
        <v>#DIV/0!</v>
      </c>
    </row>
    <row r="5" spans="1:18" x14ac:dyDescent="0.2">
      <c r="A5" s="246" t="s">
        <v>500</v>
      </c>
      <c r="B5" s="261" t="e">
        <f>('Data Sheet'!B62)/'Data Sheet'!B17</f>
        <v>#DIV/0!</v>
      </c>
      <c r="C5" s="261" t="e">
        <f>('Data Sheet'!C62)/'Data Sheet'!C17</f>
        <v>#DIV/0!</v>
      </c>
      <c r="D5" s="261">
        <f>('Data Sheet'!D62)/'Data Sheet'!D17</f>
        <v>0.37071078431372545</v>
      </c>
      <c r="E5" s="261">
        <f>('Data Sheet'!E62)/'Data Sheet'!E17</f>
        <v>0.28395061728395066</v>
      </c>
      <c r="F5" s="261">
        <f>('Data Sheet'!F62)/'Data Sheet'!F17</f>
        <v>2.785196489889355E-2</v>
      </c>
      <c r="G5" s="261">
        <f>('Data Sheet'!G62)/'Data Sheet'!G17</f>
        <v>1.1858828869723104</v>
      </c>
      <c r="H5" s="261">
        <f>('Data Sheet'!H62)/'Data Sheet'!H17</f>
        <v>0.633720464557469</v>
      </c>
      <c r="I5" s="261">
        <f>('Data Sheet'!I62)/'Data Sheet'!I17</f>
        <v>0.53826352370095243</v>
      </c>
      <c r="J5" s="261">
        <f>('Data Sheet'!J62)/'Data Sheet'!J17</f>
        <v>0.3546958398001287</v>
      </c>
      <c r="K5" s="261">
        <f>('Data Sheet'!K62)/'Data Sheet'!K17</f>
        <v>0.42195374687956289</v>
      </c>
      <c r="L5" s="261"/>
      <c r="M5" s="269">
        <f t="shared" si="0"/>
        <v>0.43830437012688134</v>
      </c>
      <c r="N5" s="269">
        <f t="shared" si="1"/>
        <v>0.62690329238208464</v>
      </c>
      <c r="O5" s="269" t="e">
        <f t="shared" si="2"/>
        <v>#DIV/0!</v>
      </c>
    </row>
    <row r="6" spans="1:18" x14ac:dyDescent="0.2">
      <c r="A6" s="252" t="s">
        <v>501</v>
      </c>
      <c r="C6" s="261">
        <f>Other_input_data!D30/('Data Sheet'!C62+'Data Sheet'!C45)</f>
        <v>-3.5273368606701947E-3</v>
      </c>
      <c r="D6" s="261">
        <f>Other_input_data!E30/('Data Sheet'!D62+'Data Sheet'!D45)</f>
        <v>1.8168083097261569</v>
      </c>
      <c r="E6" s="261">
        <f>Other_input_data!F30/('Data Sheet'!E62+'Data Sheet'!E45)</f>
        <v>0.41697080291970801</v>
      </c>
      <c r="F6" s="261">
        <f>Other_input_data!G30/('Data Sheet'!F62+'Data Sheet'!F45)</f>
        <v>-0.63721804511278179</v>
      </c>
      <c r="G6" s="261">
        <f>Other_input_data!H30/('Data Sheet'!G62+'Data Sheet'!G45)</f>
        <v>0.99965487489214844</v>
      </c>
      <c r="H6" s="261">
        <f>Other_input_data!I30/('Data Sheet'!H62+'Data Sheet'!H45)</f>
        <v>0.42127857059983759</v>
      </c>
      <c r="I6" s="261">
        <f>Other_input_data!J30/('Data Sheet'!I62+'Data Sheet'!I45)</f>
        <v>0.5530391018195896</v>
      </c>
      <c r="J6" s="261">
        <f>Other_input_data!K30/('Data Sheet'!J62+'Data Sheet'!J45)</f>
        <v>0.2979300276343918</v>
      </c>
      <c r="K6" s="261">
        <f>Other_input_data!L30/('Data Sheet'!K62+'Data Sheet'!K45)</f>
        <v>0.54977033234261008</v>
      </c>
      <c r="L6" s="261"/>
      <c r="M6" s="269">
        <f t="shared" si="0"/>
        <v>0.46691315393219712</v>
      </c>
      <c r="N6" s="269">
        <f t="shared" si="1"/>
        <v>0.56433458145771542</v>
      </c>
      <c r="O6" s="269">
        <f t="shared" si="2"/>
        <v>0.4905229597734434</v>
      </c>
    </row>
    <row r="7" spans="1:18" x14ac:dyDescent="0.2">
      <c r="A7" s="252" t="s">
        <v>502</v>
      </c>
      <c r="C7" s="265">
        <f>Other_input_data!D30/'Data Sheet'!C62</f>
        <v>-0.22222222222222227</v>
      </c>
      <c r="D7" s="265">
        <f>Other_input_data!E30/'Data Sheet'!D62</f>
        <v>3.1801652892561987</v>
      </c>
      <c r="E7" s="265">
        <f>Other_input_data!F30/'Data Sheet'!E62</f>
        <v>0.76421404682274252</v>
      </c>
      <c r="F7" s="265">
        <f>Other_input_data!G30/'Data Sheet'!F62</f>
        <v>-4.6438356164383556</v>
      </c>
      <c r="G7" s="265">
        <f>Other_input_data!H30/'Data Sheet'!G62</f>
        <v>1.1087081339712921</v>
      </c>
      <c r="H7" s="265">
        <f>Other_input_data!I30/'Data Sheet'!H62</f>
        <v>0.45892315470171891</v>
      </c>
      <c r="I7" s="265">
        <f>Other_input_data!J30/'Data Sheet'!I62</f>
        <v>0.58557081369133024</v>
      </c>
      <c r="J7" s="265">
        <f>Other_input_data!K30/'Data Sheet'!J62</f>
        <v>0.30490928495197439</v>
      </c>
      <c r="K7" s="265">
        <f>Other_input_data!L30/'Data Sheet'!K62</f>
        <v>0.56781269185689565</v>
      </c>
      <c r="L7" s="265"/>
      <c r="M7" s="269">
        <f t="shared" si="0"/>
        <v>0.48609759683340004</v>
      </c>
      <c r="N7" s="269">
        <f t="shared" si="1"/>
        <v>0.60518481583464223</v>
      </c>
      <c r="O7" s="269">
        <f t="shared" si="2"/>
        <v>0.23380506406573051</v>
      </c>
    </row>
    <row r="8" spans="1:18" x14ac:dyDescent="0.2">
      <c r="A8" s="252" t="s">
        <v>545</v>
      </c>
      <c r="B8" s="261">
        <f>('Data Sheet'!B62+'Data Sheet'!B45)/'Data Sheet'!B66</f>
        <v>0.7016434892541088</v>
      </c>
      <c r="C8" s="261">
        <f>('Data Sheet'!C62+'Data Sheet'!C45)/'Data Sheet'!C66</f>
        <v>0.85520361990950222</v>
      </c>
      <c r="D8" s="261">
        <f>('Data Sheet'!D62+'Data Sheet'!D45)/'Data Sheet'!D66</f>
        <v>0.29974525898669685</v>
      </c>
      <c r="E8" s="261">
        <f>('Data Sheet'!E62+'Data Sheet'!E45)/'Data Sheet'!E66</f>
        <v>0.24679126322900252</v>
      </c>
      <c r="F8" s="261">
        <f>('Data Sheet'!F62+'Data Sheet'!F45)/'Data Sheet'!F66</f>
        <v>0.11885612153708669</v>
      </c>
      <c r="G8" s="261">
        <f>('Data Sheet'!G62+'Data Sheet'!G45)/'Data Sheet'!G66</f>
        <v>0.58206106870229013</v>
      </c>
      <c r="H8" s="261">
        <f>('Data Sheet'!H62+'Data Sheet'!H45)/'Data Sheet'!H66</f>
        <v>0.56759960487323013</v>
      </c>
      <c r="I8" s="261">
        <f>('Data Sheet'!I62+'Data Sheet'!I45)/'Data Sheet'!I66</f>
        <v>0.49339403393715581</v>
      </c>
      <c r="J8" s="261">
        <f>('Data Sheet'!J62+'Data Sheet'!J45)/'Data Sheet'!J66</f>
        <v>0.37494868135520321</v>
      </c>
      <c r="K8" s="261">
        <f>('Data Sheet'!K62+'Data Sheet'!K45)/'Data Sheet'!K66</f>
        <v>0.45067095297240684</v>
      </c>
      <c r="L8" s="261"/>
      <c r="M8" s="269">
        <f t="shared" si="0"/>
        <v>0.43967122275492199</v>
      </c>
      <c r="N8" s="269">
        <f t="shared" si="1"/>
        <v>0.49373486836805724</v>
      </c>
      <c r="O8" s="269">
        <f t="shared" si="2"/>
        <v>0.4690914094756683</v>
      </c>
    </row>
    <row r="9" spans="1:18" x14ac:dyDescent="0.2">
      <c r="A9" s="252" t="s">
        <v>546</v>
      </c>
      <c r="B9" s="261">
        <f>'Data Sheet'!B62/'Data Sheet'!B66</f>
        <v>1.3906447534766119E-2</v>
      </c>
      <c r="C9" s="261">
        <f>'Data Sheet'!C62/'Data Sheet'!C66</f>
        <v>1.3574660633484163E-2</v>
      </c>
      <c r="D9" s="261">
        <f>'Data Sheet'!D62/'Data Sheet'!D66</f>
        <v>0.17124257005377866</v>
      </c>
      <c r="E9" s="261">
        <f>'Data Sheet'!E62/'Data Sheet'!E66</f>
        <v>0.13465435712677326</v>
      </c>
      <c r="F9" s="261">
        <f>'Data Sheet'!F62/'Data Sheet'!F66</f>
        <v>1.6309204647006255E-2</v>
      </c>
      <c r="G9" s="261">
        <f>'Data Sheet'!G62/'Data Sheet'!G66</f>
        <v>0.52480916030534353</v>
      </c>
      <c r="H9" s="261">
        <f>'Data Sheet'!H62/'Data Sheet'!H66</f>
        <v>0.52104050049390849</v>
      </c>
      <c r="I9" s="261">
        <f>'Data Sheet'!I62/'Data Sheet'!I66</f>
        <v>0.46598325427398046</v>
      </c>
      <c r="J9" s="261">
        <f>'Data Sheet'!J62/'Data Sheet'!J66</f>
        <v>0.36636624894918968</v>
      </c>
      <c r="K9" s="261">
        <f>'Data Sheet'!K62/'Data Sheet'!K66</f>
        <v>0.43635079515842279</v>
      </c>
      <c r="L9" s="261"/>
      <c r="M9" s="269">
        <f t="shared" si="0"/>
        <v>0.42290009946053098</v>
      </c>
      <c r="N9" s="269">
        <f t="shared" si="1"/>
        <v>0.46290999183616899</v>
      </c>
      <c r="O9" s="269">
        <f t="shared" si="2"/>
        <v>0.26642371991766528</v>
      </c>
    </row>
    <row r="10" spans="1:18" x14ac:dyDescent="0.2">
      <c r="A10" s="246" t="s">
        <v>547</v>
      </c>
      <c r="B10" s="261">
        <f>'Data Sheet'!B64/'Data Sheet'!B66</f>
        <v>8.9759797724399487E-2</v>
      </c>
      <c r="C10" s="261">
        <f>'Data Sheet'!C64/'Data Sheet'!C66</f>
        <v>0</v>
      </c>
      <c r="D10" s="261">
        <f>'Data Sheet'!D64/'Data Sheet'!D66</f>
        <v>0</v>
      </c>
      <c r="E10" s="261">
        <f>'Data Sheet'!E64/'Data Sheet'!E66</f>
        <v>0</v>
      </c>
      <c r="F10" s="261">
        <f>'Data Sheet'!F64/'Data Sheet'!F66</f>
        <v>0</v>
      </c>
      <c r="G10" s="261">
        <f>'Data Sheet'!G64/'Data Sheet'!G66</f>
        <v>0</v>
      </c>
      <c r="H10" s="261">
        <f>'Data Sheet'!H64/'Data Sheet'!H66</f>
        <v>0</v>
      </c>
      <c r="I10" s="261">
        <f>'Data Sheet'!I64/'Data Sheet'!I66</f>
        <v>0</v>
      </c>
      <c r="J10" s="261">
        <f>'Data Sheet'!J64/'Data Sheet'!J66</f>
        <v>0</v>
      </c>
      <c r="K10" s="261">
        <f>'Data Sheet'!K64/'Data Sheet'!K66</f>
        <v>0</v>
      </c>
      <c r="L10" s="261"/>
      <c r="M10" s="269">
        <f t="shared" si="0"/>
        <v>0</v>
      </c>
      <c r="N10" s="269">
        <f t="shared" si="1"/>
        <v>0</v>
      </c>
      <c r="O10" s="269">
        <f t="shared" si="2"/>
        <v>8.9759797724399491E-3</v>
      </c>
    </row>
    <row r="11" spans="1:18" x14ac:dyDescent="0.2">
      <c r="A11" s="246" t="s">
        <v>548</v>
      </c>
      <c r="B11" s="261">
        <f>'Data Sheet'!B65/'Data Sheet'!B66</f>
        <v>0.89633375474083432</v>
      </c>
      <c r="C11" s="261">
        <f>'Data Sheet'!C65/'Data Sheet'!C66</f>
        <v>0.98642533936651589</v>
      </c>
      <c r="D11" s="261">
        <f>'Data Sheet'!D65/'Data Sheet'!D66</f>
        <v>0.47240305689215972</v>
      </c>
      <c r="E11" s="261">
        <f>'Data Sheet'!E65/'Data Sheet'!E66</f>
        <v>0.49538392253996849</v>
      </c>
      <c r="F11" s="261">
        <f>'Data Sheet'!F65/'Data Sheet'!F66</f>
        <v>0.59316353887399464</v>
      </c>
      <c r="G11" s="261">
        <f>'Data Sheet'!G65/'Data Sheet'!G66</f>
        <v>0.27852551225391725</v>
      </c>
      <c r="H11" s="261">
        <f>'Data Sheet'!H65/'Data Sheet'!H66</f>
        <v>0.34790912084293713</v>
      </c>
      <c r="I11" s="261">
        <f>'Data Sheet'!I65/'Data Sheet'!I66</f>
        <v>0.47629811212632517</v>
      </c>
      <c r="J11" s="261">
        <f>'Data Sheet'!J65/'Data Sheet'!J66</f>
        <v>0.59312623409122012</v>
      </c>
      <c r="K11" s="261">
        <f>'Data Sheet'!K65/'Data Sheet'!K66</f>
        <v>0.5294805289690947</v>
      </c>
      <c r="L11" s="261"/>
      <c r="M11" s="269">
        <f t="shared" si="0"/>
        <v>0.53296829172887994</v>
      </c>
      <c r="N11" s="269">
        <f t="shared" si="1"/>
        <v>0.44506790165669885</v>
      </c>
      <c r="O11" s="269">
        <f t="shared" si="2"/>
        <v>0.56690491206969673</v>
      </c>
    </row>
    <row r="12" spans="1:18" x14ac:dyDescent="0.2">
      <c r="A12" s="246" t="s">
        <v>549</v>
      </c>
      <c r="B12" s="261">
        <f>'Data Sheet'!B63/'Data Sheet'!B66</f>
        <v>0</v>
      </c>
      <c r="C12" s="261">
        <f>'Data Sheet'!C63/'Data Sheet'!C66</f>
        <v>0</v>
      </c>
      <c r="D12" s="261">
        <f>'Data Sheet'!D63/'Data Sheet'!D66</f>
        <v>0.3563543730540617</v>
      </c>
      <c r="E12" s="261">
        <f>'Data Sheet'!E63/'Data Sheet'!E66</f>
        <v>0.3699617203332583</v>
      </c>
      <c r="F12" s="261">
        <f>'Data Sheet'!F63/'Data Sheet'!F66</f>
        <v>0.39052725647899911</v>
      </c>
      <c r="G12" s="261">
        <f>'Data Sheet'!G63/'Data Sheet'!G66</f>
        <v>0.19666532744073922</v>
      </c>
      <c r="H12" s="261">
        <f>'Data Sheet'!H63/'Data Sheet'!H66</f>
        <v>0.13105037866315442</v>
      </c>
      <c r="I12" s="261">
        <f>'Data Sheet'!I63/'Data Sheet'!I66</f>
        <v>5.7718633599694369E-2</v>
      </c>
      <c r="J12" s="261">
        <f>'Data Sheet'!J63/'Data Sheet'!J66</f>
        <v>4.0507516959590234E-2</v>
      </c>
      <c r="K12" s="261">
        <f>'Data Sheet'!K63/'Data Sheet'!K66</f>
        <v>3.4168675872482401E-2</v>
      </c>
      <c r="L12" s="261"/>
      <c r="M12" s="269">
        <f t="shared" si="0"/>
        <v>4.4131608810589001E-2</v>
      </c>
      <c r="N12" s="269">
        <f t="shared" si="1"/>
        <v>9.2022106507132134E-2</v>
      </c>
      <c r="O12" s="269">
        <f t="shared" si="2"/>
        <v>0.15769538824019802</v>
      </c>
    </row>
    <row r="13" spans="1:18" x14ac:dyDescent="0.2">
      <c r="A13" s="252" t="s">
        <v>503</v>
      </c>
      <c r="B13" s="261">
        <f>'Data Sheet'!B63/('Data Sheet'!B62+'Data Sheet'!B45)</f>
        <v>0</v>
      </c>
      <c r="C13" s="261">
        <f>'Data Sheet'!C63/('Data Sheet'!C62+'Data Sheet'!C45)</f>
        <v>0</v>
      </c>
      <c r="D13" s="261">
        <f>'Data Sheet'!D63/('Data Sheet'!D62+'Data Sheet'!D45)</f>
        <v>1.1888574126534466</v>
      </c>
      <c r="E13" s="261">
        <f>'Data Sheet'!E63/('Data Sheet'!E62+'Data Sheet'!E45)</f>
        <v>1.4990875912408759</v>
      </c>
      <c r="F13" s="261">
        <f>'Data Sheet'!F63/('Data Sheet'!F62+'Data Sheet'!F45)</f>
        <v>3.2857142857142856</v>
      </c>
      <c r="G13" s="261">
        <f>'Data Sheet'!G63/('Data Sheet'!G62+'Data Sheet'!G45)</f>
        <v>0.33787748058671263</v>
      </c>
      <c r="H13" s="261">
        <f>'Data Sheet'!H63/('Data Sheet'!H62+'Data Sheet'!H45)</f>
        <v>0.23088525350968789</v>
      </c>
      <c r="I13" s="261">
        <f>'Data Sheet'!I63/('Data Sheet'!I62+'Data Sheet'!I45)</f>
        <v>0.11698283649503159</v>
      </c>
      <c r="J13" s="261">
        <f>'Data Sheet'!J63/('Data Sheet'!J62+'Data Sheet'!J45)</f>
        <v>0.10803482976171855</v>
      </c>
      <c r="K13" s="261">
        <f>'Data Sheet'!K63/('Data Sheet'!K62+'Data Sheet'!K45)</f>
        <v>7.5817346663064042E-2</v>
      </c>
      <c r="L13" s="261"/>
      <c r="M13" s="269">
        <f t="shared" si="0"/>
        <v>0.10027833763993806</v>
      </c>
      <c r="N13" s="269">
        <f t="shared" si="1"/>
        <v>0.17391954940324295</v>
      </c>
      <c r="O13" s="269">
        <f t="shared" si="2"/>
        <v>0.68432570366248224</v>
      </c>
    </row>
    <row r="14" spans="1:18" x14ac:dyDescent="0.2">
      <c r="A14" s="252" t="s">
        <v>504</v>
      </c>
      <c r="B14" s="265">
        <f>'Data Sheet'!B63/'Data Sheet'!B62</f>
        <v>0</v>
      </c>
      <c r="C14" s="265">
        <f>'Data Sheet'!C63/'Data Sheet'!C62</f>
        <v>0</v>
      </c>
      <c r="D14" s="261">
        <f>'Data Sheet'!D63/'Data Sheet'!D62</f>
        <v>2.0809917355371903</v>
      </c>
      <c r="E14" s="261">
        <f>'Data Sheet'!E63/'Data Sheet'!E62</f>
        <v>2.7474916387959865</v>
      </c>
      <c r="F14" s="261">
        <f>'Data Sheet'!F63/'Data Sheet'!F62</f>
        <v>23.945205479452056</v>
      </c>
      <c r="G14" s="261">
        <f>'Data Sheet'!G63/'Data Sheet'!G62</f>
        <v>0.37473684210526315</v>
      </c>
      <c r="H14" s="265">
        <f>'Data Sheet'!H63/'Data Sheet'!H62</f>
        <v>0.25151668351870571</v>
      </c>
      <c r="I14" s="265">
        <f>'Data Sheet'!I63/'Data Sheet'!I62</f>
        <v>0.12386417981826876</v>
      </c>
      <c r="J14" s="261">
        <f>'Data Sheet'!J63/'Data Sheet'!J62</f>
        <v>0.11056563500533617</v>
      </c>
      <c r="K14" s="261">
        <f>'Data Sheet'!K63/'Data Sheet'!K62</f>
        <v>7.8305519897304235E-2</v>
      </c>
      <c r="L14" s="261"/>
      <c r="M14" s="269">
        <f t="shared" si="0"/>
        <v>0.10424511157363638</v>
      </c>
      <c r="N14" s="269">
        <f t="shared" si="1"/>
        <v>0.1877977720689756</v>
      </c>
      <c r="O14" s="269">
        <f t="shared" si="2"/>
        <v>2.9712677714130113</v>
      </c>
    </row>
    <row r="15" spans="1:18" x14ac:dyDescent="0.2">
      <c r="A15" s="252" t="s">
        <v>512</v>
      </c>
      <c r="B15" s="261">
        <f>'Data Sheet'!B26/('Data Sheet'!B62+'Data Sheet'!B26)</f>
        <v>0</v>
      </c>
      <c r="C15" s="261">
        <f>'Data Sheet'!C26/('Data Sheet'!C62+'Data Sheet'!C26)</f>
        <v>0</v>
      </c>
      <c r="D15" s="261">
        <f>'Data Sheet'!D26/('Data Sheet'!D62+'Data Sheet'!D26)</f>
        <v>0.10237388724035607</v>
      </c>
      <c r="E15" s="261">
        <f>'Data Sheet'!E26/('Data Sheet'!E62+'Data Sheet'!E26)</f>
        <v>0.11799410029498525</v>
      </c>
      <c r="F15" s="261">
        <f>'Data Sheet'!F26/('Data Sheet'!F62+'Data Sheet'!F26)</f>
        <v>0.52597402597402598</v>
      </c>
      <c r="G15" s="261">
        <f>'Data Sheet'!G26/('Data Sheet'!G62+'Data Sheet'!G26)</f>
        <v>7.6202263083451197E-2</v>
      </c>
      <c r="H15" s="261">
        <f>'Data Sheet'!H26/('Data Sheet'!H62+'Data Sheet'!H26)</f>
        <v>0.10335448776065274</v>
      </c>
      <c r="I15" s="261">
        <f>'Data Sheet'!I26/('Data Sheet'!I62+'Data Sheet'!I26)</f>
        <v>0.12142857142857144</v>
      </c>
      <c r="J15" s="261">
        <f>'Data Sheet'!J26/('Data Sheet'!J62+'Data Sheet'!J26)</f>
        <v>6.72904638662154E-2</v>
      </c>
      <c r="K15" s="261">
        <f>'Data Sheet'!K26/('Data Sheet'!K62+'Data Sheet'!K26)</f>
        <v>6.5679347117565776E-2</v>
      </c>
      <c r="L15" s="261"/>
      <c r="M15" s="261">
        <f t="shared" si="0"/>
        <v>8.4799460804117543E-2</v>
      </c>
      <c r="N15" s="261">
        <f t="shared" si="1"/>
        <v>8.679102665129132E-2</v>
      </c>
      <c r="O15" s="261">
        <f t="shared" si="2"/>
        <v>0.11802971467658241</v>
      </c>
    </row>
    <row r="16" spans="1:18" x14ac:dyDescent="0.2">
      <c r="A16" s="252" t="s">
        <v>513</v>
      </c>
      <c r="B16" s="261">
        <f>'Data Sheet'!B26/'Data Sheet'!B62</f>
        <v>0</v>
      </c>
      <c r="C16" s="261">
        <f>'Data Sheet'!C26/'Data Sheet'!C62</f>
        <v>0</v>
      </c>
      <c r="D16" s="261">
        <f>'Data Sheet'!D26/'Data Sheet'!D62</f>
        <v>0.1140495867768595</v>
      </c>
      <c r="E16" s="261">
        <f>'Data Sheet'!E26/'Data Sheet'!E62</f>
        <v>0.13377926421404682</v>
      </c>
      <c r="F16" s="261">
        <f>'Data Sheet'!F26/'Data Sheet'!F62</f>
        <v>1.1095890410958904</v>
      </c>
      <c r="G16" s="261">
        <f>'Data Sheet'!G26/'Data Sheet'!G62</f>
        <v>8.2488038277511957E-2</v>
      </c>
      <c r="H16" s="261">
        <f>'Data Sheet'!H26/'Data Sheet'!H62</f>
        <v>0.115267947421638</v>
      </c>
      <c r="I16" s="261">
        <f>'Data Sheet'!I26/'Data Sheet'!I62</f>
        <v>0.13821138211382114</v>
      </c>
      <c r="J16" s="265">
        <f>'Data Sheet'!J26/'Data Sheet'!J62</f>
        <v>7.2145144076840972E-2</v>
      </c>
      <c r="K16" s="265">
        <f>'Data Sheet'!K26/'Data Sheet'!K62</f>
        <v>7.0296366579226444E-2</v>
      </c>
      <c r="L16" s="265"/>
      <c r="M16" s="261">
        <f t="shared" si="0"/>
        <v>9.3550964256629524E-2</v>
      </c>
      <c r="N16" s="261">
        <f t="shared" si="1"/>
        <v>9.5681775693807702E-2</v>
      </c>
      <c r="O16" s="261">
        <f t="shared" si="2"/>
        <v>0.18358267705558354</v>
      </c>
    </row>
    <row r="17" spans="1:15" x14ac:dyDescent="0.2">
      <c r="A17" s="252" t="s">
        <v>553</v>
      </c>
      <c r="B17" s="368">
        <f>IFERROR('Data Sheet'!B69/('Data Sheet'!B90*'Data Sheet'!B93),0)</f>
        <v>0</v>
      </c>
      <c r="C17" s="368">
        <f>IFERROR('Data Sheet'!C69/('Data Sheet'!C90*'Data Sheet'!C93),0)</f>
        <v>0</v>
      </c>
      <c r="D17" s="368">
        <f>IFERROR('Data Sheet'!D69/('Data Sheet'!D90*'Data Sheet'!D93),0)</f>
        <v>1.7440110829893534E-2</v>
      </c>
      <c r="E17" s="368">
        <f>IFERROR('Data Sheet'!E69/('Data Sheet'!E90*'Data Sheet'!E93),0)</f>
        <v>0.10793803905651904</v>
      </c>
      <c r="F17" s="368">
        <f>IFERROR('Data Sheet'!F69/('Data Sheet'!F90*'Data Sheet'!F93),0)</f>
        <v>2.6404866830577276E-2</v>
      </c>
      <c r="G17" s="368">
        <f>IFERROR('Data Sheet'!G69/('Data Sheet'!G90*'Data Sheet'!G93),0)</f>
        <v>4.2990223749121155E-2</v>
      </c>
      <c r="H17" s="368">
        <f>IFERROR('Data Sheet'!H69/('Data Sheet'!H90*'Data Sheet'!H93),0)</f>
        <v>1.8940605488692901E-2</v>
      </c>
      <c r="I17" s="368">
        <f>IFERROR('Data Sheet'!I69/('Data Sheet'!I90*'Data Sheet'!I93),0)</f>
        <v>1.3036304546017936E-2</v>
      </c>
      <c r="J17" s="368">
        <f>IFERROR('Data Sheet'!J69/('Data Sheet'!J90*'Data Sheet'!J93),0)</f>
        <v>5.0599185819691868E-2</v>
      </c>
      <c r="K17" s="368">
        <f>IFERROR('Data Sheet'!K69/('Data Sheet'!K90*'Data Sheet'!K93),0)</f>
        <v>4.8050932641071232E-3</v>
      </c>
      <c r="L17" s="263"/>
      <c r="M17" s="261">
        <f t="shared" si="0"/>
        <v>2.2813527876605639E-2</v>
      </c>
      <c r="N17" s="261">
        <f t="shared" si="1"/>
        <v>2.6074282573526196E-2</v>
      </c>
      <c r="O17" s="261">
        <f t="shared" si="2"/>
        <v>2.8215442958462077E-2</v>
      </c>
    </row>
    <row r="18" spans="1:15" x14ac:dyDescent="0.2">
      <c r="A18" s="252" t="s">
        <v>554</v>
      </c>
      <c r="B18" s="261">
        <f>IFERROR('Data Sheet'!B64/('Data Sheet'!B90*'Data Sheet'!B93),0)</f>
        <v>0</v>
      </c>
      <c r="C18" s="261">
        <f>IFERROR('Data Sheet'!C64/('Data Sheet'!C90*'Data Sheet'!C93),0)</f>
        <v>0</v>
      </c>
      <c r="D18" s="261">
        <f>IFERROR('Data Sheet'!D64/('Data Sheet'!D90*'Data Sheet'!D93),0)</f>
        <v>0</v>
      </c>
      <c r="E18" s="261">
        <f>IFERROR('Data Sheet'!E64/('Data Sheet'!E90*'Data Sheet'!E93),0)</f>
        <v>0</v>
      </c>
      <c r="F18" s="261">
        <f>IFERROR('Data Sheet'!F64/('Data Sheet'!F90*'Data Sheet'!F93),0)</f>
        <v>0</v>
      </c>
      <c r="G18" s="261">
        <f>IFERROR('Data Sheet'!G64/('Data Sheet'!G90*'Data Sheet'!G93),0)</f>
        <v>0</v>
      </c>
      <c r="H18" s="261">
        <f>IFERROR('Data Sheet'!H64/('Data Sheet'!H90*'Data Sheet'!H93),0)</f>
        <v>0</v>
      </c>
      <c r="I18" s="261">
        <f>IFERROR('Data Sheet'!I64/('Data Sheet'!I90*'Data Sheet'!I93),0)</f>
        <v>0</v>
      </c>
      <c r="J18" s="261">
        <f>IFERROR('Data Sheet'!J64/('Data Sheet'!J90*'Data Sheet'!J93),0)</f>
        <v>0</v>
      </c>
      <c r="K18" s="261">
        <f>IFERROR('Data Sheet'!K64/('Data Sheet'!K90*'Data Sheet'!K93),0)</f>
        <v>0</v>
      </c>
      <c r="L18" s="263"/>
      <c r="M18" s="261">
        <f t="shared" si="0"/>
        <v>0</v>
      </c>
      <c r="N18" s="261">
        <f t="shared" si="1"/>
        <v>0</v>
      </c>
      <c r="O18" s="261">
        <f t="shared" si="2"/>
        <v>0</v>
      </c>
    </row>
    <row r="19" spans="1:15" x14ac:dyDescent="0.2">
      <c r="A19" s="252" t="s">
        <v>515</v>
      </c>
      <c r="B19" s="261" t="e">
        <f>('Data Sheet'!B65-'Data Sheet'!B60)/'Data Sheet'!B17</f>
        <v>#DIV/0!</v>
      </c>
      <c r="C19" s="261" t="e">
        <f>('Data Sheet'!C65-'Data Sheet'!C60)/'Data Sheet'!C17</f>
        <v>#DIV/0!</v>
      </c>
      <c r="D19" s="261">
        <f>('Data Sheet'!D65-'Data Sheet'!D60)/'Data Sheet'!D17</f>
        <v>0.19117647058823536</v>
      </c>
      <c r="E19" s="261">
        <f>('Data Sheet'!E65-'Data Sheet'!E60)/'Data Sheet'!E17</f>
        <v>0.28632478632478631</v>
      </c>
      <c r="F19" s="261">
        <f>('Data Sheet'!F65-'Data Sheet'!F60)/'Data Sheet'!F17</f>
        <v>0.43838229683326974</v>
      </c>
      <c r="G19" s="261">
        <f>('Data Sheet'!G65-'Data Sheet'!G60)/'Data Sheet'!G17</f>
        <v>-0.13731275533363596</v>
      </c>
      <c r="H19" s="261">
        <f>('Data Sheet'!H65-'Data Sheet'!H60)/'Data Sheet'!H17</f>
        <v>6.6479775730876921E-3</v>
      </c>
      <c r="I19" s="261">
        <f>('Data Sheet'!I65-'Data Sheet'!I60)/'Data Sheet'!I17</f>
        <v>0.15691538263523708</v>
      </c>
      <c r="J19" s="261">
        <f>('Data Sheet'!J65-'Data Sheet'!J60)/'Data Sheet'!J17</f>
        <v>0.28886701745088383</v>
      </c>
      <c r="K19" s="261">
        <f>('Data Sheet'!K65-'Data Sheet'!K60)/'Data Sheet'!K17</f>
        <v>0.22511892986670434</v>
      </c>
      <c r="L19" s="261"/>
      <c r="M19" s="261">
        <f t="shared" si="0"/>
        <v>0.22363377665094175</v>
      </c>
      <c r="N19" s="261">
        <f t="shared" si="1"/>
        <v>0.10804731043845539</v>
      </c>
      <c r="O19" s="261" t="e">
        <f t="shared" si="2"/>
        <v>#DIV/0!</v>
      </c>
    </row>
    <row r="20" spans="1:15" x14ac:dyDescent="0.2">
      <c r="A20" s="252" t="s">
        <v>46</v>
      </c>
      <c r="B20" s="259" t="str">
        <f>IFERROR(('Data Sheet'!B67/'Data Sheet'!B17)*365,"NA")</f>
        <v>NA</v>
      </c>
      <c r="C20" s="259" t="str">
        <f>IFERROR(('Data Sheet'!C67/'Data Sheet'!C17)*365,"NA")</f>
        <v>NA</v>
      </c>
      <c r="D20" s="259">
        <f>IFERROR(('Data Sheet'!D67/'Data Sheet'!D17)*365,"NA")</f>
        <v>245.12254901960787</v>
      </c>
      <c r="E20" s="259">
        <f>IFERROR(('Data Sheet'!E67/'Data Sheet'!E17)*365,"NA")</f>
        <v>224.44207027540361</v>
      </c>
      <c r="F20" s="259">
        <f>IFERROR(('Data Sheet'!F67/'Data Sheet'!F17)*365,"NA")</f>
        <v>192.5963372758489</v>
      </c>
      <c r="G20" s="259">
        <f>IFERROR(('Data Sheet'!G67/'Data Sheet'!G17)*365,"NA")</f>
        <v>111.17339990921471</v>
      </c>
      <c r="H20" s="259">
        <f>IFERROR(('Data Sheet'!H67/'Data Sheet'!H17)*365,"NA")</f>
        <v>82.26752102523028</v>
      </c>
      <c r="I20" s="259">
        <f>IFERROR(('Data Sheet'!I67/'Data Sheet'!I17)*365,"NA")</f>
        <v>107.6624498951936</v>
      </c>
      <c r="J20" s="271">
        <f>IFERROR(('Data Sheet'!J67/'Data Sheet'!J17)*365,"NA")</f>
        <v>89.450353938751547</v>
      </c>
      <c r="K20" s="271">
        <f>IFERROR(('Data Sheet'!K67/'Data Sheet'!K17)*365,"NA")</f>
        <v>108.53209928877585</v>
      </c>
      <c r="L20" s="271"/>
      <c r="M20" s="260">
        <f t="shared" si="0"/>
        <v>101.88163437424033</v>
      </c>
      <c r="N20" s="260">
        <f t="shared" si="1"/>
        <v>99.817164811433202</v>
      </c>
      <c r="O20" s="260">
        <f t="shared" si="2"/>
        <v>145.15584757850331</v>
      </c>
    </row>
    <row r="21" spans="1:15" x14ac:dyDescent="0.2">
      <c r="A21" s="252" t="s">
        <v>516</v>
      </c>
      <c r="B21" s="260" t="e">
        <f t="shared" ref="B21:K21" si="3">365/B20</f>
        <v>#VALUE!</v>
      </c>
      <c r="C21" s="260" t="e">
        <f t="shared" si="3"/>
        <v>#VALUE!</v>
      </c>
      <c r="D21" s="260">
        <f t="shared" si="3"/>
        <v>1.4890510948905107</v>
      </c>
      <c r="E21" s="260">
        <f t="shared" si="3"/>
        <v>1.6262548262548262</v>
      </c>
      <c r="F21" s="260">
        <f t="shared" si="3"/>
        <v>1.8951554591467825</v>
      </c>
      <c r="G21" s="260">
        <f t="shared" si="3"/>
        <v>3.2831594634873325</v>
      </c>
      <c r="H21" s="260">
        <f t="shared" si="3"/>
        <v>4.4367448471926085</v>
      </c>
      <c r="I21" s="260">
        <f t="shared" si="3"/>
        <v>3.3902256576486725</v>
      </c>
      <c r="J21" s="260">
        <f t="shared" si="3"/>
        <v>4.0804757491504482</v>
      </c>
      <c r="K21" s="260">
        <f t="shared" si="3"/>
        <v>3.3630603516553141</v>
      </c>
      <c r="L21" s="260"/>
      <c r="M21" s="260">
        <f t="shared" si="0"/>
        <v>3.6112539194848114</v>
      </c>
      <c r="N21" s="260">
        <f t="shared" si="1"/>
        <v>3.7107332138268752</v>
      </c>
      <c r="O21" s="260" t="e">
        <f t="shared" si="2"/>
        <v>#VALUE!</v>
      </c>
    </row>
    <row r="22" spans="1:15" x14ac:dyDescent="0.2">
      <c r="A22" s="252" t="s">
        <v>312</v>
      </c>
      <c r="B22" s="259" t="str">
        <f>IFERROR(('Data Sheet'!B68/'Data Sheet'!B17)*365,"NA")</f>
        <v>NA</v>
      </c>
      <c r="C22" s="259" t="str">
        <f>IFERROR(('Data Sheet'!C68/'Data Sheet'!C17)*365,"NA")</f>
        <v>NA</v>
      </c>
      <c r="D22" s="259">
        <f>IFERROR(('Data Sheet'!D68/'Data Sheet'!D17)*365,"NA")</f>
        <v>0</v>
      </c>
      <c r="E22" s="259">
        <f>IFERROR(('Data Sheet'!E68/'Data Sheet'!E17)*365,"NA")</f>
        <v>0</v>
      </c>
      <c r="F22" s="259">
        <f>IFERROR(('Data Sheet'!F68/'Data Sheet'!F17)*365,"NA")</f>
        <v>0</v>
      </c>
      <c r="G22" s="259">
        <f>IFERROR(('Data Sheet'!G68/'Data Sheet'!G17)*365,"NA")</f>
        <v>0</v>
      </c>
      <c r="H22" s="259">
        <f>IFERROR(('Data Sheet'!H68/'Data Sheet'!H17)*365,"NA")</f>
        <v>0</v>
      </c>
      <c r="I22" s="272">
        <f>IFERROR(('Data Sheet'!I68/'Data Sheet'!I17)*365,"NA")</f>
        <v>0</v>
      </c>
      <c r="J22" s="272">
        <f>IFERROR(('Data Sheet'!J68/'Data Sheet'!J17)*365,"NA")</f>
        <v>0</v>
      </c>
      <c r="K22" s="272">
        <f>IFERROR(('Data Sheet'!K68/'Data Sheet'!K17)*365,"NA")</f>
        <v>0</v>
      </c>
      <c r="L22" s="272"/>
      <c r="M22" s="260">
        <f t="shared" si="0"/>
        <v>0</v>
      </c>
      <c r="N22" s="260">
        <f t="shared" si="1"/>
        <v>0</v>
      </c>
      <c r="O22" s="260">
        <f t="shared" si="2"/>
        <v>0</v>
      </c>
    </row>
    <row r="23" spans="1:15" x14ac:dyDescent="0.2">
      <c r="A23" s="252" t="s">
        <v>47</v>
      </c>
      <c r="B23" s="260">
        <f t="shared" ref="B23:K23" si="4">IFERROR(365/B22,0)</f>
        <v>0</v>
      </c>
      <c r="C23" s="260">
        <f t="shared" si="4"/>
        <v>0</v>
      </c>
      <c r="D23" s="260">
        <f t="shared" si="4"/>
        <v>0</v>
      </c>
      <c r="E23" s="260">
        <f t="shared" si="4"/>
        <v>0</v>
      </c>
      <c r="F23" s="260">
        <f t="shared" si="4"/>
        <v>0</v>
      </c>
      <c r="G23" s="260">
        <f t="shared" si="4"/>
        <v>0</v>
      </c>
      <c r="H23" s="260">
        <f t="shared" si="4"/>
        <v>0</v>
      </c>
      <c r="I23" s="260">
        <f t="shared" si="4"/>
        <v>0</v>
      </c>
      <c r="J23" s="260">
        <f t="shared" si="4"/>
        <v>0</v>
      </c>
      <c r="K23" s="260">
        <f t="shared" si="4"/>
        <v>0</v>
      </c>
      <c r="L23" s="260"/>
      <c r="M23" s="260">
        <f t="shared" si="0"/>
        <v>0</v>
      </c>
      <c r="N23" s="260">
        <f t="shared" si="1"/>
        <v>0</v>
      </c>
      <c r="O23" s="260">
        <f t="shared" si="2"/>
        <v>0</v>
      </c>
    </row>
    <row r="24" spans="1:15" x14ac:dyDescent="0.2">
      <c r="A24" s="252"/>
      <c r="B24" s="260"/>
      <c r="C24" s="260"/>
      <c r="D24" s="260"/>
      <c r="E24" s="260"/>
      <c r="F24" s="260"/>
      <c r="G24" s="260"/>
      <c r="H24" s="260"/>
      <c r="I24" s="260"/>
      <c r="J24" s="260"/>
      <c r="K24" s="260"/>
      <c r="L24" s="260"/>
      <c r="M24" s="260"/>
      <c r="N24" s="260"/>
      <c r="O24" s="260"/>
    </row>
    <row r="25" spans="1:15" x14ac:dyDescent="0.2">
      <c r="A25" s="252" t="s">
        <v>873</v>
      </c>
      <c r="B25" s="261">
        <f>Other_input_data!C77/Other_input_data!C72</f>
        <v>0</v>
      </c>
      <c r="C25" s="261">
        <f>Other_input_data!D77/Other_input_data!D72</f>
        <v>0</v>
      </c>
      <c r="D25" s="261">
        <f>Other_input_data!E77/Other_input_data!E72</f>
        <v>0.32267195018397965</v>
      </c>
      <c r="E25" s="261">
        <f>Other_input_data!F77/Other_input_data!F72</f>
        <v>-7.5433460932222474E-2</v>
      </c>
      <c r="F25" s="261">
        <f>Other_input_data!G77/Other_input_data!G72</f>
        <v>-0.16577301161751565</v>
      </c>
      <c r="G25" s="261">
        <f>Other_input_data!H77/Other_input_data!H72</f>
        <v>0.12213740458015267</v>
      </c>
      <c r="H25" s="261">
        <f>Other_input_data!I77/Other_input_data!I72</f>
        <v>0.17174843595653605</v>
      </c>
      <c r="I25" s="261">
        <f>Other_input_data!J77/Other_input_data!J72</f>
        <v>6.0138168157651779E-2</v>
      </c>
      <c r="J25" s="261">
        <f>Other_input_data!K77/Other_input_data!K72</f>
        <v>0.14023186252468184</v>
      </c>
      <c r="K25" s="261">
        <f>Other_input_data!L77/Other_input_data!L72</f>
        <v>0.15233433184773873</v>
      </c>
      <c r="L25" s="260"/>
      <c r="M25" s="261">
        <f>AVERAGE(I25:K25)</f>
        <v>0.11756812084335744</v>
      </c>
      <c r="N25" s="261">
        <f>AVERAGE(G25:K25)</f>
        <v>0.12931804061335223</v>
      </c>
      <c r="O25" s="261">
        <f>AVERAGE(C25:K25)</f>
        <v>8.0895075633444724E-2</v>
      </c>
    </row>
    <row r="26" spans="1:15" x14ac:dyDescent="0.2">
      <c r="A26" s="252" t="s">
        <v>872</v>
      </c>
      <c r="B26" s="261"/>
      <c r="C26" s="261">
        <f>Other_input_data!D77/Other_input_data!D73</f>
        <v>0</v>
      </c>
      <c r="D26" s="261">
        <f>Other_input_data!E77/Other_input_data!E73</f>
        <v>0.54337464251668255</v>
      </c>
      <c r="E26" s="261">
        <f>Other_input_data!F77/Other_input_data!F73</f>
        <v>-8.402307499372963E-2</v>
      </c>
      <c r="F26" s="261">
        <f>Other_input_data!G77/Other_input_data!G73</f>
        <v>-0.16642368509588429</v>
      </c>
      <c r="G26" s="261">
        <f>Other_input_data!H77/Other_input_data!H73</f>
        <v>0.16851441241685144</v>
      </c>
      <c r="H26" s="261">
        <f>Other_input_data!I77/Other_input_data!I73</f>
        <v>0.20746986993357464</v>
      </c>
      <c r="I26" s="261">
        <f>Other_input_data!J77/Other_input_data!J73</f>
        <v>8.1079921023263793E-2</v>
      </c>
      <c r="J26" s="261">
        <f>Other_input_data!K77/Other_input_data!K73</f>
        <v>0.1737603255735084</v>
      </c>
      <c r="K26" s="261">
        <f>Other_input_data!L77/Other_input_data!L73</f>
        <v>0.18773495006490437</v>
      </c>
      <c r="L26" s="260"/>
      <c r="M26" s="261">
        <f>AVERAGE(I26:K26)</f>
        <v>0.14752506555389219</v>
      </c>
      <c r="N26" s="261">
        <f>AVERAGE(G26:K26)</f>
        <v>0.16371189580242054</v>
      </c>
      <c r="O26" s="261">
        <f>AVERAGE(C26:K26)</f>
        <v>0.12349859571546348</v>
      </c>
    </row>
    <row r="27" spans="1:15" x14ac:dyDescent="0.2">
      <c r="A27" s="252" t="s">
        <v>871</v>
      </c>
      <c r="B27" s="261">
        <f>Other_input_data!C77/Other_input_data!C74</f>
        <v>0</v>
      </c>
      <c r="C27" s="261">
        <f>Other_input_data!D77/Other_input_data!D74</f>
        <v>0</v>
      </c>
      <c r="D27" s="261">
        <f>Other_input_data!E77/Other_input_data!E74</f>
        <v>0.61158798283261806</v>
      </c>
      <c r="E27" s="261">
        <f>Other_input_data!F77/Other_input_data!F74</f>
        <v>-0.14948683623382419</v>
      </c>
      <c r="F27" s="261">
        <f>Other_input_data!G77/Other_input_data!G74</f>
        <v>-0.40746842394288851</v>
      </c>
      <c r="G27" s="261">
        <f>Other_input_data!H77/Other_input_data!H74</f>
        <v>0.16928859807879718</v>
      </c>
      <c r="H27" s="261">
        <f>Other_input_data!I77/Other_input_data!I74</f>
        <v>0.26338113512421729</v>
      </c>
      <c r="I27" s="261">
        <f>Other_input_data!J77/Other_input_data!J74</f>
        <v>0.11483282674772037</v>
      </c>
      <c r="J27" s="261">
        <f>Other_input_data!K77/Other_input_data!K74</f>
        <v>0.34465692869498366</v>
      </c>
      <c r="K27" s="261">
        <f>Other_input_data!L77/Other_input_data!L74</f>
        <v>0.32375776397515527</v>
      </c>
      <c r="L27" s="260"/>
      <c r="M27" s="261">
        <f>AVERAGE(I27:K27)</f>
        <v>0.26108250647261977</v>
      </c>
      <c r="N27" s="261">
        <f>AVERAGE(G27:K27)</f>
        <v>0.24318345052417473</v>
      </c>
      <c r="O27" s="261">
        <f>AVERAGE(C27:K27)</f>
        <v>0.14117221947519767</v>
      </c>
    </row>
    <row r="28" spans="1:15" x14ac:dyDescent="0.2">
      <c r="A28" s="252" t="s">
        <v>870</v>
      </c>
      <c r="C28" s="261">
        <f>Other_input_data!D77/Other_input_data!D75</f>
        <v>0</v>
      </c>
      <c r="D28" s="261">
        <f>Other_input_data!E77/Other_input_data!E75</f>
        <v>1.217298451681794</v>
      </c>
      <c r="E28" s="261">
        <f>Other_input_data!F77/Other_input_data!F75</f>
        <v>-0.16321559074299635</v>
      </c>
      <c r="F28" s="261">
        <f>Other_input_data!G77/Other_input_data!G75</f>
        <v>-0.36533727227966517</v>
      </c>
      <c r="G28" s="261">
        <f>Other_input_data!H77/Other_input_data!H75</f>
        <v>0.27010217681030657</v>
      </c>
      <c r="H28" s="261">
        <f>Other_input_data!I77/Other_input_data!I75</f>
        <v>0.30529704419081061</v>
      </c>
      <c r="I28" s="261">
        <f>Other_input_data!J77/Other_input_data!J75</f>
        <v>0.14336672738312084</v>
      </c>
      <c r="J28" s="261">
        <f>Other_input_data!K77/Other_input_data!K75</f>
        <v>0.38500348880897428</v>
      </c>
      <c r="K28" s="261">
        <f>Other_input_data!L77/Other_input_data!L75</f>
        <v>0.42084370584673347</v>
      </c>
      <c r="M28" s="261">
        <f>AVERAGE(I28:K28)</f>
        <v>0.31640464067960955</v>
      </c>
      <c r="N28" s="261">
        <f>AVERAGE(G28:K28)</f>
        <v>0.30492262860798913</v>
      </c>
      <c r="O28" s="261">
        <f>AVERAGE(C28:K28)</f>
        <v>0.24592874796656425</v>
      </c>
    </row>
    <row r="29" spans="1:15" x14ac:dyDescent="0.2">
      <c r="A29" s="252"/>
      <c r="C29" s="261"/>
      <c r="D29" s="261"/>
      <c r="E29" s="261"/>
      <c r="F29" s="261"/>
      <c r="G29" s="261"/>
      <c r="H29" s="261"/>
      <c r="I29" s="261"/>
      <c r="J29" s="261"/>
      <c r="K29" s="261"/>
      <c r="M29" s="261"/>
      <c r="N29" s="261"/>
      <c r="O29" s="261"/>
    </row>
    <row r="30" spans="1:15" x14ac:dyDescent="0.2">
      <c r="A30" s="252" t="s">
        <v>869</v>
      </c>
      <c r="C30" s="261">
        <f>Other_input_data!D78/Other_input_data!D72</f>
        <v>3.0165912518853701E-3</v>
      </c>
      <c r="D30" s="261">
        <f>Other_input_data!E78/Other_input_data!E72</f>
        <v>-0.22190772714407025</v>
      </c>
      <c r="E30" s="261">
        <f>Other_input_data!F78/Other_input_data!F72</f>
        <v>-0.17833821211438866</v>
      </c>
      <c r="F30" s="261">
        <f>Other_input_data!G78/Other_input_data!G72</f>
        <v>-9.0035746201966069E-2</v>
      </c>
      <c r="G30" s="261">
        <f>Other_input_data!H78/Other_input_data!H72</f>
        <v>-0.45972278023302543</v>
      </c>
      <c r="H30" s="261">
        <f>Other_input_data!I78/Other_input_data!I72</f>
        <v>-6.7369114257490967E-2</v>
      </c>
      <c r="I30" s="261">
        <f>Other_input_data!J78/Other_input_data!J72</f>
        <v>-0.21272802521409698</v>
      </c>
      <c r="J30" s="261">
        <f>Other_input_data!K78/Other_input_data!K72</f>
        <v>2.8523391527047377E-2</v>
      </c>
      <c r="K30" s="261">
        <f>Other_input_data!L78/Other_input_data!L72</f>
        <v>-9.5431187745062193E-2</v>
      </c>
      <c r="M30" s="261">
        <f>AVERAGE(I30:K30)</f>
        <v>-9.3211940477370595E-2</v>
      </c>
      <c r="N30" s="261">
        <f>AVERAGE(G30:K30)</f>
        <v>-0.16134554318452562</v>
      </c>
      <c r="O30" s="261">
        <f>AVERAGE(C30:K30)</f>
        <v>-0.14377697890346311</v>
      </c>
    </row>
    <row r="31" spans="1:15" x14ac:dyDescent="0.2">
      <c r="A31" s="252" t="s">
        <v>868</v>
      </c>
      <c r="C31" s="261">
        <f>Other_input_data!D78/Other_input_data!D73</f>
        <v>2.7510316368638248E-3</v>
      </c>
      <c r="D31" s="261">
        <f>Other_input_data!E78/Other_input_data!E73</f>
        <v>-0.37368922783603437</v>
      </c>
      <c r="E31" s="261">
        <f>Other_input_data!F78/Other_input_data!F73</f>
        <v>-0.19864559819413094</v>
      </c>
      <c r="F31" s="261">
        <f>Other_input_data!G78/Other_input_data!G73</f>
        <v>-9.0389144331053078E-2</v>
      </c>
      <c r="G31" s="261">
        <f>Other_input_data!H78/Other_input_data!H73</f>
        <v>-0.63428492239467871</v>
      </c>
      <c r="H31" s="261">
        <f>Other_input_data!I78/Other_input_data!I73</f>
        <v>-8.1381011097410638E-2</v>
      </c>
      <c r="I31" s="261">
        <f>Other_input_data!J78/Other_input_data!J73</f>
        <v>-0.28680573439780238</v>
      </c>
      <c r="J31" s="261">
        <f>Other_input_data!K78/Other_input_data!K73</f>
        <v>3.5343136067440238E-2</v>
      </c>
      <c r="K31" s="261">
        <f>Other_input_data!L78/Other_input_data!L73</f>
        <v>-0.11760821771851759</v>
      </c>
      <c r="M31" s="261">
        <f>AVERAGE(I31:K31)</f>
        <v>-0.12302360534962659</v>
      </c>
      <c r="N31" s="261">
        <f>AVERAGE(G31:K31)</f>
        <v>-0.21694734990819384</v>
      </c>
      <c r="O31" s="261">
        <f>AVERAGE(C31:K31)</f>
        <v>-0.19385663202948042</v>
      </c>
    </row>
    <row r="32" spans="1:15" x14ac:dyDescent="0.2">
      <c r="A32" s="252" t="s">
        <v>867</v>
      </c>
      <c r="C32" s="261">
        <f>Other_input_data!D78/Other_input_data!D74</f>
        <v>0.22222222222222227</v>
      </c>
      <c r="D32" s="261">
        <f>Other_input_data!E78/Other_input_data!E74</f>
        <v>-0.42060085836909877</v>
      </c>
      <c r="E32" s="261">
        <f>Other_input_data!F78/Other_input_data!F74</f>
        <v>-0.3534136546184739</v>
      </c>
      <c r="F32" s="261">
        <f>Other_input_data!G78/Other_input_data!G74</f>
        <v>-0.22130697419000556</v>
      </c>
      <c r="G32" s="261">
        <f>Other_input_data!H78/Other_input_data!H74</f>
        <v>-0.63719894194626214</v>
      </c>
      <c r="H32" s="261">
        <f>Other_input_data!I78/Other_input_data!I74</f>
        <v>-0.10331246212886289</v>
      </c>
      <c r="I32" s="261">
        <f>Other_input_data!J78/Other_input_data!J74</f>
        <v>-0.4062006079027356</v>
      </c>
      <c r="J32" s="261">
        <f>Other_input_data!K78/Other_input_data!K74</f>
        <v>7.010378627714782E-2</v>
      </c>
      <c r="K32" s="261">
        <f>Other_input_data!L78/Other_input_data!L74</f>
        <v>-0.20282091097308483</v>
      </c>
      <c r="M32" s="261">
        <f>AVERAGE(I32:K32)</f>
        <v>-0.17963924419955754</v>
      </c>
      <c r="N32" s="261">
        <f>AVERAGE(G32:K32)</f>
        <v>-0.25588582733475951</v>
      </c>
      <c r="O32" s="261">
        <f>AVERAGE(C32:K32)</f>
        <v>-0.22805871129212818</v>
      </c>
    </row>
    <row r="33" spans="1:15" x14ac:dyDescent="0.2">
      <c r="A33" s="252" t="s">
        <v>866</v>
      </c>
      <c r="B33" s="266"/>
      <c r="C33" s="273">
        <f>Other_input_data!D78/Other_input_data!D75</f>
        <v>0.20000000000000004</v>
      </c>
      <c r="D33" s="273">
        <f>Other_input_data!E78/Other_input_data!E75</f>
        <v>-0.83715963694607598</v>
      </c>
      <c r="E33" s="273">
        <f>Other_input_data!F78/Other_input_data!F75</f>
        <v>-0.38587088915956153</v>
      </c>
      <c r="F33" s="273">
        <f>Other_input_data!G78/Other_input_data!G75</f>
        <v>-0.19842442146725756</v>
      </c>
      <c r="G33" s="273">
        <f>Other_input_data!H78/Other_input_data!H75</f>
        <v>-1.0166592625499782</v>
      </c>
      <c r="H33" s="273">
        <f>Other_input_data!I78/Other_input_data!I75</f>
        <v>-0.11975417032484639</v>
      </c>
      <c r="I33" s="273">
        <f>Other_input_data!J78/Other_input_data!J75</f>
        <v>-0.50713418336369165</v>
      </c>
      <c r="J33" s="273">
        <f>Other_input_data!K78/Other_input_data!K75</f>
        <v>7.8310342976759179E-2</v>
      </c>
      <c r="K33" s="273">
        <f>Other_input_data!L78/Other_input_data!L75</f>
        <v>-0.26364125681221817</v>
      </c>
      <c r="L33" s="268"/>
      <c r="M33" s="261">
        <f>AVERAGE(I33:K33)</f>
        <v>-0.23082169906638353</v>
      </c>
      <c r="N33" s="261">
        <f>AVERAGE(G33:K33)</f>
        <v>-0.36577570601479503</v>
      </c>
      <c r="O33" s="261">
        <f>AVERAGE(C33:K33)</f>
        <v>-0.33892594196076342</v>
      </c>
    </row>
    <row r="34" spans="1:15" x14ac:dyDescent="0.2">
      <c r="A34" s="252"/>
      <c r="B34" s="266"/>
      <c r="C34" s="266"/>
      <c r="D34" s="266"/>
      <c r="E34" s="266"/>
      <c r="F34" s="266"/>
      <c r="G34" s="266"/>
      <c r="H34" s="268"/>
      <c r="I34" s="268"/>
      <c r="J34" s="268"/>
      <c r="K34" s="268"/>
      <c r="L34" s="268"/>
      <c r="M34" s="261"/>
      <c r="N34" s="261"/>
      <c r="O34" s="261"/>
    </row>
    <row r="35" spans="1:15" x14ac:dyDescent="0.2">
      <c r="A35" s="252" t="s">
        <v>564</v>
      </c>
      <c r="B35" s="273">
        <f>Other_input_data!C37/Other_input_data!C72</f>
        <v>0.15802781289506954</v>
      </c>
      <c r="C35" s="273">
        <f>Other_input_data!D37/Other_input_data!D72</f>
        <v>6.0331825037707384E-3</v>
      </c>
      <c r="D35" s="273">
        <f>Other_input_data!E37/Other_input_data!E72</f>
        <v>7.2459666006227011E-2</v>
      </c>
      <c r="E35" s="273">
        <f>Other_input_data!F37/Other_input_data!F72</f>
        <v>9.5924341364557492E-2</v>
      </c>
      <c r="F35" s="273">
        <f>Other_input_data!G37/Other_input_data!G72</f>
        <v>0.10500446827524579</v>
      </c>
      <c r="G35" s="273">
        <f>Other_input_data!H37/Other_input_data!H72</f>
        <v>9.5922057051024578E-2</v>
      </c>
      <c r="H35" s="273">
        <f>Other_input_data!I37/Other_input_data!I72</f>
        <v>0.19387553506750077</v>
      </c>
      <c r="I35" s="273">
        <f>Other_input_data!J37/Other_input_data!J72</f>
        <v>0.21804463404539812</v>
      </c>
      <c r="J35" s="273">
        <f>Other_input_data!K37/Other_input_data!K72</f>
        <v>0.33661120994701976</v>
      </c>
      <c r="K35" s="273">
        <f>Other_input_data!L37/Other_input_data!L72</f>
        <v>0.33685248776210996</v>
      </c>
      <c r="L35" s="268"/>
      <c r="M35" s="261">
        <f>AVERAGE(I35:K35)</f>
        <v>0.29716944391817596</v>
      </c>
      <c r="N35" s="261">
        <f>AVERAGE(G35:K35)</f>
        <v>0.23626118477461064</v>
      </c>
      <c r="O35" s="261">
        <f>AVERAGE(C35:K35)</f>
        <v>0.16230306466920602</v>
      </c>
    </row>
    <row r="36" spans="1:15" x14ac:dyDescent="0.2">
      <c r="A36" s="252" t="s">
        <v>565</v>
      </c>
      <c r="B36" s="273"/>
      <c r="C36" s="273">
        <f>Other_input_data!D37/Other_input_data!D73</f>
        <v>5.5020632737276471E-3</v>
      </c>
      <c r="D36" s="273">
        <f>Other_input_data!E37/Other_input_data!E73</f>
        <v>0.12202097235462345</v>
      </c>
      <c r="E36" s="273">
        <f>Other_input_data!F37/Other_input_data!F73</f>
        <v>0.10684725357411583</v>
      </c>
      <c r="F36" s="273">
        <f>Other_input_data!G37/Other_input_data!G73</f>
        <v>0.10541661993944156</v>
      </c>
      <c r="G36" s="273">
        <f>Other_input_data!H37/Other_input_data!H73</f>
        <v>0.1323447893569846</v>
      </c>
      <c r="H36" s="273">
        <f>Other_input_data!I37/Other_input_data!I73</f>
        <v>0.23419911698023144</v>
      </c>
      <c r="I36" s="273">
        <f>Other_input_data!J37/Other_input_data!J73</f>
        <v>0.2939737316507855</v>
      </c>
      <c r="J36" s="273">
        <f>Other_input_data!K37/Other_input_data!K73</f>
        <v>0.41709260919066898</v>
      </c>
      <c r="K36" s="273">
        <f>Other_input_data!L37/Other_input_data!L73</f>
        <v>0.41513284761354502</v>
      </c>
      <c r="L36" s="268"/>
      <c r="M36" s="261">
        <f>AVERAGE(I36:K36)</f>
        <v>0.37539972948499983</v>
      </c>
      <c r="N36" s="261">
        <f>AVERAGE(G36:K36)</f>
        <v>0.29854861895844309</v>
      </c>
      <c r="O36" s="261">
        <f>AVERAGE(C36:K36)</f>
        <v>0.20361444488156935</v>
      </c>
    </row>
    <row r="37" spans="1:15" x14ac:dyDescent="0.2">
      <c r="A37" s="252" t="s">
        <v>566</v>
      </c>
      <c r="B37" s="273">
        <f>Other_input_data!C37/Other_input_data!C74</f>
        <v>11.363636363636363</v>
      </c>
      <c r="C37" s="273">
        <f>Other_input_data!D37/Other_input_data!D74</f>
        <v>0.44444444444444442</v>
      </c>
      <c r="D37" s="273">
        <f>Other_input_data!E37/Other_input_data!E74</f>
        <v>0.13733905579399142</v>
      </c>
      <c r="E37" s="273">
        <f>Other_input_data!F37/Other_input_data!F74</f>
        <v>0.19009370816599724</v>
      </c>
      <c r="F37" s="273">
        <f>Other_input_data!G37/Other_input_data!G74</f>
        <v>0.25809994508511813</v>
      </c>
      <c r="G37" s="273">
        <f>Other_input_data!H37/Other_input_data!H74</f>
        <v>0.13295280523458175</v>
      </c>
      <c r="H37" s="273">
        <f>Other_input_data!I37/Other_input_data!I74</f>
        <v>0.29731367400525133</v>
      </c>
      <c r="I37" s="273">
        <f>Other_input_data!J37/Other_input_data!J74</f>
        <v>0.41635258358662619</v>
      </c>
      <c r="J37" s="273">
        <f>Other_input_data!K37/Other_input_data!K74</f>
        <v>0.82731116663463411</v>
      </c>
      <c r="K37" s="273">
        <f>Other_input_data!L37/Other_input_data!L74</f>
        <v>0.7159161490683229</v>
      </c>
      <c r="L37" s="268"/>
      <c r="M37" s="261">
        <f>AVERAGE(I37:K37)</f>
        <v>0.65319329976319451</v>
      </c>
      <c r="N37" s="261">
        <f>AVERAGE(G37:K37)</f>
        <v>0.47796927570588321</v>
      </c>
      <c r="O37" s="261">
        <f>AVERAGE(C37:K37)</f>
        <v>0.37998039244655196</v>
      </c>
    </row>
    <row r="38" spans="1:15" x14ac:dyDescent="0.2">
      <c r="A38" s="252" t="s">
        <v>567</v>
      </c>
      <c r="B38" s="273"/>
      <c r="C38" s="273">
        <f>Other_input_data!D37/Other_input_data!D75</f>
        <v>0.39999999999999991</v>
      </c>
      <c r="D38" s="273">
        <f>Other_input_data!E37/Other_input_data!E75</f>
        <v>0.27335824879871862</v>
      </c>
      <c r="E38" s="273">
        <f>Other_input_data!F37/Other_input_data!F75</f>
        <v>0.20755176613885498</v>
      </c>
      <c r="F38" s="273">
        <f>Other_input_data!G37/Other_input_data!G75</f>
        <v>0.23141309699655344</v>
      </c>
      <c r="G38" s="273">
        <f>Other_input_data!H37/Other_input_data!H75</f>
        <v>0.21212794313638403</v>
      </c>
      <c r="H38" s="273">
        <f>Other_input_data!I37/Other_input_data!I75</f>
        <v>0.34462979221539347</v>
      </c>
      <c r="I38" s="273">
        <f>Other_input_data!J37/Other_input_data!J75</f>
        <v>0.51980874316939896</v>
      </c>
      <c r="J38" s="273">
        <f>Other_input_data!K37/Other_input_data!K75</f>
        <v>0.92415866029735416</v>
      </c>
      <c r="K38" s="273">
        <f>Other_input_data!L37/Other_input_data!L75</f>
        <v>0.93059947520688946</v>
      </c>
      <c r="L38" s="268"/>
      <c r="M38" s="261">
        <f>AVERAGE(I38:K38)</f>
        <v>0.79152229289121412</v>
      </c>
      <c r="N38" s="261">
        <f>AVERAGE(G38:K38)</f>
        <v>0.58626492280508402</v>
      </c>
      <c r="O38" s="261">
        <f>AVERAGE(C38:K38)</f>
        <v>0.44929419177328295</v>
      </c>
    </row>
    <row r="39" spans="1:15" x14ac:dyDescent="0.2">
      <c r="A39" s="252"/>
      <c r="B39" s="273"/>
      <c r="C39" s="273"/>
      <c r="D39" s="273"/>
      <c r="E39" s="273"/>
      <c r="F39" s="273"/>
      <c r="G39" s="273"/>
      <c r="H39" s="273"/>
      <c r="I39" s="273"/>
      <c r="J39" s="273"/>
      <c r="K39" s="273"/>
      <c r="L39" s="268"/>
      <c r="M39" s="261"/>
      <c r="N39" s="261"/>
      <c r="O39" s="261"/>
    </row>
    <row r="40" spans="1:15" x14ac:dyDescent="0.2">
      <c r="A40" s="252" t="s">
        <v>569</v>
      </c>
      <c r="B40" s="266"/>
      <c r="C40" s="266"/>
      <c r="D40" s="276">
        <f>(Other_input_data!G32-Other_input_data!E32)/(Other_input_data!E72-Other_input_data!C72)</f>
        <v>0.36068563092633121</v>
      </c>
      <c r="E40" s="276">
        <f>(Other_input_data!H32-Other_input_data!F32)/(Other_input_data!F72-Other_input_data!D72)</f>
        <v>0.60878771836950785</v>
      </c>
      <c r="F40" s="276">
        <f>(Other_input_data!I32-Other_input_data!G32)/(Other_input_data!G72-Other_input_data!E72)</f>
        <v>10.460233297985152</v>
      </c>
      <c r="G40" s="276">
        <f>(Other_input_data!J32-Other_input_data!H32)/(Other_input_data!H72-Other_input_data!F72)</f>
        <v>4.1318223028105168</v>
      </c>
      <c r="H40" s="276">
        <f>(Other_input_data!K32-Other_input_data!I32)/(Other_input_data!I72-Other_input_data!G72)</f>
        <v>3.7677654309459334</v>
      </c>
      <c r="I40" s="276">
        <f>(Other_input_data!L32-Other_input_data!J32)/(Other_input_data!J72-Other_input_data!H72)</f>
        <v>2.6907946865532506</v>
      </c>
      <c r="J40" s="278"/>
      <c r="K40" s="278"/>
      <c r="L40" s="268"/>
      <c r="M40" s="261"/>
      <c r="N40" s="261"/>
      <c r="O40" s="261"/>
    </row>
    <row r="41" spans="1:15" x14ac:dyDescent="0.2">
      <c r="A41" s="252" t="s">
        <v>573</v>
      </c>
      <c r="B41" s="266"/>
      <c r="C41" s="266"/>
      <c r="D41" s="276">
        <f>(Other_input_data!G32-Other_input_data!E32)/(Other_input_data!E74-Other_input_data!C74)</f>
        <v>0.53372908796546137</v>
      </c>
      <c r="E41" s="276">
        <f>(Other_input_data!H32-Other_input_data!F32)/(Other_input_data!F74-Other_input_data!D74)</f>
        <v>1.0304659498207887</v>
      </c>
      <c r="F41" s="276">
        <f>(Other_input_data!I32-Other_input_data!G32)/(Other_input_data!G74-Other_input_data!E74)</f>
        <v>-229.39534883720941</v>
      </c>
      <c r="G41" s="276">
        <f>(Other_input_data!J32-Other_input_data!H32)/(Other_input_data!H74-Other_input_data!F74)</f>
        <v>4.6108862808579518</v>
      </c>
      <c r="H41" s="276">
        <f>(Other_input_data!K32-Other_input_data!I32)/(Other_input_data!I74-Other_input_data!G74)</f>
        <v>4.9930701645835915</v>
      </c>
      <c r="I41" s="276">
        <f>(Other_input_data!L32-Other_input_data!J32)/(Other_input_data!J74-Other_input_data!H74)</f>
        <v>6.2297399374123223</v>
      </c>
      <c r="J41" s="268"/>
      <c r="K41" s="268"/>
      <c r="L41" s="268"/>
      <c r="M41" s="261"/>
      <c r="N41" s="261"/>
      <c r="O41" s="261"/>
    </row>
    <row r="42" spans="1:15" x14ac:dyDescent="0.2">
      <c r="A42" s="252"/>
      <c r="B42" s="266"/>
      <c r="C42" s="266"/>
      <c r="D42" s="276"/>
      <c r="E42" s="276"/>
      <c r="F42" s="276"/>
      <c r="G42" s="276"/>
      <c r="H42" s="276"/>
      <c r="I42" s="276"/>
      <c r="J42" s="268"/>
      <c r="K42" s="268"/>
      <c r="L42" s="268"/>
      <c r="M42" s="261"/>
      <c r="N42" s="261"/>
      <c r="O42" s="261"/>
    </row>
    <row r="43" spans="1:15" x14ac:dyDescent="0.2">
      <c r="A43" s="252" t="s">
        <v>571</v>
      </c>
      <c r="B43" s="266"/>
      <c r="C43" s="266"/>
      <c r="D43" s="276">
        <f>(Other_input_data!G37-Other_input_data!E37)/(Other_input_data!E72-Other_input_data!C72)</f>
        <v>7.8045222465353795E-2</v>
      </c>
      <c r="E43" s="276">
        <f>(Other_input_data!H37-Other_input_data!F37)/(Other_input_data!F72-Other_input_data!D72)</f>
        <v>0.14002117522498705</v>
      </c>
      <c r="F43" s="276">
        <f>(Other_input_data!I37-Other_input_data!G37)/(Other_input_data!G72-Other_input_data!E72)</f>
        <v>2.6235418875927876</v>
      </c>
      <c r="G43" s="276">
        <f>(Other_input_data!J37-Other_input_data!H37)/(Other_input_data!H72-Other_input_data!F72)</f>
        <v>1.068721668177697</v>
      </c>
      <c r="H43" s="276">
        <f>(Other_input_data!K37-Other_input_data!I37)/(Other_input_data!I72-Other_input_data!G72)</f>
        <v>1.3328975627976474</v>
      </c>
      <c r="I43" s="276">
        <f>(Other_input_data!L37-Other_input_data!J37)/(Other_input_data!J72-Other_input_data!H72)</f>
        <v>0.97012351433232313</v>
      </c>
      <c r="J43" s="268"/>
      <c r="K43" s="268"/>
      <c r="L43" s="268"/>
      <c r="M43" s="261"/>
      <c r="N43" s="261"/>
      <c r="O43" s="261"/>
    </row>
    <row r="44" spans="1:15" x14ac:dyDescent="0.2">
      <c r="A44" s="252" t="s">
        <v>575</v>
      </c>
      <c r="B44" s="266"/>
      <c r="C44" s="266"/>
      <c r="D44" s="276">
        <f>(Other_input_data!G37-Other_input_data!E37)/(Other_input_data!E74-Other_input_data!C74)</f>
        <v>0.11548839719373993</v>
      </c>
      <c r="E44" s="276">
        <f>(Other_input_data!H37-Other_input_data!F37)/(Other_input_data!F74-Other_input_data!D74)</f>
        <v>0.23700716845878181</v>
      </c>
      <c r="F44" s="276">
        <f>(Other_input_data!I37-Other_input_data!G37)/(Other_input_data!G74-Other_input_data!E74)</f>
        <v>-57.534883720930239</v>
      </c>
      <c r="G44" s="276">
        <f>(Other_input_data!J37-Other_input_data!H37)/(Other_input_data!H74-Other_input_data!F74)</f>
        <v>1.1926345609065154</v>
      </c>
      <c r="H44" s="276">
        <f>(Other_input_data!K37-Other_input_data!I37)/(Other_input_data!I74-Other_input_data!G74)</f>
        <v>1.7663655488182164</v>
      </c>
      <c r="I44" s="276">
        <f>(Other_input_data!L37-Other_input_data!J37)/(Other_input_data!J74-Other_input_data!H74)</f>
        <v>2.2460343153123978</v>
      </c>
      <c r="J44" s="268"/>
      <c r="K44" s="268"/>
      <c r="L44" s="268"/>
      <c r="M44" s="261"/>
      <c r="N44" s="261"/>
      <c r="O44" s="261"/>
    </row>
    <row r="45" spans="1:15" x14ac:dyDescent="0.2">
      <c r="A45" s="252"/>
      <c r="B45" s="266"/>
      <c r="C45" s="266"/>
      <c r="D45" s="266"/>
      <c r="E45" s="266"/>
      <c r="F45" s="266"/>
      <c r="G45" s="266"/>
      <c r="H45" s="268"/>
      <c r="I45" s="268"/>
      <c r="J45" s="268"/>
      <c r="K45" s="268"/>
      <c r="L45" s="268"/>
      <c r="M45" s="261"/>
      <c r="N45" s="261"/>
      <c r="O45" s="261"/>
    </row>
    <row r="46" spans="1:15" x14ac:dyDescent="0.2">
      <c r="A46" s="252" t="s">
        <v>576</v>
      </c>
      <c r="B46" s="276">
        <f>Other_input_data!C32/Other_input_data!C72</f>
        <v>0</v>
      </c>
      <c r="C46" s="276">
        <f>Other_input_data!D32/Other_input_data!D72</f>
        <v>0</v>
      </c>
      <c r="D46" s="276">
        <f>Other_input_data!E32/Other_input_data!E72</f>
        <v>0.46193037078969718</v>
      </c>
      <c r="E46" s="276">
        <f>Other_input_data!F32/Other_input_data!F72</f>
        <v>0.47421751857689709</v>
      </c>
      <c r="F46" s="276">
        <f>Other_input_data!G32/Other_input_data!G72</f>
        <v>0.58556747095621098</v>
      </c>
      <c r="G46" s="276">
        <f>Other_input_data!H32/Other_input_data!H72</f>
        <v>0.44254720771394135</v>
      </c>
      <c r="H46" s="276">
        <f>Other_input_data!I32/Other_input_data!I72</f>
        <v>0.82219295357260458</v>
      </c>
      <c r="I46" s="276">
        <f>Other_input_data!J32/Other_input_data!J72</f>
        <v>0.86571583203336411</v>
      </c>
      <c r="J46" s="276">
        <f>Other_input_data!K32/Other_input_data!K72</f>
        <v>1.0329025825497058</v>
      </c>
      <c r="K46" s="276">
        <f>Other_input_data!L32/Other_input_data!L72</f>
        <v>1.0341199678527069</v>
      </c>
      <c r="L46" s="268"/>
      <c r="M46" s="261"/>
      <c r="N46" s="261"/>
      <c r="O46" s="261"/>
    </row>
    <row r="47" spans="1:15" x14ac:dyDescent="0.2">
      <c r="A47" s="252" t="s">
        <v>577</v>
      </c>
      <c r="B47" s="266"/>
      <c r="C47" s="276">
        <f>Other_input_data!D32/Other_input_data!D73</f>
        <v>0</v>
      </c>
      <c r="D47" s="276">
        <f>Other_input_data!E32/Other_input_data!E73</f>
        <v>0.7778836987607245</v>
      </c>
      <c r="E47" s="276">
        <f>Other_input_data!F32/Other_input_data!F73</f>
        <v>0.52821670428893908</v>
      </c>
      <c r="F47" s="276">
        <f>Other_input_data!G32/Other_input_data!G73</f>
        <v>0.58786587417292824</v>
      </c>
      <c r="G47" s="276">
        <f>Other_input_data!H32/Other_input_data!H73</f>
        <v>0.61058758314855877</v>
      </c>
      <c r="H47" s="276">
        <f>Other_input_data!I32/Other_input_data!I73</f>
        <v>0.99319836124259175</v>
      </c>
      <c r="I47" s="276">
        <f>Other_input_data!J32/Other_input_data!J73</f>
        <v>1.1671817323375397</v>
      </c>
      <c r="J47" s="276">
        <f>Other_input_data!K32/Other_input_data!K73</f>
        <v>1.2798624064339528</v>
      </c>
      <c r="K47" s="276">
        <f>Other_input_data!L32/Other_input_data!L73</f>
        <v>1.274436682598876</v>
      </c>
      <c r="L47" s="268"/>
      <c r="M47" s="261"/>
      <c r="N47" s="261"/>
      <c r="O47" s="261"/>
    </row>
    <row r="48" spans="1:15" x14ac:dyDescent="0.2">
      <c r="A48" s="252" t="s">
        <v>578</v>
      </c>
      <c r="B48" s="276">
        <f>Other_input_data!C32/Other_input_data!C74</f>
        <v>0</v>
      </c>
      <c r="C48" s="276">
        <f>Other_input_data!D32/Other_input_data!D74</f>
        <v>0</v>
      </c>
      <c r="D48" s="276">
        <f>Other_input_data!E32/Other_input_data!E74</f>
        <v>0.87553648068669532</v>
      </c>
      <c r="E48" s="276">
        <f>Other_input_data!F32/Other_input_data!F74</f>
        <v>0.93975903614457823</v>
      </c>
      <c r="F48" s="276">
        <f>Other_input_data!G32/Other_input_data!G74</f>
        <v>1.4393190554640307</v>
      </c>
      <c r="G48" s="276">
        <f>Other_input_data!H32/Other_input_data!H74</f>
        <v>0.61339273284143125</v>
      </c>
      <c r="H48" s="276">
        <f>Other_input_data!I32/Other_input_data!I74</f>
        <v>1.2608563926479497</v>
      </c>
      <c r="I48" s="276">
        <f>Other_input_data!J32/Other_input_data!J74</f>
        <v>1.6530699088145897</v>
      </c>
      <c r="J48" s="276">
        <f>Other_input_data!K32/Other_input_data!K74</f>
        <v>2.5386315587161254</v>
      </c>
      <c r="K48" s="276">
        <f>Other_input_data!L32/Other_input_data!L74</f>
        <v>2.197826086956522</v>
      </c>
      <c r="L48" s="268"/>
      <c r="M48" s="261"/>
      <c r="N48" s="261"/>
      <c r="O48" s="261"/>
    </row>
    <row r="49" spans="1:15" x14ac:dyDescent="0.2">
      <c r="A49" s="252" t="s">
        <v>579</v>
      </c>
      <c r="B49" s="266"/>
      <c r="C49" s="276">
        <f>Other_input_data!D32/Other_input_data!D75</f>
        <v>0</v>
      </c>
      <c r="D49" s="276">
        <f>Other_input_data!E32/Other_input_data!E75</f>
        <v>1.7426588360918314</v>
      </c>
      <c r="E49" s="276">
        <f>Other_input_data!F32/Other_input_data!F75</f>
        <v>1.0260657734470158</v>
      </c>
      <c r="F49" s="276">
        <f>Other_input_data!G32/Other_input_data!G75</f>
        <v>1.2904972919743967</v>
      </c>
      <c r="G49" s="276">
        <f>Other_input_data!H32/Other_input_data!H75</f>
        <v>0.97867614393602853</v>
      </c>
      <c r="H49" s="276">
        <f>Other_input_data!I32/Other_input_data!I75</f>
        <v>1.4615159496634471</v>
      </c>
      <c r="I49" s="276">
        <f>Other_input_data!J32/Other_input_data!J75</f>
        <v>2.06382817243473</v>
      </c>
      <c r="J49" s="276">
        <f>Other_input_data!K32/Other_input_data!K75</f>
        <v>2.8358112822714832</v>
      </c>
      <c r="K49" s="276">
        <f>Other_input_data!L32/Other_input_data!L75</f>
        <v>2.8568929556617104</v>
      </c>
      <c r="L49" s="268"/>
      <c r="M49" s="261"/>
      <c r="N49" s="261"/>
      <c r="O49" s="261"/>
    </row>
    <row r="50" spans="1:15" x14ac:dyDescent="0.2">
      <c r="A50" s="252"/>
      <c r="B50" s="266"/>
      <c r="C50" s="276"/>
      <c r="D50" s="276"/>
      <c r="E50" s="276"/>
      <c r="F50" s="276"/>
      <c r="G50" s="276"/>
      <c r="H50" s="276"/>
      <c r="I50" s="276"/>
      <c r="J50" s="276"/>
      <c r="K50" s="276"/>
      <c r="L50" s="268"/>
      <c r="M50" s="261"/>
      <c r="N50" s="261"/>
      <c r="O50" s="261"/>
    </row>
    <row r="51" spans="1:15" x14ac:dyDescent="0.2">
      <c r="A51" s="252" t="s">
        <v>865</v>
      </c>
      <c r="B51" s="266">
        <f>'Data Sheet'!B82/'Data Sheet'!B66</f>
        <v>0</v>
      </c>
      <c r="C51" s="266">
        <f>'Data Sheet'!C82/'Data Sheet'!C66</f>
        <v>0</v>
      </c>
      <c r="D51" s="266">
        <f>'Data Sheet'!D82/'Data Sheet'!D66</f>
        <v>0.32267195018397965</v>
      </c>
      <c r="E51" s="266">
        <f>'Data Sheet'!E82/'Data Sheet'!E66</f>
        <v>-7.5433460932222474E-2</v>
      </c>
      <c r="F51" s="266">
        <f>'Data Sheet'!F82/'Data Sheet'!F66</f>
        <v>-0.16577301161751565</v>
      </c>
      <c r="G51" s="266">
        <f>'Data Sheet'!G82/'Data Sheet'!G66</f>
        <v>0.12213740458015267</v>
      </c>
      <c r="H51" s="268">
        <f>'Data Sheet'!H82/'Data Sheet'!H66</f>
        <v>0.17174843595653605</v>
      </c>
      <c r="I51" s="268">
        <f>'Data Sheet'!I82/'Data Sheet'!I66</f>
        <v>6.0138168157651779E-2</v>
      </c>
      <c r="J51" s="268">
        <f>'Data Sheet'!J82/'Data Sheet'!J66</f>
        <v>0.14023186252468184</v>
      </c>
      <c r="K51" s="268">
        <f>'Data Sheet'!K82/'Data Sheet'!K66</f>
        <v>0.15233433184773873</v>
      </c>
      <c r="L51" s="268"/>
      <c r="M51" s="261">
        <f>AVERAGE(I51:K51)</f>
        <v>0.11756812084335744</v>
      </c>
      <c r="N51" s="261">
        <f>AVERAGE(G51:K51)</f>
        <v>0.12931804061335223</v>
      </c>
      <c r="O51" s="261">
        <f>AVERAGE(B51:K51)</f>
        <v>7.280556807010026E-2</v>
      </c>
    </row>
    <row r="52" spans="1:15" x14ac:dyDescent="0.2">
      <c r="A52" s="252" t="s">
        <v>518</v>
      </c>
      <c r="B52" s="266">
        <f>'Data Sheet'!B30/'Data Sheet'!B66</f>
        <v>0.15802781289506954</v>
      </c>
      <c r="C52" s="266">
        <f>'Data Sheet'!C30/'Data Sheet'!C66</f>
        <v>6.0331825037707393E-3</v>
      </c>
      <c r="D52" s="266">
        <f>'Data Sheet'!D30/'Data Sheet'!D66</f>
        <v>5.9156524200396264E-2</v>
      </c>
      <c r="E52" s="266">
        <f>'Data Sheet'!E30/'Data Sheet'!E66</f>
        <v>7.8811078585904082E-2</v>
      </c>
      <c r="F52" s="266">
        <f>'Data Sheet'!F30/'Data Sheet'!F66</f>
        <v>8.8695263628239512E-2</v>
      </c>
      <c r="G52" s="266">
        <f>'Data Sheet'!G30/'Data Sheet'!G66</f>
        <v>6.1068702290076333E-2</v>
      </c>
      <c r="H52" s="266">
        <f>'Data Sheet'!H30/'Data Sheet'!H66</f>
        <v>0.12499176819229503</v>
      </c>
      <c r="I52" s="274">
        <f>'Data Sheet'!I30/'Data Sheet'!I66</f>
        <v>0.12603864888096528</v>
      </c>
      <c r="J52" s="274">
        <f>'Data Sheet'!J30/'Data Sheet'!J66</f>
        <v>0.2042384313112158</v>
      </c>
      <c r="K52" s="274">
        <f>'Data Sheet'!K30/'Data Sheet'!K66</f>
        <v>0.20898175884659409</v>
      </c>
      <c r="L52" s="274"/>
      <c r="M52" s="261">
        <f>AVERAGE(I52:K52)</f>
        <v>0.17975294634625838</v>
      </c>
      <c r="N52" s="261">
        <f>AVERAGE(G52:K52)</f>
        <v>0.14506386190422932</v>
      </c>
      <c r="O52" s="261">
        <f>AVERAGE(B52:K52)</f>
        <v>0.11160431713345267</v>
      </c>
    </row>
    <row r="53" spans="1:15" x14ac:dyDescent="0.2">
      <c r="A53" s="252" t="s">
        <v>519</v>
      </c>
      <c r="B53" s="260">
        <f>'Data Sheet'!B17/'Data Sheet'!B66</f>
        <v>0</v>
      </c>
      <c r="C53" s="260">
        <f>'Data Sheet'!C17/'Data Sheet'!C66</f>
        <v>0</v>
      </c>
      <c r="D53" s="260">
        <f>'Data Sheet'!D17/'Data Sheet'!D66</f>
        <v>0.46193037078969718</v>
      </c>
      <c r="E53" s="260">
        <f>'Data Sheet'!E17/'Data Sheet'!E66</f>
        <v>0.47421751857689709</v>
      </c>
      <c r="F53" s="260">
        <f>'Data Sheet'!F17/'Data Sheet'!F66</f>
        <v>0.58556747095621098</v>
      </c>
      <c r="G53" s="260">
        <f>'Data Sheet'!G17/'Data Sheet'!G66</f>
        <v>0.44254720771394135</v>
      </c>
      <c r="H53" s="275">
        <f>'Data Sheet'!H17/'Data Sheet'!H66</f>
        <v>0.82219295357260458</v>
      </c>
      <c r="I53" s="275">
        <f>'Data Sheet'!I17/'Data Sheet'!I66</f>
        <v>0.86571583203336411</v>
      </c>
      <c r="J53" s="275">
        <f>'Data Sheet'!J17/'Data Sheet'!J66</f>
        <v>1.0329025825497058</v>
      </c>
      <c r="K53" s="275">
        <f>'Data Sheet'!K17/'Data Sheet'!K66</f>
        <v>1.0341199678527069</v>
      </c>
      <c r="L53" s="275"/>
      <c r="M53" s="260">
        <f>AVERAGE(I53:K53)</f>
        <v>0.97757946081192559</v>
      </c>
      <c r="N53" s="260">
        <f>AVERAGE(G53:K53)</f>
        <v>0.83949570874446455</v>
      </c>
      <c r="O53" s="260">
        <f>AVERAGE(B53:K53)</f>
        <v>0.57191939040451278</v>
      </c>
    </row>
    <row r="54" spans="1:15" x14ac:dyDescent="0.2">
      <c r="A54" s="252" t="s">
        <v>520</v>
      </c>
      <c r="B54" s="260">
        <f>'Data Sheet'!B17/'Data Sheet'!B62</f>
        <v>0</v>
      </c>
      <c r="C54" s="260">
        <f>'Data Sheet'!C17/'Data Sheet'!C62</f>
        <v>0</v>
      </c>
      <c r="D54" s="260">
        <f>'Data Sheet'!D17/'Data Sheet'!D62</f>
        <v>2.697520661157025</v>
      </c>
      <c r="E54" s="260">
        <f>'Data Sheet'!E17/'Data Sheet'!E62</f>
        <v>3.5217391304347823</v>
      </c>
      <c r="F54" s="260">
        <f>'Data Sheet'!F17/'Data Sheet'!F62</f>
        <v>35.904109589041099</v>
      </c>
      <c r="G54" s="260">
        <f>'Data Sheet'!G17/'Data Sheet'!G62</f>
        <v>0.84325358851674648</v>
      </c>
      <c r="H54" s="275">
        <f>'Data Sheet'!H17/'Data Sheet'!H62</f>
        <v>1.5779828109201213</v>
      </c>
      <c r="I54" s="275">
        <f>'Data Sheet'!I17/'Data Sheet'!I62</f>
        <v>1.8578260572521692</v>
      </c>
      <c r="J54" s="275">
        <f>'Data Sheet'!J17/'Data Sheet'!J62</f>
        <v>2.8193169690501603</v>
      </c>
      <c r="K54" s="275">
        <f>'Data Sheet'!K17/'Data Sheet'!K62</f>
        <v>2.3699280013395101</v>
      </c>
      <c r="L54" s="275"/>
      <c r="M54" s="260">
        <f>AVERAGE(I54:K54)</f>
        <v>2.3490236758806131</v>
      </c>
      <c r="N54" s="260">
        <f>AVERAGE(G54:K54)</f>
        <v>1.8936614854157416</v>
      </c>
      <c r="O54" s="260">
        <f>AVERAGE(B54:K54)</f>
        <v>5.1591676807711613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6"/>
  <sheetViews>
    <sheetView topLeftCell="CZ1" workbookViewId="0">
      <selection activeCell="DM2" sqref="DM2"/>
    </sheetView>
  </sheetViews>
  <sheetFormatPr defaultRowHeight="15" x14ac:dyDescent="0.25"/>
  <cols>
    <col min="1" max="1" width="30.7109375" bestFit="1" customWidth="1"/>
    <col min="2" max="2" width="26.7109375" customWidth="1"/>
    <col min="3" max="18" width="17.85546875" customWidth="1"/>
    <col min="19" max="39" width="25.140625" customWidth="1"/>
    <col min="40" max="40" width="45.140625" customWidth="1"/>
    <col min="41" max="41" width="18.140625" bestFit="1" customWidth="1"/>
    <col min="42" max="42" width="12.140625" customWidth="1"/>
    <col min="43" max="43" width="18.28515625" customWidth="1"/>
    <col min="44" max="44" width="21.28515625" customWidth="1"/>
    <col min="45" max="45" width="24.5703125" customWidth="1"/>
    <col min="46" max="46" width="25.140625" bestFit="1" customWidth="1"/>
    <col min="47" max="48" width="18.42578125" bestFit="1" customWidth="1"/>
    <col min="49" max="49" width="13.5703125" bestFit="1" customWidth="1"/>
    <col min="50" max="50" width="30.85546875" bestFit="1" customWidth="1"/>
    <col min="51" max="51" width="29.7109375" bestFit="1" customWidth="1"/>
    <col min="52" max="52" width="12.85546875" bestFit="1" customWidth="1"/>
    <col min="53" max="53" width="9.85546875" bestFit="1" customWidth="1"/>
    <col min="54" max="54" width="8.7109375" bestFit="1" customWidth="1"/>
    <col min="55" max="55" width="11.85546875" bestFit="1" customWidth="1"/>
    <col min="56" max="56" width="41.42578125" bestFit="1" customWidth="1"/>
    <col min="57" max="57" width="36.28515625" bestFit="1" customWidth="1"/>
    <col min="58" max="58" width="35.140625" bestFit="1" customWidth="1"/>
    <col min="59" max="59" width="34.28515625" bestFit="1" customWidth="1"/>
    <col min="60" max="60" width="39" bestFit="1" customWidth="1"/>
    <col min="61" max="61" width="35.140625" bestFit="1" customWidth="1"/>
    <col min="62" max="62" width="33.5703125" bestFit="1" customWidth="1"/>
    <col min="63" max="63" width="32.42578125" bestFit="1" customWidth="1"/>
    <col min="64" max="64" width="15.42578125" bestFit="1" customWidth="1"/>
    <col min="65" max="65" width="13.28515625" bestFit="1" customWidth="1"/>
    <col min="66" max="66" width="12.85546875" bestFit="1" customWidth="1"/>
    <col min="67" max="67" width="9.85546875" bestFit="1" customWidth="1"/>
    <col min="68" max="68" width="41" bestFit="1" customWidth="1"/>
    <col min="69" max="69" width="38.5703125" bestFit="1" customWidth="1"/>
    <col min="70" max="70" width="28.7109375" bestFit="1" customWidth="1"/>
    <col min="71" max="71" width="26.28515625" bestFit="1" customWidth="1"/>
    <col min="72" max="72" width="22" bestFit="1" customWidth="1"/>
    <col min="73" max="73" width="26.28515625" bestFit="1" customWidth="1"/>
    <col min="74" max="74" width="23.7109375" bestFit="1" customWidth="1"/>
    <col min="75" max="75" width="26.85546875" bestFit="1" customWidth="1"/>
    <col min="76" max="76" width="23.28515625" bestFit="1" customWidth="1"/>
    <col min="77" max="77" width="34.140625" bestFit="1" customWidth="1"/>
    <col min="78" max="78" width="34.85546875" bestFit="1" customWidth="1"/>
    <col min="79" max="79" width="50.140625" bestFit="1" customWidth="1"/>
    <col min="80" max="80" width="48.28515625" bestFit="1" customWidth="1"/>
    <col min="81" max="81" width="45.7109375" bestFit="1" customWidth="1"/>
    <col min="82" max="82" width="17.42578125" bestFit="1" customWidth="1"/>
    <col min="83" max="83" width="16.42578125" bestFit="1" customWidth="1"/>
    <col min="84" max="84" width="15.85546875" bestFit="1" customWidth="1"/>
    <col min="85" max="85" width="26.85546875" bestFit="1" customWidth="1"/>
    <col min="86" max="86" width="10.5703125" bestFit="1" customWidth="1"/>
    <col min="87" max="87" width="13.28515625" bestFit="1" customWidth="1"/>
    <col min="88" max="88" width="29.42578125" bestFit="1" customWidth="1"/>
    <col min="89" max="89" width="29.7109375" bestFit="1" customWidth="1"/>
    <col min="90" max="90" width="33.5703125" bestFit="1" customWidth="1"/>
    <col min="91" max="91" width="34.5703125" bestFit="1" customWidth="1"/>
    <col min="92" max="92" width="30.5703125" bestFit="1" customWidth="1"/>
    <col min="93" max="93" width="27.5703125" bestFit="1" customWidth="1"/>
    <col min="94" max="94" width="25" bestFit="1" customWidth="1"/>
    <col min="95" max="95" width="22.42578125" bestFit="1" customWidth="1"/>
    <col min="96" max="96" width="30.42578125" bestFit="1" customWidth="1"/>
    <col min="97" max="97" width="43.28515625" bestFit="1" customWidth="1"/>
    <col min="98" max="98" width="13.7109375" bestFit="1" customWidth="1"/>
    <col min="99" max="99" width="19" bestFit="1" customWidth="1"/>
    <col min="100" max="100" width="17" bestFit="1" customWidth="1"/>
    <col min="101" max="101" width="22.42578125" bestFit="1" customWidth="1"/>
    <col min="102" max="102" width="25.28515625" bestFit="1" customWidth="1"/>
    <col min="103" max="103" width="19.42578125" bestFit="1" customWidth="1"/>
    <col min="104" max="104" width="17.28515625" bestFit="1" customWidth="1"/>
    <col min="105" max="105" width="23.42578125" bestFit="1" customWidth="1"/>
    <col min="106" max="106" width="8.85546875" bestFit="1" customWidth="1"/>
    <col min="107" max="107" width="10.5703125" bestFit="1" customWidth="1"/>
    <col min="108" max="108" width="11" bestFit="1" customWidth="1"/>
    <col min="109" max="109" width="14.140625" bestFit="1" customWidth="1"/>
    <col min="110" max="110" width="8.42578125" bestFit="1" customWidth="1"/>
    <col min="111" max="111" width="8.5703125" bestFit="1" customWidth="1"/>
    <col min="112" max="112" width="10.140625" bestFit="1" customWidth="1"/>
    <col min="113" max="113" width="15.85546875" bestFit="1" customWidth="1"/>
    <col min="114" max="114" width="17.28515625" bestFit="1" customWidth="1"/>
    <col min="115" max="115" width="20.7109375" bestFit="1" customWidth="1"/>
    <col min="116" max="116" width="19.42578125" bestFit="1" customWidth="1"/>
    <col min="117" max="117" width="20.42578125" bestFit="1" customWidth="1"/>
    <col min="118" max="118" width="24.28515625" bestFit="1" customWidth="1"/>
    <col min="119" max="119" width="22.5703125" bestFit="1" customWidth="1"/>
    <col min="120" max="120" width="22.7109375" bestFit="1" customWidth="1"/>
    <col min="121" max="121" width="22.28515625" bestFit="1" customWidth="1"/>
    <col min="122" max="122" width="52.42578125" bestFit="1" customWidth="1"/>
    <col min="123" max="123" width="50.7109375" bestFit="1" customWidth="1"/>
    <col min="124" max="124" width="50.85546875" bestFit="1" customWidth="1"/>
    <col min="125" max="125" width="50.42578125" bestFit="1" customWidth="1"/>
    <col min="126" max="126" width="10.42578125" bestFit="1" customWidth="1"/>
    <col min="127" max="127" width="23" bestFit="1" customWidth="1"/>
    <col min="128" max="128" width="15.5703125" bestFit="1" customWidth="1"/>
    <col min="129" max="129" width="18.140625" bestFit="1" customWidth="1"/>
  </cols>
  <sheetData>
    <row r="1" spans="1:129" x14ac:dyDescent="0.25">
      <c r="D1">
        <v>2</v>
      </c>
      <c r="E1">
        <v>3</v>
      </c>
      <c r="F1">
        <v>4</v>
      </c>
      <c r="G1">
        <v>5</v>
      </c>
      <c r="H1">
        <v>6</v>
      </c>
      <c r="I1">
        <v>7</v>
      </c>
      <c r="J1">
        <v>8</v>
      </c>
      <c r="K1">
        <v>9</v>
      </c>
      <c r="L1">
        <v>10</v>
      </c>
      <c r="M1">
        <v>11</v>
      </c>
      <c r="N1">
        <v>12</v>
      </c>
      <c r="O1">
        <v>13</v>
      </c>
      <c r="P1">
        <v>14</v>
      </c>
      <c r="Q1">
        <v>15</v>
      </c>
      <c r="R1">
        <v>16</v>
      </c>
      <c r="S1">
        <v>2</v>
      </c>
      <c r="T1">
        <v>3</v>
      </c>
      <c r="U1">
        <v>4</v>
      </c>
      <c r="V1">
        <v>5</v>
      </c>
      <c r="W1">
        <v>6</v>
      </c>
      <c r="X1">
        <v>7</v>
      </c>
      <c r="Y1">
        <v>8</v>
      </c>
      <c r="Z1">
        <v>9</v>
      </c>
      <c r="AA1">
        <v>10</v>
      </c>
      <c r="AB1">
        <v>11</v>
      </c>
      <c r="AC1">
        <v>12</v>
      </c>
      <c r="AD1">
        <v>13</v>
      </c>
      <c r="AE1">
        <v>14</v>
      </c>
      <c r="AF1">
        <v>15</v>
      </c>
      <c r="AG1">
        <v>16</v>
      </c>
      <c r="AH1">
        <v>17</v>
      </c>
      <c r="AI1">
        <v>2</v>
      </c>
      <c r="AJ1">
        <v>3</v>
      </c>
      <c r="AK1">
        <v>4</v>
      </c>
      <c r="AL1">
        <v>5</v>
      </c>
      <c r="AM1">
        <v>2</v>
      </c>
      <c r="AN1">
        <v>3</v>
      </c>
      <c r="AO1">
        <v>10</v>
      </c>
      <c r="AP1">
        <v>11</v>
      </c>
      <c r="AQ1">
        <v>12</v>
      </c>
      <c r="AR1">
        <v>13</v>
      </c>
      <c r="AS1">
        <v>14</v>
      </c>
      <c r="AT1">
        <v>15</v>
      </c>
      <c r="AU1">
        <v>16</v>
      </c>
      <c r="AV1">
        <v>17</v>
      </c>
      <c r="AW1">
        <v>18</v>
      </c>
      <c r="AX1">
        <v>19</v>
      </c>
      <c r="AY1">
        <v>20</v>
      </c>
      <c r="AZ1">
        <v>21</v>
      </c>
      <c r="BA1">
        <v>22</v>
      </c>
      <c r="BB1">
        <v>23</v>
      </c>
      <c r="BC1">
        <v>25</v>
      </c>
      <c r="BD1">
        <v>26</v>
      </c>
      <c r="BE1">
        <v>27</v>
      </c>
      <c r="BF1">
        <v>28</v>
      </c>
      <c r="BG1">
        <v>29</v>
      </c>
      <c r="BH1">
        <v>30</v>
      </c>
      <c r="BI1">
        <v>31</v>
      </c>
      <c r="BJ1">
        <v>32</v>
      </c>
      <c r="BK1">
        <v>33</v>
      </c>
      <c r="BL1">
        <v>34</v>
      </c>
      <c r="BM1">
        <v>35</v>
      </c>
      <c r="BN1">
        <v>36</v>
      </c>
      <c r="BO1">
        <v>37</v>
      </c>
      <c r="BP1">
        <v>39</v>
      </c>
      <c r="BQ1">
        <v>40</v>
      </c>
      <c r="BR1">
        <v>41</v>
      </c>
      <c r="BS1">
        <v>42</v>
      </c>
      <c r="BT1">
        <v>43</v>
      </c>
      <c r="BU1">
        <v>44</v>
      </c>
      <c r="BV1">
        <v>45</v>
      </c>
      <c r="BW1">
        <v>46</v>
      </c>
      <c r="BX1">
        <v>47</v>
      </c>
      <c r="BY1">
        <v>48</v>
      </c>
      <c r="BZ1">
        <v>49</v>
      </c>
      <c r="CA1">
        <v>50</v>
      </c>
      <c r="CB1">
        <v>51</v>
      </c>
      <c r="CC1">
        <v>52</v>
      </c>
      <c r="CD1">
        <v>53</v>
      </c>
      <c r="CE1">
        <v>54</v>
      </c>
      <c r="CF1">
        <v>55</v>
      </c>
      <c r="CG1">
        <v>56</v>
      </c>
      <c r="CH1">
        <v>57</v>
      </c>
      <c r="CI1">
        <v>58</v>
      </c>
      <c r="CJ1">
        <v>59</v>
      </c>
      <c r="CK1">
        <v>60</v>
      </c>
      <c r="CL1">
        <v>61</v>
      </c>
      <c r="CM1">
        <v>62</v>
      </c>
      <c r="CN1">
        <v>63</v>
      </c>
      <c r="CO1">
        <v>64</v>
      </c>
      <c r="CP1">
        <v>65</v>
      </c>
      <c r="CQ1">
        <v>66</v>
      </c>
      <c r="CR1">
        <v>67</v>
      </c>
      <c r="CS1">
        <v>69</v>
      </c>
      <c r="CT1">
        <v>70</v>
      </c>
      <c r="CU1">
        <v>71</v>
      </c>
      <c r="CV1">
        <v>72</v>
      </c>
      <c r="CW1">
        <v>73</v>
      </c>
      <c r="CX1">
        <v>74</v>
      </c>
      <c r="CY1">
        <v>75</v>
      </c>
      <c r="CZ1">
        <v>76</v>
      </c>
      <c r="DA1">
        <v>77</v>
      </c>
      <c r="DB1">
        <v>78</v>
      </c>
      <c r="DC1">
        <v>79</v>
      </c>
      <c r="DD1">
        <v>80</v>
      </c>
      <c r="DE1">
        <v>81</v>
      </c>
      <c r="DF1">
        <v>82</v>
      </c>
      <c r="DG1">
        <v>83</v>
      </c>
      <c r="DH1">
        <v>84</v>
      </c>
      <c r="DI1">
        <v>85</v>
      </c>
      <c r="DJ1">
        <v>86</v>
      </c>
      <c r="DK1">
        <v>87</v>
      </c>
      <c r="DL1">
        <v>88</v>
      </c>
      <c r="DM1">
        <v>89</v>
      </c>
      <c r="DN1">
        <v>90</v>
      </c>
      <c r="DO1">
        <v>91</v>
      </c>
      <c r="DP1">
        <v>92</v>
      </c>
      <c r="DQ1">
        <v>93</v>
      </c>
      <c r="DR1">
        <v>94</v>
      </c>
      <c r="DS1">
        <v>95</v>
      </c>
      <c r="DT1">
        <v>96</v>
      </c>
      <c r="DU1">
        <v>97</v>
      </c>
      <c r="DV1">
        <v>98</v>
      </c>
      <c r="DW1">
        <v>99</v>
      </c>
      <c r="DX1">
        <v>100</v>
      </c>
      <c r="DY1">
        <v>101</v>
      </c>
    </row>
    <row r="2" spans="1:129" x14ac:dyDescent="0.25">
      <c r="B2" t="s">
        <v>538</v>
      </c>
      <c r="C2" t="s">
        <v>539</v>
      </c>
      <c r="D2" s="9" t="s">
        <v>6</v>
      </c>
      <c r="E2" s="5" t="s">
        <v>81</v>
      </c>
      <c r="F2" s="5" t="s">
        <v>82</v>
      </c>
      <c r="G2" s="5" t="s">
        <v>83</v>
      </c>
      <c r="H2" s="5" t="s">
        <v>84</v>
      </c>
      <c r="I2" s="5" t="s">
        <v>85</v>
      </c>
      <c r="J2" s="5" t="s">
        <v>86</v>
      </c>
      <c r="K2" s="5" t="s">
        <v>87</v>
      </c>
      <c r="L2" s="9" t="s">
        <v>9</v>
      </c>
      <c r="M2" s="9" t="s">
        <v>10</v>
      </c>
      <c r="N2" s="9" t="s">
        <v>11</v>
      </c>
      <c r="O2" s="9" t="s">
        <v>12</v>
      </c>
      <c r="P2" s="9" t="s">
        <v>13</v>
      </c>
      <c r="Q2" s="9" t="s">
        <v>14</v>
      </c>
      <c r="R2" s="9" t="s">
        <v>71</v>
      </c>
      <c r="S2" s="9" t="s">
        <v>24</v>
      </c>
      <c r="T2" s="9" t="s">
        <v>25</v>
      </c>
      <c r="U2" s="9" t="s">
        <v>72</v>
      </c>
      <c r="V2" s="9" t="s">
        <v>73</v>
      </c>
      <c r="W2" s="1" t="s">
        <v>26</v>
      </c>
      <c r="X2" s="9" t="s">
        <v>27</v>
      </c>
      <c r="Y2" s="9" t="s">
        <v>28</v>
      </c>
      <c r="Z2" s="9" t="s">
        <v>29</v>
      </c>
      <c r="AA2" s="9" t="s">
        <v>74</v>
      </c>
      <c r="AB2" s="1" t="s">
        <v>26</v>
      </c>
      <c r="AC2" s="9" t="s">
        <v>79</v>
      </c>
      <c r="AD2" s="9" t="s">
        <v>45</v>
      </c>
      <c r="AE2" s="5" t="s">
        <v>88</v>
      </c>
      <c r="AF2" s="5" t="s">
        <v>75</v>
      </c>
      <c r="AG2" s="5" t="s">
        <v>76</v>
      </c>
      <c r="AH2" s="5" t="s">
        <v>89</v>
      </c>
      <c r="AI2" s="9" t="s">
        <v>32</v>
      </c>
      <c r="AJ2" s="9" t="s">
        <v>33</v>
      </c>
      <c r="AK2" s="9" t="s">
        <v>34</v>
      </c>
      <c r="AL2" s="9" t="s">
        <v>35</v>
      </c>
      <c r="AM2" s="1" t="s">
        <v>78</v>
      </c>
      <c r="AN2" s="5" t="s">
        <v>90</v>
      </c>
      <c r="AO2" s="246" t="s">
        <v>540</v>
      </c>
      <c r="AP2" s="246" t="s">
        <v>145</v>
      </c>
      <c r="AQ2" s="246" t="s">
        <v>146</v>
      </c>
      <c r="AR2" s="246" t="s">
        <v>157</v>
      </c>
      <c r="AS2" s="246" t="s">
        <v>162</v>
      </c>
      <c r="AT2" s="246" t="s">
        <v>541</v>
      </c>
      <c r="AU2" s="246" t="s">
        <v>191</v>
      </c>
      <c r="AV2" s="246" t="s">
        <v>483</v>
      </c>
      <c r="AW2" s="246" t="s">
        <v>484</v>
      </c>
      <c r="AX2" s="246" t="s">
        <v>485</v>
      </c>
      <c r="AY2" s="246" t="s">
        <v>264</v>
      </c>
      <c r="AZ2" s="246" t="s">
        <v>143</v>
      </c>
      <c r="BA2" s="246" t="s">
        <v>262</v>
      </c>
      <c r="BB2" s="246" t="s">
        <v>486</v>
      </c>
      <c r="BC2" s="252" t="s">
        <v>488</v>
      </c>
      <c r="BD2" s="253" t="s">
        <v>489</v>
      </c>
      <c r="BE2" s="253" t="s">
        <v>490</v>
      </c>
      <c r="BF2" s="253" t="s">
        <v>491</v>
      </c>
      <c r="BG2" s="253" t="s">
        <v>492</v>
      </c>
      <c r="BH2" s="253" t="s">
        <v>493</v>
      </c>
      <c r="BI2" s="253" t="s">
        <v>494</v>
      </c>
      <c r="BJ2" s="252" t="s">
        <v>495</v>
      </c>
      <c r="BK2" s="253" t="s">
        <v>496</v>
      </c>
      <c r="BL2" s="246" t="s">
        <v>260</v>
      </c>
      <c r="BM2" s="246" t="s">
        <v>497</v>
      </c>
      <c r="BN2" s="246" t="s">
        <v>143</v>
      </c>
      <c r="BO2" s="246" t="s">
        <v>262</v>
      </c>
      <c r="BP2" s="246" t="s">
        <v>542</v>
      </c>
      <c r="BQ2" s="246" t="s">
        <v>543</v>
      </c>
      <c r="BR2" s="246" t="s">
        <v>499</v>
      </c>
      <c r="BS2" s="246" t="s">
        <v>500</v>
      </c>
      <c r="BT2" s="246" t="s">
        <v>544</v>
      </c>
      <c r="BU2" s="252" t="s">
        <v>501</v>
      </c>
      <c r="BV2" s="252" t="s">
        <v>502</v>
      </c>
      <c r="BW2" s="252" t="s">
        <v>545</v>
      </c>
      <c r="BX2" s="252" t="s">
        <v>546</v>
      </c>
      <c r="BY2" s="246" t="s">
        <v>547</v>
      </c>
      <c r="BZ2" s="246" t="s">
        <v>548</v>
      </c>
      <c r="CA2" s="246" t="s">
        <v>549</v>
      </c>
      <c r="CB2" s="252" t="s">
        <v>503</v>
      </c>
      <c r="CC2" s="252" t="s">
        <v>504</v>
      </c>
      <c r="CD2" s="249" t="s">
        <v>505</v>
      </c>
      <c r="CE2" s="252" t="s">
        <v>506</v>
      </c>
      <c r="CF2" s="252" t="s">
        <v>267</v>
      </c>
      <c r="CG2" s="252" t="s">
        <v>507</v>
      </c>
      <c r="CH2" s="252" t="s">
        <v>508</v>
      </c>
      <c r="CI2" s="252" t="s">
        <v>509</v>
      </c>
      <c r="CJ2" s="252" t="s">
        <v>510</v>
      </c>
      <c r="CK2" s="252" t="s">
        <v>550</v>
      </c>
      <c r="CL2" s="246" t="s">
        <v>551</v>
      </c>
      <c r="CM2" s="246" t="s">
        <v>552</v>
      </c>
      <c r="CN2" s="246" t="s">
        <v>511</v>
      </c>
      <c r="CO2" s="252" t="s">
        <v>512</v>
      </c>
      <c r="CP2" s="252" t="s">
        <v>513</v>
      </c>
      <c r="CQ2" s="252" t="s">
        <v>553</v>
      </c>
      <c r="CR2" s="252" t="s">
        <v>554</v>
      </c>
      <c r="CS2" s="252" t="s">
        <v>515</v>
      </c>
      <c r="CT2" s="252" t="s">
        <v>46</v>
      </c>
      <c r="CU2" s="252" t="s">
        <v>516</v>
      </c>
      <c r="CV2" s="252" t="s">
        <v>312</v>
      </c>
      <c r="CW2" s="252" t="s">
        <v>47</v>
      </c>
      <c r="CX2" s="252" t="s">
        <v>517</v>
      </c>
      <c r="CY2" s="252" t="s">
        <v>518</v>
      </c>
      <c r="CZ2" s="252" t="s">
        <v>519</v>
      </c>
      <c r="DA2" s="252" t="s">
        <v>520</v>
      </c>
      <c r="DB2" s="252" t="s">
        <v>229</v>
      </c>
      <c r="DC2" s="252" t="s">
        <v>521</v>
      </c>
      <c r="DD2" s="252" t="s">
        <v>522</v>
      </c>
      <c r="DE2" s="252" t="s">
        <v>523</v>
      </c>
      <c r="DF2" s="252" t="s">
        <v>316</v>
      </c>
      <c r="DG2" s="252" t="s">
        <v>231</v>
      </c>
      <c r="DH2" s="252" t="s">
        <v>524</v>
      </c>
      <c r="DI2" s="254" t="s">
        <v>525</v>
      </c>
      <c r="DJ2" s="254" t="s">
        <v>526</v>
      </c>
      <c r="DK2" s="254" t="s">
        <v>307</v>
      </c>
      <c r="DL2" s="252" t="s">
        <v>60</v>
      </c>
      <c r="DM2" s="252" t="s">
        <v>527</v>
      </c>
      <c r="DN2" s="254" t="s">
        <v>528</v>
      </c>
      <c r="DO2" s="254" t="s">
        <v>529</v>
      </c>
      <c r="DP2" s="254" t="s">
        <v>530</v>
      </c>
      <c r="DQ2" s="254" t="s">
        <v>531</v>
      </c>
      <c r="DR2" s="254" t="s">
        <v>532</v>
      </c>
      <c r="DS2" s="254" t="s">
        <v>533</v>
      </c>
      <c r="DT2" s="254" t="s">
        <v>534</v>
      </c>
      <c r="DU2" s="254" t="s">
        <v>535</v>
      </c>
      <c r="DV2" s="252" t="s">
        <v>247</v>
      </c>
      <c r="DW2" s="252" t="s">
        <v>536</v>
      </c>
      <c r="DX2" s="252" t="s">
        <v>537</v>
      </c>
      <c r="DY2" s="252" t="s">
        <v>17</v>
      </c>
    </row>
    <row r="3" spans="1:129" x14ac:dyDescent="0.25">
      <c r="A3" t="s">
        <v>555</v>
      </c>
      <c r="B3" t="str">
        <f>UPPER(SUBSTITUTE(B2," ","_"))</f>
        <v>COMPANY_NAME</v>
      </c>
      <c r="C3" t="str">
        <f t="shared" ref="C3:BN3" si="0">UPPER(SUBSTITUTE(C2," ","_"))</f>
        <v>DATE</v>
      </c>
      <c r="D3" t="str">
        <f t="shared" si="0"/>
        <v>SALES</v>
      </c>
      <c r="E3" t="str">
        <f t="shared" si="0"/>
        <v>RAW_MATERIAL_COST</v>
      </c>
      <c r="F3" t="str">
        <f t="shared" si="0"/>
        <v>CHANGE_IN_INVENTORY</v>
      </c>
      <c r="G3" t="str">
        <f t="shared" si="0"/>
        <v>POWER_AND_FUEL</v>
      </c>
      <c r="H3" t="str">
        <f t="shared" si="0"/>
        <v>OTHER_MFR._EXP</v>
      </c>
      <c r="I3" t="str">
        <f t="shared" si="0"/>
        <v>EMPLOYEE_COST</v>
      </c>
      <c r="J3" t="str">
        <f t="shared" si="0"/>
        <v>SELLING_AND_ADMIN</v>
      </c>
      <c r="K3" t="str">
        <f t="shared" si="0"/>
        <v>OTHER_EXPENSES</v>
      </c>
      <c r="L3" t="str">
        <f t="shared" si="0"/>
        <v>OTHER_INCOME</v>
      </c>
      <c r="M3" t="str">
        <f t="shared" si="0"/>
        <v>DEPRECIATION</v>
      </c>
      <c r="N3" t="str">
        <f t="shared" si="0"/>
        <v>INTEREST</v>
      </c>
      <c r="O3" t="str">
        <f t="shared" si="0"/>
        <v>PROFIT_BEFORE_TAX</v>
      </c>
      <c r="P3" t="str">
        <f t="shared" si="0"/>
        <v>TAX</v>
      </c>
      <c r="Q3" t="str">
        <f t="shared" si="0"/>
        <v>NET_PROFIT</v>
      </c>
      <c r="R3" t="str">
        <f t="shared" si="0"/>
        <v>DIVIDEND_AMOUNT</v>
      </c>
      <c r="S3" t="str">
        <f t="shared" si="0"/>
        <v>EQUITY_SHARE_CAPITAL</v>
      </c>
      <c r="T3" t="str">
        <f t="shared" si="0"/>
        <v>RESERVES</v>
      </c>
      <c r="U3" t="str">
        <f t="shared" si="0"/>
        <v>BORROWINGS</v>
      </c>
      <c r="V3" t="str">
        <f t="shared" si="0"/>
        <v>OTHER_LIABILITIES</v>
      </c>
      <c r="W3" t="str">
        <f t="shared" si="0"/>
        <v>TOTAL</v>
      </c>
      <c r="X3" t="str">
        <f t="shared" si="0"/>
        <v>NET_BLOCK</v>
      </c>
      <c r="Y3" t="str">
        <f t="shared" si="0"/>
        <v>CAPITAL_WORK_IN_PROGRESS</v>
      </c>
      <c r="Z3" t="str">
        <f t="shared" si="0"/>
        <v>INVESTMENTS</v>
      </c>
      <c r="AA3" t="str">
        <f t="shared" si="0"/>
        <v>OTHER_ASSETS</v>
      </c>
      <c r="AB3" t="str">
        <f t="shared" si="0"/>
        <v>TOTAL</v>
      </c>
      <c r="AC3" t="str">
        <f t="shared" si="0"/>
        <v>RECEIVABLES</v>
      </c>
      <c r="AD3" t="str">
        <f t="shared" si="0"/>
        <v>INVENTORY</v>
      </c>
      <c r="AE3" t="str">
        <f t="shared" si="0"/>
        <v>CASH_&amp;_BANK</v>
      </c>
      <c r="AF3" t="str">
        <f t="shared" si="0"/>
        <v>NO._OF_EQUITY_SHARES</v>
      </c>
      <c r="AG3" t="str">
        <f t="shared" si="0"/>
        <v>NEW_BONUS_SHARES</v>
      </c>
      <c r="AH3" t="str">
        <f t="shared" si="0"/>
        <v>FACE_VALUE</v>
      </c>
      <c r="AI3" t="str">
        <f t="shared" si="0"/>
        <v>CASH_FROM_OPERATING_ACTIVITY</v>
      </c>
      <c r="AJ3" t="str">
        <f t="shared" si="0"/>
        <v>CASH_FROM_INVESTING_ACTIVITY</v>
      </c>
      <c r="AK3" t="str">
        <f t="shared" si="0"/>
        <v>CASH_FROM_FINANCING_ACTIVITY</v>
      </c>
      <c r="AL3" t="str">
        <f t="shared" si="0"/>
        <v>NET_CASH_FLOW</v>
      </c>
      <c r="AM3" t="str">
        <f t="shared" si="0"/>
        <v>PRICE:</v>
      </c>
      <c r="AN3" t="str">
        <f t="shared" si="0"/>
        <v>ADJUSTED_EQUITY_SHARES_IN_CR</v>
      </c>
      <c r="AO3" t="str">
        <f t="shared" si="0"/>
        <v>INVESTED_CAPITAL</v>
      </c>
      <c r="AP3" t="str">
        <f t="shared" si="0"/>
        <v>PAT</v>
      </c>
      <c r="AQ3" t="str">
        <f t="shared" si="0"/>
        <v>CFO</v>
      </c>
      <c r="AR3" t="str">
        <f t="shared" si="0"/>
        <v>CAPEX</v>
      </c>
      <c r="AS3" t="str">
        <f t="shared" si="0"/>
        <v>DIVIDEND</v>
      </c>
      <c r="AT3" t="str">
        <f t="shared" si="0"/>
        <v>FCF_INCLUDING_DIVIDEND</v>
      </c>
      <c r="AU3" t="str">
        <f t="shared" si="0"/>
        <v>ENTERPRISE_VALUE</v>
      </c>
      <c r="AV3" t="str">
        <f t="shared" si="0"/>
        <v>REVENUE_GROWTH</v>
      </c>
      <c r="AW3" t="str">
        <f t="shared" si="0"/>
        <v>PAT_GROWTH</v>
      </c>
      <c r="AX3" t="str">
        <f t="shared" si="0"/>
        <v>RECEIVABLES_AS_A_%_OF_SALES</v>
      </c>
      <c r="AY3" t="str">
        <f t="shared" si="0"/>
        <v>INVENTORY_AS_A_%_OF_SALES</v>
      </c>
      <c r="AZ3" t="str">
        <f t="shared" si="0"/>
        <v>PAT_MARGIN</v>
      </c>
      <c r="BA3" t="str">
        <f t="shared" si="0"/>
        <v>TAX_RATE</v>
      </c>
      <c r="BB3" t="str">
        <f t="shared" si="0"/>
        <v>CFO-PAT</v>
      </c>
      <c r="BC3" t="str">
        <f t="shared" si="0"/>
        <v>COGS/SALES</v>
      </c>
      <c r="BD3" t="str">
        <f t="shared" si="0"/>
        <v>CHANGE_IN_INVENTORY_AS_A_%_OF_SALES</v>
      </c>
      <c r="BE3" t="str">
        <f t="shared" si="0"/>
        <v>POWER_AND_FUEL_AS_A_%_OF_SALES</v>
      </c>
      <c r="BF3" t="str">
        <f t="shared" si="0"/>
        <v>OTHER_MFR._EXP_AS_A_%_OF_SALES</v>
      </c>
      <c r="BG3" t="str">
        <f t="shared" si="0"/>
        <v>EMPLOYEE_COST_AS_A_%_OF_SALES</v>
      </c>
      <c r="BH3" t="str">
        <f t="shared" si="0"/>
        <v>SELLING_AND_ADMIN_AS_A_%_OF_SALES</v>
      </c>
      <c r="BI3" t="str">
        <f t="shared" si="0"/>
        <v>OTHER_EXPENSES_AS_A_%_OF_SALES</v>
      </c>
      <c r="BJ3" t="str">
        <f t="shared" si="0"/>
        <v>OTHER_INCOME_AS_A_%_OF_SALES</v>
      </c>
      <c r="BK3" t="str">
        <f t="shared" si="0"/>
        <v>DEPRECIATION_AS_A_%_OF_SALES</v>
      </c>
      <c r="BL3" t="str">
        <f t="shared" si="0"/>
        <v>GROSS_MARGIN</v>
      </c>
      <c r="BM3" t="str">
        <f t="shared" si="0"/>
        <v>EBIT_MARGIN</v>
      </c>
      <c r="BN3" t="str">
        <f t="shared" si="0"/>
        <v>PAT_MARGIN</v>
      </c>
      <c r="BO3" t="str">
        <f t="shared" ref="BO3:DY3" si="1">UPPER(SUBSTITUTE(BO2," ","_"))</f>
        <v>TAX_RATE</v>
      </c>
      <c r="BP3" t="str">
        <f t="shared" si="1"/>
        <v>GROSS_FIXED_ASSET/SHAREHOLDER_EQUITY</v>
      </c>
      <c r="BQ3" t="str">
        <f t="shared" si="1"/>
        <v>NET_FIXED_ASSET/SHAREHOLDER_EQUITY</v>
      </c>
      <c r="BR3" t="str">
        <f t="shared" si="1"/>
        <v>GROSS_FIXED_ASSET/REVENUE</v>
      </c>
      <c r="BS3" t="str">
        <f t="shared" si="1"/>
        <v>NET_FIXED_ASSET/REVENUE</v>
      </c>
      <c r="BT3" t="str">
        <f t="shared" si="1"/>
        <v>CAPEX/SHARE_CAPITAL</v>
      </c>
      <c r="BU3" t="str">
        <f t="shared" si="1"/>
        <v>CAPEX/GROSS_FIXED_ASSET</v>
      </c>
      <c r="BV3" t="str">
        <f t="shared" si="1"/>
        <v>CAPEX/NET_FIXED_ASSET</v>
      </c>
      <c r="BW3" t="str">
        <f t="shared" si="1"/>
        <v>GROSS_FIXED_ASSET/ASSETS</v>
      </c>
      <c r="BX3" t="str">
        <f t="shared" si="1"/>
        <v>NET_FIXED_ASSET/ASSET</v>
      </c>
      <c r="BY3" t="str">
        <f t="shared" si="1"/>
        <v>INVESTMENT/SHAREHOLDER_EQUITY</v>
      </c>
      <c r="BZ3" t="str">
        <f t="shared" si="1"/>
        <v>OTHER_ASSET/SHAREHOLDER_EQUITY</v>
      </c>
      <c r="CA3" t="str">
        <f t="shared" si="1"/>
        <v>CAPITAL_WORK_IN_PROGRESS/SHAREHOLDER_EQUITY</v>
      </c>
      <c r="CB3" t="str">
        <f t="shared" si="1"/>
        <v>CAPITAL_WORK_IN_PROGRESS/GROSS_FIXED_ASSET</v>
      </c>
      <c r="CC3" t="str">
        <f t="shared" si="1"/>
        <v>CAPITAL_WORK_IN_PROGRESS/NET_FIXED_ASSET</v>
      </c>
      <c r="CD3" t="str">
        <f t="shared" si="1"/>
        <v>LIQUIDITY_RATIOS</v>
      </c>
      <c r="CE3" t="str">
        <f t="shared" si="1"/>
        <v>DEBT_TO_EQUITY</v>
      </c>
      <c r="CF3" t="str">
        <f t="shared" si="1"/>
        <v>CURRENT_RATIO</v>
      </c>
      <c r="CG3" t="str">
        <f t="shared" si="1"/>
        <v>INTEREST_COVERAGE_RATIO</v>
      </c>
      <c r="CH3" t="str">
        <f t="shared" si="1"/>
        <v>LEVERAGE</v>
      </c>
      <c r="CI3" t="str">
        <f t="shared" si="1"/>
        <v>QUICK_RATIO</v>
      </c>
      <c r="CJ3" t="str">
        <f t="shared" si="1"/>
        <v>SHORT_TERM_DEBT_COVERAGE</v>
      </c>
      <c r="CK3" t="str">
        <f t="shared" si="1"/>
        <v>CASH/SHAREHOLDERS'S_EQUITY</v>
      </c>
      <c r="CL3" t="str">
        <f t="shared" si="1"/>
        <v>CASH_TO_LONG_TERM_DEBT_RATIO</v>
      </c>
      <c r="CM3" t="str">
        <f t="shared" si="1"/>
        <v>CASH_TO_SHORT_TERM_DEBT_RATIO</v>
      </c>
      <c r="CN3" t="str">
        <f t="shared" si="1"/>
        <v>SHORT_TERM/LONG_TERM_DEBT</v>
      </c>
      <c r="CO3" t="str">
        <f t="shared" si="1"/>
        <v>DEPRECIATION/GROSS_ASSET</v>
      </c>
      <c r="CP3" t="str">
        <f t="shared" si="1"/>
        <v>DEPRECIATION/NET_ASSET</v>
      </c>
      <c r="CQ3" t="str">
        <f t="shared" si="1"/>
        <v>CASH_TO_MARKET_CAP</v>
      </c>
      <c r="CR3" t="str">
        <f t="shared" si="1"/>
        <v>INVESTMENTS_TO_MARKET_CAP</v>
      </c>
      <c r="CS3" t="str">
        <f t="shared" si="1"/>
        <v>WORKING_CAPITAL/SALES_(INCLUDING_CASH)</v>
      </c>
      <c r="CT3" t="str">
        <f t="shared" si="1"/>
        <v>DEBTOR_DAYS</v>
      </c>
      <c r="CU3" t="str">
        <f t="shared" si="1"/>
        <v>DEBTOR_TURNOVER</v>
      </c>
      <c r="CV3" t="str">
        <f t="shared" si="1"/>
        <v>INVENTORY_DAYS</v>
      </c>
      <c r="CW3" t="str">
        <f t="shared" si="1"/>
        <v>INVENTORY_TURNOVER</v>
      </c>
      <c r="CX3" t="str">
        <f t="shared" si="1"/>
        <v>CASH_RETURN_ON_ASSETS</v>
      </c>
      <c r="CY3" t="str">
        <f t="shared" si="1"/>
        <v>RETURN_ON_ASSETS</v>
      </c>
      <c r="CZ3" t="str">
        <f t="shared" si="1"/>
        <v>ASSET_TURNOVER</v>
      </c>
      <c r="DA3" t="str">
        <f t="shared" si="1"/>
        <v>FIXED_ASSET_TURNOVER</v>
      </c>
      <c r="DB3" t="str">
        <f t="shared" si="1"/>
        <v>CFO/PAT</v>
      </c>
      <c r="DC3" t="str">
        <f t="shared" si="1"/>
        <v>CFO/SALES</v>
      </c>
      <c r="DD3" t="str">
        <f t="shared" si="1"/>
        <v>CAPEX/PAT</v>
      </c>
      <c r="DE3" t="str">
        <f t="shared" si="1"/>
        <v>DIVIDEND/PAT</v>
      </c>
      <c r="DF3" t="str">
        <f t="shared" si="1"/>
        <v>FCF/PAT</v>
      </c>
      <c r="DG3" t="str">
        <f t="shared" si="1"/>
        <v>FCF/CFO</v>
      </c>
      <c r="DH3" t="str">
        <f t="shared" si="1"/>
        <v>FCF/SALES</v>
      </c>
      <c r="DI3" t="str">
        <f t="shared" si="1"/>
        <v>PROFIT_MARGIN</v>
      </c>
      <c r="DJ3" t="str">
        <f t="shared" si="1"/>
        <v>ASSET_TURNOVER</v>
      </c>
      <c r="DK3" t="str">
        <f t="shared" si="1"/>
        <v>FINANCIAL_LEVERAGE</v>
      </c>
      <c r="DL3" t="str">
        <f t="shared" si="1"/>
        <v>RETURN_ON_EQUITY</v>
      </c>
      <c r="DM3" t="str">
        <f t="shared" si="1"/>
        <v>RETURN_ON_CAPITAL</v>
      </c>
      <c r="DN3" t="str">
        <f t="shared" si="1"/>
        <v>SALES/INVESTED_CAPITAL</v>
      </c>
      <c r="DO3" t="str">
        <f t="shared" si="1"/>
        <v>PAT/INVESTED_CAPITAL</v>
      </c>
      <c r="DP3" t="str">
        <f t="shared" si="1"/>
        <v>CFO/INVESTED_CAPITAL</v>
      </c>
      <c r="DQ3" t="str">
        <f t="shared" si="1"/>
        <v>FCF/INVESTED_CAPITAL</v>
      </c>
      <c r="DR3" t="str">
        <f t="shared" si="1"/>
        <v>INCREMENTAL_SALES/INCREMENTAL_INVESTED_CAPITAL</v>
      </c>
      <c r="DS3" t="str">
        <f t="shared" si="1"/>
        <v>INCREMENTAL_PAT/INCREMENTAL_INVESTED_CAPITAL</v>
      </c>
      <c r="DT3" t="str">
        <f t="shared" si="1"/>
        <v>INCREMENTAL_CFO/INCREMENTAL_INVESTED_CAPITAL</v>
      </c>
      <c r="DU3" t="str">
        <f t="shared" si="1"/>
        <v>INCREMENTAL_FCF/INCREMENTAL_INVESTED_CAPITAL</v>
      </c>
      <c r="DV3" t="str">
        <f t="shared" si="1"/>
        <v>EPA/SALES</v>
      </c>
      <c r="DW3" t="str">
        <f t="shared" si="1"/>
        <v>CFO/ENTERPRISE_VALUE</v>
      </c>
      <c r="DX3" t="str">
        <f t="shared" si="1"/>
        <v>DIVIDEND_YIELD</v>
      </c>
      <c r="DY3" t="str">
        <f t="shared" si="1"/>
        <v>DIVIDEND_PAYOUT</v>
      </c>
    </row>
    <row r="4" spans="1:129" x14ac:dyDescent="0.25">
      <c r="A4" t="str">
        <f>IF(B4&lt;&gt;"",CONCATENATE(B4,DAY(C4),MONTH(C4),YEAR(C4)),"")</f>
        <v>8K MILES SOFTWARE SERVICES LTD3132009</v>
      </c>
      <c r="B4" t="str">
        <f>IF(C4&lt;&gt;"",'Data Sheet'!$B$1,"")</f>
        <v>8K MILES SOFTWARE SERVICES LTD</v>
      </c>
      <c r="C4" s="255">
        <f>'Data Sheet'!B16</f>
        <v>39903</v>
      </c>
      <c r="D4" s="9">
        <f>IF($C4&lt;&gt;"",HLOOKUP(Model_Input2!$C4,'Data Sheet'!$B$16:$K$31,D$1,0),"")</f>
        <v>0</v>
      </c>
      <c r="E4" s="9">
        <f>IFERROR(IF($C4&lt;&gt;"",HLOOKUP(Model_Input2!$C4,'Data Sheet'!$B$16:$K$31,E$1,0),""),"NA")</f>
        <v>0</v>
      </c>
      <c r="F4" s="9">
        <f>IFERROR(IF($C4&lt;&gt;"",HLOOKUP(Model_Input2!$C4,'Data Sheet'!$B$16:$K$31,F$1,0),""),"NA")</f>
        <v>0</v>
      </c>
      <c r="G4" s="9">
        <f>IFERROR(IF($C4&lt;&gt;"",HLOOKUP(Model_Input2!$C4,'Data Sheet'!$B$16:$K$31,G$1,0),""),"NA")</f>
        <v>0.01</v>
      </c>
      <c r="H4" s="9">
        <f>IFERROR(IF($C4&lt;&gt;"",HLOOKUP(Model_Input2!$C4,'Data Sheet'!$B$16:$K$31,H$1,0),""),"NA")</f>
        <v>0</v>
      </c>
      <c r="I4" s="9">
        <f>IFERROR(IF($C4&lt;&gt;"",HLOOKUP(Model_Input2!$C4,'Data Sheet'!$B$16:$K$31,I$1,0),""),"NA")</f>
        <v>0.03</v>
      </c>
      <c r="J4" s="9">
        <f>IFERROR(IF($C4&lt;&gt;"",HLOOKUP(Model_Input2!$C4,'Data Sheet'!$B$16:$K$31,J$1,0),""),"NA")</f>
        <v>0.02</v>
      </c>
      <c r="K4" s="9">
        <f>IFERROR(IF($C4&lt;&gt;"",HLOOKUP(Model_Input2!$C4,'Data Sheet'!$B$16:$K$31,K$1,0),""),"NA")</f>
        <v>0.04</v>
      </c>
      <c r="L4" s="9">
        <f>IFERROR(IF($C4&lt;&gt;"",HLOOKUP(Model_Input2!$C4,'Data Sheet'!$B$16:$K$31,L$1,0),""),"NA")</f>
        <v>1.35</v>
      </c>
      <c r="M4" s="9">
        <f>IFERROR(IF($C4&lt;&gt;"",HLOOKUP(Model_Input2!$C4,'Data Sheet'!$B$16:$K$31,M$1,0),""),"NA")</f>
        <v>0</v>
      </c>
      <c r="N4" s="9">
        <f>IFERROR(IF($C4&lt;&gt;"",HLOOKUP(Model_Input2!$C4,'Data Sheet'!$B$16:$K$31,N$1,0),""),"NA")</f>
        <v>0</v>
      </c>
      <c r="O4" s="9">
        <f>IFERROR(IF($C4&lt;&gt;"",HLOOKUP(Model_Input2!$C4,'Data Sheet'!$B$16:$K$31,O$1,0),""),"NA")</f>
        <v>1.25</v>
      </c>
      <c r="P4" s="9">
        <f>IFERROR(IF($C4&lt;&gt;"",HLOOKUP(Model_Input2!$C4,'Data Sheet'!$B$16:$K$31,P$1,0),""),"NA")</f>
        <v>0</v>
      </c>
      <c r="Q4" s="9">
        <f>IFERROR(IF($C4&lt;&gt;"",HLOOKUP(Model_Input2!$C4,'Data Sheet'!$B$16:$K$31,Q$1,0),""),"NA")</f>
        <v>1.25</v>
      </c>
      <c r="R4" s="9">
        <f>IFERROR(IF($C4&lt;&gt;"",HLOOKUP(Model_Input2!$C4,'Data Sheet'!$B$16:$K$31,R$1,0),""),"NA")</f>
        <v>0</v>
      </c>
      <c r="S4">
        <f>IFERROR(IF($C4&lt;&gt;"",HLOOKUP(Model_Input2!$C4,'Data Sheet'!$B$56:$K$72,S$1,0),""),"NA")</f>
        <v>1.56</v>
      </c>
      <c r="T4">
        <f>IFERROR(IF($C4&lt;&gt;"",HLOOKUP(Model_Input2!$C4,'Data Sheet'!$B$56:$K$72,T$1,0),""),"NA")</f>
        <v>4.88</v>
      </c>
      <c r="U4">
        <f>IFERROR(IF($C4&lt;&gt;"",HLOOKUP(Model_Input2!$C4,'Data Sheet'!$B$56:$K$72,U$1,0),""),"NA")</f>
        <v>1.31</v>
      </c>
      <c r="V4">
        <f>IFERROR(IF($C4&lt;&gt;"",HLOOKUP(Model_Input2!$C4,'Data Sheet'!$B$56:$K$72,V$1,0),""),"NA")</f>
        <v>0.16</v>
      </c>
      <c r="W4">
        <f>IFERROR(IF($C4&lt;&gt;"",HLOOKUP(Model_Input2!$C4,'Data Sheet'!$B$56:$K$72,W$1,0),""),"NA")</f>
        <v>7.91</v>
      </c>
      <c r="X4">
        <f>IFERROR(IF($C4&lt;&gt;"",HLOOKUP(Model_Input2!$C4,'Data Sheet'!$B$56:$K$72,X$1,0),""),"NA")</f>
        <v>0.11</v>
      </c>
      <c r="Y4">
        <f>IFERROR(IF($C4&lt;&gt;"",HLOOKUP(Model_Input2!$C4,'Data Sheet'!$B$56:$K$72,Y$1,0),""),"NA")</f>
        <v>0</v>
      </c>
      <c r="Z4">
        <f>IFERROR(IF($C4&lt;&gt;"",HLOOKUP(Model_Input2!$C4,'Data Sheet'!$B$56:$K$72,Z$1,0),""),"NA")</f>
        <v>0.71</v>
      </c>
      <c r="AA4">
        <f>IFERROR(IF($C4&lt;&gt;"",HLOOKUP(Model_Input2!$C4,'Data Sheet'!$B$56:$K$72,AA$1,0),""),"NA")</f>
        <v>7.09</v>
      </c>
      <c r="AB4">
        <f>IFERROR(IF($C4&lt;&gt;"",HLOOKUP(Model_Input2!$C4,'Data Sheet'!$B$56:$K$72,AB$1,0),""),"NA")</f>
        <v>7.91</v>
      </c>
      <c r="AC4">
        <f>IFERROR(IF($C4&lt;&gt;"",HLOOKUP(Model_Input2!$C4,'Data Sheet'!$B$56:$K$72,AC$1,0),""),"NA")</f>
        <v>2.76</v>
      </c>
      <c r="AD4">
        <f>IFERROR(IF($C4&lt;&gt;"",HLOOKUP(Model_Input2!$C4,'Data Sheet'!$B$56:$K$72,AD$1,0),""),"NA")</f>
        <v>0</v>
      </c>
      <c r="AE4">
        <f>IFERROR(IF($C4&lt;&gt;"",HLOOKUP(Model_Input2!$C4,'Data Sheet'!$B$56:$K$72,AE$1,0),""),"NA")</f>
        <v>0</v>
      </c>
      <c r="AF4">
        <f>IFERROR(IF($C4&lt;&gt;"",HLOOKUP(Model_Input2!$C4,'Data Sheet'!$B$56:$K$72,AF$1,0),""),"NA")</f>
        <v>1560000</v>
      </c>
      <c r="AG4">
        <f>IFERROR(IF($C4&lt;&gt;"",HLOOKUP(Model_Input2!$C4,'Data Sheet'!$B$56:$K$72,AG$1,0),""),"NA")</f>
        <v>0</v>
      </c>
      <c r="AH4">
        <f>IFERROR(IF($C4&lt;&gt;"",HLOOKUP(Model_Input2!$C4,'Data Sheet'!$B$56:$K$72,AH$1,0),""),"NA")</f>
        <v>10</v>
      </c>
      <c r="AI4">
        <f>IFERROR(IF($C4&lt;&gt;"",HLOOKUP(Model_Input2!$C4,'Data Sheet'!$B$81:$K$85,AI$1,0),""),"NA")</f>
        <v>0</v>
      </c>
      <c r="AJ4">
        <f>IFERROR(IF($C4&lt;&gt;"",HLOOKUP(Model_Input2!$C4,'Data Sheet'!$B$81:$K$85,AJ$1,0),""),"NA")</f>
        <v>0</v>
      </c>
      <c r="AK4">
        <f>IFERROR(IF($C4&lt;&gt;"",HLOOKUP(Model_Input2!$C4,'Data Sheet'!$B$81:$K$85,AK$1,0),""),"NA")</f>
        <v>0</v>
      </c>
      <c r="AL4">
        <f>IFERROR(IF($C4&lt;&gt;"",HLOOKUP(Model_Input2!$C4,'Data Sheet'!$B$81:$K$85,AL$1,0),""),"NA")</f>
        <v>0</v>
      </c>
      <c r="AM4" s="38">
        <f>IFERROR(IF($C4&lt;&gt;"",HLOOKUP(Model_Input2!$C4,Trend!$B$1:$K$3,AM$1,0),""),"NA")</f>
        <v>0</v>
      </c>
      <c r="AN4" s="38">
        <f>IFERROR(IF($C4&lt;&gt;"",HLOOKUP(Model_Input2!$C4,Trend!$B$1:$K$3,AN$1,0),""),"NA")</f>
        <v>2.2396443000000001</v>
      </c>
      <c r="AO4" s="38">
        <f>IFERROR(IF($C4&lt;&gt;"",HLOOKUP(Model_Input2!$C4,Trend!$B$1:$K$122,AO$1,0),""),"NA")</f>
        <v>7.75</v>
      </c>
      <c r="AP4" s="38">
        <f>IFERROR(IF($C4&lt;&gt;"",HLOOKUP(Model_Input2!$C4,Trend!$B$1:$K$122,AP$1,0),""),"NA")</f>
        <v>1.25</v>
      </c>
      <c r="AQ4" s="38">
        <f>IFERROR(IF($C4&lt;&gt;"",HLOOKUP(Model_Input2!$C4,Trend!$B$1:$K$122,AQ$1,0),""),"NA")</f>
        <v>0</v>
      </c>
      <c r="AR4" s="38">
        <f>IFERROR(IF($C4&lt;&gt;"",HLOOKUP(Model_Input2!$C4,Trend!$B$1:$K$122,AR$1,0),""),"NA")</f>
        <v>0</v>
      </c>
      <c r="AS4" s="38">
        <f>IFERROR(IF($C4&lt;&gt;"",HLOOKUP(Model_Input2!$C4,Trend!$B$1:$K$122,AS$1,0),""),"NA")</f>
        <v>0</v>
      </c>
      <c r="AT4" s="38">
        <f>IFERROR(IF($C4&lt;&gt;"",HLOOKUP(Model_Input2!$C4,Trend!$B$1:$K$122,AT$1,0),""),"NA")</f>
        <v>0</v>
      </c>
      <c r="AU4" s="38">
        <f>IFERROR(IF($C4&lt;&gt;"",HLOOKUP(Model_Input2!$C4,Trend!$B$1:$K$122,AU$1,0),""),"NA")</f>
        <v>1.31</v>
      </c>
      <c r="AV4" s="256">
        <f>IFERROR(IF($C4&lt;&gt;"",HLOOKUP(Model_Input2!$C4,Trend!$B$1:$K$122,AV$1,0),""),"NA")</f>
        <v>0</v>
      </c>
      <c r="AW4" s="256">
        <f>IFERROR(IF($C4&lt;&gt;"",HLOOKUP(Model_Input2!$C4,Trend!$B$1:$K$122,AW$1,0),""),"NA")</f>
        <v>0</v>
      </c>
      <c r="AX4" s="256" t="str">
        <f>IFERROR(IF($C4&lt;&gt;"",HLOOKUP(Model_Input2!$C4,Trend!$B$1:$K$122,AX$1,0),""),"NA")</f>
        <v>NA</v>
      </c>
      <c r="AY4" s="256" t="str">
        <f>IFERROR(IF($C4&lt;&gt;"",HLOOKUP(Model_Input2!$C4,Trend!$B$1:$K$122,AY$1,0),""),"NA")</f>
        <v>NA</v>
      </c>
      <c r="AZ4" s="256" t="str">
        <f>IFERROR(IF($C4&lt;&gt;"",HLOOKUP(Model_Input2!$C4,Trend!$B$1:$K$122,AZ$1,0),""),"NA")</f>
        <v>NA</v>
      </c>
      <c r="BA4" s="256">
        <f>IFERROR(IF($C4&lt;&gt;"",HLOOKUP(Model_Input2!$C4,Trend!$B$1:$K$122,BA$1,0),""),"NA")</f>
        <v>0</v>
      </c>
      <c r="BB4" s="38">
        <f>IFERROR(IF($C4&lt;&gt;"",HLOOKUP(Model_Input2!$C4,Trend!$B$1:$K$122,BB$1,0),""),"NA")</f>
        <v>-1.25</v>
      </c>
      <c r="BC4" s="256" t="str">
        <f>IFERROR(IF($C4&lt;&gt;"",HLOOKUP(Model_Input2!$C4,Trend!$B$1:$K$122,BC$1,0),""),"NA")</f>
        <v>NA</v>
      </c>
      <c r="BD4" s="256" t="str">
        <f>IFERROR(IF($C4&lt;&gt;"",HLOOKUP(Model_Input2!$C4,Trend!$B$1:$K$122,BD$1,0),""),"NA")</f>
        <v>NA</v>
      </c>
      <c r="BE4" s="256" t="str">
        <f>IFERROR(IF($C4&lt;&gt;"",HLOOKUP(Model_Input2!$C4,Trend!$B$1:$K$122,BE$1,0),""),"NA")</f>
        <v>NA</v>
      </c>
      <c r="BF4" s="256" t="str">
        <f>IFERROR(IF($C4&lt;&gt;"",HLOOKUP(Model_Input2!$C4,Trend!$B$1:$K$122,BF$1,0),""),"NA")</f>
        <v>NA</v>
      </c>
      <c r="BG4" s="256" t="str">
        <f>IFERROR(IF($C4&lt;&gt;"",HLOOKUP(Model_Input2!$C4,Trend!$B$1:$K$122,BG$1,0),""),"NA")</f>
        <v>NA</v>
      </c>
      <c r="BH4" s="256" t="str">
        <f>IFERROR(IF($C4&lt;&gt;"",HLOOKUP(Model_Input2!$C4,Trend!$B$1:$K$122,BH$1,0),""),"NA")</f>
        <v>NA</v>
      </c>
      <c r="BI4" s="256" t="str">
        <f>IFERROR(IF($C4&lt;&gt;"",HLOOKUP(Model_Input2!$C4,Trend!$B$1:$K$122,BI$1,0),""),"NA")</f>
        <v>NA</v>
      </c>
      <c r="BJ4" s="256" t="str">
        <f>IFERROR(IF($C4&lt;&gt;"",HLOOKUP(Model_Input2!$C4,Trend!$B$1:$K$122,BJ$1,0),""),"NA")</f>
        <v>NA</v>
      </c>
      <c r="BK4" s="256" t="str">
        <f>IFERROR(IF($C4&lt;&gt;"",HLOOKUP(Model_Input2!$C4,Trend!$B$1:$K$122,BK$1,0),""),"NA")</f>
        <v>NA</v>
      </c>
      <c r="BL4" s="256" t="str">
        <f>IFERROR(IF($C4&lt;&gt;"",HLOOKUP(Model_Input2!$C4,Trend!$B$1:$K$122,BL$1,0),""),"NA")</f>
        <v>NA</v>
      </c>
      <c r="BM4" s="256" t="str">
        <f>IFERROR(IF($C4&lt;&gt;"",HLOOKUP(Model_Input2!$C4,Trend!$B$1:$K$122,BM$1,0),""),"NA")</f>
        <v>NA</v>
      </c>
      <c r="BN4" s="256" t="str">
        <f>IFERROR(IF($C4&lt;&gt;"",HLOOKUP(Model_Input2!$C4,Trend!$B$1:$K$122,BN$1,0),""),"NA")</f>
        <v>NA</v>
      </c>
      <c r="BO4" s="256">
        <f>IFERROR(IF($C4&lt;&gt;"",HLOOKUP(Model_Input2!$C4,Trend!$B$1:$K$122,BO$1,0),""),"NA")</f>
        <v>0</v>
      </c>
      <c r="BP4" s="256">
        <f>IFERROR(IF($C4&lt;&gt;"",HLOOKUP(Model_Input2!$C4,Trend!$B$1:$K$122,BP$1,0),""),"NA")</f>
        <v>1.3906447534766119E-2</v>
      </c>
      <c r="BQ4" s="256">
        <f>IFERROR(IF($C4&lt;&gt;"",HLOOKUP(Model_Input2!$C4,Trend!$B$1:$K$122,BQ$1,0),""),"NA")</f>
        <v>1.3906447534766119E-2</v>
      </c>
      <c r="BR4" s="256" t="str">
        <f>IFERROR(IF($C4&lt;&gt;"",HLOOKUP(Model_Input2!$C4,Trend!$B$1:$K$122,BR$1,0),""),"NA")</f>
        <v>NA</v>
      </c>
      <c r="BS4" s="256" t="str">
        <f>IFERROR(IF($C4&lt;&gt;"",HLOOKUP(Model_Input2!$C4,Trend!$B$1:$K$122,BS$1,0),""),"NA")</f>
        <v>NA</v>
      </c>
      <c r="BT4" s="256">
        <f>IFERROR(IF($C4&lt;&gt;"",HLOOKUP(Model_Input2!$C4,Trend!$B$1:$K$122,BT$1,0),""),"NA")</f>
        <v>0</v>
      </c>
      <c r="BU4" s="256">
        <f>IFERROR(IF($C4&lt;&gt;"",HLOOKUP(Model_Input2!$C4,Trend!$B$1:$K$122,BU$1,0),""),"NA")</f>
        <v>0</v>
      </c>
      <c r="BV4" s="256">
        <f>IFERROR(IF($C4&lt;&gt;"",HLOOKUP(Model_Input2!$C4,Trend!$B$1:$K$122,BV$1,0),""),"NA")</f>
        <v>0</v>
      </c>
      <c r="BW4" s="256">
        <f>IFERROR(IF($C4&lt;&gt;"",HLOOKUP(Model_Input2!$C4,Trend!$B$1:$K$122,BW$1,0),""),"NA")</f>
        <v>1.3906447534766119E-2</v>
      </c>
      <c r="BX4" s="256">
        <f>IFERROR(IF($C4&lt;&gt;"",HLOOKUP(Model_Input2!$C4,Trend!$B$1:$K$122,BX$1,0),""),"NA")</f>
        <v>1.3906447534766119E-2</v>
      </c>
      <c r="BY4" s="256">
        <f>IFERROR(IF($C4&lt;&gt;"",HLOOKUP(Model_Input2!$C4,Trend!$B$1:$K$122,BY$1,0),""),"NA")</f>
        <v>8.9759797724399487E-2</v>
      </c>
      <c r="BZ4" s="256">
        <f>IFERROR(IF($C4&lt;&gt;"",HLOOKUP(Model_Input2!$C4,Trend!$B$1:$K$122,BZ$1,0),""),"NA")</f>
        <v>0.89633375474083432</v>
      </c>
      <c r="CA4" s="256">
        <f>IFERROR(IF($C4&lt;&gt;"",HLOOKUP(Model_Input2!$C4,Trend!$B$1:$K$122,CA$1,0),""),"NA")</f>
        <v>0</v>
      </c>
      <c r="CB4" s="256">
        <f>IFERROR(IF($C4&lt;&gt;"",HLOOKUP(Model_Input2!$C4,Trend!$B$1:$K$122,CB$1,0),""),"NA")</f>
        <v>0</v>
      </c>
      <c r="CC4" s="256">
        <f>IFERROR(IF($C4&lt;&gt;"",HLOOKUP(Model_Input2!$C4,Trend!$B$1:$K$122,CC$1,0),""),"NA")</f>
        <v>0</v>
      </c>
      <c r="CD4" s="38">
        <f>IFERROR(IF($C4&lt;&gt;"",HLOOKUP(Model_Input2!$C4,Trend!$B$1:$K$122,CD$1,0),""),"NA")</f>
        <v>0</v>
      </c>
      <c r="CE4" s="38">
        <f>IFERROR(IF($C4&lt;&gt;"",HLOOKUP(Model_Input2!$C4,Trend!$B$1:$K$122,CE$1,0),""),"NA")</f>
        <v>0.203416149068323</v>
      </c>
      <c r="CF4" s="38">
        <f>IFERROR(IF($C4&lt;&gt;"",HLOOKUP(Model_Input2!$C4,Trend!$B$1:$K$122,CF$1,0),""),"NA")</f>
        <v>44.3125</v>
      </c>
      <c r="CG4" s="38" t="str">
        <f>IFERROR(IF($C4&lt;&gt;"",HLOOKUP(Model_Input2!$C4,Trend!$B$1:$K$122,CG$1,0),""),"NA")</f>
        <v>NA</v>
      </c>
      <c r="CH4" s="38">
        <f>IFERROR(IF($C4&lt;&gt;"",HLOOKUP(Model_Input2!$C4,Trend!$B$1:$K$122,CH$1,0),""),"NA")</f>
        <v>1.2282608695652175</v>
      </c>
      <c r="CI4" s="38">
        <f>IFERROR(IF($C4&lt;&gt;"",HLOOKUP(Model_Input2!$C4,Trend!$B$1:$K$122,CI$1,0),""),"NA")</f>
        <v>44.3125</v>
      </c>
      <c r="CJ4" s="38">
        <f>IFERROR(IF($C4&lt;&gt;"",HLOOKUP(Model_Input2!$C4,Trend!$B$1:$K$122,CJ$1,0),""),"NA")</f>
        <v>0</v>
      </c>
      <c r="CK4" s="256">
        <f>IFERROR(IF($C4&lt;&gt;"",HLOOKUP(Model_Input2!$C4,Trend!$B$1:$K$122,CK$1,0),""),"NA")</f>
        <v>0</v>
      </c>
      <c r="CL4" s="256">
        <f>IFERROR(IF($C4&lt;&gt;"",HLOOKUP(Model_Input2!$C4,Trend!$B$1:$K$122,CL$1,0),""),"NA")</f>
        <v>0</v>
      </c>
      <c r="CM4" s="256">
        <f>IFERROR(IF($C4&lt;&gt;"",HLOOKUP(Model_Input2!$C4,Trend!$B$1:$K$122,CM$1,0),""),"NA")</f>
        <v>0</v>
      </c>
      <c r="CN4" s="256">
        <f>IFERROR(IF($C4&lt;&gt;"",HLOOKUP(Model_Input2!$C4,Trend!$B$1:$K$122,CN$1,0),""),"NA")</f>
        <v>0.12213740458015267</v>
      </c>
      <c r="CO4" s="256">
        <f>IFERROR(IF($C4&lt;&gt;"",HLOOKUP(Model_Input2!$C4,Trend!$B$1:$K$122,CO$1,0),""),"NA")</f>
        <v>0</v>
      </c>
      <c r="CP4" s="256">
        <f>IFERROR(IF($C4&lt;&gt;"",HLOOKUP(Model_Input2!$C4,Trend!$B$1:$K$122,CP$1,0),""),"NA")</f>
        <v>0</v>
      </c>
      <c r="CQ4" s="256" t="str">
        <f>IFERROR(IF($C4&lt;&gt;"",HLOOKUP(Model_Input2!$C4,Trend!$B$1:$K$122,CQ$1,0),""),"NA")</f>
        <v>NA</v>
      </c>
      <c r="CR4" s="256" t="str">
        <f>IFERROR(IF($C4&lt;&gt;"",HLOOKUP(Model_Input2!$C4,Trend!$B$1:$K$122,CR$1,0),""),"NA")</f>
        <v>NA</v>
      </c>
      <c r="CS4" s="256" t="str">
        <f>IFERROR(IF($C4&lt;&gt;"",HLOOKUP(Model_Input2!$C4,Trend!$B$1:$K$122,CS$1,0),""),"NA")</f>
        <v>NA</v>
      </c>
      <c r="CT4" s="38" t="str">
        <f>IFERROR(IF($C4&lt;&gt;"",HLOOKUP(Model_Input2!$C4,Trend!$B$1:$K$122,CT$1,0),""),"NA")</f>
        <v>NA</v>
      </c>
      <c r="CU4" s="38" t="str">
        <f>IFERROR(IF($C4&lt;&gt;"",HLOOKUP(Model_Input2!$C4,Trend!$B$1:$K$122,CU$1,0),""),"NA")</f>
        <v>NA</v>
      </c>
      <c r="CV4" s="38" t="str">
        <f>IFERROR(IF($C4&lt;&gt;"",HLOOKUP(Model_Input2!$C4,Trend!$B$1:$K$122,CV$1,0),""),"NA")</f>
        <v>NA</v>
      </c>
      <c r="CW4" s="38" t="str">
        <f>IFERROR(IF($C4&lt;&gt;"",HLOOKUP(Model_Input2!$C4,Trend!$B$1:$K$122,CW$1,0),""),"NA")</f>
        <v>NA</v>
      </c>
      <c r="CX4" s="256">
        <f>IFERROR(IF($C4&lt;&gt;"",HLOOKUP(Model_Input2!$C4,Trend!$B$1:$K$122,CX$1,0),""),"NA")</f>
        <v>0</v>
      </c>
      <c r="CY4" s="256">
        <f>IFERROR(IF($C4&lt;&gt;"",HLOOKUP(Model_Input2!$C4,Trend!$B$1:$K$122,CY$1,0),""),"NA")</f>
        <v>0</v>
      </c>
      <c r="CZ4" s="38">
        <f>IFERROR(IF($C4&lt;&gt;"",HLOOKUP(Model_Input2!$C4,Trend!$B$1:$K$122,CZ$1,0),""),"NA")</f>
        <v>0.15802781289506954</v>
      </c>
      <c r="DA4" s="38">
        <f>IFERROR(IF($C4&lt;&gt;"",HLOOKUP(Model_Input2!$C4,Trend!$B$1:$K$122,DA$1,0),""),"NA")</f>
        <v>0</v>
      </c>
      <c r="DB4" s="256">
        <f>IFERROR(IF($C4&lt;&gt;"",HLOOKUP(Model_Input2!$C4,Trend!$B$1:$K$122,DB$1,0),""),"NA")</f>
        <v>11.363636363636363</v>
      </c>
      <c r="DC4" s="256">
        <f>IFERROR(IF($C4&lt;&gt;"",HLOOKUP(Model_Input2!$C4,Trend!$B$1:$K$122,DC$1,0),""),"NA")</f>
        <v>0</v>
      </c>
      <c r="DD4" s="256">
        <f>IFERROR(IF($C4&lt;&gt;"",HLOOKUP(Model_Input2!$C4,Trend!$B$1:$K$122,DD$1,0),""),"NA")</f>
        <v>0</v>
      </c>
      <c r="DE4" s="256">
        <f>IFERROR(IF($C4&lt;&gt;"",HLOOKUP(Model_Input2!$C4,Trend!$B$1:$K$122,DE$1,0),""),"NA")</f>
        <v>0</v>
      </c>
      <c r="DF4" s="256">
        <f>IFERROR(IF($C4&lt;&gt;"",HLOOKUP(Model_Input2!$C4,Trend!$B$1:$K$122,DF$1,0),""),"NA")</f>
        <v>0</v>
      </c>
      <c r="DG4" s="256">
        <f>IFERROR(IF($C4&lt;&gt;"",HLOOKUP(Model_Input2!$C4,Trend!$B$1:$K$122,DG$1,0),""),"NA")</f>
        <v>0</v>
      </c>
      <c r="DH4" s="256">
        <f>IFERROR(IF($C4&lt;&gt;"",HLOOKUP(Model_Input2!$C4,Trend!$B$1:$K$122,DH$1,0),""),"NA")</f>
        <v>0</v>
      </c>
      <c r="DI4" s="256">
        <f>IFERROR(IF($C4&lt;&gt;"",HLOOKUP(Model_Input2!$C4,Trend!$B$1:$K$122,DI$1,0),""),"NA")</f>
        <v>0</v>
      </c>
      <c r="DJ4" s="38">
        <f>IFERROR(IF($C4&lt;&gt;"",HLOOKUP(Model_Input2!$C4,Trend!$B$1:$K$122,DJ$1,0),""),"NA")</f>
        <v>0</v>
      </c>
      <c r="DK4" s="38">
        <f>IFERROR(IF($C4&lt;&gt;"",HLOOKUP(Model_Input2!$C4,Trend!$B$1:$K$122,DK$1,0),""),"NA")</f>
        <v>0</v>
      </c>
      <c r="DL4" s="256">
        <f>IFERROR(IF($C4&lt;&gt;"",HLOOKUP(Model_Input2!$C4,Trend!$B$1:$K$122,DL$1,0),""),"NA")</f>
        <v>0</v>
      </c>
      <c r="DM4" s="256">
        <f>IFERROR(IF($C4&lt;&gt;"",HLOOKUP(Model_Input2!$C4,Trend!$B$1:$K$122,DM$1,0),""),"NA")</f>
        <v>0</v>
      </c>
      <c r="DN4" s="256">
        <f>IFERROR(IF($C4&lt;&gt;"",HLOOKUP(Model_Input2!$C4,Trend!$B$1:$K$122,DN$1,0),""),"NA")</f>
        <v>0</v>
      </c>
      <c r="DO4" s="256">
        <f>IFERROR(IF($C4&lt;&gt;"",HLOOKUP(Model_Input2!$C4,Trend!$B$1:$K$122,DO$1,0),""),"NA")</f>
        <v>0</v>
      </c>
      <c r="DP4" s="256">
        <f>IFERROR(IF($C4&lt;&gt;"",HLOOKUP(Model_Input2!$C4,Trend!$B$1:$K$122,DP$1,0),""),"NA")</f>
        <v>0</v>
      </c>
      <c r="DQ4" s="256">
        <f>IFERROR(IF($C4&lt;&gt;"",HLOOKUP(Model_Input2!$C4,Trend!$B$1:$K$122,DQ$1,0),""),"NA")</f>
        <v>0</v>
      </c>
      <c r="DR4" s="256">
        <f>IFERROR(IF($C4&lt;&gt;"",HLOOKUP(Model_Input2!$C4,Trend!$B$1:$K$122,DR$1,0),""),"NA")</f>
        <v>0</v>
      </c>
      <c r="DS4" s="256">
        <f>IFERROR(IF($C4&lt;&gt;"",HLOOKUP(Model_Input2!$C4,Trend!$B$1:$K$122,DS$1,0),""),"NA")</f>
        <v>0</v>
      </c>
      <c r="DT4" s="256">
        <f>IFERROR(IF($C4&lt;&gt;"",HLOOKUP(Model_Input2!$C4,Trend!$B$1:$K$122,DT$1,0),""),"NA")</f>
        <v>0.15802781289506954</v>
      </c>
      <c r="DU4" s="256">
        <f>IFERROR(IF($C4&lt;&gt;"",HLOOKUP(Model_Input2!$C4,Trend!$B$1:$K$122,DU$1,0),""),"NA")</f>
        <v>0</v>
      </c>
      <c r="DV4" s="256">
        <f>IFERROR(IF($C4&lt;&gt;"",HLOOKUP(Model_Input2!$C4,Trend!$B$1:$K$122,DV$1,0),""),"NA")</f>
        <v>0</v>
      </c>
      <c r="DW4" s="256">
        <f>IFERROR(IF($C4&lt;&gt;"",HLOOKUP(Model_Input2!$C4,Trend!$B$1:$K$122,DW$1,0),""),"NA")</f>
        <v>0</v>
      </c>
      <c r="DX4" s="256" t="str">
        <f>IFERROR(IF($C4&lt;&gt;"",HLOOKUP(Model_Input2!$C4,Trend!$B$1:$K$122,DX$1,0),""),"NA")</f>
        <v>NA</v>
      </c>
      <c r="DY4" s="256">
        <f>IFERROR(IF($C4&lt;&gt;"",HLOOKUP(Model_Input2!$C4,Trend!$B$1:$K$122,DY$1,0),""),"NA")</f>
        <v>0</v>
      </c>
    </row>
    <row r="5" spans="1:129" x14ac:dyDescent="0.25">
      <c r="A5" t="str">
        <f t="shared" ref="A5:A16" si="2">IF(B5&lt;&gt;"",CONCATENATE(B5,DAY(C5),MONTH(C5),YEAR(C5)),"")</f>
        <v>8K MILES SOFTWARE SERVICES LTD3132010</v>
      </c>
      <c r="B5" t="str">
        <f>IF(C5&lt;&gt;"",'Data Sheet'!$B$1,"")</f>
        <v>8K MILES SOFTWARE SERVICES LTD</v>
      </c>
      <c r="C5" s="255">
        <f>'Data Sheet'!C16</f>
        <v>40268</v>
      </c>
      <c r="D5" s="9">
        <f>IF($C5&lt;&gt;"",HLOOKUP(Model_Input2!$C5,'Data Sheet'!$B$16:$K$31,D$1,0),"")</f>
        <v>0</v>
      </c>
      <c r="E5" s="9">
        <f>IFERROR(IF($C5&lt;&gt;"",HLOOKUP(Model_Input2!$C5,'Data Sheet'!$B$16:$K$31,E$1,0),""),"NA")</f>
        <v>0</v>
      </c>
      <c r="F5" s="9">
        <f>IFERROR(IF($C5&lt;&gt;"",HLOOKUP(Model_Input2!$C5,'Data Sheet'!$B$16:$K$31,F$1,0),""),"NA")</f>
        <v>0</v>
      </c>
      <c r="G5" s="9">
        <f>IFERROR(IF($C5&lt;&gt;"",HLOOKUP(Model_Input2!$C5,'Data Sheet'!$B$16:$K$31,G$1,0),""),"NA")</f>
        <v>0</v>
      </c>
      <c r="H5" s="9">
        <f>IFERROR(IF($C5&lt;&gt;"",HLOOKUP(Model_Input2!$C5,'Data Sheet'!$B$16:$K$31,H$1,0),""),"NA")</f>
        <v>0</v>
      </c>
      <c r="I5" s="9">
        <f>IFERROR(IF($C5&lt;&gt;"",HLOOKUP(Model_Input2!$C5,'Data Sheet'!$B$16:$K$31,I$1,0),""),"NA")</f>
        <v>0.01</v>
      </c>
      <c r="J5" s="9">
        <f>IFERROR(IF($C5&lt;&gt;"",HLOOKUP(Model_Input2!$C5,'Data Sheet'!$B$16:$K$31,J$1,0),""),"NA")</f>
        <v>0.04</v>
      </c>
      <c r="K5" s="9">
        <f>IFERROR(IF($C5&lt;&gt;"",HLOOKUP(Model_Input2!$C5,'Data Sheet'!$B$16:$K$31,K$1,0),""),"NA")</f>
        <v>0</v>
      </c>
      <c r="L5" s="9">
        <f>IFERROR(IF($C5&lt;&gt;"",HLOOKUP(Model_Input2!$C5,'Data Sheet'!$B$16:$K$31,L$1,0),""),"NA")</f>
        <v>0.09</v>
      </c>
      <c r="M5" s="9">
        <f>IFERROR(IF($C5&lt;&gt;"",HLOOKUP(Model_Input2!$C5,'Data Sheet'!$B$16:$K$31,M$1,0),""),"NA")</f>
        <v>0</v>
      </c>
      <c r="N5" s="9">
        <f>IFERROR(IF($C5&lt;&gt;"",HLOOKUP(Model_Input2!$C5,'Data Sheet'!$B$16:$K$31,N$1,0),""),"NA")</f>
        <v>0</v>
      </c>
      <c r="O5" s="9">
        <f>IFERROR(IF($C5&lt;&gt;"",HLOOKUP(Model_Input2!$C5,'Data Sheet'!$B$16:$K$31,O$1,0),""),"NA")</f>
        <v>0.04</v>
      </c>
      <c r="P5" s="9">
        <f>IFERROR(IF($C5&lt;&gt;"",HLOOKUP(Model_Input2!$C5,'Data Sheet'!$B$16:$K$31,P$1,0),""),"NA")</f>
        <v>0</v>
      </c>
      <c r="Q5" s="9">
        <f>IFERROR(IF($C5&lt;&gt;"",HLOOKUP(Model_Input2!$C5,'Data Sheet'!$B$16:$K$31,Q$1,0),""),"NA")</f>
        <v>0.04</v>
      </c>
      <c r="R5" s="9">
        <f>IFERROR(IF($C5&lt;&gt;"",HLOOKUP(Model_Input2!$C5,'Data Sheet'!$B$16:$K$31,R$1,0),""),"NA")</f>
        <v>0</v>
      </c>
      <c r="S5">
        <f>IFERROR(IF($C5&lt;&gt;"",HLOOKUP(Model_Input2!$C5,'Data Sheet'!$B$56:$K$72,S$1,0),""),"NA")</f>
        <v>1.56</v>
      </c>
      <c r="T5">
        <f>IFERROR(IF($C5&lt;&gt;"",HLOOKUP(Model_Input2!$C5,'Data Sheet'!$B$56:$K$72,T$1,0),""),"NA")</f>
        <v>4.92</v>
      </c>
      <c r="U5">
        <f>IFERROR(IF($C5&lt;&gt;"",HLOOKUP(Model_Input2!$C5,'Data Sheet'!$B$56:$K$72,U$1,0),""),"NA")</f>
        <v>0</v>
      </c>
      <c r="V5">
        <f>IFERROR(IF($C5&lt;&gt;"",HLOOKUP(Model_Input2!$C5,'Data Sheet'!$B$56:$K$72,V$1,0),""),"NA")</f>
        <v>0.15</v>
      </c>
      <c r="W5">
        <f>IFERROR(IF($C5&lt;&gt;"",HLOOKUP(Model_Input2!$C5,'Data Sheet'!$B$56:$K$72,W$1,0),""),"NA")</f>
        <v>6.63</v>
      </c>
      <c r="X5">
        <f>IFERROR(IF($C5&lt;&gt;"",HLOOKUP(Model_Input2!$C5,'Data Sheet'!$B$56:$K$72,X$1,0),""),"NA")</f>
        <v>0.09</v>
      </c>
      <c r="Y5">
        <f>IFERROR(IF($C5&lt;&gt;"",HLOOKUP(Model_Input2!$C5,'Data Sheet'!$B$56:$K$72,Y$1,0),""),"NA")</f>
        <v>0</v>
      </c>
      <c r="Z5">
        <f>IFERROR(IF($C5&lt;&gt;"",HLOOKUP(Model_Input2!$C5,'Data Sheet'!$B$56:$K$72,Z$1,0),""),"NA")</f>
        <v>0</v>
      </c>
      <c r="AA5">
        <f>IFERROR(IF($C5&lt;&gt;"",HLOOKUP(Model_Input2!$C5,'Data Sheet'!$B$56:$K$72,AA$1,0),""),"NA")</f>
        <v>6.54</v>
      </c>
      <c r="AB5">
        <f>IFERROR(IF($C5&lt;&gt;"",HLOOKUP(Model_Input2!$C5,'Data Sheet'!$B$56:$K$72,AB$1,0),""),"NA")</f>
        <v>6.63</v>
      </c>
      <c r="AC5">
        <f>IFERROR(IF($C5&lt;&gt;"",HLOOKUP(Model_Input2!$C5,'Data Sheet'!$B$56:$K$72,AC$1,0),""),"NA")</f>
        <v>2.76</v>
      </c>
      <c r="AD5">
        <f>IFERROR(IF($C5&lt;&gt;"",HLOOKUP(Model_Input2!$C5,'Data Sheet'!$B$56:$K$72,AD$1,0),""),"NA")</f>
        <v>0</v>
      </c>
      <c r="AE5">
        <f>IFERROR(IF($C5&lt;&gt;"",HLOOKUP(Model_Input2!$C5,'Data Sheet'!$B$56:$K$72,AE$1,0),""),"NA")</f>
        <v>0.01</v>
      </c>
      <c r="AF5">
        <f>IFERROR(IF($C5&lt;&gt;"",HLOOKUP(Model_Input2!$C5,'Data Sheet'!$B$56:$K$72,AF$1,0),""),"NA")</f>
        <v>1560000</v>
      </c>
      <c r="AG5">
        <f>IFERROR(IF($C5&lt;&gt;"",HLOOKUP(Model_Input2!$C5,'Data Sheet'!$B$56:$K$72,AG$1,0),""),"NA")</f>
        <v>0</v>
      </c>
      <c r="AH5">
        <f>IFERROR(IF($C5&lt;&gt;"",HLOOKUP(Model_Input2!$C5,'Data Sheet'!$B$56:$K$72,AH$1,0),""),"NA")</f>
        <v>10</v>
      </c>
      <c r="AI5">
        <f>IFERROR(IF($C5&lt;&gt;"",HLOOKUP(Model_Input2!$C5,'Data Sheet'!$B$81:$K$85,AI$1,0),""),"NA")</f>
        <v>0</v>
      </c>
      <c r="AJ5">
        <f>IFERROR(IF($C5&lt;&gt;"",HLOOKUP(Model_Input2!$C5,'Data Sheet'!$B$81:$K$85,AJ$1,0),""),"NA")</f>
        <v>0</v>
      </c>
      <c r="AK5">
        <f>IFERROR(IF($C5&lt;&gt;"",HLOOKUP(Model_Input2!$C5,'Data Sheet'!$B$81:$K$85,AK$1,0),""),"NA")</f>
        <v>0</v>
      </c>
      <c r="AL5">
        <f>IFERROR(IF($C5&lt;&gt;"",HLOOKUP(Model_Input2!$C5,'Data Sheet'!$B$81:$K$85,AL$1,0),""),"NA")</f>
        <v>0</v>
      </c>
      <c r="AM5" s="38">
        <f>IFERROR(IF($C5&lt;&gt;"",HLOOKUP(Model_Input2!$C5,Trend!$B$1:$K$3,AM$1,0),""),"NA")</f>
        <v>0</v>
      </c>
      <c r="AN5" s="38">
        <f>IFERROR(IF($C5&lt;&gt;"",HLOOKUP(Model_Input2!$C5,Trend!$B$1:$K$3,AN$1,0),""),"NA")</f>
        <v>2.2396443000000001</v>
      </c>
      <c r="AO5" s="38">
        <f>IFERROR(IF($C5&lt;&gt;"",HLOOKUP(Model_Input2!$C5,Trend!$B$1:$K$122,AO$1,0),""),"NA")</f>
        <v>6.48</v>
      </c>
      <c r="AP5" s="38">
        <f>IFERROR(IF($C5&lt;&gt;"",HLOOKUP(Model_Input2!$C5,Trend!$B$1:$K$122,AP$1,0),""),"NA")</f>
        <v>0.04</v>
      </c>
      <c r="AQ5" s="38">
        <f>IFERROR(IF($C5&lt;&gt;"",HLOOKUP(Model_Input2!$C5,Trend!$B$1:$K$122,AQ$1,0),""),"NA")</f>
        <v>0</v>
      </c>
      <c r="AR5" s="38">
        <f>IFERROR(IF($C5&lt;&gt;"",HLOOKUP(Model_Input2!$C5,Trend!$B$1:$K$122,AR$1,0),""),"NA")</f>
        <v>-2.0000000000000004E-2</v>
      </c>
      <c r="AS5" s="38">
        <f>IFERROR(IF($C5&lt;&gt;"",HLOOKUP(Model_Input2!$C5,Trend!$B$1:$K$122,AS$1,0),""),"NA")</f>
        <v>0</v>
      </c>
      <c r="AT5" s="38">
        <f>IFERROR(IF($C5&lt;&gt;"",HLOOKUP(Model_Input2!$C5,Trend!$B$1:$K$122,AT$1,0),""),"NA")</f>
        <v>2.0000000000000004E-2</v>
      </c>
      <c r="AU5" s="38">
        <f>IFERROR(IF($C5&lt;&gt;"",HLOOKUP(Model_Input2!$C5,Trend!$B$1:$K$122,AU$1,0),""),"NA")</f>
        <v>-0.01</v>
      </c>
      <c r="AV5" s="256" t="str">
        <f>IFERROR(IF($C5&lt;&gt;"",HLOOKUP(Model_Input2!$C5,Trend!$B$1:$K$122,AV$1,0),""),"NA")</f>
        <v>NA</v>
      </c>
      <c r="AW5" s="256">
        <f>IFERROR(IF($C5&lt;&gt;"",HLOOKUP(Model_Input2!$C5,Trend!$B$1:$K$122,AW$1,0),""),"NA")</f>
        <v>-0.96799999999999997</v>
      </c>
      <c r="AX5" s="256" t="str">
        <f>IFERROR(IF($C5&lt;&gt;"",HLOOKUP(Model_Input2!$C5,Trend!$B$1:$K$122,AX$1,0),""),"NA")</f>
        <v>NA</v>
      </c>
      <c r="AY5" s="256" t="str">
        <f>IFERROR(IF($C5&lt;&gt;"",HLOOKUP(Model_Input2!$C5,Trend!$B$1:$K$122,AY$1,0),""),"NA")</f>
        <v>NA</v>
      </c>
      <c r="AZ5" s="256" t="str">
        <f>IFERROR(IF($C5&lt;&gt;"",HLOOKUP(Model_Input2!$C5,Trend!$B$1:$K$122,AZ$1,0),""),"NA")</f>
        <v>NA</v>
      </c>
      <c r="BA5" s="256">
        <f>IFERROR(IF($C5&lt;&gt;"",HLOOKUP(Model_Input2!$C5,Trend!$B$1:$K$122,BA$1,0),""),"NA")</f>
        <v>0</v>
      </c>
      <c r="BB5" s="38">
        <f>IFERROR(IF($C5&lt;&gt;"",HLOOKUP(Model_Input2!$C5,Trend!$B$1:$K$122,BB$1,0),""),"NA")</f>
        <v>-0.04</v>
      </c>
      <c r="BC5" s="256" t="str">
        <f>IFERROR(IF($C5&lt;&gt;"",HLOOKUP(Model_Input2!$C5,Trend!$B$1:$K$122,BC$1,0),""),"NA")</f>
        <v>NA</v>
      </c>
      <c r="BD5" s="256" t="str">
        <f>IFERROR(IF($C5&lt;&gt;"",HLOOKUP(Model_Input2!$C5,Trend!$B$1:$K$122,BD$1,0),""),"NA")</f>
        <v>NA</v>
      </c>
      <c r="BE5" s="256" t="str">
        <f>IFERROR(IF($C5&lt;&gt;"",HLOOKUP(Model_Input2!$C5,Trend!$B$1:$K$122,BE$1,0),""),"NA")</f>
        <v>NA</v>
      </c>
      <c r="BF5" s="256" t="str">
        <f>IFERROR(IF($C5&lt;&gt;"",HLOOKUP(Model_Input2!$C5,Trend!$B$1:$K$122,BF$1,0),""),"NA")</f>
        <v>NA</v>
      </c>
      <c r="BG5" s="256" t="str">
        <f>IFERROR(IF($C5&lt;&gt;"",HLOOKUP(Model_Input2!$C5,Trend!$B$1:$K$122,BG$1,0),""),"NA")</f>
        <v>NA</v>
      </c>
      <c r="BH5" s="256" t="str">
        <f>IFERROR(IF($C5&lt;&gt;"",HLOOKUP(Model_Input2!$C5,Trend!$B$1:$K$122,BH$1,0),""),"NA")</f>
        <v>NA</v>
      </c>
      <c r="BI5" s="256" t="str">
        <f>IFERROR(IF($C5&lt;&gt;"",HLOOKUP(Model_Input2!$C5,Trend!$B$1:$K$122,BI$1,0),""),"NA")</f>
        <v>NA</v>
      </c>
      <c r="BJ5" s="256" t="str">
        <f>IFERROR(IF($C5&lt;&gt;"",HLOOKUP(Model_Input2!$C5,Trend!$B$1:$K$122,BJ$1,0),""),"NA")</f>
        <v>NA</v>
      </c>
      <c r="BK5" s="256" t="str">
        <f>IFERROR(IF($C5&lt;&gt;"",HLOOKUP(Model_Input2!$C5,Trend!$B$1:$K$122,BK$1,0),""),"NA")</f>
        <v>NA</v>
      </c>
      <c r="BL5" s="256" t="str">
        <f>IFERROR(IF($C5&lt;&gt;"",HLOOKUP(Model_Input2!$C5,Trend!$B$1:$K$122,BL$1,0),""),"NA")</f>
        <v>NA</v>
      </c>
      <c r="BM5" s="256" t="str">
        <f>IFERROR(IF($C5&lt;&gt;"",HLOOKUP(Model_Input2!$C5,Trend!$B$1:$K$122,BM$1,0),""),"NA")</f>
        <v>NA</v>
      </c>
      <c r="BN5" s="256" t="str">
        <f>IFERROR(IF($C5&lt;&gt;"",HLOOKUP(Model_Input2!$C5,Trend!$B$1:$K$122,BN$1,0),""),"NA")</f>
        <v>NA</v>
      </c>
      <c r="BO5" s="256">
        <f>IFERROR(IF($C5&lt;&gt;"",HLOOKUP(Model_Input2!$C5,Trend!$B$1:$K$122,BO$1,0),""),"NA")</f>
        <v>0</v>
      </c>
      <c r="BP5" s="256">
        <f>IFERROR(IF($C5&lt;&gt;"",HLOOKUP(Model_Input2!$C5,Trend!$B$1:$K$122,BP$1,0),""),"NA")</f>
        <v>1.3574660633484163E-2</v>
      </c>
      <c r="BQ5" s="256">
        <f>IFERROR(IF($C5&lt;&gt;"",HLOOKUP(Model_Input2!$C5,Trend!$B$1:$K$122,BQ$1,0),""),"NA")</f>
        <v>1.3574660633484163E-2</v>
      </c>
      <c r="BR5" s="256" t="str">
        <f>IFERROR(IF($C5&lt;&gt;"",HLOOKUP(Model_Input2!$C5,Trend!$B$1:$K$122,BR$1,0),""),"NA")</f>
        <v>NA</v>
      </c>
      <c r="BS5" s="256" t="str">
        <f>IFERROR(IF($C5&lt;&gt;"",HLOOKUP(Model_Input2!$C5,Trend!$B$1:$K$122,BS$1,0),""),"NA")</f>
        <v>NA</v>
      </c>
      <c r="BT5" s="256">
        <f>IFERROR(IF($C5&lt;&gt;"",HLOOKUP(Model_Input2!$C5,Trend!$B$1:$K$122,BT$1,0),""),"NA")</f>
        <v>-3.0165912518853701E-3</v>
      </c>
      <c r="BU5" s="256">
        <f>IFERROR(IF($C5&lt;&gt;"",HLOOKUP(Model_Input2!$C5,Trend!$B$1:$K$122,BU$1,0),""),"NA")</f>
        <v>-0.22222222222222227</v>
      </c>
      <c r="BV5" s="256">
        <f>IFERROR(IF($C5&lt;&gt;"",HLOOKUP(Model_Input2!$C5,Trend!$B$1:$K$122,BV$1,0),""),"NA")</f>
        <v>-0.22222222222222227</v>
      </c>
      <c r="BW5" s="256">
        <f>IFERROR(IF($C5&lt;&gt;"",HLOOKUP(Model_Input2!$C5,Trend!$B$1:$K$122,BW$1,0),""),"NA")</f>
        <v>1.3574660633484163E-2</v>
      </c>
      <c r="BX5" s="256">
        <f>IFERROR(IF($C5&lt;&gt;"",HLOOKUP(Model_Input2!$C5,Trend!$B$1:$K$122,BX$1,0),""),"NA")</f>
        <v>1.3574660633484163E-2</v>
      </c>
      <c r="BY5" s="256">
        <f>IFERROR(IF($C5&lt;&gt;"",HLOOKUP(Model_Input2!$C5,Trend!$B$1:$K$122,BY$1,0),""),"NA")</f>
        <v>0</v>
      </c>
      <c r="BZ5" s="256">
        <f>IFERROR(IF($C5&lt;&gt;"",HLOOKUP(Model_Input2!$C5,Trend!$B$1:$K$122,BZ$1,0),""),"NA")</f>
        <v>0.98642533936651589</v>
      </c>
      <c r="CA5" s="256">
        <f>IFERROR(IF($C5&lt;&gt;"",HLOOKUP(Model_Input2!$C5,Trend!$B$1:$K$122,CA$1,0),""),"NA")</f>
        <v>0</v>
      </c>
      <c r="CB5" s="256">
        <f>IFERROR(IF($C5&lt;&gt;"",HLOOKUP(Model_Input2!$C5,Trend!$B$1:$K$122,CB$1,0),""),"NA")</f>
        <v>0</v>
      </c>
      <c r="CC5" s="256">
        <f>IFERROR(IF($C5&lt;&gt;"",HLOOKUP(Model_Input2!$C5,Trend!$B$1:$K$122,CC$1,0),""),"NA")</f>
        <v>0</v>
      </c>
      <c r="CD5" s="38">
        <f>IFERROR(IF($C5&lt;&gt;"",HLOOKUP(Model_Input2!$C5,Trend!$B$1:$K$122,CD$1,0),""),"NA")</f>
        <v>0</v>
      </c>
      <c r="CE5" s="38">
        <f>IFERROR(IF($C5&lt;&gt;"",HLOOKUP(Model_Input2!$C5,Trend!$B$1:$K$122,CE$1,0),""),"NA")</f>
        <v>0</v>
      </c>
      <c r="CF5" s="38">
        <f>IFERROR(IF($C5&lt;&gt;"",HLOOKUP(Model_Input2!$C5,Trend!$B$1:$K$122,CF$1,0),""),"NA")</f>
        <v>43.6</v>
      </c>
      <c r="CG5" s="38" t="str">
        <f>IFERROR(IF($C5&lt;&gt;"",HLOOKUP(Model_Input2!$C5,Trend!$B$1:$K$122,CG$1,0),""),"NA")</f>
        <v>NA</v>
      </c>
      <c r="CH5" s="38">
        <f>IFERROR(IF($C5&lt;&gt;"",HLOOKUP(Model_Input2!$C5,Trend!$B$1:$K$122,CH$1,0),""),"NA")</f>
        <v>1.0231481481481481</v>
      </c>
      <c r="CI5" s="38">
        <f>IFERROR(IF($C5&lt;&gt;"",HLOOKUP(Model_Input2!$C5,Trend!$B$1:$K$122,CI$1,0),""),"NA")</f>
        <v>43.6</v>
      </c>
      <c r="CJ5" s="38">
        <f>IFERROR(IF($C5&lt;&gt;"",HLOOKUP(Model_Input2!$C5,Trend!$B$1:$K$122,CJ$1,0),""),"NA")</f>
        <v>0</v>
      </c>
      <c r="CK5" s="256">
        <f>IFERROR(IF($C5&lt;&gt;"",HLOOKUP(Model_Input2!$C5,Trend!$B$1:$K$122,CK$1,0),""),"NA")</f>
        <v>0</v>
      </c>
      <c r="CL5" s="256" t="str">
        <f>IFERROR(IF($C5&lt;&gt;"",HLOOKUP(Model_Input2!$C5,Trend!$B$1:$K$122,CL$1,0),""),"NA")</f>
        <v>NA</v>
      </c>
      <c r="CM5" s="256">
        <f>IFERROR(IF($C5&lt;&gt;"",HLOOKUP(Model_Input2!$C5,Trend!$B$1:$K$122,CM$1,0),""),"NA")</f>
        <v>6.6666666666666666E-2</v>
      </c>
      <c r="CN5" s="256" t="str">
        <f>IFERROR(IF($C5&lt;&gt;"",HLOOKUP(Model_Input2!$C5,Trend!$B$1:$K$122,CN$1,0),""),"NA")</f>
        <v>NA</v>
      </c>
      <c r="CO5" s="256">
        <f>IFERROR(IF($C5&lt;&gt;"",HLOOKUP(Model_Input2!$C5,Trend!$B$1:$K$122,CO$1,0),""),"NA")</f>
        <v>0</v>
      </c>
      <c r="CP5" s="256">
        <f>IFERROR(IF($C5&lt;&gt;"",HLOOKUP(Model_Input2!$C5,Trend!$B$1:$K$122,CP$1,0),""),"NA")</f>
        <v>0</v>
      </c>
      <c r="CQ5" s="256" t="str">
        <f>IFERROR(IF($C5&lt;&gt;"",HLOOKUP(Model_Input2!$C5,Trend!$B$1:$K$122,CQ$1,0),""),"NA")</f>
        <v>NA</v>
      </c>
      <c r="CR5" s="256" t="str">
        <f>IFERROR(IF($C5&lt;&gt;"",HLOOKUP(Model_Input2!$C5,Trend!$B$1:$K$122,CR$1,0),""),"NA")</f>
        <v>NA</v>
      </c>
      <c r="CS5" s="256" t="str">
        <f>IFERROR(IF($C5&lt;&gt;"",HLOOKUP(Model_Input2!$C5,Trend!$B$1:$K$122,CS$1,0),""),"NA")</f>
        <v>NA</v>
      </c>
      <c r="CT5" s="38" t="str">
        <f>IFERROR(IF($C5&lt;&gt;"",HLOOKUP(Model_Input2!$C5,Trend!$B$1:$K$122,CT$1,0),""),"NA")</f>
        <v>NA</v>
      </c>
      <c r="CU5" s="38" t="str">
        <f>IFERROR(IF($C5&lt;&gt;"",HLOOKUP(Model_Input2!$C5,Trend!$B$1:$K$122,CU$1,0),""),"NA")</f>
        <v>NA</v>
      </c>
      <c r="CV5" s="38" t="str">
        <f>IFERROR(IF($C5&lt;&gt;"",HLOOKUP(Model_Input2!$C5,Trend!$B$1:$K$122,CV$1,0),""),"NA")</f>
        <v>NA</v>
      </c>
      <c r="CW5" s="38" t="str">
        <f>IFERROR(IF($C5&lt;&gt;"",HLOOKUP(Model_Input2!$C5,Trend!$B$1:$K$122,CW$1,0),""),"NA")</f>
        <v>NA</v>
      </c>
      <c r="CX5" s="256">
        <f>IFERROR(IF($C5&lt;&gt;"",HLOOKUP(Model_Input2!$C5,Trend!$B$1:$K$122,CX$1,0),""),"NA")</f>
        <v>0</v>
      </c>
      <c r="CY5" s="256">
        <f>IFERROR(IF($C5&lt;&gt;"",HLOOKUP(Model_Input2!$C5,Trend!$B$1:$K$122,CY$1,0),""),"NA")</f>
        <v>0</v>
      </c>
      <c r="CZ5" s="38">
        <f>IFERROR(IF($C5&lt;&gt;"",HLOOKUP(Model_Input2!$C5,Trend!$B$1:$K$122,CZ$1,0),""),"NA")</f>
        <v>6.0331825037707384E-3</v>
      </c>
      <c r="DA5" s="38">
        <f>IFERROR(IF($C5&lt;&gt;"",HLOOKUP(Model_Input2!$C5,Trend!$B$1:$K$122,DA$1,0),""),"NA")</f>
        <v>5.5020632737276471E-3</v>
      </c>
      <c r="DB5" s="256">
        <f>IFERROR(IF($C5&lt;&gt;"",HLOOKUP(Model_Input2!$C5,Trend!$B$1:$K$122,DB$1,0),""),"NA")</f>
        <v>0.44444444444444442</v>
      </c>
      <c r="DC5" s="256">
        <f>IFERROR(IF($C5&lt;&gt;"",HLOOKUP(Model_Input2!$C5,Trend!$B$1:$K$122,DC$1,0),""),"NA")</f>
        <v>0.39999999999999991</v>
      </c>
      <c r="DD5" s="256">
        <f>IFERROR(IF($C5&lt;&gt;"",HLOOKUP(Model_Input2!$C5,Trend!$B$1:$K$122,DD$1,0),""),"NA")</f>
        <v>0</v>
      </c>
      <c r="DE5" s="256">
        <f>IFERROR(IF($C5&lt;&gt;"",HLOOKUP(Model_Input2!$C5,Trend!$B$1:$K$122,DE$1,0),""),"NA")</f>
        <v>0</v>
      </c>
      <c r="DF5" s="256">
        <f>IFERROR(IF($C5&lt;&gt;"",HLOOKUP(Model_Input2!$C5,Trend!$B$1:$K$122,DF$1,0),""),"NA")</f>
        <v>0</v>
      </c>
      <c r="DG5" s="256">
        <f>IFERROR(IF($C5&lt;&gt;"",HLOOKUP(Model_Input2!$C5,Trend!$B$1:$K$122,DG$1,0),""),"NA")</f>
        <v>0</v>
      </c>
      <c r="DH5" s="256">
        <f>IFERROR(IF($C5&lt;&gt;"",HLOOKUP(Model_Input2!$C5,Trend!$B$1:$K$122,DH$1,0),""),"NA")</f>
        <v>0</v>
      </c>
      <c r="DI5" s="256">
        <f>IFERROR(IF($C5&lt;&gt;"",HLOOKUP(Model_Input2!$C5,Trend!$B$1:$K$122,DI$1,0),""),"NA")</f>
        <v>0</v>
      </c>
      <c r="DJ5" s="38">
        <f>IFERROR(IF($C5&lt;&gt;"",HLOOKUP(Model_Input2!$C5,Trend!$B$1:$K$122,DJ$1,0),""),"NA")</f>
        <v>0</v>
      </c>
      <c r="DK5" s="38">
        <f>IFERROR(IF($C5&lt;&gt;"",HLOOKUP(Model_Input2!$C5,Trend!$B$1:$K$122,DK$1,0),""),"NA")</f>
        <v>0</v>
      </c>
      <c r="DL5" s="256">
        <f>IFERROR(IF($C5&lt;&gt;"",HLOOKUP(Model_Input2!$C5,Trend!$B$1:$K$122,DL$1,0),""),"NA")</f>
        <v>0</v>
      </c>
      <c r="DM5" s="256">
        <f>IFERROR(IF($C5&lt;&gt;"",HLOOKUP(Model_Input2!$C5,Trend!$B$1:$K$122,DM$1,0),""),"NA")</f>
        <v>0</v>
      </c>
      <c r="DN5" s="256">
        <f>IFERROR(IF($C5&lt;&gt;"",HLOOKUP(Model_Input2!$C5,Trend!$B$1:$K$122,DN$1,0),""),"NA")</f>
        <v>0</v>
      </c>
      <c r="DO5" s="256">
        <f>IFERROR(IF($C5&lt;&gt;"",HLOOKUP(Model_Input2!$C5,Trend!$B$1:$K$122,DO$1,0),""),"NA")</f>
        <v>0</v>
      </c>
      <c r="DP5" s="256">
        <f>IFERROR(IF($C5&lt;&gt;"",HLOOKUP(Model_Input2!$C5,Trend!$B$1:$K$122,DP$1,0),""),"NA")</f>
        <v>0</v>
      </c>
      <c r="DQ5" s="256">
        <f>IFERROR(IF($C5&lt;&gt;"",HLOOKUP(Model_Input2!$C5,Trend!$B$1:$K$122,DQ$1,0),""),"NA")</f>
        <v>0</v>
      </c>
      <c r="DR5" s="256">
        <f>IFERROR(IF($C5&lt;&gt;"",HLOOKUP(Model_Input2!$C5,Trend!$B$1:$K$122,DR$1,0),""),"NA")</f>
        <v>0</v>
      </c>
      <c r="DS5" s="256">
        <f>IFERROR(IF($C5&lt;&gt;"",HLOOKUP(Model_Input2!$C5,Trend!$B$1:$K$122,DS$1,0),""),"NA")</f>
        <v>0</v>
      </c>
      <c r="DT5" s="256">
        <f>IFERROR(IF($C5&lt;&gt;"",HLOOKUP(Model_Input2!$C5,Trend!$B$1:$K$122,DT$1,0),""),"NA")</f>
        <v>6.0331825037707393E-3</v>
      </c>
      <c r="DU5" s="256">
        <f>IFERROR(IF($C5&lt;&gt;"",HLOOKUP(Model_Input2!$C5,Trend!$B$1:$K$122,DU$1,0),""),"NA")</f>
        <v>0</v>
      </c>
      <c r="DV5" s="256">
        <f>IFERROR(IF($C5&lt;&gt;"",HLOOKUP(Model_Input2!$C5,Trend!$B$1:$K$122,DV$1,0),""),"NA")</f>
        <v>0</v>
      </c>
      <c r="DW5" s="256">
        <f>IFERROR(IF($C5&lt;&gt;"",HLOOKUP(Model_Input2!$C5,Trend!$B$1:$K$122,DW$1,0),""),"NA")</f>
        <v>0</v>
      </c>
      <c r="DX5" s="256" t="str">
        <f>IFERROR(IF($C5&lt;&gt;"",HLOOKUP(Model_Input2!$C5,Trend!$B$1:$K$122,DX$1,0),""),"NA")</f>
        <v>NA</v>
      </c>
      <c r="DY5" s="256">
        <f>IFERROR(IF($C5&lt;&gt;"",HLOOKUP(Model_Input2!$C5,Trend!$B$1:$K$122,DY$1,0),""),"NA")</f>
        <v>-0.50000000000000011</v>
      </c>
    </row>
    <row r="6" spans="1:129" x14ac:dyDescent="0.25">
      <c r="A6" t="str">
        <f t="shared" si="2"/>
        <v>8K MILES SOFTWARE SERVICES LTD3132011</v>
      </c>
      <c r="B6" t="str">
        <f>IF(C6&lt;&gt;"",'Data Sheet'!$B$1,"")</f>
        <v>8K MILES SOFTWARE SERVICES LTD</v>
      </c>
      <c r="C6" s="255">
        <f>'Data Sheet'!D16</f>
        <v>40633</v>
      </c>
      <c r="D6" s="9">
        <f>IF($C6&lt;&gt;"",HLOOKUP(Model_Input2!$C6,'Data Sheet'!$B$16:$K$31,D$1,0),"")</f>
        <v>16.32</v>
      </c>
      <c r="E6" s="9">
        <f>IFERROR(IF($C6&lt;&gt;"",HLOOKUP(Model_Input2!$C6,'Data Sheet'!$B$16:$K$31,E$1,0),""),"NA")</f>
        <v>0</v>
      </c>
      <c r="F6" s="9">
        <f>IFERROR(IF($C6&lt;&gt;"",HLOOKUP(Model_Input2!$C6,'Data Sheet'!$B$16:$K$31,F$1,0),""),"NA")</f>
        <v>0</v>
      </c>
      <c r="G6" s="9">
        <f>IFERROR(IF($C6&lt;&gt;"",HLOOKUP(Model_Input2!$C6,'Data Sheet'!$B$16:$K$31,G$1,0),""),"NA")</f>
        <v>0</v>
      </c>
      <c r="H6" s="9">
        <f>IFERROR(IF($C6&lt;&gt;"",HLOOKUP(Model_Input2!$C6,'Data Sheet'!$B$16:$K$31,H$1,0),""),"NA")</f>
        <v>0</v>
      </c>
      <c r="I6" s="9">
        <f>IFERROR(IF($C6&lt;&gt;"",HLOOKUP(Model_Input2!$C6,'Data Sheet'!$B$16:$K$31,I$1,0),""),"NA")</f>
        <v>10.56</v>
      </c>
      <c r="J6" s="9">
        <f>IFERROR(IF($C6&lt;&gt;"",HLOOKUP(Model_Input2!$C6,'Data Sheet'!$B$16:$K$31,J$1,0),""),"NA")</f>
        <v>2.5099999999999998</v>
      </c>
      <c r="K6" s="9">
        <f>IFERROR(IF($C6&lt;&gt;"",HLOOKUP(Model_Input2!$C6,'Data Sheet'!$B$16:$K$31,K$1,0),""),"NA")</f>
        <v>0.02</v>
      </c>
      <c r="L6" s="9">
        <f>IFERROR(IF($C6&lt;&gt;"",HLOOKUP(Model_Input2!$C6,'Data Sheet'!$B$16:$K$31,L$1,0),""),"NA")</f>
        <v>0.02</v>
      </c>
      <c r="M6" s="9">
        <f>IFERROR(IF($C6&lt;&gt;"",HLOOKUP(Model_Input2!$C6,'Data Sheet'!$B$16:$K$31,M$1,0),""),"NA")</f>
        <v>0.69</v>
      </c>
      <c r="N6" s="9">
        <f>IFERROR(IF($C6&lt;&gt;"",HLOOKUP(Model_Input2!$C6,'Data Sheet'!$B$16:$K$31,N$1,0),""),"NA")</f>
        <v>0.02</v>
      </c>
      <c r="O6" s="9">
        <f>IFERROR(IF($C6&lt;&gt;"",HLOOKUP(Model_Input2!$C6,'Data Sheet'!$B$16:$K$31,O$1,0),""),"NA")</f>
        <v>2.54</v>
      </c>
      <c r="P6" s="9">
        <f>IFERROR(IF($C6&lt;&gt;"",HLOOKUP(Model_Input2!$C6,'Data Sheet'!$B$16:$K$31,P$1,0),""),"NA")</f>
        <v>0.45</v>
      </c>
      <c r="Q6" s="9">
        <f>IFERROR(IF($C6&lt;&gt;"",HLOOKUP(Model_Input2!$C6,'Data Sheet'!$B$16:$K$31,Q$1,0),""),"NA")</f>
        <v>2.09</v>
      </c>
      <c r="R6" s="9">
        <f>IFERROR(IF($C6&lt;&gt;"",HLOOKUP(Model_Input2!$C6,'Data Sheet'!$B$16:$K$31,R$1,0),""),"NA")</f>
        <v>0</v>
      </c>
      <c r="S6">
        <f>IFERROR(IF($C6&lt;&gt;"",HLOOKUP(Model_Input2!$C6,'Data Sheet'!$B$56:$K$72,S$1,0),""),"NA")</f>
        <v>5.55</v>
      </c>
      <c r="T6">
        <f>IFERROR(IF($C6&lt;&gt;"",HLOOKUP(Model_Input2!$C6,'Data Sheet'!$B$56:$K$72,T$1,0),""),"NA")</f>
        <v>15.14</v>
      </c>
      <c r="U6">
        <f>IFERROR(IF($C6&lt;&gt;"",HLOOKUP(Model_Input2!$C6,'Data Sheet'!$B$56:$K$72,U$1,0),""),"NA")</f>
        <v>1.07</v>
      </c>
      <c r="V6">
        <f>IFERROR(IF($C6&lt;&gt;"",HLOOKUP(Model_Input2!$C6,'Data Sheet'!$B$56:$K$72,V$1,0),""),"NA")</f>
        <v>13.57</v>
      </c>
      <c r="W6">
        <f>IFERROR(IF($C6&lt;&gt;"",HLOOKUP(Model_Input2!$C6,'Data Sheet'!$B$56:$K$72,W$1,0),""),"NA")</f>
        <v>35.33</v>
      </c>
      <c r="X6">
        <f>IFERROR(IF($C6&lt;&gt;"",HLOOKUP(Model_Input2!$C6,'Data Sheet'!$B$56:$K$72,X$1,0),""),"NA")</f>
        <v>6.05</v>
      </c>
      <c r="Y6">
        <f>IFERROR(IF($C6&lt;&gt;"",HLOOKUP(Model_Input2!$C6,'Data Sheet'!$B$56:$K$72,Y$1,0),""),"NA")</f>
        <v>12.59</v>
      </c>
      <c r="Z6">
        <f>IFERROR(IF($C6&lt;&gt;"",HLOOKUP(Model_Input2!$C6,'Data Sheet'!$B$56:$K$72,Z$1,0),""),"NA")</f>
        <v>0</v>
      </c>
      <c r="AA6">
        <f>IFERROR(IF($C6&lt;&gt;"",HLOOKUP(Model_Input2!$C6,'Data Sheet'!$B$56:$K$72,AA$1,0),""),"NA")</f>
        <v>16.690000000000001</v>
      </c>
      <c r="AB6">
        <f>IFERROR(IF($C6&lt;&gt;"",HLOOKUP(Model_Input2!$C6,'Data Sheet'!$B$56:$K$72,AB$1,0),""),"NA")</f>
        <v>35.33</v>
      </c>
      <c r="AC6">
        <f>IFERROR(IF($C6&lt;&gt;"",HLOOKUP(Model_Input2!$C6,'Data Sheet'!$B$56:$K$72,AC$1,0),""),"NA")</f>
        <v>10.96</v>
      </c>
      <c r="AD6">
        <f>IFERROR(IF($C6&lt;&gt;"",HLOOKUP(Model_Input2!$C6,'Data Sheet'!$B$56:$K$72,AD$1,0),""),"NA")</f>
        <v>0</v>
      </c>
      <c r="AE6">
        <f>IFERROR(IF($C6&lt;&gt;"",HLOOKUP(Model_Input2!$C6,'Data Sheet'!$B$56:$K$72,AE$1,0),""),"NA")</f>
        <v>0.44</v>
      </c>
      <c r="AF6">
        <f>IFERROR(IF($C6&lt;&gt;"",HLOOKUP(Model_Input2!$C6,'Data Sheet'!$B$56:$K$72,AF$1,0),""),"NA")</f>
        <v>5554161</v>
      </c>
      <c r="AG6">
        <f>IFERROR(IF($C6&lt;&gt;"",HLOOKUP(Model_Input2!$C6,'Data Sheet'!$B$56:$K$72,AG$1,0),""),"NA")</f>
        <v>0</v>
      </c>
      <c r="AH6">
        <f>IFERROR(IF($C6&lt;&gt;"",HLOOKUP(Model_Input2!$C6,'Data Sheet'!$B$56:$K$72,AH$1,0),""),"NA")</f>
        <v>10</v>
      </c>
      <c r="AI6">
        <f>IFERROR(IF($C6&lt;&gt;"",HLOOKUP(Model_Input2!$C6,'Data Sheet'!$B$81:$K$85,AI$1,0),""),"NA")</f>
        <v>11.4</v>
      </c>
      <c r="AJ6">
        <f>IFERROR(IF($C6&lt;&gt;"",HLOOKUP(Model_Input2!$C6,'Data Sheet'!$B$81:$K$85,AJ$1,0),""),"NA")</f>
        <v>-18.8</v>
      </c>
      <c r="AK6">
        <f>IFERROR(IF($C6&lt;&gt;"",HLOOKUP(Model_Input2!$C6,'Data Sheet'!$B$81:$K$85,AK$1,0),""),"NA")</f>
        <v>7.84</v>
      </c>
      <c r="AL6">
        <f>IFERROR(IF($C6&lt;&gt;"",HLOOKUP(Model_Input2!$C6,'Data Sheet'!$B$81:$K$85,AL$1,0),""),"NA")</f>
        <v>0.44</v>
      </c>
      <c r="AM6" s="38">
        <f>IFERROR(IF($C6&lt;&gt;"",HLOOKUP(Model_Input2!$C6,Trend!$B$1:$K$3,AM$1,0),""),"NA")</f>
        <v>11.087142999999999</v>
      </c>
      <c r="AN6" s="38">
        <f>IFERROR(IF($C6&lt;&gt;"",HLOOKUP(Model_Input2!$C6,Trend!$B$1:$K$3,AN$1,0),""),"NA")</f>
        <v>2.2755364</v>
      </c>
      <c r="AO6" s="38">
        <f>IFERROR(IF($C6&lt;&gt;"",HLOOKUP(Model_Input2!$C6,Trend!$B$1:$K$122,AO$1,0),""),"NA")</f>
        <v>21.76</v>
      </c>
      <c r="AP6" s="38">
        <f>IFERROR(IF($C6&lt;&gt;"",HLOOKUP(Model_Input2!$C6,Trend!$B$1:$K$122,AP$1,0),""),"NA")</f>
        <v>2.09</v>
      </c>
      <c r="AQ6" s="38">
        <f>IFERROR(IF($C6&lt;&gt;"",HLOOKUP(Model_Input2!$C6,Trend!$B$1:$K$122,AQ$1,0),""),"NA")</f>
        <v>11.4</v>
      </c>
      <c r="AR6" s="38">
        <f>IFERROR(IF($C6&lt;&gt;"",HLOOKUP(Model_Input2!$C6,Trend!$B$1:$K$122,AR$1,0),""),"NA")</f>
        <v>19.240000000000002</v>
      </c>
      <c r="AS6" s="38">
        <f>IFERROR(IF($C6&lt;&gt;"",HLOOKUP(Model_Input2!$C6,Trend!$B$1:$K$122,AS$1,0),""),"NA")</f>
        <v>0</v>
      </c>
      <c r="AT6" s="38">
        <f>IFERROR(IF($C6&lt;&gt;"",HLOOKUP(Model_Input2!$C6,Trend!$B$1:$K$122,AT$1,0),""),"NA")</f>
        <v>-7.8400000000000016</v>
      </c>
      <c r="AU6" s="38">
        <f>IFERROR(IF($C6&lt;&gt;"",HLOOKUP(Model_Input2!$C6,Trend!$B$1:$K$122,AU$1,0),""),"NA")</f>
        <v>25.859197468505197</v>
      </c>
      <c r="AV6" s="256" t="str">
        <f>IFERROR(IF($C6&lt;&gt;"",HLOOKUP(Model_Input2!$C6,Trend!$B$1:$K$122,AV$1,0),""),"NA")</f>
        <v>NA</v>
      </c>
      <c r="AW6" s="256">
        <f>IFERROR(IF($C6&lt;&gt;"",HLOOKUP(Model_Input2!$C6,Trend!$B$1:$K$122,AW$1,0),""),"NA")</f>
        <v>51.249999999999993</v>
      </c>
      <c r="AX6" s="256">
        <f>IFERROR(IF($C6&lt;&gt;"",HLOOKUP(Model_Input2!$C6,Trend!$B$1:$K$122,AX$1,0),""),"NA")</f>
        <v>0.67156862745098045</v>
      </c>
      <c r="AY6" s="256">
        <f>IFERROR(IF($C6&lt;&gt;"",HLOOKUP(Model_Input2!$C6,Trend!$B$1:$K$122,AY$1,0),""),"NA")</f>
        <v>0</v>
      </c>
      <c r="AZ6" s="256">
        <f>IFERROR(IF($C6&lt;&gt;"",HLOOKUP(Model_Input2!$C6,Trend!$B$1:$K$122,AZ$1,0),""),"NA")</f>
        <v>0.12806372549019607</v>
      </c>
      <c r="BA6" s="256">
        <f>IFERROR(IF($C6&lt;&gt;"",HLOOKUP(Model_Input2!$C6,Trend!$B$1:$K$122,BA$1,0),""),"NA")</f>
        <v>0.17716535433070865</v>
      </c>
      <c r="BB6" s="38">
        <f>IFERROR(IF($C6&lt;&gt;"",HLOOKUP(Model_Input2!$C6,Trend!$B$1:$K$122,BB$1,0),""),"NA")</f>
        <v>9.31</v>
      </c>
      <c r="BC6" s="256">
        <f>IFERROR(IF($C6&lt;&gt;"",HLOOKUP(Model_Input2!$C6,Trend!$B$1:$K$122,BC$1,0),""),"NA")</f>
        <v>0</v>
      </c>
      <c r="BD6" s="256">
        <f>IFERROR(IF($C6&lt;&gt;"",HLOOKUP(Model_Input2!$C6,Trend!$B$1:$K$122,BD$1,0),""),"NA")</f>
        <v>0</v>
      </c>
      <c r="BE6" s="256">
        <f>IFERROR(IF($C6&lt;&gt;"",HLOOKUP(Model_Input2!$C6,Trend!$B$1:$K$122,BE$1,0),""),"NA")</f>
        <v>0</v>
      </c>
      <c r="BF6" s="256">
        <f>IFERROR(IF($C6&lt;&gt;"",HLOOKUP(Model_Input2!$C6,Trend!$B$1:$K$122,BF$1,0),""),"NA")</f>
        <v>0</v>
      </c>
      <c r="BG6" s="256">
        <f>IFERROR(IF($C6&lt;&gt;"",HLOOKUP(Model_Input2!$C6,Trend!$B$1:$K$122,BG$1,0),""),"NA")</f>
        <v>0.6470588235294118</v>
      </c>
      <c r="BH6" s="256">
        <f>IFERROR(IF($C6&lt;&gt;"",HLOOKUP(Model_Input2!$C6,Trend!$B$1:$K$122,BH$1,0),""),"NA")</f>
        <v>0.15379901960784312</v>
      </c>
      <c r="BI6" s="256">
        <f>IFERROR(IF($C6&lt;&gt;"",HLOOKUP(Model_Input2!$C6,Trend!$B$1:$K$122,BI$1,0),""),"NA")</f>
        <v>1.2254901960784314E-3</v>
      </c>
      <c r="BJ6" s="256">
        <f>IFERROR(IF($C6&lt;&gt;"",HLOOKUP(Model_Input2!$C6,Trend!$B$1:$K$122,BJ$1,0),""),"NA")</f>
        <v>1.2254901960784314E-3</v>
      </c>
      <c r="BK6" s="256">
        <f>IFERROR(IF($C6&lt;&gt;"",HLOOKUP(Model_Input2!$C6,Trend!$B$1:$K$122,BK$1,0),""),"NA")</f>
        <v>4.2279411764705878E-2</v>
      </c>
      <c r="BL6" s="256">
        <f>IFERROR(IF($C6&lt;&gt;"",HLOOKUP(Model_Input2!$C6,Trend!$B$1:$K$122,BL$1,0),""),"NA")</f>
        <v>1</v>
      </c>
      <c r="BM6" s="256">
        <f>IFERROR(IF($C6&lt;&gt;"",HLOOKUP(Model_Input2!$C6,Trend!$B$1:$K$122,BM$1,0),""),"NA")</f>
        <v>0.15686274509803921</v>
      </c>
      <c r="BN6" s="256">
        <f>IFERROR(IF($C6&lt;&gt;"",HLOOKUP(Model_Input2!$C6,Trend!$B$1:$K$122,BN$1,0),""),"NA")</f>
        <v>0.12806372549019607</v>
      </c>
      <c r="BO6" s="256">
        <f>IFERROR(IF($C6&lt;&gt;"",HLOOKUP(Model_Input2!$C6,Trend!$B$1:$K$122,BO$1,0),""),"NA")</f>
        <v>0.17716535433070865</v>
      </c>
      <c r="BP6" s="256">
        <f>IFERROR(IF($C6&lt;&gt;"",HLOOKUP(Model_Input2!$C6,Trend!$B$1:$K$122,BP$1,0),""),"NA")</f>
        <v>0.19077271440701954</v>
      </c>
      <c r="BQ6" s="256">
        <f>IFERROR(IF($C6&lt;&gt;"",HLOOKUP(Model_Input2!$C6,Trend!$B$1:$K$122,BQ$1,0),""),"NA")</f>
        <v>0.17124257005377866</v>
      </c>
      <c r="BR6" s="256">
        <f>IFERROR(IF($C6&lt;&gt;"",HLOOKUP(Model_Input2!$C6,Trend!$B$1:$K$122,BR$1,0),""),"NA")</f>
        <v>0.4129901960784314</v>
      </c>
      <c r="BS6" s="256">
        <f>IFERROR(IF($C6&lt;&gt;"",HLOOKUP(Model_Input2!$C6,Trend!$B$1:$K$122,BS$1,0),""),"NA")</f>
        <v>0.37071078431372545</v>
      </c>
      <c r="BT6" s="256">
        <f>IFERROR(IF($C6&lt;&gt;"",HLOOKUP(Model_Input2!$C6,Trend!$B$1:$K$122,BT$1,0),""),"NA")</f>
        <v>0.5445796773280499</v>
      </c>
      <c r="BU6" s="256">
        <f>IFERROR(IF($C6&lt;&gt;"",HLOOKUP(Model_Input2!$C6,Trend!$B$1:$K$122,BU$1,0),""),"NA")</f>
        <v>2.8545994065281901</v>
      </c>
      <c r="BV6" s="256">
        <f>IFERROR(IF($C6&lt;&gt;"",HLOOKUP(Model_Input2!$C6,Trend!$B$1:$K$122,BV$1,0),""),"NA")</f>
        <v>3.1801652892561987</v>
      </c>
      <c r="BW6" s="256">
        <f>IFERROR(IF($C6&lt;&gt;"",HLOOKUP(Model_Input2!$C6,Trend!$B$1:$K$122,BW$1,0),""),"NA")</f>
        <v>0.19077271440701954</v>
      </c>
      <c r="BX6" s="256">
        <f>IFERROR(IF($C6&lt;&gt;"",HLOOKUP(Model_Input2!$C6,Trend!$B$1:$K$122,BX$1,0),""),"NA")</f>
        <v>0.17124257005377866</v>
      </c>
      <c r="BY6" s="256">
        <f>IFERROR(IF($C6&lt;&gt;"",HLOOKUP(Model_Input2!$C6,Trend!$B$1:$K$122,BY$1,0),""),"NA")</f>
        <v>0</v>
      </c>
      <c r="BZ6" s="256">
        <f>IFERROR(IF($C6&lt;&gt;"",HLOOKUP(Model_Input2!$C6,Trend!$B$1:$K$122,BZ$1,0),""),"NA")</f>
        <v>0.47240305689215972</v>
      </c>
      <c r="CA6" s="256">
        <f>IFERROR(IF($C6&lt;&gt;"",HLOOKUP(Model_Input2!$C6,Trend!$B$1:$K$122,CA$1,0),""),"NA")</f>
        <v>0.3563543730540617</v>
      </c>
      <c r="CB6" s="256">
        <f>IFERROR(IF($C6&lt;&gt;"",HLOOKUP(Model_Input2!$C6,Trend!$B$1:$K$122,CB$1,0),""),"NA")</f>
        <v>1.8679525222551927</v>
      </c>
      <c r="CC6" s="256">
        <f>IFERROR(IF($C6&lt;&gt;"",HLOOKUP(Model_Input2!$C6,Trend!$B$1:$K$122,CC$1,0),""),"NA")</f>
        <v>2.0809917355371903</v>
      </c>
      <c r="CD6" s="38">
        <f>IFERROR(IF($C6&lt;&gt;"",HLOOKUP(Model_Input2!$C6,Trend!$B$1:$K$122,CD$1,0),""),"NA")</f>
        <v>0</v>
      </c>
      <c r="CE6" s="38">
        <f>IFERROR(IF($C6&lt;&gt;"",HLOOKUP(Model_Input2!$C6,Trend!$B$1:$K$122,CE$1,0),""),"NA")</f>
        <v>5.1715804736587725E-2</v>
      </c>
      <c r="CF6" s="38">
        <f>IFERROR(IF($C6&lt;&gt;"",HLOOKUP(Model_Input2!$C6,Trend!$B$1:$K$122,CF$1,0),""),"NA")</f>
        <v>1.2299189388356671</v>
      </c>
      <c r="CG6" s="38">
        <f>IFERROR(IF($C6&lt;&gt;"",HLOOKUP(Model_Input2!$C6,Trend!$B$1:$K$122,CG$1,0),""),"NA")</f>
        <v>128</v>
      </c>
      <c r="CH6" s="38">
        <f>IFERROR(IF($C6&lt;&gt;"",HLOOKUP(Model_Input2!$C6,Trend!$B$1:$K$122,CH$1,0),""),"NA")</f>
        <v>1.7075882068632187</v>
      </c>
      <c r="CI6" s="38">
        <f>IFERROR(IF($C6&lt;&gt;"",HLOOKUP(Model_Input2!$C6,Trend!$B$1:$K$122,CI$1,0),""),"NA")</f>
        <v>1.2299189388356671</v>
      </c>
      <c r="CJ6" s="38">
        <f>IFERROR(IF($C6&lt;&gt;"",HLOOKUP(Model_Input2!$C6,Trend!$B$1:$K$122,CJ$1,0),""),"NA")</f>
        <v>0.8400884303610906</v>
      </c>
      <c r="CK6" s="256">
        <f>IFERROR(IF($C6&lt;&gt;"",HLOOKUP(Model_Input2!$C6,Trend!$B$1:$K$122,CK$1,0),""),"NA")</f>
        <v>1.5082956259426848E-3</v>
      </c>
      <c r="CL6" s="256">
        <f>IFERROR(IF($C6&lt;&gt;"",HLOOKUP(Model_Input2!$C6,Trend!$B$1:$K$122,CL$1,0),""),"NA")</f>
        <v>0.41121495327102803</v>
      </c>
      <c r="CM6" s="256">
        <f>IFERROR(IF($C6&lt;&gt;"",HLOOKUP(Model_Input2!$C6,Trend!$B$1:$K$122,CM$1,0),""),"NA")</f>
        <v>3.2424465733235076E-2</v>
      </c>
      <c r="CN6" s="256">
        <f>IFERROR(IF($C6&lt;&gt;"",HLOOKUP(Model_Input2!$C6,Trend!$B$1:$K$122,CN$1,0),""),"NA")</f>
        <v>12.682242990654204</v>
      </c>
      <c r="CO6" s="256">
        <f>IFERROR(IF($C6&lt;&gt;"",HLOOKUP(Model_Input2!$C6,Trend!$B$1:$K$122,CO$1,0),""),"NA")</f>
        <v>0.10237388724035607</v>
      </c>
      <c r="CP6" s="256">
        <f>IFERROR(IF($C6&lt;&gt;"",HLOOKUP(Model_Input2!$C6,Trend!$B$1:$K$122,CP$1,0),""),"NA")</f>
        <v>0.1140495867768595</v>
      </c>
      <c r="CQ6" s="256">
        <f>IFERROR(IF($C6&lt;&gt;"",HLOOKUP(Model_Input2!$C6,Trend!$B$1:$K$122,CQ$1,0),""),"NA")</f>
        <v>1.7440110829893534E-2</v>
      </c>
      <c r="CR6" s="256">
        <f>IFERROR(IF($C6&lt;&gt;"",HLOOKUP(Model_Input2!$C6,Trend!$B$1:$K$122,CR$1,0),""),"NA")</f>
        <v>0</v>
      </c>
      <c r="CS6" s="256">
        <f>IFERROR(IF($C6&lt;&gt;"",HLOOKUP(Model_Input2!$C6,Trend!$B$1:$K$122,CS$1,0),""),"NA")</f>
        <v>0.19117647058823536</v>
      </c>
      <c r="CT6" s="38">
        <f>IFERROR(IF($C6&lt;&gt;"",HLOOKUP(Model_Input2!$C6,Trend!$B$1:$K$122,CT$1,0),""),"NA")</f>
        <v>245.12254901960787</v>
      </c>
      <c r="CU6" s="38">
        <f>IFERROR(IF($C6&lt;&gt;"",HLOOKUP(Model_Input2!$C6,Trend!$B$1:$K$122,CU$1,0),""),"NA")</f>
        <v>1.4890510948905107</v>
      </c>
      <c r="CV6" s="38">
        <f>IFERROR(IF($C6&lt;&gt;"",HLOOKUP(Model_Input2!$C6,Trend!$B$1:$K$122,CV$1,0),""),"NA")</f>
        <v>0</v>
      </c>
      <c r="CW6" s="38" t="str">
        <f>IFERROR(IF($C6&lt;&gt;"",HLOOKUP(Model_Input2!$C6,Trend!$B$1:$K$122,CW$1,0),""),"NA")</f>
        <v>NA</v>
      </c>
      <c r="CX6" s="256">
        <f>IFERROR(IF($C6&lt;&gt;"",HLOOKUP(Model_Input2!$C6,Trend!$B$1:$K$122,CX$1,0),""),"NA")</f>
        <v>0.32267195018397965</v>
      </c>
      <c r="CY6" s="256">
        <f>IFERROR(IF($C6&lt;&gt;"",HLOOKUP(Model_Input2!$C6,Trend!$B$1:$K$122,CY$1,0),""),"NA")</f>
        <v>0</v>
      </c>
      <c r="CZ6" s="38">
        <f>IFERROR(IF($C6&lt;&gt;"",HLOOKUP(Model_Input2!$C6,Trend!$B$1:$K$122,CZ$1,0),""),"NA")</f>
        <v>7.2459666006227011E-2</v>
      </c>
      <c r="DA6" s="38">
        <f>IFERROR(IF($C6&lt;&gt;"",HLOOKUP(Model_Input2!$C6,Trend!$B$1:$K$122,DA$1,0),""),"NA")</f>
        <v>0.12202097235462345</v>
      </c>
      <c r="DB6" s="256">
        <f>IFERROR(IF($C6&lt;&gt;"",HLOOKUP(Model_Input2!$C6,Trend!$B$1:$K$122,DB$1,0),""),"NA")</f>
        <v>0.13733905579399142</v>
      </c>
      <c r="DC6" s="256">
        <f>IFERROR(IF($C6&lt;&gt;"",HLOOKUP(Model_Input2!$C6,Trend!$B$1:$K$122,DC$1,0),""),"NA")</f>
        <v>0.27335824879871862</v>
      </c>
      <c r="DD6" s="256">
        <f>IFERROR(IF($C6&lt;&gt;"",HLOOKUP(Model_Input2!$C6,Trend!$B$1:$K$122,DD$1,0),""),"NA")</f>
        <v>0</v>
      </c>
      <c r="DE6" s="256">
        <f>IFERROR(IF($C6&lt;&gt;"",HLOOKUP(Model_Input2!$C6,Trend!$B$1:$K$122,DE$1,0),""),"NA")</f>
        <v>0</v>
      </c>
      <c r="DF6" s="256">
        <f>IFERROR(IF($C6&lt;&gt;"",HLOOKUP(Model_Input2!$C6,Trend!$B$1:$K$122,DF$1,0),""),"NA")</f>
        <v>0</v>
      </c>
      <c r="DG6" s="256">
        <f>IFERROR(IF($C6&lt;&gt;"",HLOOKUP(Model_Input2!$C6,Trend!$B$1:$K$122,DG$1,0),""),"NA")</f>
        <v>0</v>
      </c>
      <c r="DH6" s="256">
        <f>IFERROR(IF($C6&lt;&gt;"",HLOOKUP(Model_Input2!$C6,Trend!$B$1:$K$122,DH$1,0),""),"NA")</f>
        <v>0</v>
      </c>
      <c r="DI6" s="256">
        <f>IFERROR(IF($C6&lt;&gt;"",HLOOKUP(Model_Input2!$C6,Trend!$B$1:$K$122,DI$1,0),""),"NA")</f>
        <v>0</v>
      </c>
      <c r="DJ6" s="38">
        <f>IFERROR(IF($C6&lt;&gt;"",HLOOKUP(Model_Input2!$C6,Trend!$B$1:$K$122,DJ$1,0),""),"NA")</f>
        <v>0</v>
      </c>
      <c r="DK6" s="38">
        <f>IFERROR(IF($C6&lt;&gt;"",HLOOKUP(Model_Input2!$C6,Trend!$B$1:$K$122,DK$1,0),""),"NA")</f>
        <v>0</v>
      </c>
      <c r="DL6" s="256">
        <f>IFERROR(IF($C6&lt;&gt;"",HLOOKUP(Model_Input2!$C6,Trend!$B$1:$K$122,DL$1,0),""),"NA")</f>
        <v>0</v>
      </c>
      <c r="DM6" s="256">
        <f>IFERROR(IF($C6&lt;&gt;"",HLOOKUP(Model_Input2!$C6,Trend!$B$1:$K$122,DM$1,0),""),"NA")</f>
        <v>0</v>
      </c>
      <c r="DN6" s="256">
        <f>IFERROR(IF($C6&lt;&gt;"",HLOOKUP(Model_Input2!$C6,Trend!$B$1:$K$122,DN$1,0),""),"NA")</f>
        <v>0</v>
      </c>
      <c r="DO6" s="256">
        <f>IFERROR(IF($C6&lt;&gt;"",HLOOKUP(Model_Input2!$C6,Trend!$B$1:$K$122,DO$1,0),""),"NA")</f>
        <v>0</v>
      </c>
      <c r="DP6" s="256">
        <f>IFERROR(IF($C6&lt;&gt;"",HLOOKUP(Model_Input2!$C6,Trend!$B$1:$K$122,DP$1,0),""),"NA")</f>
        <v>0</v>
      </c>
      <c r="DQ6" s="256">
        <f>IFERROR(IF($C6&lt;&gt;"",HLOOKUP(Model_Input2!$C6,Trend!$B$1:$K$122,DQ$1,0),""),"NA")</f>
        <v>0</v>
      </c>
      <c r="DR6" s="256">
        <f>IFERROR(IF($C6&lt;&gt;"",HLOOKUP(Model_Input2!$C6,Trend!$B$1:$K$122,DR$1,0),""),"NA")</f>
        <v>0</v>
      </c>
      <c r="DS6" s="256">
        <f>IFERROR(IF($C6&lt;&gt;"",HLOOKUP(Model_Input2!$C6,Trend!$B$1:$K$122,DS$1,0),""),"NA")</f>
        <v>0</v>
      </c>
      <c r="DT6" s="256">
        <f>IFERROR(IF($C6&lt;&gt;"",HLOOKUP(Model_Input2!$C6,Trend!$B$1:$K$122,DT$1,0),""),"NA")</f>
        <v>5.9156524200396264E-2</v>
      </c>
      <c r="DU6" s="256">
        <f>IFERROR(IF($C6&lt;&gt;"",HLOOKUP(Model_Input2!$C6,Trend!$B$1:$K$122,DU$1,0),""),"NA")</f>
        <v>0.46193037078969718</v>
      </c>
      <c r="DV6" s="256">
        <f>IFERROR(IF($C6&lt;&gt;"",HLOOKUP(Model_Input2!$C6,Trend!$B$1:$K$122,DV$1,0),""),"NA")</f>
        <v>2.697520661157025</v>
      </c>
      <c r="DW6" s="256">
        <f>IFERROR(IF($C6&lt;&gt;"",HLOOKUP(Model_Input2!$C6,Trend!$B$1:$K$122,DW$1,0),""),"NA")</f>
        <v>5.454545454545455</v>
      </c>
      <c r="DX6" s="256">
        <f>IFERROR(IF($C6&lt;&gt;"",HLOOKUP(Model_Input2!$C6,Trend!$B$1:$K$122,DX$1,0),""),"NA")</f>
        <v>0.69852941176470584</v>
      </c>
      <c r="DY6" s="256">
        <f>IFERROR(IF($C6&lt;&gt;"",HLOOKUP(Model_Input2!$C6,Trend!$B$1:$K$122,DY$1,0),""),"NA")</f>
        <v>9.2057416267942607</v>
      </c>
    </row>
    <row r="7" spans="1:129" x14ac:dyDescent="0.25">
      <c r="A7" t="str">
        <f t="shared" si="2"/>
        <v>8K MILES SOFTWARE SERVICES LTD3132012</v>
      </c>
      <c r="B7" t="str">
        <f>IF(C7&lt;&gt;"",'Data Sheet'!$B$1,"")</f>
        <v>8K MILES SOFTWARE SERVICES LTD</v>
      </c>
      <c r="C7" s="255">
        <f>'Data Sheet'!E16</f>
        <v>40999</v>
      </c>
      <c r="D7" s="9">
        <f>IF($C7&lt;&gt;"",HLOOKUP(Model_Input2!$C7,'Data Sheet'!$B$16:$K$31,D$1,0),"")</f>
        <v>21.06</v>
      </c>
      <c r="E7" s="9">
        <f>IFERROR(IF($C7&lt;&gt;"",HLOOKUP(Model_Input2!$C7,'Data Sheet'!$B$16:$K$31,E$1,0),""),"NA")</f>
        <v>0</v>
      </c>
      <c r="F7" s="9">
        <f>IFERROR(IF($C7&lt;&gt;"",HLOOKUP(Model_Input2!$C7,'Data Sheet'!$B$16:$K$31,F$1,0),""),"NA")</f>
        <v>0</v>
      </c>
      <c r="G7" s="9">
        <f>IFERROR(IF($C7&lt;&gt;"",HLOOKUP(Model_Input2!$C7,'Data Sheet'!$B$16:$K$31,G$1,0),""),"NA")</f>
        <v>0</v>
      </c>
      <c r="H7" s="9">
        <f>IFERROR(IF($C7&lt;&gt;"",HLOOKUP(Model_Input2!$C7,'Data Sheet'!$B$16:$K$31,H$1,0),""),"NA")</f>
        <v>0</v>
      </c>
      <c r="I7" s="9">
        <f>IFERROR(IF($C7&lt;&gt;"",HLOOKUP(Model_Input2!$C7,'Data Sheet'!$B$16:$K$31,I$1,0),""),"NA")</f>
        <v>13.13</v>
      </c>
      <c r="J7" s="9">
        <f>IFERROR(IF($C7&lt;&gt;"",HLOOKUP(Model_Input2!$C7,'Data Sheet'!$B$16:$K$31,J$1,0),""),"NA")</f>
        <v>0.55000000000000004</v>
      </c>
      <c r="K7" s="9">
        <f>IFERROR(IF($C7&lt;&gt;"",HLOOKUP(Model_Input2!$C7,'Data Sheet'!$B$16:$K$31,K$1,0),""),"NA")</f>
        <v>2.38</v>
      </c>
      <c r="L7" s="9">
        <f>IFERROR(IF($C7&lt;&gt;"",HLOOKUP(Model_Input2!$C7,'Data Sheet'!$B$16:$K$31,L$1,0),""),"NA")</f>
        <v>0.06</v>
      </c>
      <c r="M7" s="9">
        <f>IFERROR(IF($C7&lt;&gt;"",HLOOKUP(Model_Input2!$C7,'Data Sheet'!$B$16:$K$31,M$1,0),""),"NA")</f>
        <v>0.8</v>
      </c>
      <c r="N7" s="9">
        <f>IFERROR(IF($C7&lt;&gt;"",HLOOKUP(Model_Input2!$C7,'Data Sheet'!$B$16:$K$31,N$1,0),""),"NA")</f>
        <v>0.05</v>
      </c>
      <c r="O7" s="9">
        <f>IFERROR(IF($C7&lt;&gt;"",HLOOKUP(Model_Input2!$C7,'Data Sheet'!$B$16:$K$31,O$1,0),""),"NA")</f>
        <v>4.21</v>
      </c>
      <c r="P7" s="9">
        <f>IFERROR(IF($C7&lt;&gt;"",HLOOKUP(Model_Input2!$C7,'Data Sheet'!$B$16:$K$31,P$1,0),""),"NA")</f>
        <v>0.7</v>
      </c>
      <c r="Q7" s="9">
        <f>IFERROR(IF($C7&lt;&gt;"",HLOOKUP(Model_Input2!$C7,'Data Sheet'!$B$16:$K$31,Q$1,0),""),"NA")</f>
        <v>3.5</v>
      </c>
      <c r="R7" s="9">
        <f>IFERROR(IF($C7&lt;&gt;"",HLOOKUP(Model_Input2!$C7,'Data Sheet'!$B$16:$K$31,R$1,0),""),"NA")</f>
        <v>0</v>
      </c>
      <c r="S7">
        <f>IFERROR(IF($C7&lt;&gt;"",HLOOKUP(Model_Input2!$C7,'Data Sheet'!$B$56:$K$72,S$1,0),""),"NA")</f>
        <v>5.55</v>
      </c>
      <c r="T7">
        <f>IFERROR(IF($C7&lt;&gt;"",HLOOKUP(Model_Input2!$C7,'Data Sheet'!$B$56:$K$72,T$1,0),""),"NA")</f>
        <v>19.96</v>
      </c>
      <c r="U7">
        <f>IFERROR(IF($C7&lt;&gt;"",HLOOKUP(Model_Input2!$C7,'Data Sheet'!$B$56:$K$72,U$1,0),""),"NA")</f>
        <v>2.93</v>
      </c>
      <c r="V7">
        <f>IFERROR(IF($C7&lt;&gt;"",HLOOKUP(Model_Input2!$C7,'Data Sheet'!$B$56:$K$72,V$1,0),""),"NA")</f>
        <v>15.97</v>
      </c>
      <c r="W7">
        <f>IFERROR(IF($C7&lt;&gt;"",HLOOKUP(Model_Input2!$C7,'Data Sheet'!$B$56:$K$72,W$1,0),""),"NA")</f>
        <v>44.41</v>
      </c>
      <c r="X7">
        <f>IFERROR(IF($C7&lt;&gt;"",HLOOKUP(Model_Input2!$C7,'Data Sheet'!$B$56:$K$72,X$1,0),""),"NA")</f>
        <v>5.98</v>
      </c>
      <c r="Y7">
        <f>IFERROR(IF($C7&lt;&gt;"",HLOOKUP(Model_Input2!$C7,'Data Sheet'!$B$56:$K$72,Y$1,0),""),"NA")</f>
        <v>16.43</v>
      </c>
      <c r="Z7">
        <f>IFERROR(IF($C7&lt;&gt;"",HLOOKUP(Model_Input2!$C7,'Data Sheet'!$B$56:$K$72,Z$1,0),""),"NA")</f>
        <v>0</v>
      </c>
      <c r="AA7">
        <f>IFERROR(IF($C7&lt;&gt;"",HLOOKUP(Model_Input2!$C7,'Data Sheet'!$B$56:$K$72,AA$1,0),""),"NA")</f>
        <v>22</v>
      </c>
      <c r="AB7">
        <f>IFERROR(IF($C7&lt;&gt;"",HLOOKUP(Model_Input2!$C7,'Data Sheet'!$B$56:$K$72,AB$1,0),""),"NA")</f>
        <v>44.41</v>
      </c>
      <c r="AC7">
        <f>IFERROR(IF($C7&lt;&gt;"",HLOOKUP(Model_Input2!$C7,'Data Sheet'!$B$56:$K$72,AC$1,0),""),"NA")</f>
        <v>12.95</v>
      </c>
      <c r="AD7">
        <f>IFERROR(IF($C7&lt;&gt;"",HLOOKUP(Model_Input2!$C7,'Data Sheet'!$B$56:$K$72,AD$1,0),""),"NA")</f>
        <v>0</v>
      </c>
      <c r="AE7">
        <f>IFERROR(IF($C7&lt;&gt;"",HLOOKUP(Model_Input2!$C7,'Data Sheet'!$B$56:$K$72,AE$1,0),""),"NA")</f>
        <v>2.97</v>
      </c>
      <c r="AF7">
        <f>IFERROR(IF($C7&lt;&gt;"",HLOOKUP(Model_Input2!$C7,'Data Sheet'!$B$56:$K$72,AF$1,0),""),"NA")</f>
        <v>5554161</v>
      </c>
      <c r="AG7">
        <f>IFERROR(IF($C7&lt;&gt;"",HLOOKUP(Model_Input2!$C7,'Data Sheet'!$B$56:$K$72,AG$1,0),""),"NA")</f>
        <v>0</v>
      </c>
      <c r="AH7">
        <f>IFERROR(IF($C7&lt;&gt;"",HLOOKUP(Model_Input2!$C7,'Data Sheet'!$B$56:$K$72,AH$1,0),""),"NA")</f>
        <v>10</v>
      </c>
      <c r="AI7">
        <f>IFERROR(IF($C7&lt;&gt;"",HLOOKUP(Model_Input2!$C7,'Data Sheet'!$B$81:$K$85,AI$1,0),""),"NA")</f>
        <v>-3.35</v>
      </c>
      <c r="AJ7">
        <f>IFERROR(IF($C7&lt;&gt;"",HLOOKUP(Model_Input2!$C7,'Data Sheet'!$B$81:$K$85,AJ$1,0),""),"NA")</f>
        <v>-3.77</v>
      </c>
      <c r="AK7">
        <f>IFERROR(IF($C7&lt;&gt;"",HLOOKUP(Model_Input2!$C7,'Data Sheet'!$B$81:$K$85,AK$1,0),""),"NA")</f>
        <v>9.65</v>
      </c>
      <c r="AL7">
        <f>IFERROR(IF($C7&lt;&gt;"",HLOOKUP(Model_Input2!$C7,'Data Sheet'!$B$81:$K$85,AL$1,0),""),"NA")</f>
        <v>2.5299999999999998</v>
      </c>
      <c r="AM7" s="38">
        <f>IFERROR(IF($C7&lt;&gt;"",HLOOKUP(Model_Input2!$C7,Trend!$B$1:$K$3,AM$1,0),""),"NA")</f>
        <v>12.092000000000001</v>
      </c>
      <c r="AN7" s="38">
        <f>IFERROR(IF($C7&lt;&gt;"",HLOOKUP(Model_Input2!$C7,Trend!$B$1:$K$3,AN$1,0),""),"NA")</f>
        <v>2.2755364</v>
      </c>
      <c r="AO7" s="38">
        <f>IFERROR(IF($C7&lt;&gt;"",HLOOKUP(Model_Input2!$C7,Trend!$B$1:$K$122,AO$1,0),""),"NA")</f>
        <v>28.44</v>
      </c>
      <c r="AP7" s="38">
        <f>IFERROR(IF($C7&lt;&gt;"",HLOOKUP(Model_Input2!$C7,Trend!$B$1:$K$122,AP$1,0),""),"NA")</f>
        <v>3.5</v>
      </c>
      <c r="AQ7" s="38">
        <f>IFERROR(IF($C7&lt;&gt;"",HLOOKUP(Model_Input2!$C7,Trend!$B$1:$K$122,AQ$1,0),""),"NA")</f>
        <v>-3.35</v>
      </c>
      <c r="AR7" s="38">
        <f>IFERROR(IF($C7&lt;&gt;"",HLOOKUP(Model_Input2!$C7,Trend!$B$1:$K$122,AR$1,0),""),"NA")</f>
        <v>4.57</v>
      </c>
      <c r="AS7" s="38">
        <f>IFERROR(IF($C7&lt;&gt;"",HLOOKUP(Model_Input2!$C7,Trend!$B$1:$K$122,AS$1,0),""),"NA")</f>
        <v>0</v>
      </c>
      <c r="AT7" s="38">
        <f>IFERROR(IF($C7&lt;&gt;"",HLOOKUP(Model_Input2!$C7,Trend!$B$1:$K$122,AT$1,0),""),"NA")</f>
        <v>-7.92</v>
      </c>
      <c r="AU7" s="38">
        <f>IFERROR(IF($C7&lt;&gt;"",HLOOKUP(Model_Input2!$C7,Trend!$B$1:$K$122,AU$1,0),""),"NA")</f>
        <v>27.475786148800001</v>
      </c>
      <c r="AV7" s="256">
        <f>IFERROR(IF($C7&lt;&gt;"",HLOOKUP(Model_Input2!$C7,Trend!$B$1:$K$122,AV$1,0),""),"NA")</f>
        <v>0.29044117647058815</v>
      </c>
      <c r="AW7" s="256">
        <f>IFERROR(IF($C7&lt;&gt;"",HLOOKUP(Model_Input2!$C7,Trend!$B$1:$K$122,AW$1,0),""),"NA")</f>
        <v>0.67464114832535893</v>
      </c>
      <c r="AX7" s="256">
        <f>IFERROR(IF($C7&lt;&gt;"",HLOOKUP(Model_Input2!$C7,Trend!$B$1:$K$122,AX$1,0),""),"NA")</f>
        <v>0.61490978157644827</v>
      </c>
      <c r="AY7" s="256">
        <f>IFERROR(IF($C7&lt;&gt;"",HLOOKUP(Model_Input2!$C7,Trend!$B$1:$K$122,AY$1,0),""),"NA")</f>
        <v>0</v>
      </c>
      <c r="AZ7" s="256">
        <f>IFERROR(IF($C7&lt;&gt;"",HLOOKUP(Model_Input2!$C7,Trend!$B$1:$K$122,AZ$1,0),""),"NA")</f>
        <v>0.16619183285849953</v>
      </c>
      <c r="BA7" s="256">
        <f>IFERROR(IF($C7&lt;&gt;"",HLOOKUP(Model_Input2!$C7,Trend!$B$1:$K$122,BA$1,0),""),"NA")</f>
        <v>0.166270783847981</v>
      </c>
      <c r="BB7" s="38">
        <f>IFERROR(IF($C7&lt;&gt;"",HLOOKUP(Model_Input2!$C7,Trend!$B$1:$K$122,BB$1,0),""),"NA")</f>
        <v>-6.85</v>
      </c>
      <c r="BC7" s="256">
        <f>IFERROR(IF($C7&lt;&gt;"",HLOOKUP(Model_Input2!$C7,Trend!$B$1:$K$122,BC$1,0),""),"NA")</f>
        <v>0</v>
      </c>
      <c r="BD7" s="256">
        <f>IFERROR(IF($C7&lt;&gt;"",HLOOKUP(Model_Input2!$C7,Trend!$B$1:$K$122,BD$1,0),""),"NA")</f>
        <v>0</v>
      </c>
      <c r="BE7" s="256">
        <f>IFERROR(IF($C7&lt;&gt;"",HLOOKUP(Model_Input2!$C7,Trend!$B$1:$K$122,BE$1,0),""),"NA")</f>
        <v>0</v>
      </c>
      <c r="BF7" s="256">
        <f>IFERROR(IF($C7&lt;&gt;"",HLOOKUP(Model_Input2!$C7,Trend!$B$1:$K$122,BF$1,0),""),"NA")</f>
        <v>0</v>
      </c>
      <c r="BG7" s="256">
        <f>IFERROR(IF($C7&lt;&gt;"",HLOOKUP(Model_Input2!$C7,Trend!$B$1:$K$122,BG$1,0),""),"NA")</f>
        <v>0.62345679012345689</v>
      </c>
      <c r="BH7" s="256">
        <f>IFERROR(IF($C7&lt;&gt;"",HLOOKUP(Model_Input2!$C7,Trend!$B$1:$K$122,BH$1,0),""),"NA")</f>
        <v>2.6115859449192785E-2</v>
      </c>
      <c r="BI7" s="256">
        <f>IFERROR(IF($C7&lt;&gt;"",HLOOKUP(Model_Input2!$C7,Trend!$B$1:$K$122,BI$1,0),""),"NA")</f>
        <v>0.11301044634377969</v>
      </c>
      <c r="BJ7" s="256">
        <f>IFERROR(IF($C7&lt;&gt;"",HLOOKUP(Model_Input2!$C7,Trend!$B$1:$K$122,BJ$1,0),""),"NA")</f>
        <v>2.8490028490028491E-3</v>
      </c>
      <c r="BK7" s="256">
        <f>IFERROR(IF($C7&lt;&gt;"",HLOOKUP(Model_Input2!$C7,Trend!$B$1:$K$122,BK$1,0),""),"NA")</f>
        <v>3.7986704653371325E-2</v>
      </c>
      <c r="BL7" s="256">
        <f>IFERROR(IF($C7&lt;&gt;"",HLOOKUP(Model_Input2!$C7,Trend!$B$1:$K$122,BL$1,0),""),"NA")</f>
        <v>1</v>
      </c>
      <c r="BM7" s="256">
        <f>IFERROR(IF($C7&lt;&gt;"",HLOOKUP(Model_Input2!$C7,Trend!$B$1:$K$122,BM$1,0),""),"NA")</f>
        <v>0.20227920227920229</v>
      </c>
      <c r="BN7" s="256">
        <f>IFERROR(IF($C7&lt;&gt;"",HLOOKUP(Model_Input2!$C7,Trend!$B$1:$K$122,BN$1,0),""),"NA")</f>
        <v>0.16619183285849953</v>
      </c>
      <c r="BO7" s="256">
        <f>IFERROR(IF($C7&lt;&gt;"",HLOOKUP(Model_Input2!$C7,Trend!$B$1:$K$122,BO$1,0),""),"NA")</f>
        <v>0.166270783847981</v>
      </c>
      <c r="BP7" s="256">
        <f>IFERROR(IF($C7&lt;&gt;"",HLOOKUP(Model_Input2!$C7,Trend!$B$1:$K$122,BP$1,0),""),"NA")</f>
        <v>0.15266831794640848</v>
      </c>
      <c r="BQ7" s="256">
        <f>IFERROR(IF($C7&lt;&gt;"",HLOOKUP(Model_Input2!$C7,Trend!$B$1:$K$122,BQ$1,0),""),"NA")</f>
        <v>0.13465435712677326</v>
      </c>
      <c r="BR7" s="256">
        <f>IFERROR(IF($C7&lt;&gt;"",HLOOKUP(Model_Input2!$C7,Trend!$B$1:$K$122,BR$1,0),""),"NA")</f>
        <v>0.321937321937322</v>
      </c>
      <c r="BS7" s="256">
        <f>IFERROR(IF($C7&lt;&gt;"",HLOOKUP(Model_Input2!$C7,Trend!$B$1:$K$122,BS$1,0),""),"NA")</f>
        <v>0.28395061728395066</v>
      </c>
      <c r="BT7" s="256">
        <f>IFERROR(IF($C7&lt;&gt;"",HLOOKUP(Model_Input2!$C7,Trend!$B$1:$K$122,BT$1,0),""),"NA")</f>
        <v>0.10290475118216619</v>
      </c>
      <c r="BU7" s="256">
        <f>IFERROR(IF($C7&lt;&gt;"",HLOOKUP(Model_Input2!$C7,Trend!$B$1:$K$122,BU$1,0),""),"NA")</f>
        <v>0.67404129793510326</v>
      </c>
      <c r="BV7" s="256">
        <f>IFERROR(IF($C7&lt;&gt;"",HLOOKUP(Model_Input2!$C7,Trend!$B$1:$K$122,BV$1,0),""),"NA")</f>
        <v>0.76421404682274252</v>
      </c>
      <c r="BW7" s="256">
        <f>IFERROR(IF($C7&lt;&gt;"",HLOOKUP(Model_Input2!$C7,Trend!$B$1:$K$122,BW$1,0),""),"NA")</f>
        <v>0.15266831794640848</v>
      </c>
      <c r="BX7" s="256">
        <f>IFERROR(IF($C7&lt;&gt;"",HLOOKUP(Model_Input2!$C7,Trend!$B$1:$K$122,BX$1,0),""),"NA")</f>
        <v>0.13465435712677326</v>
      </c>
      <c r="BY7" s="256">
        <f>IFERROR(IF($C7&lt;&gt;"",HLOOKUP(Model_Input2!$C7,Trend!$B$1:$K$122,BY$1,0),""),"NA")</f>
        <v>0</v>
      </c>
      <c r="BZ7" s="256">
        <f>IFERROR(IF($C7&lt;&gt;"",HLOOKUP(Model_Input2!$C7,Trend!$B$1:$K$122,BZ$1,0),""),"NA")</f>
        <v>0.49538392253996849</v>
      </c>
      <c r="CA7" s="256">
        <f>IFERROR(IF($C7&lt;&gt;"",HLOOKUP(Model_Input2!$C7,Trend!$B$1:$K$122,CA$1,0),""),"NA")</f>
        <v>0.3699617203332583</v>
      </c>
      <c r="CB7" s="256">
        <f>IFERROR(IF($C7&lt;&gt;"",HLOOKUP(Model_Input2!$C7,Trend!$B$1:$K$122,CB$1,0),""),"NA")</f>
        <v>2.4233038348082596</v>
      </c>
      <c r="CC7" s="256">
        <f>IFERROR(IF($C7&lt;&gt;"",HLOOKUP(Model_Input2!$C7,Trend!$B$1:$K$122,CC$1,0),""),"NA")</f>
        <v>2.7474916387959865</v>
      </c>
      <c r="CD7" s="38">
        <f>IFERROR(IF($C7&lt;&gt;"",HLOOKUP(Model_Input2!$C7,Trend!$B$1:$K$122,CD$1,0),""),"NA")</f>
        <v>0</v>
      </c>
      <c r="CE7" s="38">
        <f>IFERROR(IF($C7&lt;&gt;"",HLOOKUP(Model_Input2!$C7,Trend!$B$1:$K$122,CE$1,0),""),"NA")</f>
        <v>0.11485691885535085</v>
      </c>
      <c r="CF7" s="38">
        <f>IFERROR(IF($C7&lt;&gt;"",HLOOKUP(Model_Input2!$C7,Trend!$B$1:$K$122,CF$1,0),""),"NA")</f>
        <v>1.3775829680651221</v>
      </c>
      <c r="CG7" s="38">
        <f>IFERROR(IF($C7&lt;&gt;"",HLOOKUP(Model_Input2!$C7,Trend!$B$1:$K$122,CG$1,0),""),"NA")</f>
        <v>85.199999999999989</v>
      </c>
      <c r="CH7" s="38">
        <f>IFERROR(IF($C7&lt;&gt;"",HLOOKUP(Model_Input2!$C7,Trend!$B$1:$K$122,CH$1,0),""),"NA")</f>
        <v>1.7408859270874164</v>
      </c>
      <c r="CI7" s="38">
        <f>IFERROR(IF($C7&lt;&gt;"",HLOOKUP(Model_Input2!$C7,Trend!$B$1:$K$122,CI$1,0),""),"NA")</f>
        <v>1.3775829680651221</v>
      </c>
      <c r="CJ7" s="38">
        <f>IFERROR(IF($C7&lt;&gt;"",HLOOKUP(Model_Input2!$C7,Trend!$B$1:$K$122,CJ$1,0),""),"NA")</f>
        <v>-0.20976831559173451</v>
      </c>
      <c r="CK7" s="256">
        <f>IFERROR(IF($C7&lt;&gt;"",HLOOKUP(Model_Input2!$C7,Trend!$B$1:$K$122,CK$1,0),""),"NA")</f>
        <v>1.2454005094820267E-2</v>
      </c>
      <c r="CL7" s="256">
        <f>IFERROR(IF($C7&lt;&gt;"",HLOOKUP(Model_Input2!$C7,Trend!$B$1:$K$122,CL$1,0),""),"NA")</f>
        <v>1.0136518771331058</v>
      </c>
      <c r="CM7" s="256">
        <f>IFERROR(IF($C7&lt;&gt;"",HLOOKUP(Model_Input2!$C7,Trend!$B$1:$K$122,CM$1,0),""),"NA")</f>
        <v>0.18597370068879149</v>
      </c>
      <c r="CN7" s="256">
        <f>IFERROR(IF($C7&lt;&gt;"",HLOOKUP(Model_Input2!$C7,Trend!$B$1:$K$122,CN$1,0),""),"NA")</f>
        <v>5.4505119453924911</v>
      </c>
      <c r="CO7" s="256">
        <f>IFERROR(IF($C7&lt;&gt;"",HLOOKUP(Model_Input2!$C7,Trend!$B$1:$K$122,CO$1,0),""),"NA")</f>
        <v>0.11799410029498525</v>
      </c>
      <c r="CP7" s="256">
        <f>IFERROR(IF($C7&lt;&gt;"",HLOOKUP(Model_Input2!$C7,Trend!$B$1:$K$122,CP$1,0),""),"NA")</f>
        <v>0.13377926421404682</v>
      </c>
      <c r="CQ7" s="256">
        <f>IFERROR(IF($C7&lt;&gt;"",HLOOKUP(Model_Input2!$C7,Trend!$B$1:$K$122,CQ$1,0),""),"NA")</f>
        <v>0.10793803905651904</v>
      </c>
      <c r="CR7" s="256">
        <f>IFERROR(IF($C7&lt;&gt;"",HLOOKUP(Model_Input2!$C7,Trend!$B$1:$K$122,CR$1,0),""),"NA")</f>
        <v>0</v>
      </c>
      <c r="CS7" s="256">
        <f>IFERROR(IF($C7&lt;&gt;"",HLOOKUP(Model_Input2!$C7,Trend!$B$1:$K$122,CS$1,0),""),"NA")</f>
        <v>0.28632478632478631</v>
      </c>
      <c r="CT7" s="38">
        <f>IFERROR(IF($C7&lt;&gt;"",HLOOKUP(Model_Input2!$C7,Trend!$B$1:$K$122,CT$1,0),""),"NA")</f>
        <v>224.44207027540361</v>
      </c>
      <c r="CU7" s="38">
        <f>IFERROR(IF($C7&lt;&gt;"",HLOOKUP(Model_Input2!$C7,Trend!$B$1:$K$122,CU$1,0),""),"NA")</f>
        <v>1.6262548262548262</v>
      </c>
      <c r="CV7" s="38">
        <f>IFERROR(IF($C7&lt;&gt;"",HLOOKUP(Model_Input2!$C7,Trend!$B$1:$K$122,CV$1,0),""),"NA")</f>
        <v>0</v>
      </c>
      <c r="CW7" s="38" t="str">
        <f>IFERROR(IF($C7&lt;&gt;"",HLOOKUP(Model_Input2!$C7,Trend!$B$1:$K$122,CW$1,0),""),"NA")</f>
        <v>NA</v>
      </c>
      <c r="CX7" s="256">
        <f>IFERROR(IF($C7&lt;&gt;"",HLOOKUP(Model_Input2!$C7,Trend!$B$1:$K$122,CX$1,0),""),"NA")</f>
        <v>-7.5433460932222474E-2</v>
      </c>
      <c r="CY7" s="256">
        <f>IFERROR(IF($C7&lt;&gt;"",HLOOKUP(Model_Input2!$C7,Trend!$B$1:$K$122,CY$1,0),""),"NA")</f>
        <v>0</v>
      </c>
      <c r="CZ7" s="38">
        <f>IFERROR(IF($C7&lt;&gt;"",HLOOKUP(Model_Input2!$C7,Trend!$B$1:$K$122,CZ$1,0),""),"NA")</f>
        <v>9.5924341364557492E-2</v>
      </c>
      <c r="DA7" s="38">
        <f>IFERROR(IF($C7&lt;&gt;"",HLOOKUP(Model_Input2!$C7,Trend!$B$1:$K$122,DA$1,0),""),"NA")</f>
        <v>0.10684725357411583</v>
      </c>
      <c r="DB7" s="256">
        <f>IFERROR(IF($C7&lt;&gt;"",HLOOKUP(Model_Input2!$C7,Trend!$B$1:$K$122,DB$1,0),""),"NA")</f>
        <v>0.19009370816599724</v>
      </c>
      <c r="DC7" s="256">
        <f>IFERROR(IF($C7&lt;&gt;"",HLOOKUP(Model_Input2!$C7,Trend!$B$1:$K$122,DC$1,0),""),"NA")</f>
        <v>0.20755176613885498</v>
      </c>
      <c r="DD7" s="256">
        <f>IFERROR(IF($C7&lt;&gt;"",HLOOKUP(Model_Input2!$C7,Trend!$B$1:$K$122,DD$1,0),""),"NA")</f>
        <v>0</v>
      </c>
      <c r="DE7" s="256">
        <f>IFERROR(IF($C7&lt;&gt;"",HLOOKUP(Model_Input2!$C7,Trend!$B$1:$K$122,DE$1,0),""),"NA")</f>
        <v>0</v>
      </c>
      <c r="DF7" s="256">
        <f>IFERROR(IF($C7&lt;&gt;"",HLOOKUP(Model_Input2!$C7,Trend!$B$1:$K$122,DF$1,0),""),"NA")</f>
        <v>0</v>
      </c>
      <c r="DG7" s="256">
        <f>IFERROR(IF($C7&lt;&gt;"",HLOOKUP(Model_Input2!$C7,Trend!$B$1:$K$122,DG$1,0),""),"NA")</f>
        <v>0</v>
      </c>
      <c r="DH7" s="256">
        <f>IFERROR(IF($C7&lt;&gt;"",HLOOKUP(Model_Input2!$C7,Trend!$B$1:$K$122,DH$1,0),""),"NA")</f>
        <v>0</v>
      </c>
      <c r="DI7" s="256">
        <f>IFERROR(IF($C7&lt;&gt;"",HLOOKUP(Model_Input2!$C7,Trend!$B$1:$K$122,DI$1,0),""),"NA")</f>
        <v>0</v>
      </c>
      <c r="DJ7" s="38">
        <f>IFERROR(IF($C7&lt;&gt;"",HLOOKUP(Model_Input2!$C7,Trend!$B$1:$K$122,DJ$1,0),""),"NA")</f>
        <v>0</v>
      </c>
      <c r="DK7" s="38">
        <f>IFERROR(IF($C7&lt;&gt;"",HLOOKUP(Model_Input2!$C7,Trend!$B$1:$K$122,DK$1,0),""),"NA")</f>
        <v>0</v>
      </c>
      <c r="DL7" s="256">
        <f>IFERROR(IF($C7&lt;&gt;"",HLOOKUP(Model_Input2!$C7,Trend!$B$1:$K$122,DL$1,0),""),"NA")</f>
        <v>0</v>
      </c>
      <c r="DM7" s="256">
        <f>IFERROR(IF($C7&lt;&gt;"",HLOOKUP(Model_Input2!$C7,Trend!$B$1:$K$122,DM$1,0),""),"NA")</f>
        <v>0</v>
      </c>
      <c r="DN7" s="256">
        <f>IFERROR(IF($C7&lt;&gt;"",HLOOKUP(Model_Input2!$C7,Trend!$B$1:$K$122,DN$1,0),""),"NA")</f>
        <v>0</v>
      </c>
      <c r="DO7" s="256">
        <f>IFERROR(IF($C7&lt;&gt;"",HLOOKUP(Model_Input2!$C7,Trend!$B$1:$K$122,DO$1,0),""),"NA")</f>
        <v>0</v>
      </c>
      <c r="DP7" s="256">
        <f>IFERROR(IF($C7&lt;&gt;"",HLOOKUP(Model_Input2!$C7,Trend!$B$1:$K$122,DP$1,0),""),"NA")</f>
        <v>0</v>
      </c>
      <c r="DQ7" s="256">
        <f>IFERROR(IF($C7&lt;&gt;"",HLOOKUP(Model_Input2!$C7,Trend!$B$1:$K$122,DQ$1,0),""),"NA")</f>
        <v>0</v>
      </c>
      <c r="DR7" s="256">
        <f>IFERROR(IF($C7&lt;&gt;"",HLOOKUP(Model_Input2!$C7,Trend!$B$1:$K$122,DR$1,0),""),"NA")</f>
        <v>0</v>
      </c>
      <c r="DS7" s="256">
        <f>IFERROR(IF($C7&lt;&gt;"",HLOOKUP(Model_Input2!$C7,Trend!$B$1:$K$122,DS$1,0),""),"NA")</f>
        <v>0</v>
      </c>
      <c r="DT7" s="256">
        <f>IFERROR(IF($C7&lt;&gt;"",HLOOKUP(Model_Input2!$C7,Trend!$B$1:$K$122,DT$1,0),""),"NA")</f>
        <v>7.8811078585904082E-2</v>
      </c>
      <c r="DU7" s="256">
        <f>IFERROR(IF($C7&lt;&gt;"",HLOOKUP(Model_Input2!$C7,Trend!$B$1:$K$122,DU$1,0),""),"NA")</f>
        <v>0.47421751857689709</v>
      </c>
      <c r="DV7" s="256">
        <f>IFERROR(IF($C7&lt;&gt;"",HLOOKUP(Model_Input2!$C7,Trend!$B$1:$K$122,DV$1,0),""),"NA")</f>
        <v>3.5217391304347823</v>
      </c>
      <c r="DW7" s="256">
        <f>IFERROR(IF($C7&lt;&gt;"",HLOOKUP(Model_Input2!$C7,Trend!$B$1:$K$122,DW$1,0),""),"NA")</f>
        <v>-0.95714285714285718</v>
      </c>
      <c r="DX7" s="256">
        <f>IFERROR(IF($C7&lt;&gt;"",HLOOKUP(Model_Input2!$C7,Trend!$B$1:$K$122,DX$1,0),""),"NA")</f>
        <v>-0.15906932573599242</v>
      </c>
      <c r="DY7" s="256">
        <f>IFERROR(IF($C7&lt;&gt;"",HLOOKUP(Model_Input2!$C7,Trend!$B$1:$K$122,DY$1,0),""),"NA")</f>
        <v>1.3057142857142858</v>
      </c>
    </row>
    <row r="8" spans="1:129" x14ac:dyDescent="0.25">
      <c r="A8" t="str">
        <f t="shared" si="2"/>
        <v>8K MILES SOFTWARE SERVICES LTD3132013</v>
      </c>
      <c r="B8" t="str">
        <f>IF(C8&lt;&gt;"",'Data Sheet'!$B$1,"")</f>
        <v>8K MILES SOFTWARE SERVICES LTD</v>
      </c>
      <c r="C8" s="255">
        <f>'Data Sheet'!F16</f>
        <v>41364</v>
      </c>
      <c r="D8" s="9">
        <f>IF($C8&lt;&gt;"",HLOOKUP(Model_Input2!$C8,'Data Sheet'!$B$16:$K$31,D$1,0),"")</f>
        <v>26.21</v>
      </c>
      <c r="E8" s="9">
        <f>IFERROR(IF($C8&lt;&gt;"",HLOOKUP(Model_Input2!$C8,'Data Sheet'!$B$16:$K$31,E$1,0),""),"NA")</f>
        <v>0</v>
      </c>
      <c r="F8" s="9">
        <f>IFERROR(IF($C8&lt;&gt;"",HLOOKUP(Model_Input2!$C8,'Data Sheet'!$B$16:$K$31,F$1,0),""),"NA")</f>
        <v>0</v>
      </c>
      <c r="G8" s="9">
        <f>IFERROR(IF($C8&lt;&gt;"",HLOOKUP(Model_Input2!$C8,'Data Sheet'!$B$16:$K$31,G$1,0),""),"NA")</f>
        <v>0</v>
      </c>
      <c r="H8" s="9">
        <f>IFERROR(IF($C8&lt;&gt;"",HLOOKUP(Model_Input2!$C8,'Data Sheet'!$B$16:$K$31,H$1,0),""),"NA")</f>
        <v>0</v>
      </c>
      <c r="I8" s="9">
        <f>IFERROR(IF($C8&lt;&gt;"",HLOOKUP(Model_Input2!$C8,'Data Sheet'!$B$16:$K$31,I$1,0),""),"NA")</f>
        <v>15.67</v>
      </c>
      <c r="J8" s="9">
        <f>IFERROR(IF($C8&lt;&gt;"",HLOOKUP(Model_Input2!$C8,'Data Sheet'!$B$16:$K$31,J$1,0),""),"NA")</f>
        <v>0.24</v>
      </c>
      <c r="K8" s="9">
        <f>IFERROR(IF($C8&lt;&gt;"",HLOOKUP(Model_Input2!$C8,'Data Sheet'!$B$16:$K$31,K$1,0),""),"NA")</f>
        <v>4.8600000000000003</v>
      </c>
      <c r="L8" s="9">
        <f>IFERROR(IF($C8&lt;&gt;"",HLOOKUP(Model_Input2!$C8,'Data Sheet'!$B$16:$K$31,L$1,0),""),"NA")</f>
        <v>7.0000000000000007E-2</v>
      </c>
      <c r="M8" s="9">
        <f>IFERROR(IF($C8&lt;&gt;"",HLOOKUP(Model_Input2!$C8,'Data Sheet'!$B$16:$K$31,M$1,0),""),"NA")</f>
        <v>0.81</v>
      </c>
      <c r="N8" s="9">
        <f>IFERROR(IF($C8&lt;&gt;"",HLOOKUP(Model_Input2!$C8,'Data Sheet'!$B$16:$K$31,N$1,0),""),"NA")</f>
        <v>0.17</v>
      </c>
      <c r="O8" s="9">
        <f>IFERROR(IF($C8&lt;&gt;"",HLOOKUP(Model_Input2!$C8,'Data Sheet'!$B$16:$K$31,O$1,0),""),"NA")</f>
        <v>4.53</v>
      </c>
      <c r="P8" s="9">
        <f>IFERROR(IF($C8&lt;&gt;"",HLOOKUP(Model_Input2!$C8,'Data Sheet'!$B$16:$K$31,P$1,0),""),"NA")</f>
        <v>0.55000000000000004</v>
      </c>
      <c r="Q8" s="9">
        <f>IFERROR(IF($C8&lt;&gt;"",HLOOKUP(Model_Input2!$C8,'Data Sheet'!$B$16:$K$31,Q$1,0),""),"NA")</f>
        <v>3.97</v>
      </c>
      <c r="R8" s="9">
        <f>IFERROR(IF($C8&lt;&gt;"",HLOOKUP(Model_Input2!$C8,'Data Sheet'!$B$16:$K$31,R$1,0),""),"NA")</f>
        <v>0</v>
      </c>
      <c r="S8">
        <f>IFERROR(IF($C8&lt;&gt;"",HLOOKUP(Model_Input2!$C8,'Data Sheet'!$B$56:$K$72,S$1,0),""),"NA")</f>
        <v>10.039999999999999</v>
      </c>
      <c r="T8">
        <f>IFERROR(IF($C8&lt;&gt;"",HLOOKUP(Model_Input2!$C8,'Data Sheet'!$B$56:$K$72,T$1,0),""),"NA")</f>
        <v>17.55</v>
      </c>
      <c r="U8">
        <f>IFERROR(IF($C8&lt;&gt;"",HLOOKUP(Model_Input2!$C8,'Data Sheet'!$B$56:$K$72,U$1,0),""),"NA")</f>
        <v>2.11</v>
      </c>
      <c r="V8">
        <f>IFERROR(IF($C8&lt;&gt;"",HLOOKUP(Model_Input2!$C8,'Data Sheet'!$B$56:$K$72,V$1,0),""),"NA")</f>
        <v>15.06</v>
      </c>
      <c r="W8">
        <f>IFERROR(IF($C8&lt;&gt;"",HLOOKUP(Model_Input2!$C8,'Data Sheet'!$B$56:$K$72,W$1,0),""),"NA")</f>
        <v>44.76</v>
      </c>
      <c r="X8">
        <f>IFERROR(IF($C8&lt;&gt;"",HLOOKUP(Model_Input2!$C8,'Data Sheet'!$B$56:$K$72,X$1,0),""),"NA")</f>
        <v>0.73</v>
      </c>
      <c r="Y8">
        <f>IFERROR(IF($C8&lt;&gt;"",HLOOKUP(Model_Input2!$C8,'Data Sheet'!$B$56:$K$72,Y$1,0),""),"NA")</f>
        <v>17.48</v>
      </c>
      <c r="Z8">
        <f>IFERROR(IF($C8&lt;&gt;"",HLOOKUP(Model_Input2!$C8,'Data Sheet'!$B$56:$K$72,Z$1,0),""),"NA")</f>
        <v>0</v>
      </c>
      <c r="AA8">
        <f>IFERROR(IF($C8&lt;&gt;"",HLOOKUP(Model_Input2!$C8,'Data Sheet'!$B$56:$K$72,AA$1,0),""),"NA")</f>
        <v>26.55</v>
      </c>
      <c r="AB8">
        <f>IFERROR(IF($C8&lt;&gt;"",HLOOKUP(Model_Input2!$C8,'Data Sheet'!$B$56:$K$72,AB$1,0),""),"NA")</f>
        <v>44.76</v>
      </c>
      <c r="AC8">
        <f>IFERROR(IF($C8&lt;&gt;"",HLOOKUP(Model_Input2!$C8,'Data Sheet'!$B$56:$K$72,AC$1,0),""),"NA")</f>
        <v>13.83</v>
      </c>
      <c r="AD8">
        <f>IFERROR(IF($C8&lt;&gt;"",HLOOKUP(Model_Input2!$C8,'Data Sheet'!$B$56:$K$72,AD$1,0),""),"NA")</f>
        <v>0</v>
      </c>
      <c r="AE8">
        <f>IFERROR(IF($C8&lt;&gt;"",HLOOKUP(Model_Input2!$C8,'Data Sheet'!$B$56:$K$72,AE$1,0),""),"NA")</f>
        <v>1.45</v>
      </c>
      <c r="AF8">
        <f>IFERROR(IF($C8&lt;&gt;"",HLOOKUP(Model_Input2!$C8,'Data Sheet'!$B$56:$K$72,AF$1,0),""),"NA")</f>
        <v>10044102</v>
      </c>
      <c r="AG8">
        <f>IFERROR(IF($C8&lt;&gt;"",HLOOKUP(Model_Input2!$C8,'Data Sheet'!$B$56:$K$72,AG$1,0),""),"NA")</f>
        <v>4017641</v>
      </c>
      <c r="AH8">
        <f>IFERROR(IF($C8&lt;&gt;"",HLOOKUP(Model_Input2!$C8,'Data Sheet'!$B$56:$K$72,AH$1,0),""),"NA")</f>
        <v>10</v>
      </c>
      <c r="AI8">
        <f>IFERROR(IF($C8&lt;&gt;"",HLOOKUP(Model_Input2!$C8,'Data Sheet'!$B$81:$K$85,AI$1,0),""),"NA")</f>
        <v>-7.42</v>
      </c>
      <c r="AJ8">
        <f>IFERROR(IF($C8&lt;&gt;"",HLOOKUP(Model_Input2!$C8,'Data Sheet'!$B$81:$K$85,AJ$1,0),""),"NA")</f>
        <v>-2.0699999999999998</v>
      </c>
      <c r="AK8">
        <f>IFERROR(IF($C8&lt;&gt;"",HLOOKUP(Model_Input2!$C8,'Data Sheet'!$B$81:$K$85,AK$1,0),""),"NA")</f>
        <v>7.96</v>
      </c>
      <c r="AL8">
        <f>IFERROR(IF($C8&lt;&gt;"",HLOOKUP(Model_Input2!$C8,'Data Sheet'!$B$81:$K$85,AL$1,0),""),"NA")</f>
        <v>-1.53</v>
      </c>
      <c r="AM8" s="38">
        <f>IFERROR(IF($C8&lt;&gt;"",HLOOKUP(Model_Input2!$C8,Trend!$B$1:$K$3,AM$1,0),""),"NA")</f>
        <v>19.812000000000001</v>
      </c>
      <c r="AN8" s="38">
        <f>IFERROR(IF($C8&lt;&gt;"",HLOOKUP(Model_Input2!$C8,Trend!$B$1:$K$3,AN$1,0),""),"NA")</f>
        <v>2.7717605000000001</v>
      </c>
      <c r="AO8" s="38">
        <f>IFERROR(IF($C8&lt;&gt;"",HLOOKUP(Model_Input2!$C8,Trend!$B$1:$K$122,AO$1,0),""),"NA")</f>
        <v>29.7</v>
      </c>
      <c r="AP8" s="38">
        <f>IFERROR(IF($C8&lt;&gt;"",HLOOKUP(Model_Input2!$C8,Trend!$B$1:$K$122,AP$1,0),""),"NA")</f>
        <v>3.97</v>
      </c>
      <c r="AQ8" s="38">
        <f>IFERROR(IF($C8&lt;&gt;"",HLOOKUP(Model_Input2!$C8,Trend!$B$1:$K$122,AQ$1,0),""),"NA")</f>
        <v>-7.42</v>
      </c>
      <c r="AR8" s="38">
        <f>IFERROR(IF($C8&lt;&gt;"",HLOOKUP(Model_Input2!$C8,Trend!$B$1:$K$122,AR$1,0),""),"NA")</f>
        <v>-3.3899999999999992</v>
      </c>
      <c r="AS8" s="38">
        <f>IFERROR(IF($C8&lt;&gt;"",HLOOKUP(Model_Input2!$C8,Trend!$B$1:$K$122,AS$1,0),""),"NA")</f>
        <v>0</v>
      </c>
      <c r="AT8" s="38">
        <f>IFERROR(IF($C8&lt;&gt;"",HLOOKUP(Model_Input2!$C8,Trend!$B$1:$K$122,AT$1,0),""),"NA")</f>
        <v>-4.0300000000000011</v>
      </c>
      <c r="AU8" s="38">
        <f>IFERROR(IF($C8&lt;&gt;"",HLOOKUP(Model_Input2!$C8,Trend!$B$1:$K$122,AU$1,0),""),"NA")</f>
        <v>55.574119025999998</v>
      </c>
      <c r="AV8" s="256">
        <f>IFERROR(IF($C8&lt;&gt;"",HLOOKUP(Model_Input2!$C8,Trend!$B$1:$K$122,AV$1,0),""),"NA")</f>
        <v>0.244539411206078</v>
      </c>
      <c r="AW8" s="256">
        <f>IFERROR(IF($C8&lt;&gt;"",HLOOKUP(Model_Input2!$C8,Trend!$B$1:$K$122,AW$1,0),""),"NA")</f>
        <v>0.13428571428571434</v>
      </c>
      <c r="AX8" s="256">
        <f>IFERROR(IF($C8&lt;&gt;"",HLOOKUP(Model_Input2!$C8,Trend!$B$1:$K$122,AX$1,0),""),"NA")</f>
        <v>0.5276611980160244</v>
      </c>
      <c r="AY8" s="256">
        <f>IFERROR(IF($C8&lt;&gt;"",HLOOKUP(Model_Input2!$C8,Trend!$B$1:$K$122,AY$1,0),""),"NA")</f>
        <v>0</v>
      </c>
      <c r="AZ8" s="256">
        <f>IFERROR(IF($C8&lt;&gt;"",HLOOKUP(Model_Input2!$C8,Trend!$B$1:$K$122,AZ$1,0),""),"NA")</f>
        <v>0.15146890499809235</v>
      </c>
      <c r="BA8" s="256">
        <f>IFERROR(IF($C8&lt;&gt;"",HLOOKUP(Model_Input2!$C8,Trend!$B$1:$K$122,BA$1,0),""),"NA")</f>
        <v>0.12141280353200884</v>
      </c>
      <c r="BB8" s="38">
        <f>IFERROR(IF($C8&lt;&gt;"",HLOOKUP(Model_Input2!$C8,Trend!$B$1:$K$122,BB$1,0),""),"NA")</f>
        <v>-11.39</v>
      </c>
      <c r="BC8" s="256">
        <f>IFERROR(IF($C8&lt;&gt;"",HLOOKUP(Model_Input2!$C8,Trend!$B$1:$K$122,BC$1,0),""),"NA")</f>
        <v>0</v>
      </c>
      <c r="BD8" s="256">
        <f>IFERROR(IF($C8&lt;&gt;"",HLOOKUP(Model_Input2!$C8,Trend!$B$1:$K$122,BD$1,0),""),"NA")</f>
        <v>0</v>
      </c>
      <c r="BE8" s="256">
        <f>IFERROR(IF($C8&lt;&gt;"",HLOOKUP(Model_Input2!$C8,Trend!$B$1:$K$122,BE$1,0),""),"NA")</f>
        <v>0</v>
      </c>
      <c r="BF8" s="256">
        <f>IFERROR(IF($C8&lt;&gt;"",HLOOKUP(Model_Input2!$C8,Trend!$B$1:$K$122,BF$1,0),""),"NA")</f>
        <v>0</v>
      </c>
      <c r="BG8" s="256">
        <f>IFERROR(IF($C8&lt;&gt;"",HLOOKUP(Model_Input2!$C8,Trend!$B$1:$K$122,BG$1,0),""),"NA")</f>
        <v>0.59786341091186568</v>
      </c>
      <c r="BH8" s="256">
        <f>IFERROR(IF($C8&lt;&gt;"",HLOOKUP(Model_Input2!$C8,Trend!$B$1:$K$122,BH$1,0),""),"NA")</f>
        <v>9.1568103777184273E-3</v>
      </c>
      <c r="BI8" s="256">
        <f>IFERROR(IF($C8&lt;&gt;"",HLOOKUP(Model_Input2!$C8,Trend!$B$1:$K$122,BI$1,0),""),"NA")</f>
        <v>0.18542541014879818</v>
      </c>
      <c r="BJ8" s="256">
        <f>IFERROR(IF($C8&lt;&gt;"",HLOOKUP(Model_Input2!$C8,Trend!$B$1:$K$122,BJ$1,0),""),"NA")</f>
        <v>2.6707363601678751E-3</v>
      </c>
      <c r="BK8" s="256">
        <f>IFERROR(IF($C8&lt;&gt;"",HLOOKUP(Model_Input2!$C8,Trend!$B$1:$K$122,BK$1,0),""),"NA")</f>
        <v>3.0904235024799696E-2</v>
      </c>
      <c r="BL8" s="256">
        <f>IFERROR(IF($C8&lt;&gt;"",HLOOKUP(Model_Input2!$C8,Trend!$B$1:$K$122,BL$1,0),""),"NA")</f>
        <v>1</v>
      </c>
      <c r="BM8" s="256">
        <f>IFERROR(IF($C8&lt;&gt;"",HLOOKUP(Model_Input2!$C8,Trend!$B$1:$K$122,BM$1,0),""),"NA")</f>
        <v>0.1793208698969859</v>
      </c>
      <c r="BN8" s="256">
        <f>IFERROR(IF($C8&lt;&gt;"",HLOOKUP(Model_Input2!$C8,Trend!$B$1:$K$122,BN$1,0),""),"NA")</f>
        <v>0.15146890499809235</v>
      </c>
      <c r="BO8" s="256">
        <f>IFERROR(IF($C8&lt;&gt;"",HLOOKUP(Model_Input2!$C8,Trend!$B$1:$K$122,BO$1,0),""),"NA")</f>
        <v>0.12141280353200884</v>
      </c>
      <c r="BP8" s="256">
        <f>IFERROR(IF($C8&lt;&gt;"",HLOOKUP(Model_Input2!$C8,Trend!$B$1:$K$122,BP$1,0),""),"NA")</f>
        <v>3.4405719392314571E-2</v>
      </c>
      <c r="BQ8" s="256">
        <f>IFERROR(IF($C8&lt;&gt;"",HLOOKUP(Model_Input2!$C8,Trend!$B$1:$K$122,BQ$1,0),""),"NA")</f>
        <v>1.6309204647006255E-2</v>
      </c>
      <c r="BR8" s="256">
        <f>IFERROR(IF($C8&lt;&gt;"",HLOOKUP(Model_Input2!$C8,Trend!$B$1:$K$122,BR$1,0),""),"NA")</f>
        <v>5.8756199923693249E-2</v>
      </c>
      <c r="BS8" s="256">
        <f>IFERROR(IF($C8&lt;&gt;"",HLOOKUP(Model_Input2!$C8,Trend!$B$1:$K$122,BS$1,0),""),"NA")</f>
        <v>2.785196489889355E-2</v>
      </c>
      <c r="BT8" s="256">
        <f>IFERROR(IF($C8&lt;&gt;"",HLOOKUP(Model_Input2!$C8,Trend!$B$1:$K$122,BT$1,0),""),"NA")</f>
        <v>-7.5737265415549579E-2</v>
      </c>
      <c r="BU8" s="256">
        <f>IFERROR(IF($C8&lt;&gt;"",HLOOKUP(Model_Input2!$C8,Trend!$B$1:$K$122,BU$1,0),""),"NA")</f>
        <v>-2.2012987012987009</v>
      </c>
      <c r="BV8" s="256">
        <f>IFERROR(IF($C8&lt;&gt;"",HLOOKUP(Model_Input2!$C8,Trend!$B$1:$K$122,BV$1,0),""),"NA")</f>
        <v>-4.6438356164383556</v>
      </c>
      <c r="BW8" s="256">
        <f>IFERROR(IF($C8&lt;&gt;"",HLOOKUP(Model_Input2!$C8,Trend!$B$1:$K$122,BW$1,0),""),"NA")</f>
        <v>3.4405719392314571E-2</v>
      </c>
      <c r="BX8" s="256">
        <f>IFERROR(IF($C8&lt;&gt;"",HLOOKUP(Model_Input2!$C8,Trend!$B$1:$K$122,BX$1,0),""),"NA")</f>
        <v>1.6309204647006255E-2</v>
      </c>
      <c r="BY8" s="256">
        <f>IFERROR(IF($C8&lt;&gt;"",HLOOKUP(Model_Input2!$C8,Trend!$B$1:$K$122,BY$1,0),""),"NA")</f>
        <v>0</v>
      </c>
      <c r="BZ8" s="256">
        <f>IFERROR(IF($C8&lt;&gt;"",HLOOKUP(Model_Input2!$C8,Trend!$B$1:$K$122,BZ$1,0),""),"NA")</f>
        <v>0.59316353887399464</v>
      </c>
      <c r="CA8" s="256">
        <f>IFERROR(IF($C8&lt;&gt;"",HLOOKUP(Model_Input2!$C8,Trend!$B$1:$K$122,CA$1,0),""),"NA")</f>
        <v>0.39052725647899911</v>
      </c>
      <c r="CB8" s="256">
        <f>IFERROR(IF($C8&lt;&gt;"",HLOOKUP(Model_Input2!$C8,Trend!$B$1:$K$122,CB$1,0),""),"NA")</f>
        <v>11.35064935064935</v>
      </c>
      <c r="CC8" s="256">
        <f>IFERROR(IF($C8&lt;&gt;"",HLOOKUP(Model_Input2!$C8,Trend!$B$1:$K$122,CC$1,0),""),"NA")</f>
        <v>23.945205479452056</v>
      </c>
      <c r="CD8" s="38">
        <f>IFERROR(IF($C8&lt;&gt;"",HLOOKUP(Model_Input2!$C8,Trend!$B$1:$K$122,CD$1,0),""),"NA")</f>
        <v>0</v>
      </c>
      <c r="CE8" s="38">
        <f>IFERROR(IF($C8&lt;&gt;"",HLOOKUP(Model_Input2!$C8,Trend!$B$1:$K$122,CE$1,0),""),"NA")</f>
        <v>7.6476984414642984E-2</v>
      </c>
      <c r="CF8" s="38">
        <f>IFERROR(IF($C8&lt;&gt;"",HLOOKUP(Model_Input2!$C8,Trend!$B$1:$K$122,CF$1,0),""),"NA")</f>
        <v>1.7629482071713147</v>
      </c>
      <c r="CG8" s="38">
        <f>IFERROR(IF($C8&lt;&gt;"",HLOOKUP(Model_Input2!$C8,Trend!$B$1:$K$122,CG$1,0),""),"NA")</f>
        <v>27.647058823529409</v>
      </c>
      <c r="CH8" s="38">
        <f>IFERROR(IF($C8&lt;&gt;"",HLOOKUP(Model_Input2!$C8,Trend!$B$1:$K$122,CH$1,0),""),"NA")</f>
        <v>1.6223269300471184</v>
      </c>
      <c r="CI8" s="38">
        <f>IFERROR(IF($C8&lt;&gt;"",HLOOKUP(Model_Input2!$C8,Trend!$B$1:$K$122,CI$1,0),""),"NA")</f>
        <v>1.7629482071713147</v>
      </c>
      <c r="CJ8" s="38">
        <f>IFERROR(IF($C8&lt;&gt;"",HLOOKUP(Model_Input2!$C8,Trend!$B$1:$K$122,CJ$1,0),""),"NA")</f>
        <v>-0.49269588313413015</v>
      </c>
      <c r="CK8" s="256">
        <f>IFERROR(IF($C8&lt;&gt;"",HLOOKUP(Model_Input2!$C8,Trend!$B$1:$K$122,CK$1,0),""),"NA")</f>
        <v>6.6876829542895755E-2</v>
      </c>
      <c r="CL8" s="256">
        <f>IFERROR(IF($C8&lt;&gt;"",HLOOKUP(Model_Input2!$C8,Trend!$B$1:$K$122,CL$1,0),""),"NA")</f>
        <v>0.6872037914691943</v>
      </c>
      <c r="CM8" s="256">
        <f>IFERROR(IF($C8&lt;&gt;"",HLOOKUP(Model_Input2!$C8,Trend!$B$1:$K$122,CM$1,0),""),"NA")</f>
        <v>9.6281540504648072E-2</v>
      </c>
      <c r="CN8" s="256">
        <f>IFERROR(IF($C8&lt;&gt;"",HLOOKUP(Model_Input2!$C8,Trend!$B$1:$K$122,CN$1,0),""),"NA")</f>
        <v>7.1374407582938399</v>
      </c>
      <c r="CO8" s="256">
        <f>IFERROR(IF($C8&lt;&gt;"",HLOOKUP(Model_Input2!$C8,Trend!$B$1:$K$122,CO$1,0),""),"NA")</f>
        <v>0.52597402597402598</v>
      </c>
      <c r="CP8" s="256">
        <f>IFERROR(IF($C8&lt;&gt;"",HLOOKUP(Model_Input2!$C8,Trend!$B$1:$K$122,CP$1,0),""),"NA")</f>
        <v>1.1095890410958904</v>
      </c>
      <c r="CQ8" s="256">
        <f>IFERROR(IF($C8&lt;&gt;"",HLOOKUP(Model_Input2!$C8,Trend!$B$1:$K$122,CQ$1,0),""),"NA")</f>
        <v>2.6404866830577276E-2</v>
      </c>
      <c r="CR8" s="256">
        <f>IFERROR(IF($C8&lt;&gt;"",HLOOKUP(Model_Input2!$C8,Trend!$B$1:$K$122,CR$1,0),""),"NA")</f>
        <v>0</v>
      </c>
      <c r="CS8" s="256">
        <f>IFERROR(IF($C8&lt;&gt;"",HLOOKUP(Model_Input2!$C8,Trend!$B$1:$K$122,CS$1,0),""),"NA")</f>
        <v>0.43838229683326974</v>
      </c>
      <c r="CT8" s="38">
        <f>IFERROR(IF($C8&lt;&gt;"",HLOOKUP(Model_Input2!$C8,Trend!$B$1:$K$122,CT$1,0),""),"NA")</f>
        <v>192.5963372758489</v>
      </c>
      <c r="CU8" s="38">
        <f>IFERROR(IF($C8&lt;&gt;"",HLOOKUP(Model_Input2!$C8,Trend!$B$1:$K$122,CU$1,0),""),"NA")</f>
        <v>1.8951554591467825</v>
      </c>
      <c r="CV8" s="38">
        <f>IFERROR(IF($C8&lt;&gt;"",HLOOKUP(Model_Input2!$C8,Trend!$B$1:$K$122,CV$1,0),""),"NA")</f>
        <v>0</v>
      </c>
      <c r="CW8" s="38" t="str">
        <f>IFERROR(IF($C8&lt;&gt;"",HLOOKUP(Model_Input2!$C8,Trend!$B$1:$K$122,CW$1,0),""),"NA")</f>
        <v>NA</v>
      </c>
      <c r="CX8" s="256">
        <f>IFERROR(IF($C8&lt;&gt;"",HLOOKUP(Model_Input2!$C8,Trend!$B$1:$K$122,CX$1,0),""),"NA")</f>
        <v>-0.16577301161751565</v>
      </c>
      <c r="CY8" s="256">
        <f>IFERROR(IF($C8&lt;&gt;"",HLOOKUP(Model_Input2!$C8,Trend!$B$1:$K$122,CY$1,0),""),"NA")</f>
        <v>0</v>
      </c>
      <c r="CZ8" s="38">
        <f>IFERROR(IF($C8&lt;&gt;"",HLOOKUP(Model_Input2!$C8,Trend!$B$1:$K$122,CZ$1,0),""),"NA")</f>
        <v>0.10500446827524579</v>
      </c>
      <c r="DA8" s="38">
        <f>IFERROR(IF($C8&lt;&gt;"",HLOOKUP(Model_Input2!$C8,Trend!$B$1:$K$122,DA$1,0),""),"NA")</f>
        <v>0.10541661993944156</v>
      </c>
      <c r="DB8" s="256">
        <f>IFERROR(IF($C8&lt;&gt;"",HLOOKUP(Model_Input2!$C8,Trend!$B$1:$K$122,DB$1,0),""),"NA")</f>
        <v>0.25809994508511813</v>
      </c>
      <c r="DC8" s="256">
        <f>IFERROR(IF($C8&lt;&gt;"",HLOOKUP(Model_Input2!$C8,Trend!$B$1:$K$122,DC$1,0),""),"NA")</f>
        <v>0.23141309699655344</v>
      </c>
      <c r="DD8" s="256">
        <f>IFERROR(IF($C8&lt;&gt;"",HLOOKUP(Model_Input2!$C8,Trend!$B$1:$K$122,DD$1,0),""),"NA")</f>
        <v>0</v>
      </c>
      <c r="DE8" s="256">
        <f>IFERROR(IF($C8&lt;&gt;"",HLOOKUP(Model_Input2!$C8,Trend!$B$1:$K$122,DE$1,0),""),"NA")</f>
        <v>0</v>
      </c>
      <c r="DF8" s="256">
        <f>IFERROR(IF($C8&lt;&gt;"",HLOOKUP(Model_Input2!$C8,Trend!$B$1:$K$122,DF$1,0),""),"NA")</f>
        <v>0</v>
      </c>
      <c r="DG8" s="256">
        <f>IFERROR(IF($C8&lt;&gt;"",HLOOKUP(Model_Input2!$C8,Trend!$B$1:$K$122,DG$1,0),""),"NA")</f>
        <v>0</v>
      </c>
      <c r="DH8" s="256">
        <f>IFERROR(IF($C8&lt;&gt;"",HLOOKUP(Model_Input2!$C8,Trend!$B$1:$K$122,DH$1,0),""),"NA")</f>
        <v>0</v>
      </c>
      <c r="DI8" s="256">
        <f>IFERROR(IF($C8&lt;&gt;"",HLOOKUP(Model_Input2!$C8,Trend!$B$1:$K$122,DI$1,0),""),"NA")</f>
        <v>0</v>
      </c>
      <c r="DJ8" s="38">
        <f>IFERROR(IF($C8&lt;&gt;"",HLOOKUP(Model_Input2!$C8,Trend!$B$1:$K$122,DJ$1,0),""),"NA")</f>
        <v>0</v>
      </c>
      <c r="DK8" s="38">
        <f>IFERROR(IF($C8&lt;&gt;"",HLOOKUP(Model_Input2!$C8,Trend!$B$1:$K$122,DK$1,0),""),"NA")</f>
        <v>0</v>
      </c>
      <c r="DL8" s="256">
        <f>IFERROR(IF($C8&lt;&gt;"",HLOOKUP(Model_Input2!$C8,Trend!$B$1:$K$122,DL$1,0),""),"NA")</f>
        <v>0</v>
      </c>
      <c r="DM8" s="256">
        <f>IFERROR(IF($C8&lt;&gt;"",HLOOKUP(Model_Input2!$C8,Trend!$B$1:$K$122,DM$1,0),""),"NA")</f>
        <v>0</v>
      </c>
      <c r="DN8" s="256">
        <f>IFERROR(IF($C8&lt;&gt;"",HLOOKUP(Model_Input2!$C8,Trend!$B$1:$K$122,DN$1,0),""),"NA")</f>
        <v>0</v>
      </c>
      <c r="DO8" s="256">
        <f>IFERROR(IF($C8&lt;&gt;"",HLOOKUP(Model_Input2!$C8,Trend!$B$1:$K$122,DO$1,0),""),"NA")</f>
        <v>0</v>
      </c>
      <c r="DP8" s="256">
        <f>IFERROR(IF($C8&lt;&gt;"",HLOOKUP(Model_Input2!$C8,Trend!$B$1:$K$122,DP$1,0),""),"NA")</f>
        <v>0</v>
      </c>
      <c r="DQ8" s="256">
        <f>IFERROR(IF($C8&lt;&gt;"",HLOOKUP(Model_Input2!$C8,Trend!$B$1:$K$122,DQ$1,0),""),"NA")</f>
        <v>0</v>
      </c>
      <c r="DR8" s="256">
        <f>IFERROR(IF($C8&lt;&gt;"",HLOOKUP(Model_Input2!$C8,Trend!$B$1:$K$122,DR$1,0),""),"NA")</f>
        <v>0</v>
      </c>
      <c r="DS8" s="256">
        <f>IFERROR(IF($C8&lt;&gt;"",HLOOKUP(Model_Input2!$C8,Trend!$B$1:$K$122,DS$1,0),""),"NA")</f>
        <v>0</v>
      </c>
      <c r="DT8" s="256">
        <f>IFERROR(IF($C8&lt;&gt;"",HLOOKUP(Model_Input2!$C8,Trend!$B$1:$K$122,DT$1,0),""),"NA")</f>
        <v>8.8695263628239512E-2</v>
      </c>
      <c r="DU8" s="256">
        <f>IFERROR(IF($C8&lt;&gt;"",HLOOKUP(Model_Input2!$C8,Trend!$B$1:$K$122,DU$1,0),""),"NA")</f>
        <v>0.58556747095621098</v>
      </c>
      <c r="DV8" s="256">
        <f>IFERROR(IF($C8&lt;&gt;"",HLOOKUP(Model_Input2!$C8,Trend!$B$1:$K$122,DV$1,0),""),"NA")</f>
        <v>35.904109589041099</v>
      </c>
      <c r="DW8" s="256">
        <f>IFERROR(IF($C8&lt;&gt;"",HLOOKUP(Model_Input2!$C8,Trend!$B$1:$K$122,DW$1,0),""),"NA")</f>
        <v>-1.8690176322418135</v>
      </c>
      <c r="DX8" s="256">
        <f>IFERROR(IF($C8&lt;&gt;"",HLOOKUP(Model_Input2!$C8,Trend!$B$1:$K$122,DX$1,0),""),"NA")</f>
        <v>-0.28309805417779471</v>
      </c>
      <c r="DY8" s="256">
        <f>IFERROR(IF($C8&lt;&gt;"",HLOOKUP(Model_Input2!$C8,Trend!$B$1:$K$122,DY$1,0),""),"NA")</f>
        <v>-0.85390428211586877</v>
      </c>
    </row>
    <row r="9" spans="1:129" x14ac:dyDescent="0.25">
      <c r="A9" t="str">
        <f t="shared" si="2"/>
        <v>8K MILES SOFTWARE SERVICES LTD3132014</v>
      </c>
      <c r="B9" t="str">
        <f>IF(C9&lt;&gt;"",'Data Sheet'!$B$1,"")</f>
        <v>8K MILES SOFTWARE SERVICES LTD</v>
      </c>
      <c r="C9" s="255">
        <f>'Data Sheet'!G16</f>
        <v>41729</v>
      </c>
      <c r="D9" s="9">
        <f>IF($C9&lt;&gt;"",HLOOKUP(Model_Input2!$C9,'Data Sheet'!$B$16:$K$31,D$1,0),"")</f>
        <v>44.06</v>
      </c>
      <c r="E9" s="9">
        <f>IFERROR(IF($C9&lt;&gt;"",HLOOKUP(Model_Input2!$C9,'Data Sheet'!$B$16:$K$31,E$1,0),""),"NA")</f>
        <v>0</v>
      </c>
      <c r="F9" s="9">
        <f>IFERROR(IF($C9&lt;&gt;"",HLOOKUP(Model_Input2!$C9,'Data Sheet'!$B$16:$K$31,F$1,0),""),"NA")</f>
        <v>0</v>
      </c>
      <c r="G9" s="9">
        <f>IFERROR(IF($C9&lt;&gt;"",HLOOKUP(Model_Input2!$C9,'Data Sheet'!$B$16:$K$31,G$1,0),""),"NA")</f>
        <v>0.05</v>
      </c>
      <c r="H9" s="9">
        <f>IFERROR(IF($C9&lt;&gt;"",HLOOKUP(Model_Input2!$C9,'Data Sheet'!$B$16:$K$31,H$1,0),""),"NA")</f>
        <v>0.01</v>
      </c>
      <c r="I9" s="9">
        <f>IFERROR(IF($C9&lt;&gt;"",HLOOKUP(Model_Input2!$C9,'Data Sheet'!$B$16:$K$31,I$1,0),""),"NA")</f>
        <v>23.36</v>
      </c>
      <c r="J9" s="9">
        <f>IFERROR(IF($C9&lt;&gt;"",HLOOKUP(Model_Input2!$C9,'Data Sheet'!$B$16:$K$31,J$1,0),""),"NA")</f>
        <v>6.65</v>
      </c>
      <c r="K9" s="9">
        <f>IFERROR(IF($C9&lt;&gt;"",HLOOKUP(Model_Input2!$C9,'Data Sheet'!$B$16:$K$31,K$1,0),""),"NA")</f>
        <v>0.18</v>
      </c>
      <c r="L9" s="9">
        <f>IFERROR(IF($C9&lt;&gt;"",HLOOKUP(Model_Input2!$C9,'Data Sheet'!$B$16:$K$31,L$1,0),""),"NA")</f>
        <v>0.05</v>
      </c>
      <c r="M9" s="9">
        <f>IFERROR(IF($C9&lt;&gt;"",HLOOKUP(Model_Input2!$C9,'Data Sheet'!$B$16:$K$31,M$1,0),""),"NA")</f>
        <v>4.3099999999999996</v>
      </c>
      <c r="N9" s="9">
        <f>IFERROR(IF($C9&lt;&gt;"",HLOOKUP(Model_Input2!$C9,'Data Sheet'!$B$16:$K$31,N$1,0),""),"NA")</f>
        <v>0.37</v>
      </c>
      <c r="O9" s="9">
        <f>IFERROR(IF($C9&lt;&gt;"",HLOOKUP(Model_Input2!$C9,'Data Sheet'!$B$16:$K$31,O$1,0),""),"NA")</f>
        <v>9.16</v>
      </c>
      <c r="P9" s="9">
        <f>IFERROR(IF($C9&lt;&gt;"",HLOOKUP(Model_Input2!$C9,'Data Sheet'!$B$16:$K$31,P$1,0),""),"NA")</f>
        <v>1.73</v>
      </c>
      <c r="Q9" s="9">
        <f>IFERROR(IF($C9&lt;&gt;"",HLOOKUP(Model_Input2!$C9,'Data Sheet'!$B$16:$K$31,Q$1,0),""),"NA")</f>
        <v>6.08</v>
      </c>
      <c r="R9" s="9">
        <f>IFERROR(IF($C9&lt;&gt;"",HLOOKUP(Model_Input2!$C9,'Data Sheet'!$B$16:$K$31,R$1,0),""),"NA")</f>
        <v>0</v>
      </c>
      <c r="S9">
        <f>IFERROR(IF($C9&lt;&gt;"",HLOOKUP(Model_Input2!$C9,'Data Sheet'!$B$56:$K$72,S$1,0),""),"NA")</f>
        <v>10.039999999999999</v>
      </c>
      <c r="T9">
        <f>IFERROR(IF($C9&lt;&gt;"",HLOOKUP(Model_Input2!$C9,'Data Sheet'!$B$56:$K$72,T$1,0),""),"NA")</f>
        <v>51.96</v>
      </c>
      <c r="U9">
        <f>IFERROR(IF($C9&lt;&gt;"",HLOOKUP(Model_Input2!$C9,'Data Sheet'!$B$56:$K$72,U$1,0),""),"NA")</f>
        <v>3.78</v>
      </c>
      <c r="V9">
        <f>IFERROR(IF($C9&lt;&gt;"",HLOOKUP(Model_Input2!$C9,'Data Sheet'!$B$56:$K$72,V$1,0),""),"NA")</f>
        <v>33.78</v>
      </c>
      <c r="W9">
        <f>IFERROR(IF($C9&lt;&gt;"",HLOOKUP(Model_Input2!$C9,'Data Sheet'!$B$56:$K$72,W$1,0),""),"NA")</f>
        <v>99.56</v>
      </c>
      <c r="X9">
        <f>IFERROR(IF($C9&lt;&gt;"",HLOOKUP(Model_Input2!$C9,'Data Sheet'!$B$56:$K$72,X$1,0),""),"NA")</f>
        <v>52.25</v>
      </c>
      <c r="Y9">
        <f>IFERROR(IF($C9&lt;&gt;"",HLOOKUP(Model_Input2!$C9,'Data Sheet'!$B$56:$K$72,Y$1,0),""),"NA")</f>
        <v>19.579999999999998</v>
      </c>
      <c r="Z9">
        <f>IFERROR(IF($C9&lt;&gt;"",HLOOKUP(Model_Input2!$C9,'Data Sheet'!$B$56:$K$72,Z$1,0),""),"NA")</f>
        <v>0</v>
      </c>
      <c r="AA9">
        <f>IFERROR(IF($C9&lt;&gt;"",HLOOKUP(Model_Input2!$C9,'Data Sheet'!$B$56:$K$72,AA$1,0),""),"NA")</f>
        <v>27.73</v>
      </c>
      <c r="AB9">
        <f>IFERROR(IF($C9&lt;&gt;"",HLOOKUP(Model_Input2!$C9,'Data Sheet'!$B$56:$K$72,AB$1,0),""),"NA")</f>
        <v>99.56</v>
      </c>
      <c r="AC9">
        <f>IFERROR(IF($C9&lt;&gt;"",HLOOKUP(Model_Input2!$C9,'Data Sheet'!$B$56:$K$72,AC$1,0),""),"NA")</f>
        <v>13.42</v>
      </c>
      <c r="AD9">
        <f>IFERROR(IF($C9&lt;&gt;"",HLOOKUP(Model_Input2!$C9,'Data Sheet'!$B$56:$K$72,AD$1,0),""),"NA")</f>
        <v>0</v>
      </c>
      <c r="AE9">
        <f>IFERROR(IF($C9&lt;&gt;"",HLOOKUP(Model_Input2!$C9,'Data Sheet'!$B$56:$K$72,AE$1,0),""),"NA")</f>
        <v>4.83</v>
      </c>
      <c r="AF9">
        <f>IFERROR(IF($C9&lt;&gt;"",HLOOKUP(Model_Input2!$C9,'Data Sheet'!$B$56:$K$72,AF$1,0),""),"NA")</f>
        <v>10044102</v>
      </c>
      <c r="AG9">
        <f>IFERROR(IF($C9&lt;&gt;"",HLOOKUP(Model_Input2!$C9,'Data Sheet'!$B$56:$K$72,AG$1,0),""),"NA")</f>
        <v>0</v>
      </c>
      <c r="AH9">
        <f>IFERROR(IF($C9&lt;&gt;"",HLOOKUP(Model_Input2!$C9,'Data Sheet'!$B$56:$K$72,AH$1,0),""),"NA")</f>
        <v>10</v>
      </c>
      <c r="AI9">
        <f>IFERROR(IF($C9&lt;&gt;"",HLOOKUP(Model_Input2!$C9,'Data Sheet'!$B$81:$K$85,AI$1,0),""),"NA")</f>
        <v>12.16</v>
      </c>
      <c r="AJ9">
        <f>IFERROR(IF($C9&lt;&gt;"",HLOOKUP(Model_Input2!$C9,'Data Sheet'!$B$81:$K$85,AJ$1,0),""),"NA")</f>
        <v>-57.5</v>
      </c>
      <c r="AK9">
        <f>IFERROR(IF($C9&lt;&gt;"",HLOOKUP(Model_Input2!$C9,'Data Sheet'!$B$81:$K$85,AK$1,0),""),"NA")</f>
        <v>48.73</v>
      </c>
      <c r="AL9">
        <f>IFERROR(IF($C9&lt;&gt;"",HLOOKUP(Model_Input2!$C9,'Data Sheet'!$B$81:$K$85,AL$1,0),""),"NA")</f>
        <v>3.39</v>
      </c>
      <c r="AM9" s="38">
        <f>IFERROR(IF($C9&lt;&gt;"",HLOOKUP(Model_Input2!$C9,Trend!$B$1:$K$3,AM$1,0),""),"NA")</f>
        <v>40.534210999999999</v>
      </c>
      <c r="AN9" s="38">
        <f>IFERROR(IF($C9&lt;&gt;"",HLOOKUP(Model_Input2!$C9,Trend!$B$1:$K$3,AN$1,0),""),"NA")</f>
        <v>2.7717605000000001</v>
      </c>
      <c r="AO9" s="38">
        <f>IFERROR(IF($C9&lt;&gt;"",HLOOKUP(Model_Input2!$C9,Trend!$B$1:$K$122,AO$1,0),""),"NA")</f>
        <v>65.78</v>
      </c>
      <c r="AP9" s="38">
        <f>IFERROR(IF($C9&lt;&gt;"",HLOOKUP(Model_Input2!$C9,Trend!$B$1:$K$122,AP$1,0),""),"NA")</f>
        <v>6.08</v>
      </c>
      <c r="AQ9" s="38">
        <f>IFERROR(IF($C9&lt;&gt;"",HLOOKUP(Model_Input2!$C9,Trend!$B$1:$K$122,AQ$1,0),""),"NA")</f>
        <v>12.16</v>
      </c>
      <c r="AR9" s="38">
        <f>IFERROR(IF($C9&lt;&gt;"",HLOOKUP(Model_Input2!$C9,Trend!$B$1:$K$122,AR$1,0),""),"NA")</f>
        <v>57.930000000000007</v>
      </c>
      <c r="AS9" s="38">
        <f>IFERROR(IF($C9&lt;&gt;"",HLOOKUP(Model_Input2!$C9,Trend!$B$1:$K$122,AS$1,0),""),"NA")</f>
        <v>0</v>
      </c>
      <c r="AT9" s="38">
        <f>IFERROR(IF($C9&lt;&gt;"",HLOOKUP(Model_Input2!$C9,Trend!$B$1:$K$122,AT$1,0),""),"NA")</f>
        <v>-45.77000000000001</v>
      </c>
      <c r="AU9" s="38">
        <f>IFERROR(IF($C9&lt;&gt;"",HLOOKUP(Model_Input2!$C9,Trend!$B$1:$K$122,AU$1,0),""),"NA")</f>
        <v>111.3011249484655</v>
      </c>
      <c r="AV9" s="256">
        <f>IFERROR(IF($C9&lt;&gt;"",HLOOKUP(Model_Input2!$C9,Trend!$B$1:$K$122,AV$1,0),""),"NA")</f>
        <v>0.68103777184280812</v>
      </c>
      <c r="AW9" s="256">
        <f>IFERROR(IF($C9&lt;&gt;"",HLOOKUP(Model_Input2!$C9,Trend!$B$1:$K$122,AW$1,0),""),"NA")</f>
        <v>0.53148614609571787</v>
      </c>
      <c r="AX9" s="256">
        <f>IFERROR(IF($C9&lt;&gt;"",HLOOKUP(Model_Input2!$C9,Trend!$B$1:$K$122,AX$1,0),""),"NA")</f>
        <v>0.30458465728551976</v>
      </c>
      <c r="AY9" s="256">
        <f>IFERROR(IF($C9&lt;&gt;"",HLOOKUP(Model_Input2!$C9,Trend!$B$1:$K$122,AY$1,0),""),"NA")</f>
        <v>0</v>
      </c>
      <c r="AZ9" s="256">
        <f>IFERROR(IF($C9&lt;&gt;"",HLOOKUP(Model_Input2!$C9,Trend!$B$1:$K$122,AZ$1,0),""),"NA")</f>
        <v>0.1379936450295052</v>
      </c>
      <c r="BA9" s="256">
        <f>IFERROR(IF($C9&lt;&gt;"",HLOOKUP(Model_Input2!$C9,Trend!$B$1:$K$122,BA$1,0),""),"NA")</f>
        <v>0.18886462882096069</v>
      </c>
      <c r="BB9" s="38">
        <f>IFERROR(IF($C9&lt;&gt;"",HLOOKUP(Model_Input2!$C9,Trend!$B$1:$K$122,BB$1,0),""),"NA")</f>
        <v>6.08</v>
      </c>
      <c r="BC9" s="256">
        <f>IFERROR(IF($C9&lt;&gt;"",HLOOKUP(Model_Input2!$C9,Trend!$B$1:$K$122,BC$1,0),""),"NA")</f>
        <v>0</v>
      </c>
      <c r="BD9" s="256">
        <f>IFERROR(IF($C9&lt;&gt;"",HLOOKUP(Model_Input2!$C9,Trend!$B$1:$K$122,BD$1,0),""),"NA")</f>
        <v>0</v>
      </c>
      <c r="BE9" s="256">
        <f>IFERROR(IF($C9&lt;&gt;"",HLOOKUP(Model_Input2!$C9,Trend!$B$1:$K$122,BE$1,0),""),"NA")</f>
        <v>1.1348161597821154E-3</v>
      </c>
      <c r="BF9" s="256">
        <f>IFERROR(IF($C9&lt;&gt;"",HLOOKUP(Model_Input2!$C9,Trend!$B$1:$K$122,BF$1,0),""),"NA")</f>
        <v>2.2696323195642307E-4</v>
      </c>
      <c r="BG9" s="256">
        <f>IFERROR(IF($C9&lt;&gt;"",HLOOKUP(Model_Input2!$C9,Trend!$B$1:$K$122,BG$1,0),""),"NA")</f>
        <v>0.5301861098502042</v>
      </c>
      <c r="BH9" s="256">
        <f>IFERROR(IF($C9&lt;&gt;"",HLOOKUP(Model_Input2!$C9,Trend!$B$1:$K$122,BH$1,0),""),"NA")</f>
        <v>0.15093054925102134</v>
      </c>
      <c r="BI9" s="256">
        <f>IFERROR(IF($C9&lt;&gt;"",HLOOKUP(Model_Input2!$C9,Trend!$B$1:$K$122,BI$1,0),""),"NA")</f>
        <v>4.0853381752156146E-3</v>
      </c>
      <c r="BJ9" s="256">
        <f>IFERROR(IF($C9&lt;&gt;"",HLOOKUP(Model_Input2!$C9,Trend!$B$1:$K$122,BJ$1,0),""),"NA")</f>
        <v>1.1348161597821154E-3</v>
      </c>
      <c r="BK9" s="256">
        <f>IFERROR(IF($C9&lt;&gt;"",HLOOKUP(Model_Input2!$C9,Trend!$B$1:$K$122,BK$1,0),""),"NA")</f>
        <v>9.782115297321832E-2</v>
      </c>
      <c r="BL9" s="256">
        <f>IFERROR(IF($C9&lt;&gt;"",HLOOKUP(Model_Input2!$C9,Trend!$B$1:$K$122,BL$1,0),""),"NA")</f>
        <v>1</v>
      </c>
      <c r="BM9" s="256">
        <f>IFERROR(IF($C9&lt;&gt;"",HLOOKUP(Model_Input2!$C9,Trend!$B$1:$K$122,BM$1,0),""),"NA")</f>
        <v>0.21629596005447116</v>
      </c>
      <c r="BN9" s="256">
        <f>IFERROR(IF($C9&lt;&gt;"",HLOOKUP(Model_Input2!$C9,Trend!$B$1:$K$122,BN$1,0),""),"NA")</f>
        <v>0.1379936450295052</v>
      </c>
      <c r="BO9" s="256">
        <f>IFERROR(IF($C9&lt;&gt;"",HLOOKUP(Model_Input2!$C9,Trend!$B$1:$K$122,BO$1,0),""),"NA")</f>
        <v>0.18886462882096069</v>
      </c>
      <c r="BP9" s="256">
        <f>IFERROR(IF($C9&lt;&gt;"",HLOOKUP(Model_Input2!$C9,Trend!$B$1:$K$122,BP$1,0),""),"NA")</f>
        <v>0.56809963840899957</v>
      </c>
      <c r="BQ9" s="256">
        <f>IFERROR(IF($C9&lt;&gt;"",HLOOKUP(Model_Input2!$C9,Trend!$B$1:$K$122,BQ$1,0),""),"NA")</f>
        <v>0.52480916030534353</v>
      </c>
      <c r="BR9" s="256">
        <f>IFERROR(IF($C9&lt;&gt;"",HLOOKUP(Model_Input2!$C9,Trend!$B$1:$K$122,BR$1,0),""),"NA")</f>
        <v>1.2837040399455288</v>
      </c>
      <c r="BS9" s="256">
        <f>IFERROR(IF($C9&lt;&gt;"",HLOOKUP(Model_Input2!$C9,Trend!$B$1:$K$122,BS$1,0),""),"NA")</f>
        <v>1.1858828869723104</v>
      </c>
      <c r="BT9" s="256">
        <f>IFERROR(IF($C9&lt;&gt;"",HLOOKUP(Model_Input2!$C9,Trend!$B$1:$K$122,BT$1,0),""),"NA")</f>
        <v>0.58186018481317803</v>
      </c>
      <c r="BU9" s="256">
        <f>IFERROR(IF($C9&lt;&gt;"",HLOOKUP(Model_Input2!$C9,Trend!$B$1:$K$122,BU$1,0),""),"NA")</f>
        <v>1.0242220650636493</v>
      </c>
      <c r="BV9" s="256">
        <f>IFERROR(IF($C9&lt;&gt;"",HLOOKUP(Model_Input2!$C9,Trend!$B$1:$K$122,BV$1,0),""),"NA")</f>
        <v>1.1087081339712921</v>
      </c>
      <c r="BW9" s="256">
        <f>IFERROR(IF($C9&lt;&gt;"",HLOOKUP(Model_Input2!$C9,Trend!$B$1:$K$122,BW$1,0),""),"NA")</f>
        <v>0.56809963840899957</v>
      </c>
      <c r="BX9" s="256">
        <f>IFERROR(IF($C9&lt;&gt;"",HLOOKUP(Model_Input2!$C9,Trend!$B$1:$K$122,BX$1,0),""),"NA")</f>
        <v>0.52480916030534353</v>
      </c>
      <c r="BY9" s="256">
        <f>IFERROR(IF($C9&lt;&gt;"",HLOOKUP(Model_Input2!$C9,Trend!$B$1:$K$122,BY$1,0),""),"NA")</f>
        <v>0</v>
      </c>
      <c r="BZ9" s="256">
        <f>IFERROR(IF($C9&lt;&gt;"",HLOOKUP(Model_Input2!$C9,Trend!$B$1:$K$122,BZ$1,0),""),"NA")</f>
        <v>0.27852551225391725</v>
      </c>
      <c r="CA9" s="256">
        <f>IFERROR(IF($C9&lt;&gt;"",HLOOKUP(Model_Input2!$C9,Trend!$B$1:$K$122,CA$1,0),""),"NA")</f>
        <v>0.19666532744073922</v>
      </c>
      <c r="CB9" s="256">
        <f>IFERROR(IF($C9&lt;&gt;"",HLOOKUP(Model_Input2!$C9,Trend!$B$1:$K$122,CB$1,0),""),"NA")</f>
        <v>0.34618104667609612</v>
      </c>
      <c r="CC9" s="256">
        <f>IFERROR(IF($C9&lt;&gt;"",HLOOKUP(Model_Input2!$C9,Trend!$B$1:$K$122,CC$1,0),""),"NA")</f>
        <v>0.37473684210526315</v>
      </c>
      <c r="CD9" s="38">
        <f>IFERROR(IF($C9&lt;&gt;"",HLOOKUP(Model_Input2!$C9,Trend!$B$1:$K$122,CD$1,0),""),"NA")</f>
        <v>0</v>
      </c>
      <c r="CE9" s="38">
        <f>IFERROR(IF($C9&lt;&gt;"",HLOOKUP(Model_Input2!$C9,Trend!$B$1:$K$122,CE$1,0),""),"NA")</f>
        <v>6.096774193548387E-2</v>
      </c>
      <c r="CF9" s="38">
        <f>IFERROR(IF($C9&lt;&gt;"",HLOOKUP(Model_Input2!$C9,Trend!$B$1:$K$122,CF$1,0),""),"NA")</f>
        <v>0.82089994079336881</v>
      </c>
      <c r="CG9" s="38">
        <f>IFERROR(IF($C9&lt;&gt;"",HLOOKUP(Model_Input2!$C9,Trend!$B$1:$K$122,CG$1,0),""),"NA")</f>
        <v>25.756756756756754</v>
      </c>
      <c r="CH9" s="38">
        <f>IFERROR(IF($C9&lt;&gt;"",HLOOKUP(Model_Input2!$C9,Trend!$B$1:$K$122,CH$1,0),""),"NA")</f>
        <v>1.6058064516129034</v>
      </c>
      <c r="CI9" s="38">
        <f>IFERROR(IF($C9&lt;&gt;"",HLOOKUP(Model_Input2!$C9,Trend!$B$1:$K$122,CI$1,0),""),"NA")</f>
        <v>0.82089994079336881</v>
      </c>
      <c r="CJ9" s="38">
        <f>IFERROR(IF($C9&lt;&gt;"",HLOOKUP(Model_Input2!$C9,Trend!$B$1:$K$122,CJ$1,0),""),"NA")</f>
        <v>0.35997631734754293</v>
      </c>
      <c r="CK9" s="256">
        <f>IFERROR(IF($C9&lt;&gt;"",HLOOKUP(Model_Input2!$C9,Trend!$B$1:$K$122,CK$1,0),""),"NA")</f>
        <v>3.2394995531724757E-2</v>
      </c>
      <c r="CL9" s="256">
        <f>IFERROR(IF($C9&lt;&gt;"",HLOOKUP(Model_Input2!$C9,Trend!$B$1:$K$122,CL$1,0),""),"NA")</f>
        <v>1.2777777777777779</v>
      </c>
      <c r="CM9" s="256">
        <f>IFERROR(IF($C9&lt;&gt;"",HLOOKUP(Model_Input2!$C9,Trend!$B$1:$K$122,CM$1,0),""),"NA")</f>
        <v>0.14298401420959148</v>
      </c>
      <c r="CN9" s="256">
        <f>IFERROR(IF($C9&lt;&gt;"",HLOOKUP(Model_Input2!$C9,Trend!$B$1:$K$122,CN$1,0),""),"NA")</f>
        <v>8.9365079365079367</v>
      </c>
      <c r="CO9" s="256">
        <f>IFERROR(IF($C9&lt;&gt;"",HLOOKUP(Model_Input2!$C9,Trend!$B$1:$K$122,CO$1,0),""),"NA")</f>
        <v>7.6202263083451197E-2</v>
      </c>
      <c r="CP9" s="256">
        <f>IFERROR(IF($C9&lt;&gt;"",HLOOKUP(Model_Input2!$C9,Trend!$B$1:$K$122,CP$1,0),""),"NA")</f>
        <v>8.2488038277511957E-2</v>
      </c>
      <c r="CQ9" s="256">
        <f>IFERROR(IF($C9&lt;&gt;"",HLOOKUP(Model_Input2!$C9,Trend!$B$1:$K$122,CQ$1,0),""),"NA")</f>
        <v>4.2990223749121155E-2</v>
      </c>
      <c r="CR9" s="256">
        <f>IFERROR(IF($C9&lt;&gt;"",HLOOKUP(Model_Input2!$C9,Trend!$B$1:$K$122,CR$1,0),""),"NA")</f>
        <v>0</v>
      </c>
      <c r="CS9" s="256">
        <f>IFERROR(IF($C9&lt;&gt;"",HLOOKUP(Model_Input2!$C9,Trend!$B$1:$K$122,CS$1,0),""),"NA")</f>
        <v>-0.13731275533363596</v>
      </c>
      <c r="CT9" s="38">
        <f>IFERROR(IF($C9&lt;&gt;"",HLOOKUP(Model_Input2!$C9,Trend!$B$1:$K$122,CT$1,0),""),"NA")</f>
        <v>111.17339990921471</v>
      </c>
      <c r="CU9" s="38">
        <f>IFERROR(IF($C9&lt;&gt;"",HLOOKUP(Model_Input2!$C9,Trend!$B$1:$K$122,CU$1,0),""),"NA")</f>
        <v>3.2831594634873325</v>
      </c>
      <c r="CV9" s="38">
        <f>IFERROR(IF($C9&lt;&gt;"",HLOOKUP(Model_Input2!$C9,Trend!$B$1:$K$122,CV$1,0),""),"NA")</f>
        <v>0</v>
      </c>
      <c r="CW9" s="38" t="str">
        <f>IFERROR(IF($C9&lt;&gt;"",HLOOKUP(Model_Input2!$C9,Trend!$B$1:$K$122,CW$1,0),""),"NA")</f>
        <v>NA</v>
      </c>
      <c r="CX9" s="256">
        <f>IFERROR(IF($C9&lt;&gt;"",HLOOKUP(Model_Input2!$C9,Trend!$B$1:$K$122,CX$1,0),""),"NA")</f>
        <v>0.12213740458015267</v>
      </c>
      <c r="CY9" s="256">
        <f>IFERROR(IF($C9&lt;&gt;"",HLOOKUP(Model_Input2!$C9,Trend!$B$1:$K$122,CY$1,0),""),"NA")</f>
        <v>0</v>
      </c>
      <c r="CZ9" s="38">
        <f>IFERROR(IF($C9&lt;&gt;"",HLOOKUP(Model_Input2!$C9,Trend!$B$1:$K$122,CZ$1,0),""),"NA")</f>
        <v>9.5922057051024578E-2</v>
      </c>
      <c r="DA9" s="38">
        <f>IFERROR(IF($C9&lt;&gt;"",HLOOKUP(Model_Input2!$C9,Trend!$B$1:$K$122,DA$1,0),""),"NA")</f>
        <v>0.1323447893569846</v>
      </c>
      <c r="DB9" s="256">
        <f>IFERROR(IF($C9&lt;&gt;"",HLOOKUP(Model_Input2!$C9,Trend!$B$1:$K$122,DB$1,0),""),"NA")</f>
        <v>0.13295280523458175</v>
      </c>
      <c r="DC9" s="256">
        <f>IFERROR(IF($C9&lt;&gt;"",HLOOKUP(Model_Input2!$C9,Trend!$B$1:$K$122,DC$1,0),""),"NA")</f>
        <v>0.21212794313638403</v>
      </c>
      <c r="DD9" s="256">
        <f>IFERROR(IF($C9&lt;&gt;"",HLOOKUP(Model_Input2!$C9,Trend!$B$1:$K$122,DD$1,0),""),"NA")</f>
        <v>0</v>
      </c>
      <c r="DE9" s="256">
        <f>IFERROR(IF($C9&lt;&gt;"",HLOOKUP(Model_Input2!$C9,Trend!$B$1:$K$122,DE$1,0),""),"NA")</f>
        <v>0</v>
      </c>
      <c r="DF9" s="256">
        <f>IFERROR(IF($C9&lt;&gt;"",HLOOKUP(Model_Input2!$C9,Trend!$B$1:$K$122,DF$1,0),""),"NA")</f>
        <v>0</v>
      </c>
      <c r="DG9" s="256">
        <f>IFERROR(IF($C9&lt;&gt;"",HLOOKUP(Model_Input2!$C9,Trend!$B$1:$K$122,DG$1,0),""),"NA")</f>
        <v>0</v>
      </c>
      <c r="DH9" s="256">
        <f>IFERROR(IF($C9&lt;&gt;"",HLOOKUP(Model_Input2!$C9,Trend!$B$1:$K$122,DH$1,0),""),"NA")</f>
        <v>0</v>
      </c>
      <c r="DI9" s="256">
        <f>IFERROR(IF($C9&lt;&gt;"",HLOOKUP(Model_Input2!$C9,Trend!$B$1:$K$122,DI$1,0),""),"NA")</f>
        <v>0</v>
      </c>
      <c r="DJ9" s="38">
        <f>IFERROR(IF($C9&lt;&gt;"",HLOOKUP(Model_Input2!$C9,Trend!$B$1:$K$122,DJ$1,0),""),"NA")</f>
        <v>0</v>
      </c>
      <c r="DK9" s="38">
        <f>IFERROR(IF($C9&lt;&gt;"",HLOOKUP(Model_Input2!$C9,Trend!$B$1:$K$122,DK$1,0),""),"NA")</f>
        <v>0</v>
      </c>
      <c r="DL9" s="256">
        <f>IFERROR(IF($C9&lt;&gt;"",HLOOKUP(Model_Input2!$C9,Trend!$B$1:$K$122,DL$1,0),""),"NA")</f>
        <v>0</v>
      </c>
      <c r="DM9" s="256">
        <f>IFERROR(IF($C9&lt;&gt;"",HLOOKUP(Model_Input2!$C9,Trend!$B$1:$K$122,DM$1,0),""),"NA")</f>
        <v>0</v>
      </c>
      <c r="DN9" s="256">
        <f>IFERROR(IF($C9&lt;&gt;"",HLOOKUP(Model_Input2!$C9,Trend!$B$1:$K$122,DN$1,0),""),"NA")</f>
        <v>0</v>
      </c>
      <c r="DO9" s="256">
        <f>IFERROR(IF($C9&lt;&gt;"",HLOOKUP(Model_Input2!$C9,Trend!$B$1:$K$122,DO$1,0),""),"NA")</f>
        <v>0</v>
      </c>
      <c r="DP9" s="256">
        <f>IFERROR(IF($C9&lt;&gt;"",HLOOKUP(Model_Input2!$C9,Trend!$B$1:$K$122,DP$1,0),""),"NA")</f>
        <v>0</v>
      </c>
      <c r="DQ9" s="256">
        <f>IFERROR(IF($C9&lt;&gt;"",HLOOKUP(Model_Input2!$C9,Trend!$B$1:$K$122,DQ$1,0),""),"NA")</f>
        <v>0</v>
      </c>
      <c r="DR9" s="256">
        <f>IFERROR(IF($C9&lt;&gt;"",HLOOKUP(Model_Input2!$C9,Trend!$B$1:$K$122,DR$1,0),""),"NA")</f>
        <v>0</v>
      </c>
      <c r="DS9" s="256">
        <f>IFERROR(IF($C9&lt;&gt;"",HLOOKUP(Model_Input2!$C9,Trend!$B$1:$K$122,DS$1,0),""),"NA")</f>
        <v>0</v>
      </c>
      <c r="DT9" s="256">
        <f>IFERROR(IF($C9&lt;&gt;"",HLOOKUP(Model_Input2!$C9,Trend!$B$1:$K$122,DT$1,0),""),"NA")</f>
        <v>6.1068702290076333E-2</v>
      </c>
      <c r="DU9" s="256">
        <f>IFERROR(IF($C9&lt;&gt;"",HLOOKUP(Model_Input2!$C9,Trend!$B$1:$K$122,DU$1,0),""),"NA")</f>
        <v>0.44254720771394135</v>
      </c>
      <c r="DV9" s="256">
        <f>IFERROR(IF($C9&lt;&gt;"",HLOOKUP(Model_Input2!$C9,Trend!$B$1:$K$122,DV$1,0),""),"NA")</f>
        <v>0.84325358851674648</v>
      </c>
      <c r="DW9" s="256">
        <f>IFERROR(IF($C9&lt;&gt;"",HLOOKUP(Model_Input2!$C9,Trend!$B$1:$K$122,DW$1,0),""),"NA")</f>
        <v>2</v>
      </c>
      <c r="DX9" s="256">
        <f>IFERROR(IF($C9&lt;&gt;"",HLOOKUP(Model_Input2!$C9,Trend!$B$1:$K$122,DX$1,0),""),"NA")</f>
        <v>0.2759872900590104</v>
      </c>
      <c r="DY9" s="256">
        <f>IFERROR(IF($C9&lt;&gt;"",HLOOKUP(Model_Input2!$C9,Trend!$B$1:$K$122,DY$1,0),""),"NA")</f>
        <v>9.5279605263157912</v>
      </c>
    </row>
    <row r="10" spans="1:129" x14ac:dyDescent="0.25">
      <c r="A10" t="str">
        <f t="shared" si="2"/>
        <v>8K MILES SOFTWARE SERVICES LTD3132015</v>
      </c>
      <c r="B10" t="str">
        <f>IF(C10&lt;&gt;"",'Data Sheet'!$B$1,"")</f>
        <v>8K MILES SOFTWARE SERVICES LTD</v>
      </c>
      <c r="C10" s="255">
        <f>'Data Sheet'!H16</f>
        <v>42094</v>
      </c>
      <c r="D10" s="9">
        <f>IF($C10&lt;&gt;"",HLOOKUP(Model_Input2!$C10,'Data Sheet'!$B$16:$K$31,D$1,0),"")</f>
        <v>124.85</v>
      </c>
      <c r="E10" s="9">
        <f>IFERROR(IF($C10&lt;&gt;"",HLOOKUP(Model_Input2!$C10,'Data Sheet'!$B$16:$K$31,E$1,0),""),"NA")</f>
        <v>0</v>
      </c>
      <c r="F10" s="9">
        <f>IFERROR(IF($C10&lt;&gt;"",HLOOKUP(Model_Input2!$C10,'Data Sheet'!$B$16:$K$31,F$1,0),""),"NA")</f>
        <v>0</v>
      </c>
      <c r="G10" s="9">
        <f>IFERROR(IF($C10&lt;&gt;"",HLOOKUP(Model_Input2!$C10,'Data Sheet'!$B$16:$K$31,G$1,0),""),"NA")</f>
        <v>0</v>
      </c>
      <c r="H10" s="9">
        <f>IFERROR(IF($C10&lt;&gt;"",HLOOKUP(Model_Input2!$C10,'Data Sheet'!$B$16:$K$31,H$1,0),""),"NA")</f>
        <v>0</v>
      </c>
      <c r="I10" s="9">
        <f>IFERROR(IF($C10&lt;&gt;"",HLOOKUP(Model_Input2!$C10,'Data Sheet'!$B$16:$K$31,I$1,0),""),"NA")</f>
        <v>56.65</v>
      </c>
      <c r="J10" s="9">
        <f>IFERROR(IF($C10&lt;&gt;"",HLOOKUP(Model_Input2!$C10,'Data Sheet'!$B$16:$K$31,J$1,0),""),"NA")</f>
        <v>29.93</v>
      </c>
      <c r="K10" s="9">
        <f>IFERROR(IF($C10&lt;&gt;"",HLOOKUP(Model_Input2!$C10,'Data Sheet'!$B$16:$K$31,K$1,0),""),"NA")</f>
        <v>0</v>
      </c>
      <c r="L10" s="9">
        <f>IFERROR(IF($C10&lt;&gt;"",HLOOKUP(Model_Input2!$C10,'Data Sheet'!$B$16:$K$31,L$1,0),""),"NA")</f>
        <v>0.28999999999999998</v>
      </c>
      <c r="M10" s="9">
        <f>IFERROR(IF($C10&lt;&gt;"",HLOOKUP(Model_Input2!$C10,'Data Sheet'!$B$16:$K$31,M$1,0),""),"NA")</f>
        <v>9.1199999999999992</v>
      </c>
      <c r="N10" s="9">
        <f>IFERROR(IF($C10&lt;&gt;"",HLOOKUP(Model_Input2!$C10,'Data Sheet'!$B$16:$K$31,N$1,0),""),"NA")</f>
        <v>0.45</v>
      </c>
      <c r="O10" s="9">
        <f>IFERROR(IF($C10&lt;&gt;"",HLOOKUP(Model_Input2!$C10,'Data Sheet'!$B$16:$K$31,O$1,0),""),"NA")</f>
        <v>28.99</v>
      </c>
      <c r="P10" s="9">
        <f>IFERROR(IF($C10&lt;&gt;"",HLOOKUP(Model_Input2!$C10,'Data Sheet'!$B$16:$K$31,P$1,0),""),"NA")</f>
        <v>5.9</v>
      </c>
      <c r="Q10" s="9">
        <f>IFERROR(IF($C10&lt;&gt;"",HLOOKUP(Model_Input2!$C10,'Data Sheet'!$B$16:$K$31,Q$1,0),""),"NA")</f>
        <v>18.98</v>
      </c>
      <c r="R10" s="9">
        <f>IFERROR(IF($C10&lt;&gt;"",HLOOKUP(Model_Input2!$C10,'Data Sheet'!$B$16:$K$31,R$1,0),""),"NA")</f>
        <v>0</v>
      </c>
      <c r="S10">
        <f>IFERROR(IF($C10&lt;&gt;"",HLOOKUP(Model_Input2!$C10,'Data Sheet'!$B$56:$K$72,S$1,0),""),"NA")</f>
        <v>10.34</v>
      </c>
      <c r="T10">
        <f>IFERROR(IF($C10&lt;&gt;"",HLOOKUP(Model_Input2!$C10,'Data Sheet'!$B$56:$K$72,T$1,0),""),"NA")</f>
        <v>89.44</v>
      </c>
      <c r="U10">
        <f>IFERROR(IF($C10&lt;&gt;"",HLOOKUP(Model_Input2!$C10,'Data Sheet'!$B$56:$K$72,U$1,0),""),"NA")</f>
        <v>7.0000000000000007E-2</v>
      </c>
      <c r="V10">
        <f>IFERROR(IF($C10&lt;&gt;"",HLOOKUP(Model_Input2!$C10,'Data Sheet'!$B$56:$K$72,V$1,0),""),"NA")</f>
        <v>52</v>
      </c>
      <c r="W10">
        <f>IFERROR(IF($C10&lt;&gt;"",HLOOKUP(Model_Input2!$C10,'Data Sheet'!$B$56:$K$72,W$1,0),""),"NA")</f>
        <v>151.85</v>
      </c>
      <c r="X10">
        <f>IFERROR(IF($C10&lt;&gt;"",HLOOKUP(Model_Input2!$C10,'Data Sheet'!$B$56:$K$72,X$1,0),""),"NA")</f>
        <v>79.12</v>
      </c>
      <c r="Y10">
        <f>IFERROR(IF($C10&lt;&gt;"",HLOOKUP(Model_Input2!$C10,'Data Sheet'!$B$56:$K$72,Y$1,0),""),"NA")</f>
        <v>19.899999999999999</v>
      </c>
      <c r="Z10">
        <f>IFERROR(IF($C10&lt;&gt;"",HLOOKUP(Model_Input2!$C10,'Data Sheet'!$B$56:$K$72,Z$1,0),""),"NA")</f>
        <v>0</v>
      </c>
      <c r="AA10">
        <f>IFERROR(IF($C10&lt;&gt;"",HLOOKUP(Model_Input2!$C10,'Data Sheet'!$B$56:$K$72,AA$1,0),""),"NA")</f>
        <v>52.83</v>
      </c>
      <c r="AB10">
        <f>IFERROR(IF($C10&lt;&gt;"",HLOOKUP(Model_Input2!$C10,'Data Sheet'!$B$56:$K$72,AB$1,0),""),"NA")</f>
        <v>151.85</v>
      </c>
      <c r="AC10">
        <f>IFERROR(IF($C10&lt;&gt;"",HLOOKUP(Model_Input2!$C10,'Data Sheet'!$B$56:$K$72,AC$1,0),""),"NA")</f>
        <v>28.14</v>
      </c>
      <c r="AD10">
        <f>IFERROR(IF($C10&lt;&gt;"",HLOOKUP(Model_Input2!$C10,'Data Sheet'!$B$56:$K$72,AD$1,0),""),"NA")</f>
        <v>0</v>
      </c>
      <c r="AE10">
        <f>IFERROR(IF($C10&lt;&gt;"",HLOOKUP(Model_Input2!$C10,'Data Sheet'!$B$56:$K$72,AE$1,0),""),"NA")</f>
        <v>14.78</v>
      </c>
      <c r="AF10">
        <f>IFERROR(IF($C10&lt;&gt;"",HLOOKUP(Model_Input2!$C10,'Data Sheet'!$B$56:$K$72,AF$1,0),""),"NA")</f>
        <v>10344102</v>
      </c>
      <c r="AG10">
        <f>IFERROR(IF($C10&lt;&gt;"",HLOOKUP(Model_Input2!$C10,'Data Sheet'!$B$56:$K$72,AG$1,0),""),"NA")</f>
        <v>0</v>
      </c>
      <c r="AH10">
        <f>IFERROR(IF($C10&lt;&gt;"",HLOOKUP(Model_Input2!$C10,'Data Sheet'!$B$56:$K$72,AH$1,0),""),"NA")</f>
        <v>10</v>
      </c>
      <c r="AI10">
        <f>IFERROR(IF($C10&lt;&gt;"",HLOOKUP(Model_Input2!$C10,'Data Sheet'!$B$81:$K$85,AI$1,0),""),"NA")</f>
        <v>26.08</v>
      </c>
      <c r="AJ10">
        <f>IFERROR(IF($C10&lt;&gt;"",HLOOKUP(Model_Input2!$C10,'Data Sheet'!$B$81:$K$85,AJ$1,0),""),"NA")</f>
        <v>-36.65</v>
      </c>
      <c r="AK10">
        <f>IFERROR(IF($C10&lt;&gt;"",HLOOKUP(Model_Input2!$C10,'Data Sheet'!$B$81:$K$85,AK$1,0),""),"NA")</f>
        <v>20.52</v>
      </c>
      <c r="AL10">
        <f>IFERROR(IF($C10&lt;&gt;"",HLOOKUP(Model_Input2!$C10,'Data Sheet'!$B$81:$K$85,AL$1,0),""),"NA")</f>
        <v>9.9499999999999993</v>
      </c>
      <c r="AM10" s="38">
        <f>IFERROR(IF($C10&lt;&gt;"",HLOOKUP(Model_Input2!$C10,Trend!$B$1:$K$3,AM$1,0),""),"NA")</f>
        <v>275.565</v>
      </c>
      <c r="AN10" s="38">
        <f>IFERROR(IF($C10&lt;&gt;"",HLOOKUP(Model_Input2!$C10,Trend!$B$1:$K$3,AN$1,0),""),"NA")</f>
        <v>2.8317605000000001</v>
      </c>
      <c r="AO10" s="38">
        <f>IFERROR(IF($C10&lt;&gt;"",HLOOKUP(Model_Input2!$C10,Trend!$B$1:$K$122,AO$1,0),""),"NA")</f>
        <v>99.85</v>
      </c>
      <c r="AP10" s="38">
        <f>IFERROR(IF($C10&lt;&gt;"",HLOOKUP(Model_Input2!$C10,Trend!$B$1:$K$122,AP$1,0),""),"NA")</f>
        <v>18.98</v>
      </c>
      <c r="AQ10" s="38">
        <f>IFERROR(IF($C10&lt;&gt;"",HLOOKUP(Model_Input2!$C10,Trend!$B$1:$K$122,AQ$1,0),""),"NA")</f>
        <v>26.08</v>
      </c>
      <c r="AR10" s="38">
        <f>IFERROR(IF($C10&lt;&gt;"",HLOOKUP(Model_Input2!$C10,Trend!$B$1:$K$122,AR$1,0),""),"NA")</f>
        <v>36.31</v>
      </c>
      <c r="AS10" s="38">
        <f>IFERROR(IF($C10&lt;&gt;"",HLOOKUP(Model_Input2!$C10,Trend!$B$1:$K$122,AS$1,0),""),"NA")</f>
        <v>0</v>
      </c>
      <c r="AT10" s="38">
        <f>IFERROR(IF($C10&lt;&gt;"",HLOOKUP(Model_Input2!$C10,Trend!$B$1:$K$122,AT$1,0),""),"NA")</f>
        <v>-10.230000000000004</v>
      </c>
      <c r="AU10" s="38">
        <f>IFERROR(IF($C10&lt;&gt;"",HLOOKUP(Model_Input2!$C10,Trend!$B$1:$K$122,AU$1,0),""),"NA")</f>
        <v>765.62408218250016</v>
      </c>
      <c r="AV10" s="256">
        <f>IFERROR(IF($C10&lt;&gt;"",HLOOKUP(Model_Input2!$C10,Trend!$B$1:$K$122,AV$1,0),""),"NA")</f>
        <v>1.8336359509759417</v>
      </c>
      <c r="AW10" s="256">
        <f>IFERROR(IF($C10&lt;&gt;"",HLOOKUP(Model_Input2!$C10,Trend!$B$1:$K$122,AW$1,0),""),"NA")</f>
        <v>2.1217105263157894</v>
      </c>
      <c r="AX10" s="256">
        <f>IFERROR(IF($C10&lt;&gt;"",HLOOKUP(Model_Input2!$C10,Trend!$B$1:$K$122,AX$1,0),""),"NA")</f>
        <v>0.22539046856227474</v>
      </c>
      <c r="AY10" s="256">
        <f>IFERROR(IF($C10&lt;&gt;"",HLOOKUP(Model_Input2!$C10,Trend!$B$1:$K$122,AY$1,0),""),"NA")</f>
        <v>0</v>
      </c>
      <c r="AZ10" s="256">
        <f>IFERROR(IF($C10&lt;&gt;"",HLOOKUP(Model_Input2!$C10,Trend!$B$1:$K$122,AZ$1,0),""),"NA")</f>
        <v>0.15202242691229476</v>
      </c>
      <c r="BA10" s="256">
        <f>IFERROR(IF($C10&lt;&gt;"",HLOOKUP(Model_Input2!$C10,Trend!$B$1:$K$122,BA$1,0),""),"NA")</f>
        <v>0.20351845463953089</v>
      </c>
      <c r="BB10" s="38">
        <f>IFERROR(IF($C10&lt;&gt;"",HLOOKUP(Model_Input2!$C10,Trend!$B$1:$K$122,BB$1,0),""),"NA")</f>
        <v>7.0999999999999979</v>
      </c>
      <c r="BC10" s="256">
        <f>IFERROR(IF($C10&lt;&gt;"",HLOOKUP(Model_Input2!$C10,Trend!$B$1:$K$122,BC$1,0),""),"NA")</f>
        <v>0</v>
      </c>
      <c r="BD10" s="256">
        <f>IFERROR(IF($C10&lt;&gt;"",HLOOKUP(Model_Input2!$C10,Trend!$B$1:$K$122,BD$1,0),""),"NA")</f>
        <v>0</v>
      </c>
      <c r="BE10" s="256">
        <f>IFERROR(IF($C10&lt;&gt;"",HLOOKUP(Model_Input2!$C10,Trend!$B$1:$K$122,BE$1,0),""),"NA")</f>
        <v>0</v>
      </c>
      <c r="BF10" s="256">
        <f>IFERROR(IF($C10&lt;&gt;"",HLOOKUP(Model_Input2!$C10,Trend!$B$1:$K$122,BF$1,0),""),"NA")</f>
        <v>0</v>
      </c>
      <c r="BG10" s="256">
        <f>IFERROR(IF($C10&lt;&gt;"",HLOOKUP(Model_Input2!$C10,Trend!$B$1:$K$122,BG$1,0),""),"NA")</f>
        <v>0.45374449339207051</v>
      </c>
      <c r="BH10" s="256">
        <f>IFERROR(IF($C10&lt;&gt;"",HLOOKUP(Model_Input2!$C10,Trend!$B$1:$K$122,BH$1,0),""),"NA")</f>
        <v>0.23972767320784943</v>
      </c>
      <c r="BI10" s="256">
        <f>IFERROR(IF($C10&lt;&gt;"",HLOOKUP(Model_Input2!$C10,Trend!$B$1:$K$122,BI$1,0),""),"NA")</f>
        <v>0</v>
      </c>
      <c r="BJ10" s="256">
        <f>IFERROR(IF($C10&lt;&gt;"",HLOOKUP(Model_Input2!$C10,Trend!$B$1:$K$122,BJ$1,0),""),"NA")</f>
        <v>2.3227873448137767E-3</v>
      </c>
      <c r="BK10" s="256">
        <f>IFERROR(IF($C10&lt;&gt;"",HLOOKUP(Model_Input2!$C10,Trend!$B$1:$K$122,BK$1,0),""),"NA")</f>
        <v>7.3047657188626353E-2</v>
      </c>
      <c r="BL10" s="256">
        <f>IFERROR(IF($C10&lt;&gt;"",HLOOKUP(Model_Input2!$C10,Trend!$B$1:$K$122,BL$1,0),""),"NA")</f>
        <v>1</v>
      </c>
      <c r="BM10" s="256">
        <f>IFERROR(IF($C10&lt;&gt;"",HLOOKUP(Model_Input2!$C10,Trend!$B$1:$K$122,BM$1,0),""),"NA")</f>
        <v>0.23580296355626751</v>
      </c>
      <c r="BN10" s="256">
        <f>IFERROR(IF($C10&lt;&gt;"",HLOOKUP(Model_Input2!$C10,Trend!$B$1:$K$122,BN$1,0),""),"NA")</f>
        <v>0.15202242691229476</v>
      </c>
      <c r="BO10" s="256">
        <f>IFERROR(IF($C10&lt;&gt;"",HLOOKUP(Model_Input2!$C10,Trend!$B$1:$K$122,BO$1,0),""),"NA")</f>
        <v>0.20351845463953089</v>
      </c>
      <c r="BP10" s="256">
        <f>IFERROR(IF($C10&lt;&gt;"",HLOOKUP(Model_Input2!$C10,Trend!$B$1:$K$122,BP$1,0),""),"NA")</f>
        <v>0.58109976950938436</v>
      </c>
      <c r="BQ10" s="256">
        <f>IFERROR(IF($C10&lt;&gt;"",HLOOKUP(Model_Input2!$C10,Trend!$B$1:$K$122,BQ$1,0),""),"NA")</f>
        <v>0.52104050049390849</v>
      </c>
      <c r="BR10" s="256">
        <f>IFERROR(IF($C10&lt;&gt;"",HLOOKUP(Model_Input2!$C10,Trend!$B$1:$K$122,BR$1,0),""),"NA")</f>
        <v>0.70676812174609538</v>
      </c>
      <c r="BS10" s="256">
        <f>IFERROR(IF($C10&lt;&gt;"",HLOOKUP(Model_Input2!$C10,Trend!$B$1:$K$122,BS$1,0),""),"NA")</f>
        <v>0.633720464557469</v>
      </c>
      <c r="BT10" s="256">
        <f>IFERROR(IF($C10&lt;&gt;"",HLOOKUP(Model_Input2!$C10,Trend!$B$1:$K$122,BT$1,0),""),"NA")</f>
        <v>0.23911755021402703</v>
      </c>
      <c r="BU10" s="256">
        <f>IFERROR(IF($C10&lt;&gt;"",HLOOKUP(Model_Input2!$C10,Trend!$B$1:$K$122,BU$1,0),""),"NA")</f>
        <v>0.4114913871260199</v>
      </c>
      <c r="BV10" s="256">
        <f>IFERROR(IF($C10&lt;&gt;"",HLOOKUP(Model_Input2!$C10,Trend!$B$1:$K$122,BV$1,0),""),"NA")</f>
        <v>0.45892315470171891</v>
      </c>
      <c r="BW10" s="256">
        <f>IFERROR(IF($C10&lt;&gt;"",HLOOKUP(Model_Input2!$C10,Trend!$B$1:$K$122,BW$1,0),""),"NA")</f>
        <v>0.58109976950938436</v>
      </c>
      <c r="BX10" s="256">
        <f>IFERROR(IF($C10&lt;&gt;"",HLOOKUP(Model_Input2!$C10,Trend!$B$1:$K$122,BX$1,0),""),"NA")</f>
        <v>0.52104050049390849</v>
      </c>
      <c r="BY10" s="256">
        <f>IFERROR(IF($C10&lt;&gt;"",HLOOKUP(Model_Input2!$C10,Trend!$B$1:$K$122,BY$1,0),""),"NA")</f>
        <v>0</v>
      </c>
      <c r="BZ10" s="256">
        <f>IFERROR(IF($C10&lt;&gt;"",HLOOKUP(Model_Input2!$C10,Trend!$B$1:$K$122,BZ$1,0),""),"NA")</f>
        <v>0.34790912084293713</v>
      </c>
      <c r="CA10" s="256">
        <f>IFERROR(IF($C10&lt;&gt;"",HLOOKUP(Model_Input2!$C10,Trend!$B$1:$K$122,CA$1,0),""),"NA")</f>
        <v>0.13105037866315442</v>
      </c>
      <c r="CB10" s="256">
        <f>IFERROR(IF($C10&lt;&gt;"",HLOOKUP(Model_Input2!$C10,Trend!$B$1:$K$122,CB$1,0),""),"NA")</f>
        <v>0.22552130553037167</v>
      </c>
      <c r="CC10" s="256">
        <f>IFERROR(IF($C10&lt;&gt;"",HLOOKUP(Model_Input2!$C10,Trend!$B$1:$K$122,CC$1,0),""),"NA")</f>
        <v>0.25151668351870571</v>
      </c>
      <c r="CD10" s="38">
        <f>IFERROR(IF($C10&lt;&gt;"",HLOOKUP(Model_Input2!$C10,Trend!$B$1:$K$122,CD$1,0),""),"NA")</f>
        <v>0</v>
      </c>
      <c r="CE10" s="38">
        <f>IFERROR(IF($C10&lt;&gt;"",HLOOKUP(Model_Input2!$C10,Trend!$B$1:$K$122,CE$1,0),""),"NA")</f>
        <v>7.0154339547003411E-4</v>
      </c>
      <c r="CF10" s="38">
        <f>IFERROR(IF($C10&lt;&gt;"",HLOOKUP(Model_Input2!$C10,Trend!$B$1:$K$122,CF$1,0),""),"NA")</f>
        <v>1.0159615384615384</v>
      </c>
      <c r="CG10" s="38">
        <f>IFERROR(IF($C10&lt;&gt;"",HLOOKUP(Model_Input2!$C10,Trend!$B$1:$K$122,CG$1,0),""),"NA")</f>
        <v>65.422222222222217</v>
      </c>
      <c r="CH10" s="38">
        <f>IFERROR(IF($C10&lt;&gt;"",HLOOKUP(Model_Input2!$C10,Trend!$B$1:$K$122,CH$1,0),""),"NA")</f>
        <v>1.521848065744638</v>
      </c>
      <c r="CI10" s="38">
        <f>IFERROR(IF($C10&lt;&gt;"",HLOOKUP(Model_Input2!$C10,Trend!$B$1:$K$122,CI$1,0),""),"NA")</f>
        <v>1.0159615384615384</v>
      </c>
      <c r="CJ10" s="38">
        <f>IFERROR(IF($C10&lt;&gt;"",HLOOKUP(Model_Input2!$C10,Trend!$B$1:$K$122,CJ$1,0),""),"NA")</f>
        <v>0.50153846153846149</v>
      </c>
      <c r="CK10" s="256">
        <f>IFERROR(IF($C10&lt;&gt;"",HLOOKUP(Model_Input2!$C10,Trend!$B$1:$K$122,CK$1,0),""),"NA")</f>
        <v>4.8513459220570508E-2</v>
      </c>
      <c r="CL10" s="256">
        <f>IFERROR(IF($C10&lt;&gt;"",HLOOKUP(Model_Input2!$C10,Trend!$B$1:$K$122,CL$1,0),""),"NA")</f>
        <v>211.14285714285711</v>
      </c>
      <c r="CM10" s="256">
        <f>IFERROR(IF($C10&lt;&gt;"",HLOOKUP(Model_Input2!$C10,Trend!$B$1:$K$122,CM$1,0),""),"NA")</f>
        <v>0.28423076923076923</v>
      </c>
      <c r="CN10" s="256">
        <f>IFERROR(IF($C10&lt;&gt;"",HLOOKUP(Model_Input2!$C10,Trend!$B$1:$K$122,CN$1,0),""),"NA")</f>
        <v>742.85714285714278</v>
      </c>
      <c r="CO10" s="256">
        <f>IFERROR(IF($C10&lt;&gt;"",HLOOKUP(Model_Input2!$C10,Trend!$B$1:$K$122,CO$1,0),""),"NA")</f>
        <v>0.10335448776065274</v>
      </c>
      <c r="CP10" s="256">
        <f>IFERROR(IF($C10&lt;&gt;"",HLOOKUP(Model_Input2!$C10,Trend!$B$1:$K$122,CP$1,0),""),"NA")</f>
        <v>0.115267947421638</v>
      </c>
      <c r="CQ10" s="256">
        <f>IFERROR(IF($C10&lt;&gt;"",HLOOKUP(Model_Input2!$C10,Trend!$B$1:$K$122,CQ$1,0),""),"NA")</f>
        <v>1.8940605488692901E-2</v>
      </c>
      <c r="CR10" s="256">
        <f>IFERROR(IF($C10&lt;&gt;"",HLOOKUP(Model_Input2!$C10,Trend!$B$1:$K$122,CR$1,0),""),"NA")</f>
        <v>0</v>
      </c>
      <c r="CS10" s="256">
        <f>IFERROR(IF($C10&lt;&gt;"",HLOOKUP(Model_Input2!$C10,Trend!$B$1:$K$122,CS$1,0),""),"NA")</f>
        <v>6.6479775730876921E-3</v>
      </c>
      <c r="CT10" s="38">
        <f>IFERROR(IF($C10&lt;&gt;"",HLOOKUP(Model_Input2!$C10,Trend!$B$1:$K$122,CT$1,0),""),"NA")</f>
        <v>82.26752102523028</v>
      </c>
      <c r="CU10" s="38">
        <f>IFERROR(IF($C10&lt;&gt;"",HLOOKUP(Model_Input2!$C10,Trend!$B$1:$K$122,CU$1,0),""),"NA")</f>
        <v>4.4367448471926085</v>
      </c>
      <c r="CV10" s="38">
        <f>IFERROR(IF($C10&lt;&gt;"",HLOOKUP(Model_Input2!$C10,Trend!$B$1:$K$122,CV$1,0),""),"NA")</f>
        <v>0</v>
      </c>
      <c r="CW10" s="38" t="str">
        <f>IFERROR(IF($C10&lt;&gt;"",HLOOKUP(Model_Input2!$C10,Trend!$B$1:$K$122,CW$1,0),""),"NA")</f>
        <v>NA</v>
      </c>
      <c r="CX10" s="256">
        <f>IFERROR(IF($C10&lt;&gt;"",HLOOKUP(Model_Input2!$C10,Trend!$B$1:$K$122,CX$1,0),""),"NA")</f>
        <v>0.17174843595653605</v>
      </c>
      <c r="CY10" s="256">
        <f>IFERROR(IF($C10&lt;&gt;"",HLOOKUP(Model_Input2!$C10,Trend!$B$1:$K$122,CY$1,0),""),"NA")</f>
        <v>0</v>
      </c>
      <c r="CZ10" s="38">
        <f>IFERROR(IF($C10&lt;&gt;"",HLOOKUP(Model_Input2!$C10,Trend!$B$1:$K$122,CZ$1,0),""),"NA")</f>
        <v>0.19387553506750077</v>
      </c>
      <c r="DA10" s="38">
        <f>IFERROR(IF($C10&lt;&gt;"",HLOOKUP(Model_Input2!$C10,Trend!$B$1:$K$122,DA$1,0),""),"NA")</f>
        <v>0.23419911698023144</v>
      </c>
      <c r="DB10" s="256">
        <f>IFERROR(IF($C10&lt;&gt;"",HLOOKUP(Model_Input2!$C10,Trend!$B$1:$K$122,DB$1,0),""),"NA")</f>
        <v>0.29731367400525133</v>
      </c>
      <c r="DC10" s="256">
        <f>IFERROR(IF($C10&lt;&gt;"",HLOOKUP(Model_Input2!$C10,Trend!$B$1:$K$122,DC$1,0),""),"NA")</f>
        <v>0.34462979221539347</v>
      </c>
      <c r="DD10" s="256">
        <f>IFERROR(IF($C10&lt;&gt;"",HLOOKUP(Model_Input2!$C10,Trend!$B$1:$K$122,DD$1,0),""),"NA")</f>
        <v>0</v>
      </c>
      <c r="DE10" s="256">
        <f>IFERROR(IF($C10&lt;&gt;"",HLOOKUP(Model_Input2!$C10,Trend!$B$1:$K$122,DE$1,0),""),"NA")</f>
        <v>0</v>
      </c>
      <c r="DF10" s="256">
        <f>IFERROR(IF($C10&lt;&gt;"",HLOOKUP(Model_Input2!$C10,Trend!$B$1:$K$122,DF$1,0),""),"NA")</f>
        <v>0</v>
      </c>
      <c r="DG10" s="256">
        <f>IFERROR(IF($C10&lt;&gt;"",HLOOKUP(Model_Input2!$C10,Trend!$B$1:$K$122,DG$1,0),""),"NA")</f>
        <v>0</v>
      </c>
      <c r="DH10" s="256">
        <f>IFERROR(IF($C10&lt;&gt;"",HLOOKUP(Model_Input2!$C10,Trend!$B$1:$K$122,DH$1,0),""),"NA")</f>
        <v>0</v>
      </c>
      <c r="DI10" s="256">
        <f>IFERROR(IF($C10&lt;&gt;"",HLOOKUP(Model_Input2!$C10,Trend!$B$1:$K$122,DI$1,0),""),"NA")</f>
        <v>0</v>
      </c>
      <c r="DJ10" s="38">
        <f>IFERROR(IF($C10&lt;&gt;"",HLOOKUP(Model_Input2!$C10,Trend!$B$1:$K$122,DJ$1,0),""),"NA")</f>
        <v>0</v>
      </c>
      <c r="DK10" s="38">
        <f>IFERROR(IF($C10&lt;&gt;"",HLOOKUP(Model_Input2!$C10,Trend!$B$1:$K$122,DK$1,0),""),"NA")</f>
        <v>0</v>
      </c>
      <c r="DL10" s="256">
        <f>IFERROR(IF($C10&lt;&gt;"",HLOOKUP(Model_Input2!$C10,Trend!$B$1:$K$122,DL$1,0),""),"NA")</f>
        <v>0</v>
      </c>
      <c r="DM10" s="256">
        <f>IFERROR(IF($C10&lt;&gt;"",HLOOKUP(Model_Input2!$C10,Trend!$B$1:$K$122,DM$1,0),""),"NA")</f>
        <v>0</v>
      </c>
      <c r="DN10" s="256">
        <f>IFERROR(IF($C10&lt;&gt;"",HLOOKUP(Model_Input2!$C10,Trend!$B$1:$K$122,DN$1,0),""),"NA")</f>
        <v>0</v>
      </c>
      <c r="DO10" s="256">
        <f>IFERROR(IF($C10&lt;&gt;"",HLOOKUP(Model_Input2!$C10,Trend!$B$1:$K$122,DO$1,0),""),"NA")</f>
        <v>0</v>
      </c>
      <c r="DP10" s="256">
        <f>IFERROR(IF($C10&lt;&gt;"",HLOOKUP(Model_Input2!$C10,Trend!$B$1:$K$122,DP$1,0),""),"NA")</f>
        <v>0</v>
      </c>
      <c r="DQ10" s="256">
        <f>IFERROR(IF($C10&lt;&gt;"",HLOOKUP(Model_Input2!$C10,Trend!$B$1:$K$122,DQ$1,0),""),"NA")</f>
        <v>0</v>
      </c>
      <c r="DR10" s="256">
        <f>IFERROR(IF($C10&lt;&gt;"",HLOOKUP(Model_Input2!$C10,Trend!$B$1:$K$122,DR$1,0),""),"NA")</f>
        <v>0</v>
      </c>
      <c r="DS10" s="256">
        <f>IFERROR(IF($C10&lt;&gt;"",HLOOKUP(Model_Input2!$C10,Trend!$B$1:$K$122,DS$1,0),""),"NA")</f>
        <v>0</v>
      </c>
      <c r="DT10" s="256">
        <f>IFERROR(IF($C10&lt;&gt;"",HLOOKUP(Model_Input2!$C10,Trend!$B$1:$K$122,DT$1,0),""),"NA")</f>
        <v>0.12499176819229503</v>
      </c>
      <c r="DU10" s="256">
        <f>IFERROR(IF($C10&lt;&gt;"",HLOOKUP(Model_Input2!$C10,Trend!$B$1:$K$122,DU$1,0),""),"NA")</f>
        <v>0.82219295357260458</v>
      </c>
      <c r="DV10" s="256">
        <f>IFERROR(IF($C10&lt;&gt;"",HLOOKUP(Model_Input2!$C10,Trend!$B$1:$K$122,DV$1,0),""),"NA")</f>
        <v>1.5779828109201213</v>
      </c>
      <c r="DW10" s="256">
        <f>IFERROR(IF($C10&lt;&gt;"",HLOOKUP(Model_Input2!$C10,Trend!$B$1:$K$122,DW$1,0),""),"NA")</f>
        <v>1.3740779768177027</v>
      </c>
      <c r="DX10" s="256">
        <f>IFERROR(IF($C10&lt;&gt;"",HLOOKUP(Model_Input2!$C10,Trend!$B$1:$K$122,DX$1,0),""),"NA")</f>
        <v>0.20889066880256307</v>
      </c>
      <c r="DY10" s="256">
        <f>IFERROR(IF($C10&lt;&gt;"",HLOOKUP(Model_Input2!$C10,Trend!$B$1:$K$122,DY$1,0),""),"NA")</f>
        <v>1.9130663856691255</v>
      </c>
    </row>
    <row r="11" spans="1:129" x14ac:dyDescent="0.25">
      <c r="A11" t="str">
        <f t="shared" si="2"/>
        <v>8K MILES SOFTWARE SERVICES LTD3132016</v>
      </c>
      <c r="B11" t="str">
        <f>IF(C11&lt;&gt;"",'Data Sheet'!$B$1,"")</f>
        <v>8K MILES SOFTWARE SERVICES LTD</v>
      </c>
      <c r="C11" s="255">
        <f>'Data Sheet'!I16</f>
        <v>42460</v>
      </c>
      <c r="D11" s="9">
        <f>IF($C11&lt;&gt;"",HLOOKUP(Model_Input2!$C11,'Data Sheet'!$B$16:$K$31,D$1,0),"")</f>
        <v>271.93</v>
      </c>
      <c r="E11" s="9">
        <f>IFERROR(IF($C11&lt;&gt;"",HLOOKUP(Model_Input2!$C11,'Data Sheet'!$B$16:$K$31,E$1,0),""),"NA")</f>
        <v>0</v>
      </c>
      <c r="F11" s="9">
        <f>IFERROR(IF($C11&lt;&gt;"",HLOOKUP(Model_Input2!$C11,'Data Sheet'!$B$16:$K$31,F$1,0),""),"NA")</f>
        <v>0</v>
      </c>
      <c r="G11" s="9">
        <f>IFERROR(IF($C11&lt;&gt;"",HLOOKUP(Model_Input2!$C11,'Data Sheet'!$B$16:$K$31,G$1,0),""),"NA")</f>
        <v>0</v>
      </c>
      <c r="H11" s="9">
        <f>IFERROR(IF($C11&lt;&gt;"",HLOOKUP(Model_Input2!$C11,'Data Sheet'!$B$16:$K$31,H$1,0),""),"NA")</f>
        <v>0</v>
      </c>
      <c r="I11" s="9">
        <f>IFERROR(IF($C11&lt;&gt;"",HLOOKUP(Model_Input2!$C11,'Data Sheet'!$B$16:$K$31,I$1,0),""),"NA")</f>
        <v>127.33</v>
      </c>
      <c r="J11" s="9">
        <f>IFERROR(IF($C11&lt;&gt;"",HLOOKUP(Model_Input2!$C11,'Data Sheet'!$B$16:$K$31,J$1,0),""),"NA")</f>
        <v>56.09</v>
      </c>
      <c r="K11" s="9">
        <f>IFERROR(IF($C11&lt;&gt;"",HLOOKUP(Model_Input2!$C11,'Data Sheet'!$B$16:$K$31,K$1,0),""),"NA")</f>
        <v>0</v>
      </c>
      <c r="L11" s="9">
        <f>IFERROR(IF($C11&lt;&gt;"",HLOOKUP(Model_Input2!$C11,'Data Sheet'!$B$16:$K$31,L$1,0),""),"NA")</f>
        <v>0.21</v>
      </c>
      <c r="M11" s="9">
        <f>IFERROR(IF($C11&lt;&gt;"",HLOOKUP(Model_Input2!$C11,'Data Sheet'!$B$16:$K$31,M$1,0),""),"NA")</f>
        <v>20.23</v>
      </c>
      <c r="N11" s="9">
        <f>IFERROR(IF($C11&lt;&gt;"",HLOOKUP(Model_Input2!$C11,'Data Sheet'!$B$16:$K$31,N$1,0),""),"NA")</f>
        <v>0.21</v>
      </c>
      <c r="O11" s="9">
        <f>IFERROR(IF($C11&lt;&gt;"",HLOOKUP(Model_Input2!$C11,'Data Sheet'!$B$16:$K$31,O$1,0),""),"NA")</f>
        <v>68.290000000000006</v>
      </c>
      <c r="P11" s="9">
        <f>IFERROR(IF($C11&lt;&gt;"",HLOOKUP(Model_Input2!$C11,'Data Sheet'!$B$16:$K$31,P$1,0),""),"NA")</f>
        <v>15.05</v>
      </c>
      <c r="Q11" s="9">
        <f>IFERROR(IF($C11&lt;&gt;"",HLOOKUP(Model_Input2!$C11,'Data Sheet'!$B$16:$K$31,Q$1,0),""),"NA")</f>
        <v>39.590000000000003</v>
      </c>
      <c r="R11" s="9">
        <f>IFERROR(IF($C11&lt;&gt;"",HLOOKUP(Model_Input2!$C11,'Data Sheet'!$B$16:$K$31,R$1,0),""),"NA")</f>
        <v>0</v>
      </c>
      <c r="S11">
        <f>IFERROR(IF($C11&lt;&gt;"",HLOOKUP(Model_Input2!$C11,'Data Sheet'!$B$56:$K$72,S$1,0),""),"NA")</f>
        <v>10.89</v>
      </c>
      <c r="T11">
        <f>IFERROR(IF($C11&lt;&gt;"",HLOOKUP(Model_Input2!$C11,'Data Sheet'!$B$56:$K$72,T$1,0),""),"NA")</f>
        <v>193.56</v>
      </c>
      <c r="U11">
        <f>IFERROR(IF($C11&lt;&gt;"",HLOOKUP(Model_Input2!$C11,'Data Sheet'!$B$56:$K$72,U$1,0),""),"NA")</f>
        <v>2.72</v>
      </c>
      <c r="V11">
        <f>IFERROR(IF($C11&lt;&gt;"",HLOOKUP(Model_Input2!$C11,'Data Sheet'!$B$56:$K$72,V$1,0),""),"NA")</f>
        <v>106.94</v>
      </c>
      <c r="W11">
        <f>IFERROR(IF($C11&lt;&gt;"",HLOOKUP(Model_Input2!$C11,'Data Sheet'!$B$56:$K$72,W$1,0),""),"NA")</f>
        <v>314.11</v>
      </c>
      <c r="X11">
        <f>IFERROR(IF($C11&lt;&gt;"",HLOOKUP(Model_Input2!$C11,'Data Sheet'!$B$56:$K$72,X$1,0),""),"NA")</f>
        <v>146.37</v>
      </c>
      <c r="Y11">
        <f>IFERROR(IF($C11&lt;&gt;"",HLOOKUP(Model_Input2!$C11,'Data Sheet'!$B$56:$K$72,Y$1,0),""),"NA")</f>
        <v>18.13</v>
      </c>
      <c r="Z11">
        <f>IFERROR(IF($C11&lt;&gt;"",HLOOKUP(Model_Input2!$C11,'Data Sheet'!$B$56:$K$72,Z$1,0),""),"NA")</f>
        <v>0</v>
      </c>
      <c r="AA11">
        <f>IFERROR(IF($C11&lt;&gt;"",HLOOKUP(Model_Input2!$C11,'Data Sheet'!$B$56:$K$72,AA$1,0),""),"NA")</f>
        <v>149.61000000000001</v>
      </c>
      <c r="AB11">
        <f>IFERROR(IF($C11&lt;&gt;"",HLOOKUP(Model_Input2!$C11,'Data Sheet'!$B$56:$K$72,AB$1,0),""),"NA")</f>
        <v>314.11</v>
      </c>
      <c r="AC11">
        <f>IFERROR(IF($C11&lt;&gt;"",HLOOKUP(Model_Input2!$C11,'Data Sheet'!$B$56:$K$72,AC$1,0),""),"NA")</f>
        <v>80.209999999999994</v>
      </c>
      <c r="AD11">
        <f>IFERROR(IF($C11&lt;&gt;"",HLOOKUP(Model_Input2!$C11,'Data Sheet'!$B$56:$K$72,AD$1,0),""),"NA")</f>
        <v>0</v>
      </c>
      <c r="AE11">
        <f>IFERROR(IF($C11&lt;&gt;"",HLOOKUP(Model_Input2!$C11,'Data Sheet'!$B$56:$K$72,AE$1,0),""),"NA")</f>
        <v>28.56</v>
      </c>
      <c r="AF11">
        <f>IFERROR(IF($C11&lt;&gt;"",HLOOKUP(Model_Input2!$C11,'Data Sheet'!$B$56:$K$72,AF$1,0),""),"NA")</f>
        <v>10894102</v>
      </c>
      <c r="AG11">
        <f>IFERROR(IF($C11&lt;&gt;"",HLOOKUP(Model_Input2!$C11,'Data Sheet'!$B$56:$K$72,AG$1,0),""),"NA")</f>
        <v>0</v>
      </c>
      <c r="AH11">
        <f>IFERROR(IF($C11&lt;&gt;"",HLOOKUP(Model_Input2!$C11,'Data Sheet'!$B$56:$K$72,AH$1,0),""),"NA")</f>
        <v>10</v>
      </c>
      <c r="AI11">
        <f>IFERROR(IF($C11&lt;&gt;"",HLOOKUP(Model_Input2!$C11,'Data Sheet'!$B$81:$K$85,AI$1,0),""),"NA")</f>
        <v>18.89</v>
      </c>
      <c r="AJ11">
        <f>IFERROR(IF($C11&lt;&gt;"",HLOOKUP(Model_Input2!$C11,'Data Sheet'!$B$81:$K$85,AJ$1,0),""),"NA")</f>
        <v>-85.71</v>
      </c>
      <c r="AK11">
        <f>IFERROR(IF($C11&lt;&gt;"",HLOOKUP(Model_Input2!$C11,'Data Sheet'!$B$81:$K$85,AK$1,0),""),"NA")</f>
        <v>80.59</v>
      </c>
      <c r="AL11">
        <f>IFERROR(IF($C11&lt;&gt;"",HLOOKUP(Model_Input2!$C11,'Data Sheet'!$B$81:$K$85,AL$1,0),""),"NA")</f>
        <v>13.77</v>
      </c>
      <c r="AM11" s="38">
        <f>IFERROR(IF($C11&lt;&gt;"",HLOOKUP(Model_Input2!$C11,Trend!$B$1:$K$3,AM$1,0),""),"NA")</f>
        <v>744.72578899999996</v>
      </c>
      <c r="AN11" s="38">
        <f>IFERROR(IF($C11&lt;&gt;"",HLOOKUP(Model_Input2!$C11,Trend!$B$1:$K$3,AN$1,0),""),"NA")</f>
        <v>2.9417605</v>
      </c>
      <c r="AO11" s="38">
        <f>IFERROR(IF($C11&lt;&gt;"",HLOOKUP(Model_Input2!$C11,Trend!$B$1:$K$122,AO$1,0),""),"NA")</f>
        <v>207.17</v>
      </c>
      <c r="AP11" s="38">
        <f>IFERROR(IF($C11&lt;&gt;"",HLOOKUP(Model_Input2!$C11,Trend!$B$1:$K$122,AP$1,0),""),"NA")</f>
        <v>39.590000000000003</v>
      </c>
      <c r="AQ11" s="38">
        <f>IFERROR(IF($C11&lt;&gt;"",HLOOKUP(Model_Input2!$C11,Trend!$B$1:$K$122,AQ$1,0),""),"NA")</f>
        <v>18.89</v>
      </c>
      <c r="AR11" s="38">
        <f>IFERROR(IF($C11&lt;&gt;"",HLOOKUP(Model_Input2!$C11,Trend!$B$1:$K$122,AR$1,0),""),"NA")</f>
        <v>85.710000000000008</v>
      </c>
      <c r="AS11" s="38">
        <f>IFERROR(IF($C11&lt;&gt;"",HLOOKUP(Model_Input2!$C11,Trend!$B$1:$K$122,AS$1,0),""),"NA")</f>
        <v>0</v>
      </c>
      <c r="AT11" s="38">
        <f>IFERROR(IF($C11&lt;&gt;"",HLOOKUP(Model_Input2!$C11,Trend!$B$1:$K$122,AT$1,0),""),"NA")</f>
        <v>-66.820000000000007</v>
      </c>
      <c r="AU11" s="38">
        <f>IFERROR(IF($C11&lt;&gt;"",HLOOKUP(Model_Input2!$C11,Trend!$B$1:$K$122,AU$1,0),""),"NA")</f>
        <v>2164.9649094115343</v>
      </c>
      <c r="AV11" s="256">
        <f>IFERROR(IF($C11&lt;&gt;"",HLOOKUP(Model_Input2!$C11,Trend!$B$1:$K$122,AV$1,0),""),"NA")</f>
        <v>1.178053664397277</v>
      </c>
      <c r="AW11" s="256">
        <f>IFERROR(IF($C11&lt;&gt;"",HLOOKUP(Model_Input2!$C11,Trend!$B$1:$K$122,AW$1,0),""),"NA")</f>
        <v>1.0858798735511066</v>
      </c>
      <c r="AX11" s="256">
        <f>IFERROR(IF($C11&lt;&gt;"",HLOOKUP(Model_Input2!$C11,Trend!$B$1:$K$122,AX$1,0),""),"NA")</f>
        <v>0.29496561615121536</v>
      </c>
      <c r="AY11" s="256">
        <f>IFERROR(IF($C11&lt;&gt;"",HLOOKUP(Model_Input2!$C11,Trend!$B$1:$K$122,AY$1,0),""),"NA")</f>
        <v>0</v>
      </c>
      <c r="AZ11" s="256">
        <f>IFERROR(IF($C11&lt;&gt;"",HLOOKUP(Model_Input2!$C11,Trend!$B$1:$K$122,AZ$1,0),""),"NA")</f>
        <v>0.14558893832971723</v>
      </c>
      <c r="BA11" s="256">
        <f>IFERROR(IF($C11&lt;&gt;"",HLOOKUP(Model_Input2!$C11,Trend!$B$1:$K$122,BA$1,0),""),"NA")</f>
        <v>0.22038365792941864</v>
      </c>
      <c r="BB11" s="38">
        <f>IFERROR(IF($C11&lt;&gt;"",HLOOKUP(Model_Input2!$C11,Trend!$B$1:$K$122,BB$1,0),""),"NA")</f>
        <v>-20.700000000000003</v>
      </c>
      <c r="BC11" s="256">
        <f>IFERROR(IF($C11&lt;&gt;"",HLOOKUP(Model_Input2!$C11,Trend!$B$1:$K$122,BC$1,0),""),"NA")</f>
        <v>0</v>
      </c>
      <c r="BD11" s="256">
        <f>IFERROR(IF($C11&lt;&gt;"",HLOOKUP(Model_Input2!$C11,Trend!$B$1:$K$122,BD$1,0),""),"NA")</f>
        <v>0</v>
      </c>
      <c r="BE11" s="256">
        <f>IFERROR(IF($C11&lt;&gt;"",HLOOKUP(Model_Input2!$C11,Trend!$B$1:$K$122,BE$1,0),""),"NA")</f>
        <v>0</v>
      </c>
      <c r="BF11" s="256">
        <f>IFERROR(IF($C11&lt;&gt;"",HLOOKUP(Model_Input2!$C11,Trend!$B$1:$K$122,BF$1,0),""),"NA")</f>
        <v>0</v>
      </c>
      <c r="BG11" s="256">
        <f>IFERROR(IF($C11&lt;&gt;"",HLOOKUP(Model_Input2!$C11,Trend!$B$1:$K$122,BG$1,0),""),"NA")</f>
        <v>0.4682455043577391</v>
      </c>
      <c r="BH11" s="256">
        <f>IFERROR(IF($C11&lt;&gt;"",HLOOKUP(Model_Input2!$C11,Trend!$B$1:$K$122,BH$1,0),""),"NA")</f>
        <v>0.20626631853785901</v>
      </c>
      <c r="BI11" s="256">
        <f>IFERROR(IF($C11&lt;&gt;"",HLOOKUP(Model_Input2!$C11,Trend!$B$1:$K$122,BI$1,0),""),"NA")</f>
        <v>0</v>
      </c>
      <c r="BJ11" s="256">
        <f>IFERROR(IF($C11&lt;&gt;"",HLOOKUP(Model_Input2!$C11,Trend!$B$1:$K$122,BJ$1,0),""),"NA")</f>
        <v>7.7225756628544111E-4</v>
      </c>
      <c r="BK11" s="256">
        <f>IFERROR(IF($C11&lt;&gt;"",HLOOKUP(Model_Input2!$C11,Trend!$B$1:$K$122,BK$1,0),""),"NA")</f>
        <v>7.4394145552164156E-2</v>
      </c>
      <c r="BL11" s="256">
        <f>IFERROR(IF($C11&lt;&gt;"",HLOOKUP(Model_Input2!$C11,Trend!$B$1:$K$122,BL$1,0),""),"NA")</f>
        <v>1</v>
      </c>
      <c r="BM11" s="256">
        <f>IFERROR(IF($C11&lt;&gt;"",HLOOKUP(Model_Input2!$C11,Trend!$B$1:$K$122,BM$1,0),""),"NA")</f>
        <v>0.25190306328834627</v>
      </c>
      <c r="BN11" s="256">
        <f>IFERROR(IF($C11&lt;&gt;"",HLOOKUP(Model_Input2!$C11,Trend!$B$1:$K$122,BN$1,0),""),"NA")</f>
        <v>0.14558893832971723</v>
      </c>
      <c r="BO11" s="256">
        <f>IFERROR(IF($C11&lt;&gt;"",HLOOKUP(Model_Input2!$C11,Trend!$B$1:$K$122,BO$1,0),""),"NA")</f>
        <v>0.22038365792941864</v>
      </c>
      <c r="BP11" s="256">
        <f>IFERROR(IF($C11&lt;&gt;"",HLOOKUP(Model_Input2!$C11,Trend!$B$1:$K$122,BP$1,0),""),"NA")</f>
        <v>0.53038744388908343</v>
      </c>
      <c r="BQ11" s="256">
        <f>IFERROR(IF($C11&lt;&gt;"",HLOOKUP(Model_Input2!$C11,Trend!$B$1:$K$122,BQ$1,0),""),"NA")</f>
        <v>0.46598325427398046</v>
      </c>
      <c r="BR11" s="256">
        <f>IFERROR(IF($C11&lt;&gt;"",HLOOKUP(Model_Input2!$C11,Trend!$B$1:$K$122,BR$1,0),""),"NA")</f>
        <v>0.6126576692531166</v>
      </c>
      <c r="BS11" s="256">
        <f>IFERROR(IF($C11&lt;&gt;"",HLOOKUP(Model_Input2!$C11,Trend!$B$1:$K$122,BS$1,0),""),"NA")</f>
        <v>0.53826352370095243</v>
      </c>
      <c r="BT11" s="256">
        <f>IFERROR(IF($C11&lt;&gt;"",HLOOKUP(Model_Input2!$C11,Trend!$B$1:$K$122,BT$1,0),""),"NA")</f>
        <v>0.27286619337174878</v>
      </c>
      <c r="BU11" s="256">
        <f>IFERROR(IF($C11&lt;&gt;"",HLOOKUP(Model_Input2!$C11,Trend!$B$1:$K$122,BU$1,0),""),"NA")</f>
        <v>0.51446578631452589</v>
      </c>
      <c r="BV11" s="256">
        <f>IFERROR(IF($C11&lt;&gt;"",HLOOKUP(Model_Input2!$C11,Trend!$B$1:$K$122,BV$1,0),""),"NA")</f>
        <v>0.58557081369133024</v>
      </c>
      <c r="BW11" s="256">
        <f>IFERROR(IF($C11&lt;&gt;"",HLOOKUP(Model_Input2!$C11,Trend!$B$1:$K$122,BW$1,0),""),"NA")</f>
        <v>0.53038744388908343</v>
      </c>
      <c r="BX11" s="256">
        <f>IFERROR(IF($C11&lt;&gt;"",HLOOKUP(Model_Input2!$C11,Trend!$B$1:$K$122,BX$1,0),""),"NA")</f>
        <v>0.46598325427398046</v>
      </c>
      <c r="BY11" s="256">
        <f>IFERROR(IF($C11&lt;&gt;"",HLOOKUP(Model_Input2!$C11,Trend!$B$1:$K$122,BY$1,0),""),"NA")</f>
        <v>0</v>
      </c>
      <c r="BZ11" s="256">
        <f>IFERROR(IF($C11&lt;&gt;"",HLOOKUP(Model_Input2!$C11,Trend!$B$1:$K$122,BZ$1,0),""),"NA")</f>
        <v>0.47629811212632517</v>
      </c>
      <c r="CA11" s="256">
        <f>IFERROR(IF($C11&lt;&gt;"",HLOOKUP(Model_Input2!$C11,Trend!$B$1:$K$122,CA$1,0),""),"NA")</f>
        <v>5.7718633599694369E-2</v>
      </c>
      <c r="CB11" s="256">
        <f>IFERROR(IF($C11&lt;&gt;"",HLOOKUP(Model_Input2!$C11,Trend!$B$1:$K$122,CB$1,0),""),"NA")</f>
        <v>0.10882352941176471</v>
      </c>
      <c r="CC11" s="256">
        <f>IFERROR(IF($C11&lt;&gt;"",HLOOKUP(Model_Input2!$C11,Trend!$B$1:$K$122,CC$1,0),""),"NA")</f>
        <v>0.12386417981826876</v>
      </c>
      <c r="CD11" s="38">
        <f>IFERROR(IF($C11&lt;&gt;"",HLOOKUP(Model_Input2!$C11,Trend!$B$1:$K$122,CD$1,0),""),"NA")</f>
        <v>0</v>
      </c>
      <c r="CE11" s="38">
        <f>IFERROR(IF($C11&lt;&gt;"",HLOOKUP(Model_Input2!$C11,Trend!$B$1:$K$122,CE$1,0),""),"NA")</f>
        <v>1.3303986304719982E-2</v>
      </c>
      <c r="CF11" s="38">
        <f>IFERROR(IF($C11&lt;&gt;"",HLOOKUP(Model_Input2!$C11,Trend!$B$1:$K$122,CF$1,0),""),"NA")</f>
        <v>1.3990087899756876</v>
      </c>
      <c r="CG11" s="38">
        <f>IFERROR(IF($C11&lt;&gt;"",HLOOKUP(Model_Input2!$C11,Trend!$B$1:$K$122,CG$1,0),""),"NA")</f>
        <v>326.1904761904762</v>
      </c>
      <c r="CH11" s="38">
        <f>IFERROR(IF($C11&lt;&gt;"",HLOOKUP(Model_Input2!$C11,Trend!$B$1:$K$122,CH$1,0),""),"NA")</f>
        <v>1.53636585962338</v>
      </c>
      <c r="CI11" s="38">
        <f>IFERROR(IF($C11&lt;&gt;"",HLOOKUP(Model_Input2!$C11,Trend!$B$1:$K$122,CI$1,0),""),"NA")</f>
        <v>1.3990087899756876</v>
      </c>
      <c r="CJ11" s="38">
        <f>IFERROR(IF($C11&lt;&gt;"",HLOOKUP(Model_Input2!$C11,Trend!$B$1:$K$122,CJ$1,0),""),"NA")</f>
        <v>0.17664110716289508</v>
      </c>
      <c r="CK11" s="256">
        <f>IFERROR(IF($C11&lt;&gt;"",HLOOKUP(Model_Input2!$C11,Trend!$B$1:$K$122,CK$1,0),""),"NA")</f>
        <v>9.7332894303589074E-2</v>
      </c>
      <c r="CL11" s="256">
        <f>IFERROR(IF($C11&lt;&gt;"",HLOOKUP(Model_Input2!$C11,Trend!$B$1:$K$122,CL$1,0),""),"NA")</f>
        <v>10.499999999999998</v>
      </c>
      <c r="CM11" s="256">
        <f>IFERROR(IF($C11&lt;&gt;"",HLOOKUP(Model_Input2!$C11,Trend!$B$1:$K$122,CM$1,0),""),"NA")</f>
        <v>0.2670656442865158</v>
      </c>
      <c r="CN11" s="256">
        <f>IFERROR(IF($C11&lt;&gt;"",HLOOKUP(Model_Input2!$C11,Trend!$B$1:$K$122,CN$1,0),""),"NA")</f>
        <v>39.316176470588232</v>
      </c>
      <c r="CO11" s="256">
        <f>IFERROR(IF($C11&lt;&gt;"",HLOOKUP(Model_Input2!$C11,Trend!$B$1:$K$122,CO$1,0),""),"NA")</f>
        <v>0.12142857142857144</v>
      </c>
      <c r="CP11" s="256">
        <f>IFERROR(IF($C11&lt;&gt;"",HLOOKUP(Model_Input2!$C11,Trend!$B$1:$K$122,CP$1,0),""),"NA")</f>
        <v>0.13821138211382114</v>
      </c>
      <c r="CQ11" s="256">
        <f>IFERROR(IF($C11&lt;&gt;"",HLOOKUP(Model_Input2!$C11,Trend!$B$1:$K$122,CQ$1,0),""),"NA")</f>
        <v>1.3036304546017936E-2</v>
      </c>
      <c r="CR11" s="256">
        <f>IFERROR(IF($C11&lt;&gt;"",HLOOKUP(Model_Input2!$C11,Trend!$B$1:$K$122,CR$1,0),""),"NA")</f>
        <v>0</v>
      </c>
      <c r="CS11" s="256">
        <f>IFERROR(IF($C11&lt;&gt;"",HLOOKUP(Model_Input2!$C11,Trend!$B$1:$K$122,CS$1,0),""),"NA")</f>
        <v>0.15691538263523708</v>
      </c>
      <c r="CT11" s="38">
        <f>IFERROR(IF($C11&lt;&gt;"",HLOOKUP(Model_Input2!$C11,Trend!$B$1:$K$122,CT$1,0),""),"NA")</f>
        <v>107.6624498951936</v>
      </c>
      <c r="CU11" s="38">
        <f>IFERROR(IF($C11&lt;&gt;"",HLOOKUP(Model_Input2!$C11,Trend!$B$1:$K$122,CU$1,0),""),"NA")</f>
        <v>3.3902256576486725</v>
      </c>
      <c r="CV11" s="38">
        <f>IFERROR(IF($C11&lt;&gt;"",HLOOKUP(Model_Input2!$C11,Trend!$B$1:$K$122,CV$1,0),""),"NA")</f>
        <v>0</v>
      </c>
      <c r="CW11" s="38" t="str">
        <f>IFERROR(IF($C11&lt;&gt;"",HLOOKUP(Model_Input2!$C11,Trend!$B$1:$K$122,CW$1,0),""),"NA")</f>
        <v>NA</v>
      </c>
      <c r="CX11" s="256">
        <f>IFERROR(IF($C11&lt;&gt;"",HLOOKUP(Model_Input2!$C11,Trend!$B$1:$K$122,CX$1,0),""),"NA")</f>
        <v>6.0138168157651779E-2</v>
      </c>
      <c r="CY11" s="256">
        <f>IFERROR(IF($C11&lt;&gt;"",HLOOKUP(Model_Input2!$C11,Trend!$B$1:$K$122,CY$1,0),""),"NA")</f>
        <v>0</v>
      </c>
      <c r="CZ11" s="38">
        <f>IFERROR(IF($C11&lt;&gt;"",HLOOKUP(Model_Input2!$C11,Trend!$B$1:$K$122,CZ$1,0),""),"NA")</f>
        <v>0.21804463404539812</v>
      </c>
      <c r="DA11" s="38">
        <f>IFERROR(IF($C11&lt;&gt;"",HLOOKUP(Model_Input2!$C11,Trend!$B$1:$K$122,DA$1,0),""),"NA")</f>
        <v>0.2939737316507855</v>
      </c>
      <c r="DB11" s="256">
        <f>IFERROR(IF($C11&lt;&gt;"",HLOOKUP(Model_Input2!$C11,Trend!$B$1:$K$122,DB$1,0),""),"NA")</f>
        <v>0.41635258358662619</v>
      </c>
      <c r="DC11" s="256">
        <f>IFERROR(IF($C11&lt;&gt;"",HLOOKUP(Model_Input2!$C11,Trend!$B$1:$K$122,DC$1,0),""),"NA")</f>
        <v>0.51980874316939896</v>
      </c>
      <c r="DD11" s="256">
        <f>IFERROR(IF($C11&lt;&gt;"",HLOOKUP(Model_Input2!$C11,Trend!$B$1:$K$122,DD$1,0),""),"NA")</f>
        <v>0</v>
      </c>
      <c r="DE11" s="256">
        <f>IFERROR(IF($C11&lt;&gt;"",HLOOKUP(Model_Input2!$C11,Trend!$B$1:$K$122,DE$1,0),""),"NA")</f>
        <v>0</v>
      </c>
      <c r="DF11" s="256">
        <f>IFERROR(IF($C11&lt;&gt;"",HLOOKUP(Model_Input2!$C11,Trend!$B$1:$K$122,DF$1,0),""),"NA")</f>
        <v>0</v>
      </c>
      <c r="DG11" s="256">
        <f>IFERROR(IF($C11&lt;&gt;"",HLOOKUP(Model_Input2!$C11,Trend!$B$1:$K$122,DG$1,0),""),"NA")</f>
        <v>0</v>
      </c>
      <c r="DH11" s="256">
        <f>IFERROR(IF($C11&lt;&gt;"",HLOOKUP(Model_Input2!$C11,Trend!$B$1:$K$122,DH$1,0),""),"NA")</f>
        <v>0</v>
      </c>
      <c r="DI11" s="256">
        <f>IFERROR(IF($C11&lt;&gt;"",HLOOKUP(Model_Input2!$C11,Trend!$B$1:$K$122,DI$1,0),""),"NA")</f>
        <v>0</v>
      </c>
      <c r="DJ11" s="38">
        <f>IFERROR(IF($C11&lt;&gt;"",HLOOKUP(Model_Input2!$C11,Trend!$B$1:$K$122,DJ$1,0),""),"NA")</f>
        <v>0</v>
      </c>
      <c r="DK11" s="38">
        <f>IFERROR(IF($C11&lt;&gt;"",HLOOKUP(Model_Input2!$C11,Trend!$B$1:$K$122,DK$1,0),""),"NA")</f>
        <v>0</v>
      </c>
      <c r="DL11" s="256">
        <f>IFERROR(IF($C11&lt;&gt;"",HLOOKUP(Model_Input2!$C11,Trend!$B$1:$K$122,DL$1,0),""),"NA")</f>
        <v>0</v>
      </c>
      <c r="DM11" s="256">
        <f>IFERROR(IF($C11&lt;&gt;"",HLOOKUP(Model_Input2!$C11,Trend!$B$1:$K$122,DM$1,0),""),"NA")</f>
        <v>0</v>
      </c>
      <c r="DN11" s="256">
        <f>IFERROR(IF($C11&lt;&gt;"",HLOOKUP(Model_Input2!$C11,Trend!$B$1:$K$122,DN$1,0),""),"NA")</f>
        <v>0</v>
      </c>
      <c r="DO11" s="256">
        <f>IFERROR(IF($C11&lt;&gt;"",HLOOKUP(Model_Input2!$C11,Trend!$B$1:$K$122,DO$1,0),""),"NA")</f>
        <v>0</v>
      </c>
      <c r="DP11" s="256">
        <f>IFERROR(IF($C11&lt;&gt;"",HLOOKUP(Model_Input2!$C11,Trend!$B$1:$K$122,DP$1,0),""),"NA")</f>
        <v>0</v>
      </c>
      <c r="DQ11" s="256">
        <f>IFERROR(IF($C11&lt;&gt;"",HLOOKUP(Model_Input2!$C11,Trend!$B$1:$K$122,DQ$1,0),""),"NA")</f>
        <v>0</v>
      </c>
      <c r="DR11" s="256">
        <f>IFERROR(IF($C11&lt;&gt;"",HLOOKUP(Model_Input2!$C11,Trend!$B$1:$K$122,DR$1,0),""),"NA")</f>
        <v>0</v>
      </c>
      <c r="DS11" s="256">
        <f>IFERROR(IF($C11&lt;&gt;"",HLOOKUP(Model_Input2!$C11,Trend!$B$1:$K$122,DS$1,0),""),"NA")</f>
        <v>0</v>
      </c>
      <c r="DT11" s="256">
        <f>IFERROR(IF($C11&lt;&gt;"",HLOOKUP(Model_Input2!$C11,Trend!$B$1:$K$122,DT$1,0),""),"NA")</f>
        <v>0.12603864888096528</v>
      </c>
      <c r="DU11" s="256">
        <f>IFERROR(IF($C11&lt;&gt;"",HLOOKUP(Model_Input2!$C11,Trend!$B$1:$K$122,DU$1,0),""),"NA")</f>
        <v>0.86571583203336411</v>
      </c>
      <c r="DV11" s="256">
        <f>IFERROR(IF($C11&lt;&gt;"",HLOOKUP(Model_Input2!$C11,Trend!$B$1:$K$122,DV$1,0),""),"NA")</f>
        <v>1.8578260572521692</v>
      </c>
      <c r="DW11" s="256">
        <f>IFERROR(IF($C11&lt;&gt;"",HLOOKUP(Model_Input2!$C11,Trend!$B$1:$K$122,DW$1,0),""),"NA")</f>
        <v>0.47714069209396309</v>
      </c>
      <c r="DX11" s="256">
        <f>IFERROR(IF($C11&lt;&gt;"",HLOOKUP(Model_Input2!$C11,Trend!$B$1:$K$122,DX$1,0),""),"NA")</f>
        <v>6.9466406795866589E-2</v>
      </c>
      <c r="DY11" s="256">
        <f>IFERROR(IF($C11&lt;&gt;"",HLOOKUP(Model_Input2!$C11,Trend!$B$1:$K$122,DY$1,0),""),"NA")</f>
        <v>2.1649406415761554</v>
      </c>
    </row>
    <row r="12" spans="1:129" x14ac:dyDescent="0.25">
      <c r="A12" t="str">
        <f t="shared" si="2"/>
        <v>8K MILES SOFTWARE SERVICES LTD3132017</v>
      </c>
      <c r="B12" t="str">
        <f>IF(C12&lt;&gt;"",'Data Sheet'!$B$1,"")</f>
        <v>8K MILES SOFTWARE SERVICES LTD</v>
      </c>
      <c r="C12" s="255">
        <f>'Data Sheet'!J16</f>
        <v>42825</v>
      </c>
      <c r="D12" s="9">
        <f>IF($C12&lt;&gt;"",HLOOKUP(Model_Input2!$C12,'Data Sheet'!$B$16:$K$31,D$1,0),"")</f>
        <v>528.34</v>
      </c>
      <c r="E12" s="9">
        <f>IFERROR(IF($C12&lt;&gt;"",HLOOKUP(Model_Input2!$C12,'Data Sheet'!$B$16:$K$31,E$1,0),""),"NA")</f>
        <v>0</v>
      </c>
      <c r="F12" s="9">
        <f>IFERROR(IF($C12&lt;&gt;"",HLOOKUP(Model_Input2!$C12,'Data Sheet'!$B$16:$K$31,F$1,0),""),"NA")</f>
        <v>0</v>
      </c>
      <c r="G12" s="9">
        <f>IFERROR(IF($C12&lt;&gt;"",HLOOKUP(Model_Input2!$C12,'Data Sheet'!$B$16:$K$31,G$1,0),""),"NA")</f>
        <v>0.28000000000000003</v>
      </c>
      <c r="H12" s="9">
        <f>IFERROR(IF($C12&lt;&gt;"",HLOOKUP(Model_Input2!$C12,'Data Sheet'!$B$16:$K$31,H$1,0),""),"NA")</f>
        <v>2.13</v>
      </c>
      <c r="I12" s="9">
        <f>IFERROR(IF($C12&lt;&gt;"",HLOOKUP(Model_Input2!$C12,'Data Sheet'!$B$16:$K$31,I$1,0),""),"NA")</f>
        <v>176.36</v>
      </c>
      <c r="J12" s="9">
        <f>IFERROR(IF($C12&lt;&gt;"",HLOOKUP(Model_Input2!$C12,'Data Sheet'!$B$16:$K$31,J$1,0),""),"NA")</f>
        <v>151.69999999999999</v>
      </c>
      <c r="K12" s="9">
        <f>IFERROR(IF($C12&lt;&gt;"",HLOOKUP(Model_Input2!$C12,'Data Sheet'!$B$16:$K$31,K$1,0),""),"NA")</f>
        <v>13.07</v>
      </c>
      <c r="L12" s="9">
        <f>IFERROR(IF($C12&lt;&gt;"",HLOOKUP(Model_Input2!$C12,'Data Sheet'!$B$16:$K$31,L$1,0),""),"NA")</f>
        <v>0.9</v>
      </c>
      <c r="M12" s="9">
        <f>IFERROR(IF($C12&lt;&gt;"",HLOOKUP(Model_Input2!$C12,'Data Sheet'!$B$16:$K$31,M$1,0),""),"NA")</f>
        <v>13.52</v>
      </c>
      <c r="N12" s="9">
        <f>IFERROR(IF($C12&lt;&gt;"",HLOOKUP(Model_Input2!$C12,'Data Sheet'!$B$16:$K$31,N$1,0),""),"NA")</f>
        <v>1.64</v>
      </c>
      <c r="O12" s="9">
        <f>IFERROR(IF($C12&lt;&gt;"",HLOOKUP(Model_Input2!$C12,'Data Sheet'!$B$16:$K$31,O$1,0),""),"NA")</f>
        <v>170.54</v>
      </c>
      <c r="P12" s="9">
        <f>IFERROR(IF($C12&lt;&gt;"",HLOOKUP(Model_Input2!$C12,'Data Sheet'!$B$16:$K$31,P$1,0),""),"NA")</f>
        <v>41.36</v>
      </c>
      <c r="Q12" s="9">
        <f>IFERROR(IF($C12&lt;&gt;"",HLOOKUP(Model_Input2!$C12,'Data Sheet'!$B$16:$K$31,Q$1,0),""),"NA")</f>
        <v>104.47</v>
      </c>
      <c r="R12" s="9">
        <f>IFERROR(IF($C12&lt;&gt;"",HLOOKUP(Model_Input2!$C12,'Data Sheet'!$B$16:$K$31,R$1,0),""),"NA")</f>
        <v>3.05</v>
      </c>
      <c r="S12">
        <f>IFERROR(IF($C12&lt;&gt;"",HLOOKUP(Model_Input2!$C12,'Data Sheet'!$B$56:$K$72,S$1,0),""),"NA")</f>
        <v>15.26</v>
      </c>
      <c r="T12">
        <f>IFERROR(IF($C12&lt;&gt;"",HLOOKUP(Model_Input2!$C12,'Data Sheet'!$B$56:$K$72,T$1,0),""),"NA")</f>
        <v>304.69</v>
      </c>
      <c r="U12">
        <f>IFERROR(IF($C12&lt;&gt;"",HLOOKUP(Model_Input2!$C12,'Data Sheet'!$B$56:$K$72,U$1,0),""),"NA")</f>
        <v>40.79</v>
      </c>
      <c r="V12">
        <f>IFERROR(IF($C12&lt;&gt;"",HLOOKUP(Model_Input2!$C12,'Data Sheet'!$B$56:$K$72,V$1,0),""),"NA")</f>
        <v>150.77000000000001</v>
      </c>
      <c r="W12">
        <f>IFERROR(IF($C12&lt;&gt;"",HLOOKUP(Model_Input2!$C12,'Data Sheet'!$B$56:$K$72,W$1,0),""),"NA")</f>
        <v>511.51</v>
      </c>
      <c r="X12">
        <f>IFERROR(IF($C12&lt;&gt;"",HLOOKUP(Model_Input2!$C12,'Data Sheet'!$B$56:$K$72,X$1,0),""),"NA")</f>
        <v>187.4</v>
      </c>
      <c r="Y12">
        <f>IFERROR(IF($C12&lt;&gt;"",HLOOKUP(Model_Input2!$C12,'Data Sheet'!$B$56:$K$72,Y$1,0),""),"NA")</f>
        <v>20.72</v>
      </c>
      <c r="Z12">
        <f>IFERROR(IF($C12&lt;&gt;"",HLOOKUP(Model_Input2!$C12,'Data Sheet'!$B$56:$K$72,Z$1,0),""),"NA")</f>
        <v>0</v>
      </c>
      <c r="AA12">
        <f>IFERROR(IF($C12&lt;&gt;"",HLOOKUP(Model_Input2!$C12,'Data Sheet'!$B$56:$K$72,AA$1,0),""),"NA")</f>
        <v>303.39</v>
      </c>
      <c r="AB12">
        <f>IFERROR(IF($C12&lt;&gt;"",HLOOKUP(Model_Input2!$C12,'Data Sheet'!$B$56:$K$72,AB$1,0),""),"NA")</f>
        <v>511.51</v>
      </c>
      <c r="AC12">
        <f>IFERROR(IF($C12&lt;&gt;"",HLOOKUP(Model_Input2!$C12,'Data Sheet'!$B$56:$K$72,AC$1,0),""),"NA")</f>
        <v>129.47999999999999</v>
      </c>
      <c r="AD12">
        <f>IFERROR(IF($C12&lt;&gt;"",HLOOKUP(Model_Input2!$C12,'Data Sheet'!$B$56:$K$72,AD$1,0),""),"NA")</f>
        <v>0</v>
      </c>
      <c r="AE12">
        <f>IFERROR(IF($C12&lt;&gt;"",HLOOKUP(Model_Input2!$C12,'Data Sheet'!$B$56:$K$72,AE$1,0),""),"NA")</f>
        <v>89.79</v>
      </c>
      <c r="AF12">
        <f>IFERROR(IF($C12&lt;&gt;"",HLOOKUP(Model_Input2!$C12,'Data Sheet'!$B$56:$K$72,AF$1,0),""),"NA")</f>
        <v>30517605</v>
      </c>
      <c r="AG12">
        <f>IFERROR(IF($C12&lt;&gt;"",HLOOKUP(Model_Input2!$C12,'Data Sheet'!$B$56:$K$72,AG$1,0),""),"NA")</f>
        <v>7629401</v>
      </c>
      <c r="AH12">
        <f>IFERROR(IF($C12&lt;&gt;"",HLOOKUP(Model_Input2!$C12,'Data Sheet'!$B$56:$K$72,AH$1,0),""),"NA")</f>
        <v>5</v>
      </c>
      <c r="AI12">
        <f>IFERROR(IF($C12&lt;&gt;"",HLOOKUP(Model_Input2!$C12,'Data Sheet'!$B$81:$K$85,AI$1,0),""),"NA")</f>
        <v>71.73</v>
      </c>
      <c r="AJ12">
        <f>IFERROR(IF($C12&lt;&gt;"",HLOOKUP(Model_Input2!$C12,'Data Sheet'!$B$81:$K$85,AJ$1,0),""),"NA")</f>
        <v>-56.67</v>
      </c>
      <c r="AK12">
        <f>IFERROR(IF($C12&lt;&gt;"",HLOOKUP(Model_Input2!$C12,'Data Sheet'!$B$81:$K$85,AK$1,0),""),"NA")</f>
        <v>45.49</v>
      </c>
      <c r="AL12">
        <f>IFERROR(IF($C12&lt;&gt;"",HLOOKUP(Model_Input2!$C12,'Data Sheet'!$B$81:$K$85,AL$1,0),""),"NA")</f>
        <v>60.54</v>
      </c>
      <c r="AM12" s="38">
        <f>IFERROR(IF($C12&lt;&gt;"",HLOOKUP(Model_Input2!$C12,Trend!$B$1:$K$3,AM$1,0),""),"NA")</f>
        <v>581.47894699999995</v>
      </c>
      <c r="AN12" s="38">
        <f>IFERROR(IF($C12&lt;&gt;"",HLOOKUP(Model_Input2!$C12,Trend!$B$1:$K$3,AN$1,0),""),"NA")</f>
        <v>3.0517604999999999</v>
      </c>
      <c r="AO12" s="38">
        <f>IFERROR(IF($C12&lt;&gt;"",HLOOKUP(Model_Input2!$C12,Trend!$B$1:$K$122,AO$1,0),""),"NA")</f>
        <v>360.74</v>
      </c>
      <c r="AP12" s="38">
        <f>IFERROR(IF($C12&lt;&gt;"",HLOOKUP(Model_Input2!$C12,Trend!$B$1:$K$122,AP$1,0),""),"NA")</f>
        <v>104.47</v>
      </c>
      <c r="AQ12" s="38">
        <f>IFERROR(IF($C12&lt;&gt;"",HLOOKUP(Model_Input2!$C12,Trend!$B$1:$K$122,AQ$1,0),""),"NA")</f>
        <v>71.73</v>
      </c>
      <c r="AR12" s="38">
        <f>IFERROR(IF($C12&lt;&gt;"",HLOOKUP(Model_Input2!$C12,Trend!$B$1:$K$122,AR$1,0),""),"NA")</f>
        <v>57.14</v>
      </c>
      <c r="AS12" s="38">
        <f>IFERROR(IF($C12&lt;&gt;"",HLOOKUP(Model_Input2!$C12,Trend!$B$1:$K$122,AS$1,0),""),"NA")</f>
        <v>3.05</v>
      </c>
      <c r="AT12" s="38">
        <f>IFERROR(IF($C12&lt;&gt;"",HLOOKUP(Model_Input2!$C12,Trend!$B$1:$K$122,AT$1,0),""),"NA")</f>
        <v>14.590000000000003</v>
      </c>
      <c r="AU12" s="38">
        <f>IFERROR(IF($C12&lt;&gt;"",HLOOKUP(Model_Input2!$C12,Trend!$B$1:$K$122,AU$1,0),""),"NA")</f>
        <v>1725.5344820361934</v>
      </c>
      <c r="AV12" s="256">
        <f>IFERROR(IF($C12&lt;&gt;"",HLOOKUP(Model_Input2!$C12,Trend!$B$1:$K$122,AV$1,0),""),"NA")</f>
        <v>0.94292648843452365</v>
      </c>
      <c r="AW12" s="256">
        <f>IFERROR(IF($C12&lt;&gt;"",HLOOKUP(Model_Input2!$C12,Trend!$B$1:$K$122,AW$1,0),""),"NA")</f>
        <v>1.6387976761808536</v>
      </c>
      <c r="AX12" s="256">
        <f>IFERROR(IF($C12&lt;&gt;"",HLOOKUP(Model_Input2!$C12,Trend!$B$1:$K$122,AX$1,0),""),"NA")</f>
        <v>0.24506946284589465</v>
      </c>
      <c r="AY12" s="256">
        <f>IFERROR(IF($C12&lt;&gt;"",HLOOKUP(Model_Input2!$C12,Trend!$B$1:$K$122,AY$1,0),""),"NA")</f>
        <v>0</v>
      </c>
      <c r="AZ12" s="256">
        <f>IFERROR(IF($C12&lt;&gt;"",HLOOKUP(Model_Input2!$C12,Trend!$B$1:$K$122,AZ$1,0),""),"NA")</f>
        <v>0.19773252072529052</v>
      </c>
      <c r="BA12" s="256">
        <f>IFERROR(IF($C12&lt;&gt;"",HLOOKUP(Model_Input2!$C12,Trend!$B$1:$K$122,BA$1,0),""),"NA")</f>
        <v>0.24252374809428873</v>
      </c>
      <c r="BB12" s="38">
        <f>IFERROR(IF($C12&lt;&gt;"",HLOOKUP(Model_Input2!$C12,Trend!$B$1:$K$122,BB$1,0),""),"NA")</f>
        <v>-32.739999999999995</v>
      </c>
      <c r="BC12" s="256">
        <f>IFERROR(IF($C12&lt;&gt;"",HLOOKUP(Model_Input2!$C12,Trend!$B$1:$K$122,BC$1,0),""),"NA")</f>
        <v>0</v>
      </c>
      <c r="BD12" s="256">
        <f>IFERROR(IF($C12&lt;&gt;"",HLOOKUP(Model_Input2!$C12,Trend!$B$1:$K$122,BD$1,0),""),"NA")</f>
        <v>0</v>
      </c>
      <c r="BE12" s="256">
        <f>IFERROR(IF($C12&lt;&gt;"",HLOOKUP(Model_Input2!$C12,Trend!$B$1:$K$122,BE$1,0),""),"NA")</f>
        <v>5.2996176704394899E-4</v>
      </c>
      <c r="BF12" s="256">
        <f>IFERROR(IF($C12&lt;&gt;"",HLOOKUP(Model_Input2!$C12,Trend!$B$1:$K$122,BF$1,0),""),"NA")</f>
        <v>4.0314948707271831E-3</v>
      </c>
      <c r="BG12" s="256">
        <f>IFERROR(IF($C12&lt;&gt;"",HLOOKUP(Model_Input2!$C12,Trend!$B$1:$K$122,BG$1,0),""),"NA")</f>
        <v>0.33380020441382446</v>
      </c>
      <c r="BH12" s="256">
        <f>IFERROR(IF($C12&lt;&gt;"",HLOOKUP(Model_Input2!$C12,Trend!$B$1:$K$122,BH$1,0),""),"NA")</f>
        <v>0.28712571450202518</v>
      </c>
      <c r="BI12" s="256">
        <f>IFERROR(IF($C12&lt;&gt;"",HLOOKUP(Model_Input2!$C12,Trend!$B$1:$K$122,BI$1,0),""),"NA")</f>
        <v>2.4737858197372904E-2</v>
      </c>
      <c r="BJ12" s="256">
        <f>IFERROR(IF($C12&lt;&gt;"",HLOOKUP(Model_Input2!$C12,Trend!$B$1:$K$122,BJ$1,0),""),"NA")</f>
        <v>1.7034485369269788E-3</v>
      </c>
      <c r="BK12" s="256">
        <f>IFERROR(IF($C12&lt;&gt;"",HLOOKUP(Model_Input2!$C12,Trend!$B$1:$K$122,BK$1,0),""),"NA")</f>
        <v>2.558958246583639E-2</v>
      </c>
      <c r="BL12" s="256">
        <f>IFERROR(IF($C12&lt;&gt;"",HLOOKUP(Model_Input2!$C12,Trend!$B$1:$K$122,BL$1,0),""),"NA")</f>
        <v>1</v>
      </c>
      <c r="BM12" s="256">
        <f>IFERROR(IF($C12&lt;&gt;"",HLOOKUP(Model_Input2!$C12,Trend!$B$1:$K$122,BM$1,0),""),"NA")</f>
        <v>0.32588863232009685</v>
      </c>
      <c r="BN12" s="256">
        <f>IFERROR(IF($C12&lt;&gt;"",HLOOKUP(Model_Input2!$C12,Trend!$B$1:$K$122,BN$1,0),""),"NA")</f>
        <v>0.19773252072529052</v>
      </c>
      <c r="BO12" s="256">
        <f>IFERROR(IF($C12&lt;&gt;"",HLOOKUP(Model_Input2!$C12,Trend!$B$1:$K$122,BO$1,0),""),"NA")</f>
        <v>0.24252374809428873</v>
      </c>
      <c r="BP12" s="256">
        <f>IFERROR(IF($C12&lt;&gt;"",HLOOKUP(Model_Input2!$C12,Trend!$B$1:$K$122,BP$1,0),""),"NA")</f>
        <v>0.39279779476452076</v>
      </c>
      <c r="BQ12" s="256">
        <f>IFERROR(IF($C12&lt;&gt;"",HLOOKUP(Model_Input2!$C12,Trend!$B$1:$K$122,BQ$1,0),""),"NA")</f>
        <v>0.36636624894918968</v>
      </c>
      <c r="BR12" s="256">
        <f>IFERROR(IF($C12&lt;&gt;"",HLOOKUP(Model_Input2!$C12,Trend!$B$1:$K$122,BR$1,0),""),"NA")</f>
        <v>0.38028542226596512</v>
      </c>
      <c r="BS12" s="256">
        <f>IFERROR(IF($C12&lt;&gt;"",HLOOKUP(Model_Input2!$C12,Trend!$B$1:$K$122,BS$1,0),""),"NA")</f>
        <v>0.3546958398001287</v>
      </c>
      <c r="BT12" s="256">
        <f>IFERROR(IF($C12&lt;&gt;"",HLOOKUP(Model_Input2!$C12,Trend!$B$1:$K$122,BT$1,0),""),"NA")</f>
        <v>0.11170847099763445</v>
      </c>
      <c r="BU12" s="256">
        <f>IFERROR(IF($C12&lt;&gt;"",HLOOKUP(Model_Input2!$C12,Trend!$B$1:$K$122,BU$1,0),""),"NA")</f>
        <v>0.28439179773043993</v>
      </c>
      <c r="BV12" s="256">
        <f>IFERROR(IF($C12&lt;&gt;"",HLOOKUP(Model_Input2!$C12,Trend!$B$1:$K$122,BV$1,0),""),"NA")</f>
        <v>0.30490928495197439</v>
      </c>
      <c r="BW12" s="256">
        <f>IFERROR(IF($C12&lt;&gt;"",HLOOKUP(Model_Input2!$C12,Trend!$B$1:$K$122,BW$1,0),""),"NA")</f>
        <v>0.39279779476452076</v>
      </c>
      <c r="BX12" s="256">
        <f>IFERROR(IF($C12&lt;&gt;"",HLOOKUP(Model_Input2!$C12,Trend!$B$1:$K$122,BX$1,0),""),"NA")</f>
        <v>0.36636624894918968</v>
      </c>
      <c r="BY12" s="256">
        <f>IFERROR(IF($C12&lt;&gt;"",HLOOKUP(Model_Input2!$C12,Trend!$B$1:$K$122,BY$1,0),""),"NA")</f>
        <v>0</v>
      </c>
      <c r="BZ12" s="256">
        <f>IFERROR(IF($C12&lt;&gt;"",HLOOKUP(Model_Input2!$C12,Trend!$B$1:$K$122,BZ$1,0),""),"NA")</f>
        <v>0.59312623409122012</v>
      </c>
      <c r="CA12" s="256">
        <f>IFERROR(IF($C12&lt;&gt;"",HLOOKUP(Model_Input2!$C12,Trend!$B$1:$K$122,CA$1,0),""),"NA")</f>
        <v>4.0507516959590234E-2</v>
      </c>
      <c r="CB12" s="256">
        <f>IFERROR(IF($C12&lt;&gt;"",HLOOKUP(Model_Input2!$C12,Trend!$B$1:$K$122,CB$1,0),""),"NA")</f>
        <v>0.10312562213816442</v>
      </c>
      <c r="CC12" s="256">
        <f>IFERROR(IF($C12&lt;&gt;"",HLOOKUP(Model_Input2!$C12,Trend!$B$1:$K$122,CC$1,0),""),"NA")</f>
        <v>0.11056563500533617</v>
      </c>
      <c r="CD12" s="38">
        <f>IFERROR(IF($C12&lt;&gt;"",HLOOKUP(Model_Input2!$C12,Trend!$B$1:$K$122,CD$1,0),""),"NA")</f>
        <v>0</v>
      </c>
      <c r="CE12" s="38">
        <f>IFERROR(IF($C12&lt;&gt;"",HLOOKUP(Model_Input2!$C12,Trend!$B$1:$K$122,CE$1,0),""),"NA")</f>
        <v>0.12748867010470386</v>
      </c>
      <c r="CF12" s="38">
        <f>IFERROR(IF($C12&lt;&gt;"",HLOOKUP(Model_Input2!$C12,Trend!$B$1:$K$122,CF$1,0),""),"NA")</f>
        <v>2.012270345559461</v>
      </c>
      <c r="CG12" s="38">
        <f>IFERROR(IF($C12&lt;&gt;"",HLOOKUP(Model_Input2!$C12,Trend!$B$1:$K$122,CG$1,0),""),"NA")</f>
        <v>104.98780487804878</v>
      </c>
      <c r="CH12" s="38">
        <f>IFERROR(IF($C12&lt;&gt;"",HLOOKUP(Model_Input2!$C12,Trend!$B$1:$K$122,CH$1,0),""),"NA")</f>
        <v>1.5987185497734022</v>
      </c>
      <c r="CI12" s="38">
        <f>IFERROR(IF($C12&lt;&gt;"",HLOOKUP(Model_Input2!$C12,Trend!$B$1:$K$122,CI$1,0),""),"NA")</f>
        <v>2.012270345559461</v>
      </c>
      <c r="CJ12" s="38">
        <f>IFERROR(IF($C12&lt;&gt;"",HLOOKUP(Model_Input2!$C12,Trend!$B$1:$K$122,CJ$1,0),""),"NA")</f>
        <v>0.47575777674603703</v>
      </c>
      <c r="CK12" s="256">
        <f>IFERROR(IF($C12&lt;&gt;"",HLOOKUP(Model_Input2!$C12,Trend!$B$1:$K$122,CK$1,0),""),"NA")</f>
        <v>9.0923561809557157E-2</v>
      </c>
      <c r="CL12" s="256">
        <f>IFERROR(IF($C12&lt;&gt;"",HLOOKUP(Model_Input2!$C12,Trend!$B$1:$K$122,CL$1,0),""),"NA")</f>
        <v>2.2012748222603582</v>
      </c>
      <c r="CM12" s="256">
        <f>IFERROR(IF($C12&lt;&gt;"",HLOOKUP(Model_Input2!$C12,Trend!$B$1:$K$122,CM$1,0),""),"NA")</f>
        <v>0.59554287988326593</v>
      </c>
      <c r="CN12" s="256">
        <f>IFERROR(IF($C12&lt;&gt;"",HLOOKUP(Model_Input2!$C12,Trend!$B$1:$K$122,CN$1,0),""),"NA")</f>
        <v>3.6962490806570241</v>
      </c>
      <c r="CO12" s="256">
        <f>IFERROR(IF($C12&lt;&gt;"",HLOOKUP(Model_Input2!$C12,Trend!$B$1:$K$122,CO$1,0),""),"NA")</f>
        <v>6.72904638662154E-2</v>
      </c>
      <c r="CP12" s="256">
        <f>IFERROR(IF($C12&lt;&gt;"",HLOOKUP(Model_Input2!$C12,Trend!$B$1:$K$122,CP$1,0),""),"NA")</f>
        <v>7.2145144076840972E-2</v>
      </c>
      <c r="CQ12" s="256">
        <f>IFERROR(IF($C12&lt;&gt;"",HLOOKUP(Model_Input2!$C12,Trend!$B$1:$K$122,CQ$1,0),""),"NA")</f>
        <v>5.0599185819691868E-2</v>
      </c>
      <c r="CR12" s="256">
        <f>IFERROR(IF($C12&lt;&gt;"",HLOOKUP(Model_Input2!$C12,Trend!$B$1:$K$122,CR$1,0),""),"NA")</f>
        <v>0</v>
      </c>
      <c r="CS12" s="256">
        <f>IFERROR(IF($C12&lt;&gt;"",HLOOKUP(Model_Input2!$C12,Trend!$B$1:$K$122,CS$1,0),""),"NA")</f>
        <v>0.28886701745088383</v>
      </c>
      <c r="CT12" s="38">
        <f>IFERROR(IF($C12&lt;&gt;"",HLOOKUP(Model_Input2!$C12,Trend!$B$1:$K$122,CT$1,0),""),"NA")</f>
        <v>89.450353938751547</v>
      </c>
      <c r="CU12" s="38">
        <f>IFERROR(IF($C12&lt;&gt;"",HLOOKUP(Model_Input2!$C12,Trend!$B$1:$K$122,CU$1,0),""),"NA")</f>
        <v>4.0804757491504482</v>
      </c>
      <c r="CV12" s="38">
        <f>IFERROR(IF($C12&lt;&gt;"",HLOOKUP(Model_Input2!$C12,Trend!$B$1:$K$122,CV$1,0),""),"NA")</f>
        <v>0</v>
      </c>
      <c r="CW12" s="38" t="str">
        <f>IFERROR(IF($C12&lt;&gt;"",HLOOKUP(Model_Input2!$C12,Trend!$B$1:$K$122,CW$1,0),""),"NA")</f>
        <v>NA</v>
      </c>
      <c r="CX12" s="256">
        <f>IFERROR(IF($C12&lt;&gt;"",HLOOKUP(Model_Input2!$C12,Trend!$B$1:$K$122,CX$1,0),""),"NA")</f>
        <v>0.14023186252468184</v>
      </c>
      <c r="CY12" s="256">
        <f>IFERROR(IF($C12&lt;&gt;"",HLOOKUP(Model_Input2!$C12,Trend!$B$1:$K$122,CY$1,0),""),"NA")</f>
        <v>0</v>
      </c>
      <c r="CZ12" s="38">
        <f>IFERROR(IF($C12&lt;&gt;"",HLOOKUP(Model_Input2!$C12,Trend!$B$1:$K$122,CZ$1,0),""),"NA")</f>
        <v>0.33661120994701976</v>
      </c>
      <c r="DA12" s="38">
        <f>IFERROR(IF($C12&lt;&gt;"",HLOOKUP(Model_Input2!$C12,Trend!$B$1:$K$122,DA$1,0),""),"NA")</f>
        <v>0.41709260919066898</v>
      </c>
      <c r="DB12" s="256">
        <f>IFERROR(IF($C12&lt;&gt;"",HLOOKUP(Model_Input2!$C12,Trend!$B$1:$K$122,DB$1,0),""),"NA")</f>
        <v>0.82731116663463411</v>
      </c>
      <c r="DC12" s="256">
        <f>IFERROR(IF($C12&lt;&gt;"",HLOOKUP(Model_Input2!$C12,Trend!$B$1:$K$122,DC$1,0),""),"NA")</f>
        <v>0.92415866029735416</v>
      </c>
      <c r="DD12" s="256">
        <f>IFERROR(IF($C12&lt;&gt;"",HLOOKUP(Model_Input2!$C12,Trend!$B$1:$K$122,DD$1,0),""),"NA")</f>
        <v>0</v>
      </c>
      <c r="DE12" s="256">
        <f>IFERROR(IF($C12&lt;&gt;"",HLOOKUP(Model_Input2!$C12,Trend!$B$1:$K$122,DE$1,0),""),"NA")</f>
        <v>0</v>
      </c>
      <c r="DF12" s="256">
        <f>IFERROR(IF($C12&lt;&gt;"",HLOOKUP(Model_Input2!$C12,Trend!$B$1:$K$122,DF$1,0),""),"NA")</f>
        <v>0</v>
      </c>
      <c r="DG12" s="256">
        <f>IFERROR(IF($C12&lt;&gt;"",HLOOKUP(Model_Input2!$C12,Trend!$B$1:$K$122,DG$1,0),""),"NA")</f>
        <v>0</v>
      </c>
      <c r="DH12" s="256">
        <f>IFERROR(IF($C12&lt;&gt;"",HLOOKUP(Model_Input2!$C12,Trend!$B$1:$K$122,DH$1,0),""),"NA")</f>
        <v>0</v>
      </c>
      <c r="DI12" s="256">
        <f>IFERROR(IF($C12&lt;&gt;"",HLOOKUP(Model_Input2!$C12,Trend!$B$1:$K$122,DI$1,0),""),"NA")</f>
        <v>0</v>
      </c>
      <c r="DJ12" s="38">
        <f>IFERROR(IF($C12&lt;&gt;"",HLOOKUP(Model_Input2!$C12,Trend!$B$1:$K$122,DJ$1,0),""),"NA")</f>
        <v>0</v>
      </c>
      <c r="DK12" s="38">
        <f>IFERROR(IF($C12&lt;&gt;"",HLOOKUP(Model_Input2!$C12,Trend!$B$1:$K$122,DK$1,0),""),"NA")</f>
        <v>0</v>
      </c>
      <c r="DL12" s="256">
        <f>IFERROR(IF($C12&lt;&gt;"",HLOOKUP(Model_Input2!$C12,Trend!$B$1:$K$122,DL$1,0),""),"NA")</f>
        <v>0</v>
      </c>
      <c r="DM12" s="256">
        <f>IFERROR(IF($C12&lt;&gt;"",HLOOKUP(Model_Input2!$C12,Trend!$B$1:$K$122,DM$1,0),""),"NA")</f>
        <v>0</v>
      </c>
      <c r="DN12" s="256">
        <f>IFERROR(IF($C12&lt;&gt;"",HLOOKUP(Model_Input2!$C12,Trend!$B$1:$K$122,DN$1,0),""),"NA")</f>
        <v>0</v>
      </c>
      <c r="DO12" s="256">
        <f>IFERROR(IF($C12&lt;&gt;"",HLOOKUP(Model_Input2!$C12,Trend!$B$1:$K$122,DO$1,0),""),"NA")</f>
        <v>0</v>
      </c>
      <c r="DP12" s="256">
        <f>IFERROR(IF($C12&lt;&gt;"",HLOOKUP(Model_Input2!$C12,Trend!$B$1:$K$122,DP$1,0),""),"NA")</f>
        <v>0</v>
      </c>
      <c r="DQ12" s="256">
        <f>IFERROR(IF($C12&lt;&gt;"",HLOOKUP(Model_Input2!$C12,Trend!$B$1:$K$122,DQ$1,0),""),"NA")</f>
        <v>0</v>
      </c>
      <c r="DR12" s="256">
        <f>IFERROR(IF($C12&lt;&gt;"",HLOOKUP(Model_Input2!$C12,Trend!$B$1:$K$122,DR$1,0),""),"NA")</f>
        <v>0</v>
      </c>
      <c r="DS12" s="256">
        <f>IFERROR(IF($C12&lt;&gt;"",HLOOKUP(Model_Input2!$C12,Trend!$B$1:$K$122,DS$1,0),""),"NA")</f>
        <v>0</v>
      </c>
      <c r="DT12" s="256">
        <f>IFERROR(IF($C12&lt;&gt;"",HLOOKUP(Model_Input2!$C12,Trend!$B$1:$K$122,DT$1,0),""),"NA")</f>
        <v>0.2042384313112158</v>
      </c>
      <c r="DU12" s="256">
        <f>IFERROR(IF($C12&lt;&gt;"",HLOOKUP(Model_Input2!$C12,Trend!$B$1:$K$122,DU$1,0),""),"NA")</f>
        <v>1.0329025825497058</v>
      </c>
      <c r="DV12" s="256">
        <f>IFERROR(IF($C12&lt;&gt;"",HLOOKUP(Model_Input2!$C12,Trend!$B$1:$K$122,DV$1,0),""),"NA")</f>
        <v>2.8193169690501603</v>
      </c>
      <c r="DW12" s="256">
        <f>IFERROR(IF($C12&lt;&gt;"",HLOOKUP(Model_Input2!$C12,Trend!$B$1:$K$122,DW$1,0),""),"NA")</f>
        <v>0.68660859576912037</v>
      </c>
      <c r="DX12" s="256">
        <f>IFERROR(IF($C12&lt;&gt;"",HLOOKUP(Model_Input2!$C12,Trend!$B$1:$K$122,DX$1,0),""),"NA")</f>
        <v>0.1357648483930802</v>
      </c>
      <c r="DY12" s="256">
        <f>IFERROR(IF($C12&lt;&gt;"",HLOOKUP(Model_Input2!$C12,Trend!$B$1:$K$122,DY$1,0),""),"NA")</f>
        <v>0.54695127787881692</v>
      </c>
    </row>
    <row r="13" spans="1:129" x14ac:dyDescent="0.25">
      <c r="A13" t="str">
        <f t="shared" si="2"/>
        <v>8K MILES SOFTWARE SERVICES LTD3132018</v>
      </c>
      <c r="B13" t="str">
        <f>IF(C13&lt;&gt;"",'Data Sheet'!$B$1,"")</f>
        <v>8K MILES SOFTWARE SERVICES LTD</v>
      </c>
      <c r="C13" s="255">
        <f>'Data Sheet'!K16</f>
        <v>43190</v>
      </c>
      <c r="D13" s="9">
        <f>IF($C13&lt;&gt;"",HLOOKUP(Model_Input2!$C13,'Data Sheet'!$B$16:$K$31,D$1,0),"")</f>
        <v>849.24</v>
      </c>
      <c r="E13" s="9">
        <f>IFERROR(IF($C13&lt;&gt;"",HLOOKUP(Model_Input2!$C13,'Data Sheet'!$B$16:$K$31,E$1,0),""),"NA")</f>
        <v>0</v>
      </c>
      <c r="F13" s="9">
        <f>IFERROR(IF($C13&lt;&gt;"",HLOOKUP(Model_Input2!$C13,'Data Sheet'!$B$16:$K$31,F$1,0),""),"NA")</f>
        <v>0</v>
      </c>
      <c r="G13" s="9">
        <f>IFERROR(IF($C13&lt;&gt;"",HLOOKUP(Model_Input2!$C13,'Data Sheet'!$B$16:$K$31,G$1,0),""),"NA")</f>
        <v>0.3</v>
      </c>
      <c r="H13" s="9">
        <f>IFERROR(IF($C13&lt;&gt;"",HLOOKUP(Model_Input2!$C13,'Data Sheet'!$B$16:$K$31,H$1,0),""),"NA")</f>
        <v>1.47</v>
      </c>
      <c r="I13" s="9">
        <f>IFERROR(IF($C13&lt;&gt;"",HLOOKUP(Model_Input2!$C13,'Data Sheet'!$B$16:$K$31,I$1,0),""),"NA")</f>
        <v>235.58</v>
      </c>
      <c r="J13" s="9">
        <f>IFERROR(IF($C13&lt;&gt;"",HLOOKUP(Model_Input2!$C13,'Data Sheet'!$B$16:$K$31,J$1,0),""),"NA")</f>
        <v>295.47000000000003</v>
      </c>
      <c r="K13" s="9">
        <f>IFERROR(IF($C13&lt;&gt;"",HLOOKUP(Model_Input2!$C13,'Data Sheet'!$B$16:$K$31,K$1,0),""),"NA")</f>
        <v>23.05</v>
      </c>
      <c r="L13" s="9">
        <f>IFERROR(IF($C13&lt;&gt;"",HLOOKUP(Model_Input2!$C13,'Data Sheet'!$B$16:$K$31,L$1,0),""),"NA")</f>
        <v>8.4499999999999993</v>
      </c>
      <c r="M13" s="9">
        <f>IFERROR(IF($C13&lt;&gt;"",HLOOKUP(Model_Input2!$C13,'Data Sheet'!$B$16:$K$31,M$1,0),""),"NA")</f>
        <v>25.19</v>
      </c>
      <c r="N13" s="9">
        <f>IFERROR(IF($C13&lt;&gt;"",HLOOKUP(Model_Input2!$C13,'Data Sheet'!$B$16:$K$31,N$1,0),""),"NA")</f>
        <v>10.66</v>
      </c>
      <c r="O13" s="9">
        <f>IFERROR(IF($C13&lt;&gt;"",HLOOKUP(Model_Input2!$C13,'Data Sheet'!$B$16:$K$31,O$1,0),""),"NA")</f>
        <v>265.97000000000003</v>
      </c>
      <c r="P13" s="9">
        <f>IFERROR(IF($C13&lt;&gt;"",HLOOKUP(Model_Input2!$C13,'Data Sheet'!$B$16:$K$31,P$1,0),""),"NA")</f>
        <v>60.55</v>
      </c>
      <c r="Q13" s="9">
        <f>IFERROR(IF($C13&lt;&gt;"",HLOOKUP(Model_Input2!$C13,'Data Sheet'!$B$16:$K$31,Q$1,0),""),"NA")</f>
        <v>171.62</v>
      </c>
      <c r="R13" s="9">
        <f>IFERROR(IF($C13&lt;&gt;"",HLOOKUP(Model_Input2!$C13,'Data Sheet'!$B$16:$K$31,R$1,0),""),"NA")</f>
        <v>0</v>
      </c>
      <c r="S13">
        <f>IFERROR(IF($C13&lt;&gt;"",HLOOKUP(Model_Input2!$C13,'Data Sheet'!$B$56:$K$72,S$1,0),""),"NA")</f>
        <v>15.26</v>
      </c>
      <c r="T13">
        <f>IFERROR(IF($C13&lt;&gt;"",HLOOKUP(Model_Input2!$C13,'Data Sheet'!$B$56:$K$72,T$1,0),""),"NA")</f>
        <v>475.84</v>
      </c>
      <c r="U13">
        <f>IFERROR(IF($C13&lt;&gt;"",HLOOKUP(Model_Input2!$C13,'Data Sheet'!$B$56:$K$72,U$1,0),""),"NA")</f>
        <v>86.48</v>
      </c>
      <c r="V13">
        <f>IFERROR(IF($C13&lt;&gt;"",HLOOKUP(Model_Input2!$C13,'Data Sheet'!$B$56:$K$72,V$1,0),""),"NA")</f>
        <v>243.64</v>
      </c>
      <c r="W13">
        <f>IFERROR(IF($C13&lt;&gt;"",HLOOKUP(Model_Input2!$C13,'Data Sheet'!$B$56:$K$72,W$1,0),""),"NA")</f>
        <v>821.22</v>
      </c>
      <c r="X13">
        <f>IFERROR(IF($C13&lt;&gt;"",HLOOKUP(Model_Input2!$C13,'Data Sheet'!$B$56:$K$72,X$1,0),""),"NA")</f>
        <v>358.34</v>
      </c>
      <c r="Y13">
        <f>IFERROR(IF($C13&lt;&gt;"",HLOOKUP(Model_Input2!$C13,'Data Sheet'!$B$56:$K$72,Y$1,0),""),"NA")</f>
        <v>28.06</v>
      </c>
      <c r="Z13">
        <f>IFERROR(IF($C13&lt;&gt;"",HLOOKUP(Model_Input2!$C13,'Data Sheet'!$B$56:$K$72,Z$1,0),""),"NA")</f>
        <v>0</v>
      </c>
      <c r="AA13">
        <f>IFERROR(IF($C13&lt;&gt;"",HLOOKUP(Model_Input2!$C13,'Data Sheet'!$B$56:$K$72,AA$1,0),""),"NA")</f>
        <v>434.82</v>
      </c>
      <c r="AB13">
        <f>IFERROR(IF($C13&lt;&gt;"",HLOOKUP(Model_Input2!$C13,'Data Sheet'!$B$56:$K$72,AB$1,0),""),"NA")</f>
        <v>821.22</v>
      </c>
      <c r="AC13">
        <f>IFERROR(IF($C13&lt;&gt;"",HLOOKUP(Model_Input2!$C13,'Data Sheet'!$B$56:$K$72,AC$1,0),""),"NA")</f>
        <v>252.52</v>
      </c>
      <c r="AD13">
        <f>IFERROR(IF($C13&lt;&gt;"",HLOOKUP(Model_Input2!$C13,'Data Sheet'!$B$56:$K$72,AD$1,0),""),"NA")</f>
        <v>0</v>
      </c>
      <c r="AE13">
        <f>IFERROR(IF($C13&lt;&gt;"",HLOOKUP(Model_Input2!$C13,'Data Sheet'!$B$56:$K$72,AE$1,0),""),"NA")</f>
        <v>10.99</v>
      </c>
      <c r="AF13">
        <f>IFERROR(IF($C13&lt;&gt;"",HLOOKUP(Model_Input2!$C13,'Data Sheet'!$B$56:$K$72,AF$1,0),""),"NA")</f>
        <v>30517605</v>
      </c>
      <c r="AG13">
        <f>IFERROR(IF($C13&lt;&gt;"",HLOOKUP(Model_Input2!$C13,'Data Sheet'!$B$56:$K$72,AG$1,0),""),"NA")</f>
        <v>0</v>
      </c>
      <c r="AH13">
        <f>IFERROR(IF($C13&lt;&gt;"",HLOOKUP(Model_Input2!$C13,'Data Sheet'!$B$56:$K$72,AH$1,0),""),"NA")</f>
        <v>5</v>
      </c>
      <c r="AI13">
        <f>IFERROR(IF($C13&lt;&gt;"",HLOOKUP(Model_Input2!$C13,'Data Sheet'!$B$81:$K$85,AI$1,0),""),"NA")</f>
        <v>125.1</v>
      </c>
      <c r="AJ13">
        <f>IFERROR(IF($C13&lt;&gt;"",HLOOKUP(Model_Input2!$C13,'Data Sheet'!$B$81:$K$85,AJ$1,0),""),"NA")</f>
        <v>-238.07</v>
      </c>
      <c r="AK13">
        <f>IFERROR(IF($C13&lt;&gt;"",HLOOKUP(Model_Input2!$C13,'Data Sheet'!$B$81:$K$85,AK$1,0),""),"NA")</f>
        <v>34.369999999999997</v>
      </c>
      <c r="AL13">
        <f>IFERROR(IF($C13&lt;&gt;"",HLOOKUP(Model_Input2!$C13,'Data Sheet'!$B$81:$K$85,AL$1,0),""),"NA")</f>
        <v>-78.599999999999994</v>
      </c>
      <c r="AM13" s="38">
        <f>IFERROR(IF($C13&lt;&gt;"",HLOOKUP(Model_Input2!$C13,Trend!$B$1:$K$3,AM$1,0),""),"NA")</f>
        <v>749.45476199999996</v>
      </c>
      <c r="AN13" s="38">
        <f>IFERROR(IF($C13&lt;&gt;"",HLOOKUP(Model_Input2!$C13,Trend!$B$1:$K$3,AN$1,0),""),"NA")</f>
        <v>3.0517604999999999</v>
      </c>
      <c r="AO13" s="38">
        <f>IFERROR(IF($C13&lt;&gt;"",HLOOKUP(Model_Input2!$C13,Trend!$B$1:$K$122,AO$1,0),""),"NA")</f>
        <v>577.57999999999993</v>
      </c>
      <c r="AP13" s="38">
        <f>IFERROR(IF($C13&lt;&gt;"",HLOOKUP(Model_Input2!$C13,Trend!$B$1:$K$122,AP$1,0),""),"NA")</f>
        <v>171.62</v>
      </c>
      <c r="AQ13" s="38">
        <f>IFERROR(IF($C13&lt;&gt;"",HLOOKUP(Model_Input2!$C13,Trend!$B$1:$K$122,AQ$1,0),""),"NA")</f>
        <v>125.1</v>
      </c>
      <c r="AR13" s="38">
        <f>IFERROR(IF($C13&lt;&gt;"",HLOOKUP(Model_Input2!$C13,Trend!$B$1:$K$122,AR$1,0),""),"NA")</f>
        <v>203.46999999999997</v>
      </c>
      <c r="AS13" s="38">
        <f>IFERROR(IF($C13&lt;&gt;"",HLOOKUP(Model_Input2!$C13,Trend!$B$1:$K$122,AS$1,0),""),"NA")</f>
        <v>0</v>
      </c>
      <c r="AT13" s="38">
        <f>IFERROR(IF($C13&lt;&gt;"",HLOOKUP(Model_Input2!$C13,Trend!$B$1:$K$122,AT$1,0),""),"NA")</f>
        <v>-78.369999999999976</v>
      </c>
      <c r="AU13" s="38">
        <f>IFERROR(IF($C13&lt;&gt;"",HLOOKUP(Model_Input2!$C13,Trend!$B$1:$K$122,AU$1,0),""),"NA")</f>
        <v>2362.6464392085009</v>
      </c>
      <c r="AV13" s="256">
        <f>IFERROR(IF($C13&lt;&gt;"",HLOOKUP(Model_Input2!$C13,Trend!$B$1:$K$122,AV$1,0),""),"NA")</f>
        <v>0.60737403944429713</v>
      </c>
      <c r="AW13" s="256">
        <f>IFERROR(IF($C13&lt;&gt;"",HLOOKUP(Model_Input2!$C13,Trend!$B$1:$K$122,AW$1,0),""),"NA")</f>
        <v>0.64276825883028632</v>
      </c>
      <c r="AX13" s="256">
        <f>IFERROR(IF($C13&lt;&gt;"",HLOOKUP(Model_Input2!$C13,Trend!$B$1:$K$122,AX$1,0),""),"NA")</f>
        <v>0.29734821722952287</v>
      </c>
      <c r="AY13" s="256">
        <f>IFERROR(IF($C13&lt;&gt;"",HLOOKUP(Model_Input2!$C13,Trend!$B$1:$K$122,AY$1,0),""),"NA")</f>
        <v>0</v>
      </c>
      <c r="AZ13" s="256">
        <f>IFERROR(IF($C13&lt;&gt;"",HLOOKUP(Model_Input2!$C13,Trend!$B$1:$K$122,AZ$1,0),""),"NA")</f>
        <v>0.20208657152277332</v>
      </c>
      <c r="BA13" s="256">
        <f>IFERROR(IF($C13&lt;&gt;"",HLOOKUP(Model_Input2!$C13,Trend!$B$1:$K$122,BA$1,0),""),"NA")</f>
        <v>0.2276572545775839</v>
      </c>
      <c r="BB13" s="38">
        <f>IFERROR(IF($C13&lt;&gt;"",HLOOKUP(Model_Input2!$C13,Trend!$B$1:$K$122,BB$1,0),""),"NA")</f>
        <v>-46.52000000000001</v>
      </c>
      <c r="BC13" s="256">
        <f>IFERROR(IF($C13&lt;&gt;"",HLOOKUP(Model_Input2!$C13,Trend!$B$1:$K$122,BC$1,0),""),"NA")</f>
        <v>0</v>
      </c>
      <c r="BD13" s="256">
        <f>IFERROR(IF($C13&lt;&gt;"",HLOOKUP(Model_Input2!$C13,Trend!$B$1:$K$122,BD$1,0),""),"NA")</f>
        <v>0</v>
      </c>
      <c r="BE13" s="256">
        <f>IFERROR(IF($C13&lt;&gt;"",HLOOKUP(Model_Input2!$C13,Trend!$B$1:$K$122,BE$1,0),""),"NA")</f>
        <v>3.5325702981489328E-4</v>
      </c>
      <c r="BF13" s="256">
        <f>IFERROR(IF($C13&lt;&gt;"",HLOOKUP(Model_Input2!$C13,Trend!$B$1:$K$122,BF$1,0),""),"NA")</f>
        <v>1.7309594460929772E-3</v>
      </c>
      <c r="BG13" s="256">
        <f>IFERROR(IF($C13&lt;&gt;"",HLOOKUP(Model_Input2!$C13,Trend!$B$1:$K$122,BG$1,0),""),"NA")</f>
        <v>0.27740097027930855</v>
      </c>
      <c r="BH13" s="256">
        <f>IFERROR(IF($C13&lt;&gt;"",HLOOKUP(Model_Input2!$C13,Trend!$B$1:$K$122,BH$1,0),""),"NA")</f>
        <v>0.34792284866468848</v>
      </c>
      <c r="BI13" s="256">
        <f>IFERROR(IF($C13&lt;&gt;"",HLOOKUP(Model_Input2!$C13,Trend!$B$1:$K$122,BI$1,0),""),"NA")</f>
        <v>2.7141915124110971E-2</v>
      </c>
      <c r="BJ13" s="256">
        <f>IFERROR(IF($C13&lt;&gt;"",HLOOKUP(Model_Input2!$C13,Trend!$B$1:$K$122,BJ$1,0),""),"NA")</f>
        <v>9.9500730064528281E-3</v>
      </c>
      <c r="BK13" s="256">
        <f>IFERROR(IF($C13&lt;&gt;"",HLOOKUP(Model_Input2!$C13,Trend!$B$1:$K$122,BK$1,0),""),"NA")</f>
        <v>2.9661815270123876E-2</v>
      </c>
      <c r="BL13" s="256">
        <f>IFERROR(IF($C13&lt;&gt;"",HLOOKUP(Model_Input2!$C13,Trend!$B$1:$K$122,BL$1,0),""),"NA")</f>
        <v>1</v>
      </c>
      <c r="BM13" s="256">
        <f>IFERROR(IF($C13&lt;&gt;"",HLOOKUP(Model_Input2!$C13,Trend!$B$1:$K$122,BM$1,0),""),"NA")</f>
        <v>0.32573830719231317</v>
      </c>
      <c r="BN13" s="256">
        <f>IFERROR(IF($C13&lt;&gt;"",HLOOKUP(Model_Input2!$C13,Trend!$B$1:$K$122,BN$1,0),""),"NA")</f>
        <v>0.20208657152277332</v>
      </c>
      <c r="BO13" s="256">
        <f>IFERROR(IF($C13&lt;&gt;"",HLOOKUP(Model_Input2!$C13,Trend!$B$1:$K$122,BO$1,0),""),"NA")</f>
        <v>0.2276572545775839</v>
      </c>
      <c r="BP13" s="256">
        <f>IFERROR(IF($C13&lt;&gt;"",HLOOKUP(Model_Input2!$C13,Trend!$B$1:$K$122,BP$1,0),""),"NA")</f>
        <v>0.46702467061201625</v>
      </c>
      <c r="BQ13" s="256">
        <f>IFERROR(IF($C13&lt;&gt;"",HLOOKUP(Model_Input2!$C13,Trend!$B$1:$K$122,BQ$1,0),""),"NA")</f>
        <v>0.43635079515842279</v>
      </c>
      <c r="BR13" s="256">
        <f>IFERROR(IF($C13&lt;&gt;"",HLOOKUP(Model_Input2!$C13,Trend!$B$1:$K$122,BR$1,0),""),"NA")</f>
        <v>0.45161556214968673</v>
      </c>
      <c r="BS13" s="256">
        <f>IFERROR(IF($C13&lt;&gt;"",HLOOKUP(Model_Input2!$C13,Trend!$B$1:$K$122,BS$1,0),""),"NA")</f>
        <v>0.42195374687956289</v>
      </c>
      <c r="BT13" s="256">
        <f>IFERROR(IF($C13&lt;&gt;"",HLOOKUP(Model_Input2!$C13,Trend!$B$1:$K$122,BT$1,0),""),"NA")</f>
        <v>0.24776551959280091</v>
      </c>
      <c r="BU13" s="256">
        <f>IFERROR(IF($C13&lt;&gt;"",HLOOKUP(Model_Input2!$C13,Trend!$B$1:$K$122,BU$1,0),""),"NA")</f>
        <v>0.53051912497066722</v>
      </c>
      <c r="BV13" s="256">
        <f>IFERROR(IF($C13&lt;&gt;"",HLOOKUP(Model_Input2!$C13,Trend!$B$1:$K$122,BV$1,0),""),"NA")</f>
        <v>0.56781269185689565</v>
      </c>
      <c r="BW13" s="256">
        <f>IFERROR(IF($C13&lt;&gt;"",HLOOKUP(Model_Input2!$C13,Trend!$B$1:$K$122,BW$1,0),""),"NA")</f>
        <v>0.46702467061201625</v>
      </c>
      <c r="BX13" s="256">
        <f>IFERROR(IF($C13&lt;&gt;"",HLOOKUP(Model_Input2!$C13,Trend!$B$1:$K$122,BX$1,0),""),"NA")</f>
        <v>0.43635079515842279</v>
      </c>
      <c r="BY13" s="256">
        <f>IFERROR(IF($C13&lt;&gt;"",HLOOKUP(Model_Input2!$C13,Trend!$B$1:$K$122,BY$1,0),""),"NA")</f>
        <v>0</v>
      </c>
      <c r="BZ13" s="256">
        <f>IFERROR(IF($C13&lt;&gt;"",HLOOKUP(Model_Input2!$C13,Trend!$B$1:$K$122,BZ$1,0),""),"NA")</f>
        <v>0.5294805289690947</v>
      </c>
      <c r="CA13" s="256">
        <f>IFERROR(IF($C13&lt;&gt;"",HLOOKUP(Model_Input2!$C13,Trend!$B$1:$K$122,CA$1,0),""),"NA")</f>
        <v>3.4168675872482401E-2</v>
      </c>
      <c r="CB13" s="256">
        <f>IFERROR(IF($C13&lt;&gt;"",HLOOKUP(Model_Input2!$C13,Trend!$B$1:$K$122,CB$1,0),""),"NA")</f>
        <v>7.3162464474747738E-2</v>
      </c>
      <c r="CC13" s="256">
        <f>IFERROR(IF($C13&lt;&gt;"",HLOOKUP(Model_Input2!$C13,Trend!$B$1:$K$122,CC$1,0),""),"NA")</f>
        <v>7.8305519897304235E-2</v>
      </c>
      <c r="CD13" s="38">
        <f>IFERROR(IF($C13&lt;&gt;"",HLOOKUP(Model_Input2!$C13,Trend!$B$1:$K$122,CD$1,0),""),"NA")</f>
        <v>0</v>
      </c>
      <c r="CE13" s="38">
        <f>IFERROR(IF($C13&lt;&gt;"",HLOOKUP(Model_Input2!$C13,Trend!$B$1:$K$122,CE$1,0),""),"NA")</f>
        <v>0.1760944817756058</v>
      </c>
      <c r="CF13" s="38">
        <f>IFERROR(IF($C13&lt;&gt;"",HLOOKUP(Model_Input2!$C13,Trend!$B$1:$K$122,CF$1,0),""),"NA")</f>
        <v>1.7846823181743556</v>
      </c>
      <c r="CG13" s="38">
        <f>IFERROR(IF($C13&lt;&gt;"",HLOOKUP(Model_Input2!$C13,Trend!$B$1:$K$122,CG$1,0),""),"NA")</f>
        <v>25.950281425891188</v>
      </c>
      <c r="CH13" s="38">
        <f>IFERROR(IF($C13&lt;&gt;"",HLOOKUP(Model_Input2!$C13,Trend!$B$1:$K$122,CH$1,0),""),"NA")</f>
        <v>1.6722052535125231</v>
      </c>
      <c r="CI13" s="38">
        <f>IFERROR(IF($C13&lt;&gt;"",HLOOKUP(Model_Input2!$C13,Trend!$B$1:$K$122,CI$1,0),""),"NA")</f>
        <v>1.7846823181743556</v>
      </c>
      <c r="CJ13" s="38">
        <f>IFERROR(IF($C13&lt;&gt;"",HLOOKUP(Model_Input2!$C13,Trend!$B$1:$K$122,CJ$1,0),""),"NA")</f>
        <v>0.51346248563454278</v>
      </c>
      <c r="CK13" s="256">
        <f>IFERROR(IF($C13&lt;&gt;"",HLOOKUP(Model_Input2!$C13,Trend!$B$1:$K$122,CK$1,0),""),"NA")</f>
        <v>0.17553909014486521</v>
      </c>
      <c r="CL13" s="256">
        <f>IFERROR(IF($C13&lt;&gt;"",HLOOKUP(Model_Input2!$C13,Trend!$B$1:$K$122,CL$1,0),""),"NA")</f>
        <v>0.1270814061054579</v>
      </c>
      <c r="CM13" s="256">
        <f>IFERROR(IF($C13&lt;&gt;"",HLOOKUP(Model_Input2!$C13,Trend!$B$1:$K$122,CM$1,0),""),"NA")</f>
        <v>4.5107535708422263E-2</v>
      </c>
      <c r="CN13" s="256">
        <f>IFERROR(IF($C13&lt;&gt;"",HLOOKUP(Model_Input2!$C13,Trend!$B$1:$K$122,CN$1,0),""),"NA")</f>
        <v>2.8172987974098054</v>
      </c>
      <c r="CO13" s="256">
        <f>IFERROR(IF($C13&lt;&gt;"",HLOOKUP(Model_Input2!$C13,Trend!$B$1:$K$122,CO$1,0),""),"NA")</f>
        <v>6.5679347117565776E-2</v>
      </c>
      <c r="CP13" s="256">
        <f>IFERROR(IF($C13&lt;&gt;"",HLOOKUP(Model_Input2!$C13,Trend!$B$1:$K$122,CP$1,0),""),"NA")</f>
        <v>7.0296366579226444E-2</v>
      </c>
      <c r="CQ13" s="256">
        <f>IFERROR(IF($C13&lt;&gt;"",HLOOKUP(Model_Input2!$C13,Trend!$B$1:$K$122,CQ$1,0),""),"NA")</f>
        <v>4.8050932641071232E-3</v>
      </c>
      <c r="CR13" s="256">
        <f>IFERROR(IF($C13&lt;&gt;"",HLOOKUP(Model_Input2!$C13,Trend!$B$1:$K$122,CR$1,0),""),"NA")</f>
        <v>0</v>
      </c>
      <c r="CS13" s="256">
        <f>IFERROR(IF($C13&lt;&gt;"",HLOOKUP(Model_Input2!$C13,Trend!$B$1:$K$122,CS$1,0),""),"NA")</f>
        <v>0.22511892986670434</v>
      </c>
      <c r="CT13" s="38">
        <f>IFERROR(IF($C13&lt;&gt;"",HLOOKUP(Model_Input2!$C13,Trend!$B$1:$K$122,CT$1,0),""),"NA")</f>
        <v>108.53209928877585</v>
      </c>
      <c r="CU13" s="38">
        <f>IFERROR(IF($C13&lt;&gt;"",HLOOKUP(Model_Input2!$C13,Trend!$B$1:$K$122,CU$1,0),""),"NA")</f>
        <v>3.3630603516553141</v>
      </c>
      <c r="CV13" s="38">
        <f>IFERROR(IF($C13&lt;&gt;"",HLOOKUP(Model_Input2!$C13,Trend!$B$1:$K$122,CV$1,0),""),"NA")</f>
        <v>0</v>
      </c>
      <c r="CW13" s="38" t="str">
        <f>IFERROR(IF($C13&lt;&gt;"",HLOOKUP(Model_Input2!$C13,Trend!$B$1:$K$122,CW$1,0),""),"NA")</f>
        <v>NA</v>
      </c>
      <c r="CX13" s="256">
        <f>IFERROR(IF($C13&lt;&gt;"",HLOOKUP(Model_Input2!$C13,Trend!$B$1:$K$122,CX$1,0),""),"NA")</f>
        <v>0.15233433184773873</v>
      </c>
      <c r="CY13" s="256">
        <f>IFERROR(IF($C13&lt;&gt;"",HLOOKUP(Model_Input2!$C13,Trend!$B$1:$K$122,CY$1,0),""),"NA")</f>
        <v>0</v>
      </c>
      <c r="CZ13" s="38">
        <f>IFERROR(IF($C13&lt;&gt;"",HLOOKUP(Model_Input2!$C13,Trend!$B$1:$K$122,CZ$1,0),""),"NA")</f>
        <v>0.33685248776210996</v>
      </c>
      <c r="DA13" s="38">
        <f>IFERROR(IF($C13&lt;&gt;"",HLOOKUP(Model_Input2!$C13,Trend!$B$1:$K$122,DA$1,0),""),"NA")</f>
        <v>0.41513284761354502</v>
      </c>
      <c r="DB13" s="256">
        <f>IFERROR(IF($C13&lt;&gt;"",HLOOKUP(Model_Input2!$C13,Trend!$B$1:$K$122,DB$1,0),""),"NA")</f>
        <v>0.7159161490683229</v>
      </c>
      <c r="DC13" s="256">
        <f>IFERROR(IF($C13&lt;&gt;"",HLOOKUP(Model_Input2!$C13,Trend!$B$1:$K$122,DC$1,0),""),"NA")</f>
        <v>0.93059947520688946</v>
      </c>
      <c r="DD13" s="256">
        <f>IFERROR(IF($C13&lt;&gt;"",HLOOKUP(Model_Input2!$C13,Trend!$B$1:$K$122,DD$1,0),""),"NA")</f>
        <v>0</v>
      </c>
      <c r="DE13" s="256">
        <f>IFERROR(IF($C13&lt;&gt;"",HLOOKUP(Model_Input2!$C13,Trend!$B$1:$K$122,DE$1,0),""),"NA")</f>
        <v>0</v>
      </c>
      <c r="DF13" s="256">
        <f>IFERROR(IF($C13&lt;&gt;"",HLOOKUP(Model_Input2!$C13,Trend!$B$1:$K$122,DF$1,0),""),"NA")</f>
        <v>0</v>
      </c>
      <c r="DG13" s="256">
        <f>IFERROR(IF($C13&lt;&gt;"",HLOOKUP(Model_Input2!$C13,Trend!$B$1:$K$122,DG$1,0),""),"NA")</f>
        <v>0</v>
      </c>
      <c r="DH13" s="256">
        <f>IFERROR(IF($C13&lt;&gt;"",HLOOKUP(Model_Input2!$C13,Trend!$B$1:$K$122,DH$1,0),""),"NA")</f>
        <v>0</v>
      </c>
      <c r="DI13" s="256">
        <f>IFERROR(IF($C13&lt;&gt;"",HLOOKUP(Model_Input2!$C13,Trend!$B$1:$K$122,DI$1,0),""),"NA")</f>
        <v>0</v>
      </c>
      <c r="DJ13" s="38">
        <f>IFERROR(IF($C13&lt;&gt;"",HLOOKUP(Model_Input2!$C13,Trend!$B$1:$K$122,DJ$1,0),""),"NA")</f>
        <v>0</v>
      </c>
      <c r="DK13" s="38">
        <f>IFERROR(IF($C13&lt;&gt;"",HLOOKUP(Model_Input2!$C13,Trend!$B$1:$K$122,DK$1,0),""),"NA")</f>
        <v>0</v>
      </c>
      <c r="DL13" s="256">
        <f>IFERROR(IF($C13&lt;&gt;"",HLOOKUP(Model_Input2!$C13,Trend!$B$1:$K$122,DL$1,0),""),"NA")</f>
        <v>0</v>
      </c>
      <c r="DM13" s="256">
        <f>IFERROR(IF($C13&lt;&gt;"",HLOOKUP(Model_Input2!$C13,Trend!$B$1:$K$122,DM$1,0),""),"NA")</f>
        <v>0</v>
      </c>
      <c r="DN13" s="256">
        <f>IFERROR(IF($C13&lt;&gt;"",HLOOKUP(Model_Input2!$C13,Trend!$B$1:$K$122,DN$1,0),""),"NA")</f>
        <v>0</v>
      </c>
      <c r="DO13" s="256">
        <f>IFERROR(IF($C13&lt;&gt;"",HLOOKUP(Model_Input2!$C13,Trend!$B$1:$K$122,DO$1,0),""),"NA")</f>
        <v>0</v>
      </c>
      <c r="DP13" s="256">
        <f>IFERROR(IF($C13&lt;&gt;"",HLOOKUP(Model_Input2!$C13,Trend!$B$1:$K$122,DP$1,0),""),"NA")</f>
        <v>0</v>
      </c>
      <c r="DQ13" s="256">
        <f>IFERROR(IF($C13&lt;&gt;"",HLOOKUP(Model_Input2!$C13,Trend!$B$1:$K$122,DQ$1,0),""),"NA")</f>
        <v>0</v>
      </c>
      <c r="DR13" s="256">
        <f>IFERROR(IF($C13&lt;&gt;"",HLOOKUP(Model_Input2!$C13,Trend!$B$1:$K$122,DR$1,0),""),"NA")</f>
        <v>0</v>
      </c>
      <c r="DS13" s="256">
        <f>IFERROR(IF($C13&lt;&gt;"",HLOOKUP(Model_Input2!$C13,Trend!$B$1:$K$122,DS$1,0),""),"NA")</f>
        <v>0</v>
      </c>
      <c r="DT13" s="256">
        <f>IFERROR(IF($C13&lt;&gt;"",HLOOKUP(Model_Input2!$C13,Trend!$B$1:$K$122,DT$1,0),""),"NA")</f>
        <v>0.20898175884659409</v>
      </c>
      <c r="DU13" s="256">
        <f>IFERROR(IF($C13&lt;&gt;"",HLOOKUP(Model_Input2!$C13,Trend!$B$1:$K$122,DU$1,0),""),"NA")</f>
        <v>1.0341199678527069</v>
      </c>
      <c r="DV13" s="256">
        <f>IFERROR(IF($C13&lt;&gt;"",HLOOKUP(Model_Input2!$C13,Trend!$B$1:$K$122,DV$1,0),""),"NA")</f>
        <v>2.3699280013395101</v>
      </c>
      <c r="DW13" s="256">
        <f>IFERROR(IF($C13&lt;&gt;"",HLOOKUP(Model_Input2!$C13,Trend!$B$1:$K$122,DW$1,0),""),"NA")</f>
        <v>0.72893602144272229</v>
      </c>
      <c r="DX13" s="256">
        <f>IFERROR(IF($C13&lt;&gt;"",HLOOKUP(Model_Input2!$C13,Trend!$B$1:$K$122,DX$1,0),""),"NA")</f>
        <v>0.14730818143281049</v>
      </c>
      <c r="DY13" s="256">
        <f>IFERROR(IF($C13&lt;&gt;"",HLOOKUP(Model_Input2!$C13,Trend!$B$1:$K$122,DY$1,0),""),"NA")</f>
        <v>1.1855844307190302</v>
      </c>
    </row>
    <row r="14" spans="1:129" x14ac:dyDescent="0.25">
      <c r="A14" t="str">
        <f t="shared" si="2"/>
        <v/>
      </c>
      <c r="B14" t="str">
        <f>IF(C14&lt;&gt;"",'Data Sheet'!$B$1,"")</f>
        <v/>
      </c>
      <c r="D14" s="9" t="str">
        <f>IF(C14&lt;&gt;"",HLOOKUP(Model_Input2!$C14,'Data Sheet'!$B$16:$K$31,D$1,0),"")</f>
        <v/>
      </c>
      <c r="E14" s="9" t="str">
        <f>IFERROR(IF($C14&lt;&gt;"",HLOOKUP(Model_Input2!$C14,'Data Sheet'!$B$16:$K$31,E$1,0),""),"NA")</f>
        <v/>
      </c>
      <c r="F14" s="9" t="str">
        <f>IFERROR(IF($C14&lt;&gt;"",HLOOKUP(Model_Input2!$C14,'Data Sheet'!$B$16:$K$31,F$1,0),""),"NA")</f>
        <v/>
      </c>
      <c r="G14" s="9" t="str">
        <f>IFERROR(IF($C14&lt;&gt;"",HLOOKUP(Model_Input2!$C14,'Data Sheet'!$B$16:$K$31,G$1,0),""),"NA")</f>
        <v/>
      </c>
      <c r="H14" s="9" t="str">
        <f>IFERROR(IF($C14&lt;&gt;"",HLOOKUP(Model_Input2!$C14,'Data Sheet'!$B$16:$K$31,H$1,0),""),"NA")</f>
        <v/>
      </c>
      <c r="I14" s="9" t="str">
        <f>IFERROR(IF($C14&lt;&gt;"",HLOOKUP(Model_Input2!$C14,'Data Sheet'!$B$16:$K$31,I$1,0),""),"NA")</f>
        <v/>
      </c>
      <c r="J14" s="9" t="str">
        <f>IFERROR(IF($C14&lt;&gt;"",HLOOKUP(Model_Input2!$C14,'Data Sheet'!$B$16:$K$31,J$1,0),""),"NA")</f>
        <v/>
      </c>
      <c r="K14" s="9" t="str">
        <f>IFERROR(IF($C14&lt;&gt;"",HLOOKUP(Model_Input2!$C14,'Data Sheet'!$B$16:$K$31,K$1,0),""),"NA")</f>
        <v/>
      </c>
      <c r="L14" s="9" t="str">
        <f>IFERROR(IF($C14&lt;&gt;"",HLOOKUP(Model_Input2!$C14,'Data Sheet'!$B$16:$K$31,L$1,0),""),"NA")</f>
        <v/>
      </c>
      <c r="M14" s="9" t="str">
        <f>IFERROR(IF($C14&lt;&gt;"",HLOOKUP(Model_Input2!$C14,'Data Sheet'!$B$16:$K$31,M$1,0),""),"NA")</f>
        <v/>
      </c>
      <c r="N14" s="9" t="str">
        <f>IFERROR(IF($C14&lt;&gt;"",HLOOKUP(Model_Input2!$C14,'Data Sheet'!$B$16:$K$31,N$1,0),""),"NA")</f>
        <v/>
      </c>
      <c r="O14" s="9" t="str">
        <f>IFERROR(IF($C14&lt;&gt;"",HLOOKUP(Model_Input2!$C14,'Data Sheet'!$B$16:$K$31,O$1,0),""),"NA")</f>
        <v/>
      </c>
      <c r="P14" s="9" t="str">
        <f>IFERROR(IF($C14&lt;&gt;"",HLOOKUP(Model_Input2!$C14,'Data Sheet'!$B$16:$K$31,P$1,0),""),"NA")</f>
        <v/>
      </c>
      <c r="Q14" s="9" t="str">
        <f>IFERROR(IF($C14&lt;&gt;"",HLOOKUP(Model_Input2!$C14,'Data Sheet'!$B$16:$K$31,Q$1,0),""),"NA")</f>
        <v/>
      </c>
      <c r="R14" s="9" t="str">
        <f>IFERROR(IF($C14&lt;&gt;"",HLOOKUP(Model_Input2!$C14,'Data Sheet'!$B$16:$K$31,R$1,0),""),"NA")</f>
        <v/>
      </c>
      <c r="S14" t="str">
        <f>IFERROR(IF($C14&lt;&gt;"",HLOOKUP(Model_Input2!$C14,'Data Sheet'!$B$56:$K$72,S$1,0),""),"NA")</f>
        <v/>
      </c>
      <c r="T14" t="str">
        <f>IFERROR(IF($C14&lt;&gt;"",HLOOKUP(Model_Input2!$C14,'Data Sheet'!$B$56:$K$72,T$1,0),""),"NA")</f>
        <v/>
      </c>
      <c r="U14" t="str">
        <f>IFERROR(IF($C14&lt;&gt;"",HLOOKUP(Model_Input2!$C14,'Data Sheet'!$B$56:$K$72,U$1,0),""),"NA")</f>
        <v/>
      </c>
      <c r="V14" t="str">
        <f>IFERROR(IF($C14&lt;&gt;"",HLOOKUP(Model_Input2!$C14,'Data Sheet'!$B$56:$K$72,V$1,0),""),"NA")</f>
        <v/>
      </c>
      <c r="W14" t="str">
        <f>IFERROR(IF($C14&lt;&gt;"",HLOOKUP(Model_Input2!$C14,'Data Sheet'!$B$56:$K$72,W$1,0),""),"NA")</f>
        <v/>
      </c>
      <c r="X14" t="str">
        <f>IFERROR(IF($C14&lt;&gt;"",HLOOKUP(Model_Input2!$C14,'Data Sheet'!$B$56:$K$72,X$1,0),""),"NA")</f>
        <v/>
      </c>
      <c r="Y14" t="str">
        <f>IFERROR(IF($C14&lt;&gt;"",HLOOKUP(Model_Input2!$C14,'Data Sheet'!$B$56:$K$72,Y$1,0),""),"NA")</f>
        <v/>
      </c>
      <c r="Z14" t="str">
        <f>IFERROR(IF($C14&lt;&gt;"",HLOOKUP(Model_Input2!$C14,'Data Sheet'!$B$56:$K$72,Z$1,0),""),"NA")</f>
        <v/>
      </c>
      <c r="AA14" t="str">
        <f>IFERROR(IF($C14&lt;&gt;"",HLOOKUP(Model_Input2!$C14,'Data Sheet'!$B$56:$K$72,AA$1,0),""),"NA")</f>
        <v/>
      </c>
      <c r="AB14" t="str">
        <f>IFERROR(IF($C14&lt;&gt;"",HLOOKUP(Model_Input2!$C14,'Data Sheet'!$B$56:$K$72,AB$1,0),""),"NA")</f>
        <v/>
      </c>
      <c r="AC14" t="str">
        <f>IFERROR(IF($C14&lt;&gt;"",HLOOKUP(Model_Input2!$C14,'Data Sheet'!$B$56:$K$72,AC$1,0),""),"NA")</f>
        <v/>
      </c>
      <c r="AD14" t="str">
        <f>IFERROR(IF($C14&lt;&gt;"",HLOOKUP(Model_Input2!$C14,'Data Sheet'!$B$56:$K$72,AD$1,0),""),"NA")</f>
        <v/>
      </c>
      <c r="AE14" t="str">
        <f>IFERROR(IF($C14&lt;&gt;"",HLOOKUP(Model_Input2!$C14,'Data Sheet'!$B$56:$K$72,AE$1,0),""),"NA")</f>
        <v/>
      </c>
      <c r="AF14" t="str">
        <f>IFERROR(IF($C14&lt;&gt;"",HLOOKUP(Model_Input2!$C14,'Data Sheet'!$B$56:$K$72,AF$1,0),""),"NA")</f>
        <v/>
      </c>
      <c r="AG14" t="str">
        <f>IFERROR(IF($C14&lt;&gt;"",HLOOKUP(Model_Input2!$C14,'Data Sheet'!$B$56:$K$72,AG$1,0),""),"NA")</f>
        <v/>
      </c>
      <c r="AH14" t="str">
        <f>IFERROR(IF($C14&lt;&gt;"",HLOOKUP(Model_Input2!$C14,'Data Sheet'!$B$56:$K$72,AH$1,0),""),"NA")</f>
        <v/>
      </c>
      <c r="AI14" t="str">
        <f>IFERROR(IF($C14&lt;&gt;"",HLOOKUP(Model_Input2!$C14,'Data Sheet'!$B$81:$K$85,AI$1,0),""),"NA")</f>
        <v/>
      </c>
      <c r="AJ14" t="str">
        <f>IFERROR(IF($C14&lt;&gt;"",HLOOKUP(Model_Input2!$C14,'Data Sheet'!$B$81:$K$85,AJ$1,0),""),"NA")</f>
        <v/>
      </c>
      <c r="AK14" t="str">
        <f>IFERROR(IF($C14&lt;&gt;"",HLOOKUP(Model_Input2!$C14,'Data Sheet'!$B$81:$K$85,AK$1,0),""),"NA")</f>
        <v/>
      </c>
      <c r="AL14" t="str">
        <f>IFERROR(IF($C14&lt;&gt;"",HLOOKUP(Model_Input2!$C14,'Data Sheet'!$B$81:$K$85,AL$1,0),""),"NA")</f>
        <v/>
      </c>
      <c r="AM14" s="38" t="str">
        <f>IFERROR(IF($C14&lt;&gt;"",HLOOKUP(Model_Input2!$C14,Trend!$B$1:$K$3,AM$1,0),""),"NA")</f>
        <v/>
      </c>
      <c r="AN14" s="38" t="str">
        <f>IFERROR(IF($C14&lt;&gt;"",HLOOKUP(Model_Input2!$C14,Trend!$B$1:$K$3,AN$1,0),""),"NA")</f>
        <v/>
      </c>
      <c r="AO14" s="38" t="str">
        <f>IFERROR(IF($C14&lt;&gt;"",HLOOKUP(Model_Input2!$C14,Trend!$B$1:$K$122,AO$1,0),""),"NA")</f>
        <v/>
      </c>
      <c r="AP14" s="38" t="str">
        <f>IFERROR(IF($C14&lt;&gt;"",HLOOKUP(Model_Input2!$C14,Trend!$B$1:$K$122,AP$1,0),""),"NA")</f>
        <v/>
      </c>
      <c r="AQ14" s="38" t="str">
        <f>IFERROR(IF($C14&lt;&gt;"",HLOOKUP(Model_Input2!$C14,Trend!$B$1:$K$122,AQ$1,0),""),"NA")</f>
        <v/>
      </c>
      <c r="AR14" s="38" t="str">
        <f>IFERROR(IF($C14&lt;&gt;"",HLOOKUP(Model_Input2!$C14,Trend!$B$1:$K$122,AR$1,0),""),"NA")</f>
        <v/>
      </c>
      <c r="AS14" s="38" t="str">
        <f>IFERROR(IF($C14&lt;&gt;"",HLOOKUP(Model_Input2!$C14,Trend!$B$1:$K$122,AS$1,0),""),"NA")</f>
        <v/>
      </c>
      <c r="AT14" s="38" t="str">
        <f>IFERROR(IF($C14&lt;&gt;"",HLOOKUP(Model_Input2!$C14,Trend!$B$1:$K$122,AT$1,0),""),"NA")</f>
        <v/>
      </c>
      <c r="AU14" s="38" t="str">
        <f>IFERROR(IF($C14&lt;&gt;"",HLOOKUP(Model_Input2!$C14,Trend!$B$1:$K$122,AU$1,0),""),"NA")</f>
        <v/>
      </c>
      <c r="AV14" s="256" t="str">
        <f>IFERROR(IF($C14&lt;&gt;"",HLOOKUP(Model_Input2!$C14,Trend!$B$1:$K$122,AV$1,0),""),"NA")</f>
        <v/>
      </c>
      <c r="AW14" s="256" t="str">
        <f>IFERROR(IF($C14&lt;&gt;"",HLOOKUP(Model_Input2!$C14,Trend!$B$1:$K$122,AW$1,0),""),"NA")</f>
        <v/>
      </c>
      <c r="AX14" s="256" t="str">
        <f>IFERROR(IF($C14&lt;&gt;"",HLOOKUP(Model_Input2!$C14,Trend!$B$1:$K$122,AX$1,0),""),"NA")</f>
        <v/>
      </c>
      <c r="AY14" s="256" t="str">
        <f>IFERROR(IF($C14&lt;&gt;"",HLOOKUP(Model_Input2!$C14,Trend!$B$1:$K$122,AY$1,0),""),"NA")</f>
        <v/>
      </c>
      <c r="AZ14" s="256" t="str">
        <f>IFERROR(IF($C14&lt;&gt;"",HLOOKUP(Model_Input2!$C14,Trend!$B$1:$K$122,AZ$1,0),""),"NA")</f>
        <v/>
      </c>
      <c r="BA14" s="256" t="str">
        <f>IFERROR(IF($C14&lt;&gt;"",HLOOKUP(Model_Input2!$C14,Trend!$B$1:$K$122,BA$1,0),""),"NA")</f>
        <v/>
      </c>
      <c r="BB14" s="38" t="str">
        <f>IFERROR(IF($C14&lt;&gt;"",HLOOKUP(Model_Input2!$C14,Trend!$B$1:$K$122,BB$1,0),""),"NA")</f>
        <v/>
      </c>
      <c r="BC14" s="256" t="str">
        <f>IFERROR(IF($C14&lt;&gt;"",HLOOKUP(Model_Input2!$C14,Trend!$B$1:$K$122,BC$1,0),""),"NA")</f>
        <v/>
      </c>
      <c r="BD14" s="256" t="str">
        <f>IFERROR(IF($C14&lt;&gt;"",HLOOKUP(Model_Input2!$C14,Trend!$B$1:$K$122,BD$1,0),""),"NA")</f>
        <v/>
      </c>
      <c r="BE14" s="256" t="str">
        <f>IFERROR(IF($C14&lt;&gt;"",HLOOKUP(Model_Input2!$C14,Trend!$B$1:$K$122,BE$1,0),""),"NA")</f>
        <v/>
      </c>
      <c r="BF14" s="256" t="str">
        <f>IFERROR(IF($C14&lt;&gt;"",HLOOKUP(Model_Input2!$C14,Trend!$B$1:$K$122,BF$1,0),""),"NA")</f>
        <v/>
      </c>
      <c r="BG14" s="256" t="str">
        <f>IFERROR(IF($C14&lt;&gt;"",HLOOKUP(Model_Input2!$C14,Trend!$B$1:$K$122,BG$1,0),""),"NA")</f>
        <v/>
      </c>
      <c r="BH14" s="256" t="str">
        <f>IFERROR(IF($C14&lt;&gt;"",HLOOKUP(Model_Input2!$C14,Trend!$B$1:$K$122,BH$1,0),""),"NA")</f>
        <v/>
      </c>
      <c r="BI14" s="256" t="str">
        <f>IFERROR(IF($C14&lt;&gt;"",HLOOKUP(Model_Input2!$C14,Trend!$B$1:$K$122,BI$1,0),""),"NA")</f>
        <v/>
      </c>
      <c r="BJ14" s="256" t="str">
        <f>IFERROR(IF($C14&lt;&gt;"",HLOOKUP(Model_Input2!$C14,Trend!$B$1:$K$122,BJ$1,0),""),"NA")</f>
        <v/>
      </c>
      <c r="BK14" s="256" t="str">
        <f>IFERROR(IF($C14&lt;&gt;"",HLOOKUP(Model_Input2!$C14,Trend!$B$1:$K$122,BK$1,0),""),"NA")</f>
        <v/>
      </c>
      <c r="BL14" s="256" t="str">
        <f>IFERROR(IF($C14&lt;&gt;"",HLOOKUP(Model_Input2!$C14,Trend!$B$1:$K$122,BL$1,0),""),"NA")</f>
        <v/>
      </c>
      <c r="BM14" s="256" t="str">
        <f>IFERROR(IF($C14&lt;&gt;"",HLOOKUP(Model_Input2!$C14,Trend!$B$1:$K$122,BM$1,0),""),"NA")</f>
        <v/>
      </c>
      <c r="BN14" s="256" t="str">
        <f>IFERROR(IF($C14&lt;&gt;"",HLOOKUP(Model_Input2!$C14,Trend!$B$1:$K$122,BN$1,0),""),"NA")</f>
        <v/>
      </c>
      <c r="BO14" s="256" t="str">
        <f>IFERROR(IF($C14&lt;&gt;"",HLOOKUP(Model_Input2!$C14,Trend!$B$1:$K$122,BO$1,0),""),"NA")</f>
        <v/>
      </c>
      <c r="BP14" s="256" t="str">
        <f>IFERROR(IF($C14&lt;&gt;"",HLOOKUP(Model_Input2!$C14,Trend!$B$1:$K$122,BP$1,0),""),"NA")</f>
        <v/>
      </c>
      <c r="BQ14" s="256" t="str">
        <f>IFERROR(IF($C14&lt;&gt;"",HLOOKUP(Model_Input2!$C14,Trend!$B$1:$K$122,BQ$1,0),""),"NA")</f>
        <v/>
      </c>
      <c r="BR14" s="256" t="str">
        <f>IFERROR(IF($C14&lt;&gt;"",HLOOKUP(Model_Input2!$C14,Trend!$B$1:$K$122,BR$1,0),""),"NA")</f>
        <v/>
      </c>
      <c r="BS14" s="256" t="str">
        <f>IFERROR(IF($C14&lt;&gt;"",HLOOKUP(Model_Input2!$C14,Trend!$B$1:$K$122,BS$1,0),""),"NA")</f>
        <v/>
      </c>
      <c r="BT14" s="256" t="str">
        <f>IFERROR(IF($C14&lt;&gt;"",HLOOKUP(Model_Input2!$C14,Trend!$B$1:$K$122,BT$1,0),""),"NA")</f>
        <v/>
      </c>
      <c r="BU14" s="256" t="str">
        <f>IFERROR(IF($C14&lt;&gt;"",HLOOKUP(Model_Input2!$C14,Trend!$B$1:$K$122,BU$1,0),""),"NA")</f>
        <v/>
      </c>
      <c r="BV14" s="256" t="str">
        <f>IFERROR(IF($C14&lt;&gt;"",HLOOKUP(Model_Input2!$C14,Trend!$B$1:$K$122,BV$1,0),""),"NA")</f>
        <v/>
      </c>
      <c r="BW14" s="256" t="str">
        <f>IFERROR(IF($C14&lt;&gt;"",HLOOKUP(Model_Input2!$C14,Trend!$B$1:$K$122,BW$1,0),""),"NA")</f>
        <v/>
      </c>
      <c r="BX14" s="256" t="str">
        <f>IFERROR(IF($C14&lt;&gt;"",HLOOKUP(Model_Input2!$C14,Trend!$B$1:$K$122,BX$1,0),""),"NA")</f>
        <v/>
      </c>
      <c r="BY14" s="256" t="str">
        <f>IFERROR(IF($C14&lt;&gt;"",HLOOKUP(Model_Input2!$C14,Trend!$B$1:$K$122,BY$1,0),""),"NA")</f>
        <v/>
      </c>
      <c r="BZ14" s="256" t="str">
        <f>IFERROR(IF($C14&lt;&gt;"",HLOOKUP(Model_Input2!$C14,Trend!$B$1:$K$122,BZ$1,0),""),"NA")</f>
        <v/>
      </c>
      <c r="CA14" s="256" t="str">
        <f>IFERROR(IF($C14&lt;&gt;"",HLOOKUP(Model_Input2!$C14,Trend!$B$1:$K$122,CA$1,0),""),"NA")</f>
        <v/>
      </c>
      <c r="CB14" s="256" t="str">
        <f>IFERROR(IF($C14&lt;&gt;"",HLOOKUP(Model_Input2!$C14,Trend!$B$1:$K$122,CB$1,0),""),"NA")</f>
        <v/>
      </c>
      <c r="CC14" s="256" t="str">
        <f>IFERROR(IF($C14&lt;&gt;"",HLOOKUP(Model_Input2!$C14,Trend!$B$1:$K$122,CC$1,0),""),"NA")</f>
        <v/>
      </c>
      <c r="CD14" s="38" t="str">
        <f>IFERROR(IF($C14&lt;&gt;"",HLOOKUP(Model_Input2!$C14,Trend!$B$1:$K$122,CD$1,0),""),"NA")</f>
        <v/>
      </c>
      <c r="CE14" s="38" t="str">
        <f>IFERROR(IF($C14&lt;&gt;"",HLOOKUP(Model_Input2!$C14,Trend!$B$1:$K$122,CE$1,0),""),"NA")</f>
        <v/>
      </c>
      <c r="CF14" s="38" t="str">
        <f>IFERROR(IF($C14&lt;&gt;"",HLOOKUP(Model_Input2!$C14,Trend!$B$1:$K$122,CF$1,0),""),"NA")</f>
        <v/>
      </c>
      <c r="CG14" s="38" t="str">
        <f>IFERROR(IF($C14&lt;&gt;"",HLOOKUP(Model_Input2!$C14,Trend!$B$1:$K$122,CG$1,0),""),"NA")</f>
        <v/>
      </c>
      <c r="CH14" s="38" t="str">
        <f>IFERROR(IF($C14&lt;&gt;"",HLOOKUP(Model_Input2!$C14,Trend!$B$1:$K$122,CH$1,0),""),"NA")</f>
        <v/>
      </c>
      <c r="CI14" s="38" t="str">
        <f>IFERROR(IF($C14&lt;&gt;"",HLOOKUP(Model_Input2!$C14,Trend!$B$1:$K$122,CI$1,0),""),"NA")</f>
        <v/>
      </c>
      <c r="CJ14" s="38" t="str">
        <f>IFERROR(IF($C14&lt;&gt;"",HLOOKUP(Model_Input2!$C14,Trend!$B$1:$K$122,CJ$1,0),""),"NA")</f>
        <v/>
      </c>
      <c r="CK14" s="256" t="str">
        <f>IFERROR(IF($C14&lt;&gt;"",HLOOKUP(Model_Input2!$C14,Trend!$B$1:$K$122,CK$1,0),""),"NA")</f>
        <v/>
      </c>
      <c r="CL14" s="256" t="str">
        <f>IFERROR(IF($C14&lt;&gt;"",HLOOKUP(Model_Input2!$C14,Trend!$B$1:$K$122,CL$1,0),""),"NA")</f>
        <v/>
      </c>
      <c r="CM14" s="256" t="str">
        <f>IFERROR(IF($C14&lt;&gt;"",HLOOKUP(Model_Input2!$C14,Trend!$B$1:$K$122,CM$1,0),""),"NA")</f>
        <v/>
      </c>
      <c r="CN14" s="256" t="str">
        <f>IFERROR(IF($C14&lt;&gt;"",HLOOKUP(Model_Input2!$C14,Trend!$B$1:$K$122,CN$1,0),""),"NA")</f>
        <v/>
      </c>
      <c r="CO14" s="256" t="str">
        <f>IFERROR(IF($C14&lt;&gt;"",HLOOKUP(Model_Input2!$C14,Trend!$B$1:$K$122,CO$1,0),""),"NA")</f>
        <v/>
      </c>
      <c r="CP14" s="256" t="str">
        <f>IFERROR(IF($C14&lt;&gt;"",HLOOKUP(Model_Input2!$C14,Trend!$B$1:$K$122,CP$1,0),""),"NA")</f>
        <v/>
      </c>
      <c r="CQ14" s="256" t="str">
        <f>IFERROR(IF($C14&lt;&gt;"",HLOOKUP(Model_Input2!$C14,Trend!$B$1:$K$122,CQ$1,0),""),"NA")</f>
        <v/>
      </c>
      <c r="CR14" s="256" t="str">
        <f>IFERROR(IF($C14&lt;&gt;"",HLOOKUP(Model_Input2!$C14,Trend!$B$1:$K$122,CR$1,0),""),"NA")</f>
        <v/>
      </c>
      <c r="CS14" s="256" t="str">
        <f>IFERROR(IF($C14&lt;&gt;"",HLOOKUP(Model_Input2!$C14,Trend!$B$1:$K$122,CS$1,0),""),"NA")</f>
        <v/>
      </c>
      <c r="CT14" s="38" t="str">
        <f>IFERROR(IF($C14&lt;&gt;"",HLOOKUP(Model_Input2!$C14,Trend!$B$1:$K$122,CT$1,0),""),"NA")</f>
        <v/>
      </c>
      <c r="CU14" s="38" t="str">
        <f>IFERROR(IF($C14&lt;&gt;"",HLOOKUP(Model_Input2!$C14,Trend!$B$1:$K$122,CU$1,0),""),"NA")</f>
        <v/>
      </c>
      <c r="CV14" s="38" t="str">
        <f>IFERROR(IF($C14&lt;&gt;"",HLOOKUP(Model_Input2!$C14,Trend!$B$1:$K$122,CV$1,0),""),"NA")</f>
        <v/>
      </c>
      <c r="CW14" s="38" t="str">
        <f>IFERROR(IF($C14&lt;&gt;"",HLOOKUP(Model_Input2!$C14,Trend!$B$1:$K$122,CW$1,0),""),"NA")</f>
        <v/>
      </c>
      <c r="CX14" s="256" t="str">
        <f>IFERROR(IF($C14&lt;&gt;"",HLOOKUP(Model_Input2!$C14,Trend!$B$1:$K$122,CX$1,0),""),"NA")</f>
        <v/>
      </c>
      <c r="CY14" s="256" t="str">
        <f>IFERROR(IF($C14&lt;&gt;"",HLOOKUP(Model_Input2!$C14,Trend!$B$1:$K$122,CY$1,0),""),"NA")</f>
        <v/>
      </c>
      <c r="CZ14" s="38" t="str">
        <f>IFERROR(IF($C14&lt;&gt;"",HLOOKUP(Model_Input2!$C14,Trend!$B$1:$K$122,CZ$1,0),""),"NA")</f>
        <v/>
      </c>
      <c r="DA14" s="38" t="str">
        <f>IFERROR(IF($C14&lt;&gt;"",HLOOKUP(Model_Input2!$C14,Trend!$B$1:$K$122,DA$1,0),""),"NA")</f>
        <v/>
      </c>
      <c r="DB14" s="256" t="str">
        <f>IFERROR(IF($C14&lt;&gt;"",HLOOKUP(Model_Input2!$C14,Trend!$B$1:$K$122,DB$1,0),""),"NA")</f>
        <v/>
      </c>
      <c r="DC14" s="256" t="str">
        <f>IFERROR(IF($C14&lt;&gt;"",HLOOKUP(Model_Input2!$C14,Trend!$B$1:$K$122,DC$1,0),""),"NA")</f>
        <v/>
      </c>
      <c r="DD14" s="256" t="str">
        <f>IFERROR(IF($C14&lt;&gt;"",HLOOKUP(Model_Input2!$C14,Trend!$B$1:$K$122,DD$1,0),""),"NA")</f>
        <v/>
      </c>
      <c r="DE14" s="256" t="str">
        <f>IFERROR(IF($C14&lt;&gt;"",HLOOKUP(Model_Input2!$C14,Trend!$B$1:$K$122,DE$1,0),""),"NA")</f>
        <v/>
      </c>
      <c r="DF14" s="256" t="str">
        <f>IFERROR(IF($C14&lt;&gt;"",HLOOKUP(Model_Input2!$C14,Trend!$B$1:$K$122,DF$1,0),""),"NA")</f>
        <v/>
      </c>
      <c r="DG14" s="256" t="str">
        <f>IFERROR(IF($C14&lt;&gt;"",HLOOKUP(Model_Input2!$C14,Trend!$B$1:$K$122,DG$1,0),""),"NA")</f>
        <v/>
      </c>
      <c r="DH14" s="256" t="str">
        <f>IFERROR(IF($C14&lt;&gt;"",HLOOKUP(Model_Input2!$C14,Trend!$B$1:$K$122,DH$1,0),""),"NA")</f>
        <v/>
      </c>
      <c r="DI14" s="256" t="str">
        <f>IFERROR(IF($C14&lt;&gt;"",HLOOKUP(Model_Input2!$C14,Trend!$B$1:$K$122,DI$1,0),""),"NA")</f>
        <v/>
      </c>
      <c r="DJ14" s="38" t="str">
        <f>IFERROR(IF($C14&lt;&gt;"",HLOOKUP(Model_Input2!$C14,Trend!$B$1:$K$122,DJ$1,0),""),"NA")</f>
        <v/>
      </c>
      <c r="DK14" s="38" t="str">
        <f>IFERROR(IF($C14&lt;&gt;"",HLOOKUP(Model_Input2!$C14,Trend!$B$1:$K$122,DK$1,0),""),"NA")</f>
        <v/>
      </c>
      <c r="DL14" s="256" t="str">
        <f>IFERROR(IF($C14&lt;&gt;"",HLOOKUP(Model_Input2!$C14,Trend!$B$1:$K$122,DL$1,0),""),"NA")</f>
        <v/>
      </c>
      <c r="DM14" s="256" t="str">
        <f>IFERROR(IF($C14&lt;&gt;"",HLOOKUP(Model_Input2!$C14,Trend!$B$1:$K$122,DM$1,0),""),"NA")</f>
        <v/>
      </c>
      <c r="DN14" s="256" t="str">
        <f>IFERROR(IF($C14&lt;&gt;"",HLOOKUP(Model_Input2!$C14,Trend!$B$1:$K$122,DN$1,0),""),"NA")</f>
        <v/>
      </c>
      <c r="DO14" s="256" t="str">
        <f>IFERROR(IF($C14&lt;&gt;"",HLOOKUP(Model_Input2!$C14,Trend!$B$1:$K$122,DO$1,0),""),"NA")</f>
        <v/>
      </c>
      <c r="DP14" s="256" t="str">
        <f>IFERROR(IF($C14&lt;&gt;"",HLOOKUP(Model_Input2!$C14,Trend!$B$1:$K$122,DP$1,0),""),"NA")</f>
        <v/>
      </c>
      <c r="DQ14" s="256" t="str">
        <f>IFERROR(IF($C14&lt;&gt;"",HLOOKUP(Model_Input2!$C14,Trend!$B$1:$K$122,DQ$1,0),""),"NA")</f>
        <v/>
      </c>
      <c r="DR14" s="256" t="str">
        <f>IFERROR(IF($C14&lt;&gt;"",HLOOKUP(Model_Input2!$C14,Trend!$B$1:$K$122,DR$1,0),""),"NA")</f>
        <v/>
      </c>
      <c r="DS14" s="256" t="str">
        <f>IFERROR(IF($C14&lt;&gt;"",HLOOKUP(Model_Input2!$C14,Trend!$B$1:$K$122,DS$1,0),""),"NA")</f>
        <v/>
      </c>
      <c r="DT14" s="256" t="str">
        <f>IFERROR(IF($C14&lt;&gt;"",HLOOKUP(Model_Input2!$C14,Trend!$B$1:$K$122,DT$1,0),""),"NA")</f>
        <v/>
      </c>
      <c r="DU14" s="256" t="str">
        <f>IFERROR(IF($C14&lt;&gt;"",HLOOKUP(Model_Input2!$C14,Trend!$B$1:$K$122,DU$1,0),""),"NA")</f>
        <v/>
      </c>
      <c r="DV14" s="256" t="str">
        <f>IFERROR(IF($C14&lt;&gt;"",HLOOKUP(Model_Input2!$C14,Trend!$B$1:$K$122,DV$1,0),""),"NA")</f>
        <v/>
      </c>
      <c r="DW14" s="256" t="str">
        <f>IFERROR(IF($C14&lt;&gt;"",HLOOKUP(Model_Input2!$C14,Trend!$B$1:$K$122,DW$1,0),""),"NA")</f>
        <v/>
      </c>
      <c r="DX14" s="256" t="str">
        <f>IFERROR(IF($C14&lt;&gt;"",HLOOKUP(Model_Input2!$C14,Trend!$B$1:$K$122,DX$1,0),""),"NA")</f>
        <v/>
      </c>
      <c r="DY14" s="256" t="str">
        <f>IFERROR(IF($C14&lt;&gt;"",HLOOKUP(Model_Input2!$C14,Trend!$B$1:$K$122,DY$1,0),""),"NA")</f>
        <v/>
      </c>
    </row>
    <row r="15" spans="1:129" x14ac:dyDescent="0.25">
      <c r="A15" t="str">
        <f t="shared" si="2"/>
        <v/>
      </c>
      <c r="B15" t="str">
        <f>IF(C15&lt;&gt;"",'Data Sheet'!$B$1,"")</f>
        <v/>
      </c>
      <c r="D15" s="9" t="str">
        <f>IF(C15&lt;&gt;"",HLOOKUP(Model_Input2!$C15,'Data Sheet'!$B$16:$K$31,D$1,0),"")</f>
        <v/>
      </c>
      <c r="E15" s="9" t="str">
        <f>IFERROR(IF($C15&lt;&gt;"",HLOOKUP(Model_Input2!$C15,'Data Sheet'!$B$16:$K$31,E$1,0),""),"NA")</f>
        <v/>
      </c>
      <c r="F15" s="9" t="str">
        <f>IFERROR(IF($C15&lt;&gt;"",HLOOKUP(Model_Input2!$C15,'Data Sheet'!$B$16:$K$31,F$1,0),""),"NA")</f>
        <v/>
      </c>
      <c r="G15" s="9" t="str">
        <f>IFERROR(IF($C15&lt;&gt;"",HLOOKUP(Model_Input2!$C15,'Data Sheet'!$B$16:$K$31,G$1,0),""),"NA")</f>
        <v/>
      </c>
      <c r="H15" s="9" t="str">
        <f>IFERROR(IF($C15&lt;&gt;"",HLOOKUP(Model_Input2!$C15,'Data Sheet'!$B$16:$K$31,H$1,0),""),"NA")</f>
        <v/>
      </c>
      <c r="I15" s="9" t="str">
        <f>IFERROR(IF($C15&lt;&gt;"",HLOOKUP(Model_Input2!$C15,'Data Sheet'!$B$16:$K$31,I$1,0),""),"NA")</f>
        <v/>
      </c>
      <c r="J15" s="9" t="str">
        <f>IFERROR(IF($C15&lt;&gt;"",HLOOKUP(Model_Input2!$C15,'Data Sheet'!$B$16:$K$31,J$1,0),""),"NA")</f>
        <v/>
      </c>
      <c r="K15" s="9" t="str">
        <f>IFERROR(IF($C15&lt;&gt;"",HLOOKUP(Model_Input2!$C15,'Data Sheet'!$B$16:$K$31,K$1,0),""),"NA")</f>
        <v/>
      </c>
      <c r="L15" s="9" t="str">
        <f>IFERROR(IF($C15&lt;&gt;"",HLOOKUP(Model_Input2!$C15,'Data Sheet'!$B$16:$K$31,L$1,0),""),"NA")</f>
        <v/>
      </c>
      <c r="M15" s="9" t="str">
        <f>IFERROR(IF($C15&lt;&gt;"",HLOOKUP(Model_Input2!$C15,'Data Sheet'!$B$16:$K$31,M$1,0),""),"NA")</f>
        <v/>
      </c>
      <c r="N15" s="9" t="str">
        <f>IFERROR(IF($C15&lt;&gt;"",HLOOKUP(Model_Input2!$C15,'Data Sheet'!$B$16:$K$31,N$1,0),""),"NA")</f>
        <v/>
      </c>
      <c r="O15" s="9" t="str">
        <f>IFERROR(IF($C15&lt;&gt;"",HLOOKUP(Model_Input2!$C15,'Data Sheet'!$B$16:$K$31,O$1,0),""),"NA")</f>
        <v/>
      </c>
      <c r="P15" s="9" t="str">
        <f>IFERROR(IF($C15&lt;&gt;"",HLOOKUP(Model_Input2!$C15,'Data Sheet'!$B$16:$K$31,P$1,0),""),"NA")</f>
        <v/>
      </c>
      <c r="Q15" s="9" t="str">
        <f>IFERROR(IF($C15&lt;&gt;"",HLOOKUP(Model_Input2!$C15,'Data Sheet'!$B$16:$K$31,Q$1,0),""),"NA")</f>
        <v/>
      </c>
      <c r="R15" s="9" t="str">
        <f>IFERROR(IF($C15&lt;&gt;"",HLOOKUP(Model_Input2!$C15,'Data Sheet'!$B$16:$K$31,R$1,0),""),"NA")</f>
        <v/>
      </c>
      <c r="S15" t="str">
        <f>IFERROR(IF($C15&lt;&gt;"",HLOOKUP(Model_Input2!$C15,'Data Sheet'!$B$56:$K$72,S$1,0),""),"NA")</f>
        <v/>
      </c>
      <c r="T15" t="str">
        <f>IFERROR(IF($C15&lt;&gt;"",HLOOKUP(Model_Input2!$C15,'Data Sheet'!$B$56:$K$72,T$1,0),""),"NA")</f>
        <v/>
      </c>
      <c r="U15" t="str">
        <f>IFERROR(IF($C15&lt;&gt;"",HLOOKUP(Model_Input2!$C15,'Data Sheet'!$B$56:$K$72,U$1,0),""),"NA")</f>
        <v/>
      </c>
      <c r="V15" t="str">
        <f>IFERROR(IF($C15&lt;&gt;"",HLOOKUP(Model_Input2!$C15,'Data Sheet'!$B$56:$K$72,V$1,0),""),"NA")</f>
        <v/>
      </c>
      <c r="W15" t="str">
        <f>IFERROR(IF($C15&lt;&gt;"",HLOOKUP(Model_Input2!$C15,'Data Sheet'!$B$56:$K$72,W$1,0),""),"NA")</f>
        <v/>
      </c>
      <c r="X15" t="str">
        <f>IFERROR(IF($C15&lt;&gt;"",HLOOKUP(Model_Input2!$C15,'Data Sheet'!$B$56:$K$72,X$1,0),""),"NA")</f>
        <v/>
      </c>
      <c r="Y15" t="str">
        <f>IFERROR(IF($C15&lt;&gt;"",HLOOKUP(Model_Input2!$C15,'Data Sheet'!$B$56:$K$72,Y$1,0),""),"NA")</f>
        <v/>
      </c>
      <c r="Z15" t="str">
        <f>IFERROR(IF($C15&lt;&gt;"",HLOOKUP(Model_Input2!$C15,'Data Sheet'!$B$56:$K$72,Z$1,0),""),"NA")</f>
        <v/>
      </c>
      <c r="AA15" t="str">
        <f>IFERROR(IF($C15&lt;&gt;"",HLOOKUP(Model_Input2!$C15,'Data Sheet'!$B$56:$K$72,AA$1,0),""),"NA")</f>
        <v/>
      </c>
      <c r="AB15" t="str">
        <f>IFERROR(IF($C15&lt;&gt;"",HLOOKUP(Model_Input2!$C15,'Data Sheet'!$B$56:$K$72,AB$1,0),""),"NA")</f>
        <v/>
      </c>
      <c r="AC15" t="str">
        <f>IFERROR(IF($C15&lt;&gt;"",HLOOKUP(Model_Input2!$C15,'Data Sheet'!$B$56:$K$72,AC$1,0),""),"NA")</f>
        <v/>
      </c>
      <c r="AD15" t="str">
        <f>IFERROR(IF($C15&lt;&gt;"",HLOOKUP(Model_Input2!$C15,'Data Sheet'!$B$56:$K$72,AD$1,0),""),"NA")</f>
        <v/>
      </c>
      <c r="AE15" t="str">
        <f>IFERROR(IF($C15&lt;&gt;"",HLOOKUP(Model_Input2!$C15,'Data Sheet'!$B$56:$K$72,AE$1,0),""),"NA")</f>
        <v/>
      </c>
      <c r="AF15" t="str">
        <f>IFERROR(IF($C15&lt;&gt;"",HLOOKUP(Model_Input2!$C15,'Data Sheet'!$B$56:$K$72,AF$1,0),""),"NA")</f>
        <v/>
      </c>
      <c r="AG15" t="str">
        <f>IFERROR(IF($C15&lt;&gt;"",HLOOKUP(Model_Input2!$C15,'Data Sheet'!$B$56:$K$72,AG$1,0),""),"NA")</f>
        <v/>
      </c>
      <c r="AH15" t="str">
        <f>IFERROR(IF($C15&lt;&gt;"",HLOOKUP(Model_Input2!$C15,'Data Sheet'!$B$56:$K$72,AH$1,0),""),"NA")</f>
        <v/>
      </c>
      <c r="AI15" t="str">
        <f>IFERROR(IF($C15&lt;&gt;"",HLOOKUP(Model_Input2!$C15,'Data Sheet'!$B$81:$K$85,AI$1,0),""),"NA")</f>
        <v/>
      </c>
      <c r="AJ15" t="str">
        <f>IFERROR(IF($C15&lt;&gt;"",HLOOKUP(Model_Input2!$C15,'Data Sheet'!$B$81:$K$85,AJ$1,0),""),"NA")</f>
        <v/>
      </c>
      <c r="AK15" t="str">
        <f>IFERROR(IF($C15&lt;&gt;"",HLOOKUP(Model_Input2!$C15,'Data Sheet'!$B$81:$K$85,AK$1,0),""),"NA")</f>
        <v/>
      </c>
      <c r="AL15" t="str">
        <f>IFERROR(IF($C15&lt;&gt;"",HLOOKUP(Model_Input2!$C15,'Data Sheet'!$B$81:$K$85,AL$1,0),""),"NA")</f>
        <v/>
      </c>
      <c r="AM15" s="38" t="str">
        <f>IFERROR(IF($C15&lt;&gt;"",HLOOKUP(Model_Input2!$C15,Trend!$B$1:$K$3,AM$1,0),""),"NA")</f>
        <v/>
      </c>
      <c r="AN15" s="38" t="str">
        <f>IFERROR(IF($C15&lt;&gt;"",HLOOKUP(Model_Input2!$C15,Trend!$B$1:$K$3,AN$1,0),""),"NA")</f>
        <v/>
      </c>
      <c r="AO15" s="38" t="str">
        <f>IFERROR(IF($C15&lt;&gt;"",HLOOKUP(Model_Input2!$C15,Trend!$B$1:$K$122,AO$1,0),""),"NA")</f>
        <v/>
      </c>
      <c r="AP15" s="38" t="str">
        <f>IFERROR(IF($C15&lt;&gt;"",HLOOKUP(Model_Input2!$C15,Trend!$B$1:$K$122,AP$1,0),""),"NA")</f>
        <v/>
      </c>
      <c r="AQ15" s="38" t="str">
        <f>IFERROR(IF($C15&lt;&gt;"",HLOOKUP(Model_Input2!$C15,Trend!$B$1:$K$122,AQ$1,0),""),"NA")</f>
        <v/>
      </c>
      <c r="AR15" s="38" t="str">
        <f>IFERROR(IF($C15&lt;&gt;"",HLOOKUP(Model_Input2!$C15,Trend!$B$1:$K$122,AR$1,0),""),"NA")</f>
        <v/>
      </c>
      <c r="AS15" s="38" t="str">
        <f>IFERROR(IF($C15&lt;&gt;"",HLOOKUP(Model_Input2!$C15,Trend!$B$1:$K$122,AS$1,0),""),"NA")</f>
        <v/>
      </c>
      <c r="AT15" s="38" t="str">
        <f>IFERROR(IF($C15&lt;&gt;"",HLOOKUP(Model_Input2!$C15,Trend!$B$1:$K$122,AT$1,0),""),"NA")</f>
        <v/>
      </c>
      <c r="AU15" s="38" t="str">
        <f>IFERROR(IF($C15&lt;&gt;"",HLOOKUP(Model_Input2!$C15,Trend!$B$1:$K$122,AU$1,0),""),"NA")</f>
        <v/>
      </c>
      <c r="AV15" s="256" t="str">
        <f>IFERROR(IF($C15&lt;&gt;"",HLOOKUP(Model_Input2!$C15,Trend!$B$1:$K$122,AV$1,0),""),"NA")</f>
        <v/>
      </c>
      <c r="AW15" s="256" t="str">
        <f>IFERROR(IF($C15&lt;&gt;"",HLOOKUP(Model_Input2!$C15,Trend!$B$1:$K$122,AW$1,0),""),"NA")</f>
        <v/>
      </c>
      <c r="AX15" s="256" t="str">
        <f>IFERROR(IF($C15&lt;&gt;"",HLOOKUP(Model_Input2!$C15,Trend!$B$1:$K$122,AX$1,0),""),"NA")</f>
        <v/>
      </c>
      <c r="AY15" s="256" t="str">
        <f>IFERROR(IF($C15&lt;&gt;"",HLOOKUP(Model_Input2!$C15,Trend!$B$1:$K$122,AY$1,0),""),"NA")</f>
        <v/>
      </c>
      <c r="AZ15" s="256" t="str">
        <f>IFERROR(IF($C15&lt;&gt;"",HLOOKUP(Model_Input2!$C15,Trend!$B$1:$K$122,AZ$1,0),""),"NA")</f>
        <v/>
      </c>
      <c r="BA15" s="256" t="str">
        <f>IFERROR(IF($C15&lt;&gt;"",HLOOKUP(Model_Input2!$C15,Trend!$B$1:$K$122,BA$1,0),""),"NA")</f>
        <v/>
      </c>
      <c r="BB15" s="38" t="str">
        <f>IFERROR(IF($C15&lt;&gt;"",HLOOKUP(Model_Input2!$C15,Trend!$B$1:$K$122,BB$1,0),""),"NA")</f>
        <v/>
      </c>
      <c r="BC15" s="256" t="str">
        <f>IFERROR(IF($C15&lt;&gt;"",HLOOKUP(Model_Input2!$C15,Trend!$B$1:$K$122,BC$1,0),""),"NA")</f>
        <v/>
      </c>
      <c r="BD15" s="256" t="str">
        <f>IFERROR(IF($C15&lt;&gt;"",HLOOKUP(Model_Input2!$C15,Trend!$B$1:$K$122,BD$1,0),""),"NA")</f>
        <v/>
      </c>
      <c r="BE15" s="256" t="str">
        <f>IFERROR(IF($C15&lt;&gt;"",HLOOKUP(Model_Input2!$C15,Trend!$B$1:$K$122,BE$1,0),""),"NA")</f>
        <v/>
      </c>
      <c r="BF15" s="256" t="str">
        <f>IFERROR(IF($C15&lt;&gt;"",HLOOKUP(Model_Input2!$C15,Trend!$B$1:$K$122,BF$1,0),""),"NA")</f>
        <v/>
      </c>
      <c r="BG15" s="256" t="str">
        <f>IFERROR(IF($C15&lt;&gt;"",HLOOKUP(Model_Input2!$C15,Trend!$B$1:$K$122,BG$1,0),""),"NA")</f>
        <v/>
      </c>
      <c r="BH15" s="256" t="str">
        <f>IFERROR(IF($C15&lt;&gt;"",HLOOKUP(Model_Input2!$C15,Trend!$B$1:$K$122,BH$1,0),""),"NA")</f>
        <v/>
      </c>
      <c r="BI15" s="256" t="str">
        <f>IFERROR(IF($C15&lt;&gt;"",HLOOKUP(Model_Input2!$C15,Trend!$B$1:$K$122,BI$1,0),""),"NA")</f>
        <v/>
      </c>
      <c r="BJ15" s="256" t="str">
        <f>IFERROR(IF($C15&lt;&gt;"",HLOOKUP(Model_Input2!$C15,Trend!$B$1:$K$122,BJ$1,0),""),"NA")</f>
        <v/>
      </c>
      <c r="BK15" s="256" t="str">
        <f>IFERROR(IF($C15&lt;&gt;"",HLOOKUP(Model_Input2!$C15,Trend!$B$1:$K$122,BK$1,0),""),"NA")</f>
        <v/>
      </c>
      <c r="BL15" s="256" t="str">
        <f>IFERROR(IF($C15&lt;&gt;"",HLOOKUP(Model_Input2!$C15,Trend!$B$1:$K$122,BL$1,0),""),"NA")</f>
        <v/>
      </c>
      <c r="BM15" s="256" t="str">
        <f>IFERROR(IF($C15&lt;&gt;"",HLOOKUP(Model_Input2!$C15,Trend!$B$1:$K$122,BM$1,0),""),"NA")</f>
        <v/>
      </c>
      <c r="BN15" s="256" t="str">
        <f>IFERROR(IF($C15&lt;&gt;"",HLOOKUP(Model_Input2!$C15,Trend!$B$1:$K$122,BN$1,0),""),"NA")</f>
        <v/>
      </c>
      <c r="BO15" s="256" t="str">
        <f>IFERROR(IF($C15&lt;&gt;"",HLOOKUP(Model_Input2!$C15,Trend!$B$1:$K$122,BO$1,0),""),"NA")</f>
        <v/>
      </c>
      <c r="BP15" s="256" t="str">
        <f>IFERROR(IF($C15&lt;&gt;"",HLOOKUP(Model_Input2!$C15,Trend!$B$1:$K$122,BP$1,0),""),"NA")</f>
        <v/>
      </c>
      <c r="BQ15" s="256" t="str">
        <f>IFERROR(IF($C15&lt;&gt;"",HLOOKUP(Model_Input2!$C15,Trend!$B$1:$K$122,BQ$1,0),""),"NA")</f>
        <v/>
      </c>
      <c r="BR15" s="256" t="str">
        <f>IFERROR(IF($C15&lt;&gt;"",HLOOKUP(Model_Input2!$C15,Trend!$B$1:$K$122,BR$1,0),""),"NA")</f>
        <v/>
      </c>
      <c r="BS15" s="256" t="str">
        <f>IFERROR(IF($C15&lt;&gt;"",HLOOKUP(Model_Input2!$C15,Trend!$B$1:$K$122,BS$1,0),""),"NA")</f>
        <v/>
      </c>
      <c r="BT15" s="256" t="str">
        <f>IFERROR(IF($C15&lt;&gt;"",HLOOKUP(Model_Input2!$C15,Trend!$B$1:$K$122,BT$1,0),""),"NA")</f>
        <v/>
      </c>
      <c r="BU15" s="256" t="str">
        <f>IFERROR(IF($C15&lt;&gt;"",HLOOKUP(Model_Input2!$C15,Trend!$B$1:$K$122,BU$1,0),""),"NA")</f>
        <v/>
      </c>
      <c r="BV15" s="256" t="str">
        <f>IFERROR(IF($C15&lt;&gt;"",HLOOKUP(Model_Input2!$C15,Trend!$B$1:$K$122,BV$1,0),""),"NA")</f>
        <v/>
      </c>
      <c r="BW15" s="256" t="str">
        <f>IFERROR(IF($C15&lt;&gt;"",HLOOKUP(Model_Input2!$C15,Trend!$B$1:$K$122,BW$1,0),""),"NA")</f>
        <v/>
      </c>
      <c r="BX15" s="256" t="str">
        <f>IFERROR(IF($C15&lt;&gt;"",HLOOKUP(Model_Input2!$C15,Trend!$B$1:$K$122,BX$1,0),""),"NA")</f>
        <v/>
      </c>
      <c r="BY15" s="256" t="str">
        <f>IFERROR(IF($C15&lt;&gt;"",HLOOKUP(Model_Input2!$C15,Trend!$B$1:$K$122,BY$1,0),""),"NA")</f>
        <v/>
      </c>
      <c r="BZ15" s="256" t="str">
        <f>IFERROR(IF($C15&lt;&gt;"",HLOOKUP(Model_Input2!$C15,Trend!$B$1:$K$122,BZ$1,0),""),"NA")</f>
        <v/>
      </c>
      <c r="CA15" s="256" t="str">
        <f>IFERROR(IF($C15&lt;&gt;"",HLOOKUP(Model_Input2!$C15,Trend!$B$1:$K$122,CA$1,0),""),"NA")</f>
        <v/>
      </c>
      <c r="CB15" s="256" t="str">
        <f>IFERROR(IF($C15&lt;&gt;"",HLOOKUP(Model_Input2!$C15,Trend!$B$1:$K$122,CB$1,0),""),"NA")</f>
        <v/>
      </c>
      <c r="CC15" s="256" t="str">
        <f>IFERROR(IF($C15&lt;&gt;"",HLOOKUP(Model_Input2!$C15,Trend!$B$1:$K$122,CC$1,0),""),"NA")</f>
        <v/>
      </c>
      <c r="CD15" s="38" t="str">
        <f>IFERROR(IF($C15&lt;&gt;"",HLOOKUP(Model_Input2!$C15,Trend!$B$1:$K$122,CD$1,0),""),"NA")</f>
        <v/>
      </c>
      <c r="CE15" s="38" t="str">
        <f>IFERROR(IF($C15&lt;&gt;"",HLOOKUP(Model_Input2!$C15,Trend!$B$1:$K$122,CE$1,0),""),"NA")</f>
        <v/>
      </c>
      <c r="CF15" s="38" t="str">
        <f>IFERROR(IF($C15&lt;&gt;"",HLOOKUP(Model_Input2!$C15,Trend!$B$1:$K$122,CF$1,0),""),"NA")</f>
        <v/>
      </c>
      <c r="CG15" s="38" t="str">
        <f>IFERROR(IF($C15&lt;&gt;"",HLOOKUP(Model_Input2!$C15,Trend!$B$1:$K$122,CG$1,0),""),"NA")</f>
        <v/>
      </c>
      <c r="CH15" s="38" t="str">
        <f>IFERROR(IF($C15&lt;&gt;"",HLOOKUP(Model_Input2!$C15,Trend!$B$1:$K$122,CH$1,0),""),"NA")</f>
        <v/>
      </c>
      <c r="CI15" s="38" t="str">
        <f>IFERROR(IF($C15&lt;&gt;"",HLOOKUP(Model_Input2!$C15,Trend!$B$1:$K$122,CI$1,0),""),"NA")</f>
        <v/>
      </c>
      <c r="CJ15" s="38" t="str">
        <f>IFERROR(IF($C15&lt;&gt;"",HLOOKUP(Model_Input2!$C15,Trend!$B$1:$K$122,CJ$1,0),""),"NA")</f>
        <v/>
      </c>
      <c r="CK15" s="256" t="str">
        <f>IFERROR(IF($C15&lt;&gt;"",HLOOKUP(Model_Input2!$C15,Trend!$B$1:$K$122,CK$1,0),""),"NA")</f>
        <v/>
      </c>
      <c r="CL15" s="256" t="str">
        <f>IFERROR(IF($C15&lt;&gt;"",HLOOKUP(Model_Input2!$C15,Trend!$B$1:$K$122,CL$1,0),""),"NA")</f>
        <v/>
      </c>
      <c r="CM15" s="256" t="str">
        <f>IFERROR(IF($C15&lt;&gt;"",HLOOKUP(Model_Input2!$C15,Trend!$B$1:$K$122,CM$1,0),""),"NA")</f>
        <v/>
      </c>
      <c r="CN15" s="256" t="str">
        <f>IFERROR(IF($C15&lt;&gt;"",HLOOKUP(Model_Input2!$C15,Trend!$B$1:$K$122,CN$1,0),""),"NA")</f>
        <v/>
      </c>
      <c r="CO15" s="256" t="str">
        <f>IFERROR(IF($C15&lt;&gt;"",HLOOKUP(Model_Input2!$C15,Trend!$B$1:$K$122,CO$1,0),""),"NA")</f>
        <v/>
      </c>
      <c r="CP15" s="256" t="str">
        <f>IFERROR(IF($C15&lt;&gt;"",HLOOKUP(Model_Input2!$C15,Trend!$B$1:$K$122,CP$1,0),""),"NA")</f>
        <v/>
      </c>
      <c r="CQ15" s="256" t="str">
        <f>IFERROR(IF($C15&lt;&gt;"",HLOOKUP(Model_Input2!$C15,Trend!$B$1:$K$122,CQ$1,0),""),"NA")</f>
        <v/>
      </c>
      <c r="CR15" s="256" t="str">
        <f>IFERROR(IF($C15&lt;&gt;"",HLOOKUP(Model_Input2!$C15,Trend!$B$1:$K$122,CR$1,0),""),"NA")</f>
        <v/>
      </c>
      <c r="CS15" s="256" t="str">
        <f>IFERROR(IF($C15&lt;&gt;"",HLOOKUP(Model_Input2!$C15,Trend!$B$1:$K$122,CS$1,0),""),"NA")</f>
        <v/>
      </c>
      <c r="CT15" s="38" t="str">
        <f>IFERROR(IF($C15&lt;&gt;"",HLOOKUP(Model_Input2!$C15,Trend!$B$1:$K$122,CT$1,0),""),"NA")</f>
        <v/>
      </c>
      <c r="CU15" s="38" t="str">
        <f>IFERROR(IF($C15&lt;&gt;"",HLOOKUP(Model_Input2!$C15,Trend!$B$1:$K$122,CU$1,0),""),"NA")</f>
        <v/>
      </c>
      <c r="CV15" s="38" t="str">
        <f>IFERROR(IF($C15&lt;&gt;"",HLOOKUP(Model_Input2!$C15,Trend!$B$1:$K$122,CV$1,0),""),"NA")</f>
        <v/>
      </c>
      <c r="CW15" s="38" t="str">
        <f>IFERROR(IF($C15&lt;&gt;"",HLOOKUP(Model_Input2!$C15,Trend!$B$1:$K$122,CW$1,0),""),"NA")</f>
        <v/>
      </c>
      <c r="CX15" s="256" t="str">
        <f>IFERROR(IF($C15&lt;&gt;"",HLOOKUP(Model_Input2!$C15,Trend!$B$1:$K$122,CX$1,0),""),"NA")</f>
        <v/>
      </c>
      <c r="CY15" s="256" t="str">
        <f>IFERROR(IF($C15&lt;&gt;"",HLOOKUP(Model_Input2!$C15,Trend!$B$1:$K$122,CY$1,0),""),"NA")</f>
        <v/>
      </c>
      <c r="CZ15" s="38" t="str">
        <f>IFERROR(IF($C15&lt;&gt;"",HLOOKUP(Model_Input2!$C15,Trend!$B$1:$K$122,CZ$1,0),""),"NA")</f>
        <v/>
      </c>
      <c r="DA15" s="38" t="str">
        <f>IFERROR(IF($C15&lt;&gt;"",HLOOKUP(Model_Input2!$C15,Trend!$B$1:$K$122,DA$1,0),""),"NA")</f>
        <v/>
      </c>
      <c r="DB15" s="256" t="str">
        <f>IFERROR(IF($C15&lt;&gt;"",HLOOKUP(Model_Input2!$C15,Trend!$B$1:$K$122,DB$1,0),""),"NA")</f>
        <v/>
      </c>
      <c r="DC15" s="256" t="str">
        <f>IFERROR(IF($C15&lt;&gt;"",HLOOKUP(Model_Input2!$C15,Trend!$B$1:$K$122,DC$1,0),""),"NA")</f>
        <v/>
      </c>
      <c r="DD15" s="256" t="str">
        <f>IFERROR(IF($C15&lt;&gt;"",HLOOKUP(Model_Input2!$C15,Trend!$B$1:$K$122,DD$1,0),""),"NA")</f>
        <v/>
      </c>
      <c r="DE15" s="256" t="str">
        <f>IFERROR(IF($C15&lt;&gt;"",HLOOKUP(Model_Input2!$C15,Trend!$B$1:$K$122,DE$1,0),""),"NA")</f>
        <v/>
      </c>
      <c r="DF15" s="256" t="str">
        <f>IFERROR(IF($C15&lt;&gt;"",HLOOKUP(Model_Input2!$C15,Trend!$B$1:$K$122,DF$1,0),""),"NA")</f>
        <v/>
      </c>
      <c r="DG15" s="256" t="str">
        <f>IFERROR(IF($C15&lt;&gt;"",HLOOKUP(Model_Input2!$C15,Trend!$B$1:$K$122,DG$1,0),""),"NA")</f>
        <v/>
      </c>
      <c r="DH15" s="256" t="str">
        <f>IFERROR(IF($C15&lt;&gt;"",HLOOKUP(Model_Input2!$C15,Trend!$B$1:$K$122,DH$1,0),""),"NA")</f>
        <v/>
      </c>
      <c r="DI15" s="256" t="str">
        <f>IFERROR(IF($C15&lt;&gt;"",HLOOKUP(Model_Input2!$C15,Trend!$B$1:$K$122,DI$1,0),""),"NA")</f>
        <v/>
      </c>
      <c r="DJ15" s="38" t="str">
        <f>IFERROR(IF($C15&lt;&gt;"",HLOOKUP(Model_Input2!$C15,Trend!$B$1:$K$122,DJ$1,0),""),"NA")</f>
        <v/>
      </c>
      <c r="DK15" s="38" t="str">
        <f>IFERROR(IF($C15&lt;&gt;"",HLOOKUP(Model_Input2!$C15,Trend!$B$1:$K$122,DK$1,0),""),"NA")</f>
        <v/>
      </c>
      <c r="DL15" s="256" t="str">
        <f>IFERROR(IF($C15&lt;&gt;"",HLOOKUP(Model_Input2!$C15,Trend!$B$1:$K$122,DL$1,0),""),"NA")</f>
        <v/>
      </c>
      <c r="DM15" s="256" t="str">
        <f>IFERROR(IF($C15&lt;&gt;"",HLOOKUP(Model_Input2!$C15,Trend!$B$1:$K$122,DM$1,0),""),"NA")</f>
        <v/>
      </c>
      <c r="DN15" s="256" t="str">
        <f>IFERROR(IF($C15&lt;&gt;"",HLOOKUP(Model_Input2!$C15,Trend!$B$1:$K$122,DN$1,0),""),"NA")</f>
        <v/>
      </c>
      <c r="DO15" s="256" t="str">
        <f>IFERROR(IF($C15&lt;&gt;"",HLOOKUP(Model_Input2!$C15,Trend!$B$1:$K$122,DO$1,0),""),"NA")</f>
        <v/>
      </c>
      <c r="DP15" s="256" t="str">
        <f>IFERROR(IF($C15&lt;&gt;"",HLOOKUP(Model_Input2!$C15,Trend!$B$1:$K$122,DP$1,0),""),"NA")</f>
        <v/>
      </c>
      <c r="DQ15" s="256" t="str">
        <f>IFERROR(IF($C15&lt;&gt;"",HLOOKUP(Model_Input2!$C15,Trend!$B$1:$K$122,DQ$1,0),""),"NA")</f>
        <v/>
      </c>
      <c r="DR15" s="256" t="str">
        <f>IFERROR(IF($C15&lt;&gt;"",HLOOKUP(Model_Input2!$C15,Trend!$B$1:$K$122,DR$1,0),""),"NA")</f>
        <v/>
      </c>
      <c r="DS15" s="256" t="str">
        <f>IFERROR(IF($C15&lt;&gt;"",HLOOKUP(Model_Input2!$C15,Trend!$B$1:$K$122,DS$1,0),""),"NA")</f>
        <v/>
      </c>
      <c r="DT15" s="256" t="str">
        <f>IFERROR(IF($C15&lt;&gt;"",HLOOKUP(Model_Input2!$C15,Trend!$B$1:$K$122,DT$1,0),""),"NA")</f>
        <v/>
      </c>
      <c r="DU15" s="256" t="str">
        <f>IFERROR(IF($C15&lt;&gt;"",HLOOKUP(Model_Input2!$C15,Trend!$B$1:$K$122,DU$1,0),""),"NA")</f>
        <v/>
      </c>
      <c r="DV15" s="256" t="str">
        <f>IFERROR(IF($C15&lt;&gt;"",HLOOKUP(Model_Input2!$C15,Trend!$B$1:$K$122,DV$1,0),""),"NA")</f>
        <v/>
      </c>
      <c r="DW15" s="256" t="str">
        <f>IFERROR(IF($C15&lt;&gt;"",HLOOKUP(Model_Input2!$C15,Trend!$B$1:$K$122,DW$1,0),""),"NA")</f>
        <v/>
      </c>
      <c r="DX15" s="256" t="str">
        <f>IFERROR(IF($C15&lt;&gt;"",HLOOKUP(Model_Input2!$C15,Trend!$B$1:$K$122,DX$1,0),""),"NA")</f>
        <v/>
      </c>
      <c r="DY15" s="256" t="str">
        <f>IFERROR(IF($C15&lt;&gt;"",HLOOKUP(Model_Input2!$C15,Trend!$B$1:$K$122,DY$1,0),""),"NA")</f>
        <v/>
      </c>
    </row>
    <row r="16" spans="1:129" x14ac:dyDescent="0.25">
      <c r="A16" t="str">
        <f t="shared" si="2"/>
        <v/>
      </c>
      <c r="B16" t="str">
        <f>IF(C16&lt;&gt;"",'Data Sheet'!$B$1,"")</f>
        <v/>
      </c>
      <c r="D16" s="9" t="str">
        <f>IF(C16&lt;&gt;"",HLOOKUP(Model_Input2!$C16,'Data Sheet'!$B$16:$K$31,D$1,0),"")</f>
        <v/>
      </c>
      <c r="E16" s="9" t="str">
        <f>IFERROR(IF($C16&lt;&gt;"",HLOOKUP(Model_Input2!$C16,'Data Sheet'!$B$16:$K$31,E$1,0),""),"NA")</f>
        <v/>
      </c>
      <c r="F16" s="9" t="str">
        <f>IFERROR(IF($C16&lt;&gt;"",HLOOKUP(Model_Input2!$C16,'Data Sheet'!$B$16:$K$31,F$1,0),""),"NA")</f>
        <v/>
      </c>
      <c r="G16" s="9" t="str">
        <f>IFERROR(IF($C16&lt;&gt;"",HLOOKUP(Model_Input2!$C16,'Data Sheet'!$B$16:$K$31,G$1,0),""),"NA")</f>
        <v/>
      </c>
      <c r="H16" s="9" t="str">
        <f>IFERROR(IF($C16&lt;&gt;"",HLOOKUP(Model_Input2!$C16,'Data Sheet'!$B$16:$K$31,H$1,0),""),"NA")</f>
        <v/>
      </c>
      <c r="I16" s="9" t="str">
        <f>IFERROR(IF($C16&lt;&gt;"",HLOOKUP(Model_Input2!$C16,'Data Sheet'!$B$16:$K$31,I$1,0),""),"NA")</f>
        <v/>
      </c>
      <c r="J16" s="9" t="str">
        <f>IFERROR(IF($C16&lt;&gt;"",HLOOKUP(Model_Input2!$C16,'Data Sheet'!$B$16:$K$31,J$1,0),""),"NA")</f>
        <v/>
      </c>
      <c r="K16" s="9" t="str">
        <f>IFERROR(IF($C16&lt;&gt;"",HLOOKUP(Model_Input2!$C16,'Data Sheet'!$B$16:$K$31,K$1,0),""),"NA")</f>
        <v/>
      </c>
      <c r="L16" s="9" t="str">
        <f>IFERROR(IF($C16&lt;&gt;"",HLOOKUP(Model_Input2!$C16,'Data Sheet'!$B$16:$K$31,L$1,0),""),"NA")</f>
        <v/>
      </c>
      <c r="M16" s="9" t="str">
        <f>IFERROR(IF($C16&lt;&gt;"",HLOOKUP(Model_Input2!$C16,'Data Sheet'!$B$16:$K$31,M$1,0),""),"NA")</f>
        <v/>
      </c>
      <c r="N16" s="9" t="str">
        <f>IFERROR(IF($C16&lt;&gt;"",HLOOKUP(Model_Input2!$C16,'Data Sheet'!$B$16:$K$31,N$1,0),""),"NA")</f>
        <v/>
      </c>
      <c r="O16" s="9" t="str">
        <f>IFERROR(IF($C16&lt;&gt;"",HLOOKUP(Model_Input2!$C16,'Data Sheet'!$B$16:$K$31,O$1,0),""),"NA")</f>
        <v/>
      </c>
      <c r="P16" s="9" t="str">
        <f>IFERROR(IF($C16&lt;&gt;"",HLOOKUP(Model_Input2!$C16,'Data Sheet'!$B$16:$K$31,P$1,0),""),"NA")</f>
        <v/>
      </c>
      <c r="Q16" s="9" t="str">
        <f>IFERROR(IF($C16&lt;&gt;"",HLOOKUP(Model_Input2!$C16,'Data Sheet'!$B$16:$K$31,Q$1,0),""),"NA")</f>
        <v/>
      </c>
      <c r="R16" s="9" t="str">
        <f>IFERROR(IF($C16&lt;&gt;"",HLOOKUP(Model_Input2!$C16,'Data Sheet'!$B$16:$K$31,R$1,0),""),"NA")</f>
        <v/>
      </c>
      <c r="S16" t="str">
        <f>IFERROR(IF($C16&lt;&gt;"",HLOOKUP(Model_Input2!$C16,'Data Sheet'!$B$56:$K$72,S$1,0),""),"NA")</f>
        <v/>
      </c>
      <c r="T16" t="str">
        <f>IFERROR(IF($C16&lt;&gt;"",HLOOKUP(Model_Input2!$C16,'Data Sheet'!$B$56:$K$72,T$1,0),""),"NA")</f>
        <v/>
      </c>
      <c r="U16" t="str">
        <f>IFERROR(IF($C16&lt;&gt;"",HLOOKUP(Model_Input2!$C16,'Data Sheet'!$B$56:$K$72,U$1,0),""),"NA")</f>
        <v/>
      </c>
      <c r="V16" t="str">
        <f>IFERROR(IF($C16&lt;&gt;"",HLOOKUP(Model_Input2!$C16,'Data Sheet'!$B$56:$K$72,V$1,0),""),"NA")</f>
        <v/>
      </c>
      <c r="W16" t="str">
        <f>IFERROR(IF($C16&lt;&gt;"",HLOOKUP(Model_Input2!$C16,'Data Sheet'!$B$56:$K$72,W$1,0),""),"NA")</f>
        <v/>
      </c>
      <c r="X16" t="str">
        <f>IFERROR(IF($C16&lt;&gt;"",HLOOKUP(Model_Input2!$C16,'Data Sheet'!$B$56:$K$72,X$1,0),""),"NA")</f>
        <v/>
      </c>
      <c r="Y16" t="str">
        <f>IFERROR(IF($C16&lt;&gt;"",HLOOKUP(Model_Input2!$C16,'Data Sheet'!$B$56:$K$72,Y$1,0),""),"NA")</f>
        <v/>
      </c>
      <c r="Z16" t="str">
        <f>IFERROR(IF($C16&lt;&gt;"",HLOOKUP(Model_Input2!$C16,'Data Sheet'!$B$56:$K$72,Z$1,0),""),"NA")</f>
        <v/>
      </c>
      <c r="AA16" t="str">
        <f>IFERROR(IF($C16&lt;&gt;"",HLOOKUP(Model_Input2!$C16,'Data Sheet'!$B$56:$K$72,AA$1,0),""),"NA")</f>
        <v/>
      </c>
      <c r="AB16" t="str">
        <f>IFERROR(IF($C16&lt;&gt;"",HLOOKUP(Model_Input2!$C16,'Data Sheet'!$B$56:$K$72,AB$1,0),""),"NA")</f>
        <v/>
      </c>
      <c r="AC16" t="str">
        <f>IFERROR(IF($C16&lt;&gt;"",HLOOKUP(Model_Input2!$C16,'Data Sheet'!$B$56:$K$72,AC$1,0),""),"NA")</f>
        <v/>
      </c>
      <c r="AD16" t="str">
        <f>IFERROR(IF($C16&lt;&gt;"",HLOOKUP(Model_Input2!$C16,'Data Sheet'!$B$56:$K$72,AD$1,0),""),"NA")</f>
        <v/>
      </c>
      <c r="AE16" t="str">
        <f>IFERROR(IF($C16&lt;&gt;"",HLOOKUP(Model_Input2!$C16,'Data Sheet'!$B$56:$K$72,AE$1,0),""),"NA")</f>
        <v/>
      </c>
      <c r="AF16" t="str">
        <f>IFERROR(IF($C16&lt;&gt;"",HLOOKUP(Model_Input2!$C16,'Data Sheet'!$B$56:$K$72,AF$1,0),""),"NA")</f>
        <v/>
      </c>
      <c r="AG16" t="str">
        <f>IFERROR(IF($C16&lt;&gt;"",HLOOKUP(Model_Input2!$C16,'Data Sheet'!$B$56:$K$72,AG$1,0),""),"NA")</f>
        <v/>
      </c>
      <c r="AH16" t="str">
        <f>IFERROR(IF($C16&lt;&gt;"",HLOOKUP(Model_Input2!$C16,'Data Sheet'!$B$56:$K$72,AH$1,0),""),"NA")</f>
        <v/>
      </c>
      <c r="AI16" t="str">
        <f>IFERROR(IF($C16&lt;&gt;"",HLOOKUP(Model_Input2!$C16,'Data Sheet'!$B$81:$K$85,AI$1,0),""),"NA")</f>
        <v/>
      </c>
      <c r="AJ16" t="str">
        <f>IFERROR(IF($C16&lt;&gt;"",HLOOKUP(Model_Input2!$C16,'Data Sheet'!$B$81:$K$85,AJ$1,0),""),"NA")</f>
        <v/>
      </c>
      <c r="AK16" t="str">
        <f>IFERROR(IF($C16&lt;&gt;"",HLOOKUP(Model_Input2!$C16,'Data Sheet'!$B$81:$K$85,AK$1,0),""),"NA")</f>
        <v/>
      </c>
      <c r="AL16" t="str">
        <f>IFERROR(IF($C16&lt;&gt;"",HLOOKUP(Model_Input2!$C16,'Data Sheet'!$B$81:$K$85,AL$1,0),""),"NA")</f>
        <v/>
      </c>
      <c r="AM16" s="38" t="str">
        <f>IFERROR(IF($C16&lt;&gt;"",HLOOKUP(Model_Input2!$C16,Trend!$B$1:$K$3,AM$1,0),""),"NA")</f>
        <v/>
      </c>
      <c r="AN16" s="38" t="str">
        <f>IFERROR(IF($C16&lt;&gt;"",HLOOKUP(Model_Input2!$C16,Trend!$B$1:$K$3,AN$1,0),""),"NA")</f>
        <v/>
      </c>
      <c r="AO16" s="38" t="str">
        <f>IFERROR(IF($C16&lt;&gt;"",HLOOKUP(Model_Input2!$C16,Trend!$B$1:$K$122,AO$1,0),""),"NA")</f>
        <v/>
      </c>
      <c r="AP16" s="38" t="str">
        <f>IFERROR(IF($C16&lt;&gt;"",HLOOKUP(Model_Input2!$C16,Trend!$B$1:$K$122,AP$1,0),""),"NA")</f>
        <v/>
      </c>
      <c r="AQ16" s="38" t="str">
        <f>IFERROR(IF($C16&lt;&gt;"",HLOOKUP(Model_Input2!$C16,Trend!$B$1:$K$122,AQ$1,0),""),"NA")</f>
        <v/>
      </c>
      <c r="AR16" s="38" t="str">
        <f>IFERROR(IF($C16&lt;&gt;"",HLOOKUP(Model_Input2!$C16,Trend!$B$1:$K$122,AR$1,0),""),"NA")</f>
        <v/>
      </c>
      <c r="AS16" s="38" t="str">
        <f>IFERROR(IF($C16&lt;&gt;"",HLOOKUP(Model_Input2!$C16,Trend!$B$1:$K$122,AS$1,0),""),"NA")</f>
        <v/>
      </c>
      <c r="AT16" s="38" t="str">
        <f>IFERROR(IF($C16&lt;&gt;"",HLOOKUP(Model_Input2!$C16,Trend!$B$1:$K$122,AT$1,0),""),"NA")</f>
        <v/>
      </c>
      <c r="AU16" s="38" t="str">
        <f>IFERROR(IF($C16&lt;&gt;"",HLOOKUP(Model_Input2!$C16,Trend!$B$1:$K$122,AU$1,0),""),"NA")</f>
        <v/>
      </c>
      <c r="AV16" s="256" t="str">
        <f>IFERROR(IF($C16&lt;&gt;"",HLOOKUP(Model_Input2!$C16,Trend!$B$1:$K$122,AV$1,0),""),"NA")</f>
        <v/>
      </c>
      <c r="AW16" s="256" t="str">
        <f>IFERROR(IF($C16&lt;&gt;"",HLOOKUP(Model_Input2!$C16,Trend!$B$1:$K$122,AW$1,0),""),"NA")</f>
        <v/>
      </c>
      <c r="AX16" s="256" t="str">
        <f>IFERROR(IF($C16&lt;&gt;"",HLOOKUP(Model_Input2!$C16,Trend!$B$1:$K$122,AX$1,0),""),"NA")</f>
        <v/>
      </c>
      <c r="AY16" s="256" t="str">
        <f>IFERROR(IF($C16&lt;&gt;"",HLOOKUP(Model_Input2!$C16,Trend!$B$1:$K$122,AY$1,0),""),"NA")</f>
        <v/>
      </c>
      <c r="AZ16" s="256" t="str">
        <f>IFERROR(IF($C16&lt;&gt;"",HLOOKUP(Model_Input2!$C16,Trend!$B$1:$K$122,AZ$1,0),""),"NA")</f>
        <v/>
      </c>
      <c r="BA16" s="256" t="str">
        <f>IFERROR(IF($C16&lt;&gt;"",HLOOKUP(Model_Input2!$C16,Trend!$B$1:$K$122,BA$1,0),""),"NA")</f>
        <v/>
      </c>
      <c r="BB16" s="38" t="str">
        <f>IFERROR(IF($C16&lt;&gt;"",HLOOKUP(Model_Input2!$C16,Trend!$B$1:$K$122,BB$1,0),""),"NA")</f>
        <v/>
      </c>
      <c r="BC16" s="256" t="str">
        <f>IFERROR(IF($C16&lt;&gt;"",HLOOKUP(Model_Input2!$C16,Trend!$B$1:$K$122,BC$1,0),""),"NA")</f>
        <v/>
      </c>
      <c r="BD16" s="256" t="str">
        <f>IFERROR(IF($C16&lt;&gt;"",HLOOKUP(Model_Input2!$C16,Trend!$B$1:$K$122,BD$1,0),""),"NA")</f>
        <v/>
      </c>
      <c r="BE16" s="256" t="str">
        <f>IFERROR(IF($C16&lt;&gt;"",HLOOKUP(Model_Input2!$C16,Trend!$B$1:$K$122,BE$1,0),""),"NA")</f>
        <v/>
      </c>
      <c r="BF16" s="256" t="str">
        <f>IFERROR(IF($C16&lt;&gt;"",HLOOKUP(Model_Input2!$C16,Trend!$B$1:$K$122,BF$1,0),""),"NA")</f>
        <v/>
      </c>
      <c r="BG16" s="256" t="str">
        <f>IFERROR(IF($C16&lt;&gt;"",HLOOKUP(Model_Input2!$C16,Trend!$B$1:$K$122,BG$1,0),""),"NA")</f>
        <v/>
      </c>
      <c r="BH16" s="256" t="str">
        <f>IFERROR(IF($C16&lt;&gt;"",HLOOKUP(Model_Input2!$C16,Trend!$B$1:$K$122,BH$1,0),""),"NA")</f>
        <v/>
      </c>
      <c r="BI16" s="256" t="str">
        <f>IFERROR(IF($C16&lt;&gt;"",HLOOKUP(Model_Input2!$C16,Trend!$B$1:$K$122,BI$1,0),""),"NA")</f>
        <v/>
      </c>
      <c r="BJ16" s="256" t="str">
        <f>IFERROR(IF($C16&lt;&gt;"",HLOOKUP(Model_Input2!$C16,Trend!$B$1:$K$122,BJ$1,0),""),"NA")</f>
        <v/>
      </c>
      <c r="BK16" s="256" t="str">
        <f>IFERROR(IF($C16&lt;&gt;"",HLOOKUP(Model_Input2!$C16,Trend!$B$1:$K$122,BK$1,0),""),"NA")</f>
        <v/>
      </c>
      <c r="BL16" s="256" t="str">
        <f>IFERROR(IF($C16&lt;&gt;"",HLOOKUP(Model_Input2!$C16,Trend!$B$1:$K$122,BL$1,0),""),"NA")</f>
        <v/>
      </c>
      <c r="BM16" s="256" t="str">
        <f>IFERROR(IF($C16&lt;&gt;"",HLOOKUP(Model_Input2!$C16,Trend!$B$1:$K$122,BM$1,0),""),"NA")</f>
        <v/>
      </c>
      <c r="BN16" s="256" t="str">
        <f>IFERROR(IF($C16&lt;&gt;"",HLOOKUP(Model_Input2!$C16,Trend!$B$1:$K$122,BN$1,0),""),"NA")</f>
        <v/>
      </c>
      <c r="BO16" s="256" t="str">
        <f>IFERROR(IF($C16&lt;&gt;"",HLOOKUP(Model_Input2!$C16,Trend!$B$1:$K$122,BO$1,0),""),"NA")</f>
        <v/>
      </c>
      <c r="BP16" s="256" t="str">
        <f>IFERROR(IF($C16&lt;&gt;"",HLOOKUP(Model_Input2!$C16,Trend!$B$1:$K$122,BP$1,0),""),"NA")</f>
        <v/>
      </c>
      <c r="BQ16" s="256" t="str">
        <f>IFERROR(IF($C16&lt;&gt;"",HLOOKUP(Model_Input2!$C16,Trend!$B$1:$K$122,BQ$1,0),""),"NA")</f>
        <v/>
      </c>
      <c r="BR16" s="256" t="str">
        <f>IFERROR(IF($C16&lt;&gt;"",HLOOKUP(Model_Input2!$C16,Trend!$B$1:$K$122,BR$1,0),""),"NA")</f>
        <v/>
      </c>
      <c r="BS16" s="256" t="str">
        <f>IFERROR(IF($C16&lt;&gt;"",HLOOKUP(Model_Input2!$C16,Trend!$B$1:$K$122,BS$1,0),""),"NA")</f>
        <v/>
      </c>
      <c r="BT16" s="256" t="str">
        <f>IFERROR(IF($C16&lt;&gt;"",HLOOKUP(Model_Input2!$C16,Trend!$B$1:$K$122,BT$1,0),""),"NA")</f>
        <v/>
      </c>
      <c r="BU16" s="256" t="str">
        <f>IFERROR(IF($C16&lt;&gt;"",HLOOKUP(Model_Input2!$C16,Trend!$B$1:$K$122,BU$1,0),""),"NA")</f>
        <v/>
      </c>
      <c r="BV16" s="256" t="str">
        <f>IFERROR(IF($C16&lt;&gt;"",HLOOKUP(Model_Input2!$C16,Trend!$B$1:$K$122,BV$1,0),""),"NA")</f>
        <v/>
      </c>
      <c r="BW16" s="256" t="str">
        <f>IFERROR(IF($C16&lt;&gt;"",HLOOKUP(Model_Input2!$C16,Trend!$B$1:$K$122,BW$1,0),""),"NA")</f>
        <v/>
      </c>
      <c r="BX16" s="256" t="str">
        <f>IFERROR(IF($C16&lt;&gt;"",HLOOKUP(Model_Input2!$C16,Trend!$B$1:$K$122,BX$1,0),""),"NA")</f>
        <v/>
      </c>
      <c r="BY16" s="256" t="str">
        <f>IFERROR(IF($C16&lt;&gt;"",HLOOKUP(Model_Input2!$C16,Trend!$B$1:$K$122,BY$1,0),""),"NA")</f>
        <v/>
      </c>
      <c r="BZ16" s="256" t="str">
        <f>IFERROR(IF($C16&lt;&gt;"",HLOOKUP(Model_Input2!$C16,Trend!$B$1:$K$122,BZ$1,0),""),"NA")</f>
        <v/>
      </c>
      <c r="CA16" s="256" t="str">
        <f>IFERROR(IF($C16&lt;&gt;"",HLOOKUP(Model_Input2!$C16,Trend!$B$1:$K$122,CA$1,0),""),"NA")</f>
        <v/>
      </c>
      <c r="CB16" s="256" t="str">
        <f>IFERROR(IF($C16&lt;&gt;"",HLOOKUP(Model_Input2!$C16,Trend!$B$1:$K$122,CB$1,0),""),"NA")</f>
        <v/>
      </c>
      <c r="CC16" s="256" t="str">
        <f>IFERROR(IF($C16&lt;&gt;"",HLOOKUP(Model_Input2!$C16,Trend!$B$1:$K$122,CC$1,0),""),"NA")</f>
        <v/>
      </c>
      <c r="CD16" s="38" t="str">
        <f>IFERROR(IF($C16&lt;&gt;"",HLOOKUP(Model_Input2!$C16,Trend!$B$1:$K$122,CD$1,0),""),"NA")</f>
        <v/>
      </c>
      <c r="CE16" s="38" t="str">
        <f>IFERROR(IF($C16&lt;&gt;"",HLOOKUP(Model_Input2!$C16,Trend!$B$1:$K$122,CE$1,0),""),"NA")</f>
        <v/>
      </c>
      <c r="CF16" s="38" t="str">
        <f>IFERROR(IF($C16&lt;&gt;"",HLOOKUP(Model_Input2!$C16,Trend!$B$1:$K$122,CF$1,0),""),"NA")</f>
        <v/>
      </c>
      <c r="CG16" s="38" t="str">
        <f>IFERROR(IF($C16&lt;&gt;"",HLOOKUP(Model_Input2!$C16,Trend!$B$1:$K$122,CG$1,0),""),"NA")</f>
        <v/>
      </c>
      <c r="CH16" s="38" t="str">
        <f>IFERROR(IF($C16&lt;&gt;"",HLOOKUP(Model_Input2!$C16,Trend!$B$1:$K$122,CH$1,0),""),"NA")</f>
        <v/>
      </c>
      <c r="CI16" s="38" t="str">
        <f>IFERROR(IF($C16&lt;&gt;"",HLOOKUP(Model_Input2!$C16,Trend!$B$1:$K$122,CI$1,0),""),"NA")</f>
        <v/>
      </c>
      <c r="CJ16" s="38" t="str">
        <f>IFERROR(IF($C16&lt;&gt;"",HLOOKUP(Model_Input2!$C16,Trend!$B$1:$K$122,CJ$1,0),""),"NA")</f>
        <v/>
      </c>
      <c r="CK16" s="256" t="str">
        <f>IFERROR(IF($C16&lt;&gt;"",HLOOKUP(Model_Input2!$C16,Trend!$B$1:$K$122,CK$1,0),""),"NA")</f>
        <v/>
      </c>
      <c r="CL16" s="256" t="str">
        <f>IFERROR(IF($C16&lt;&gt;"",HLOOKUP(Model_Input2!$C16,Trend!$B$1:$K$122,CL$1,0),""),"NA")</f>
        <v/>
      </c>
      <c r="CM16" s="256" t="str">
        <f>IFERROR(IF($C16&lt;&gt;"",HLOOKUP(Model_Input2!$C16,Trend!$B$1:$K$122,CM$1,0),""),"NA")</f>
        <v/>
      </c>
      <c r="CN16" s="256" t="str">
        <f>IFERROR(IF($C16&lt;&gt;"",HLOOKUP(Model_Input2!$C16,Trend!$B$1:$K$122,CN$1,0),""),"NA")</f>
        <v/>
      </c>
      <c r="CO16" s="256" t="str">
        <f>IFERROR(IF($C16&lt;&gt;"",HLOOKUP(Model_Input2!$C16,Trend!$B$1:$K$122,CO$1,0),""),"NA")</f>
        <v/>
      </c>
      <c r="CP16" s="256" t="str">
        <f>IFERROR(IF($C16&lt;&gt;"",HLOOKUP(Model_Input2!$C16,Trend!$B$1:$K$122,CP$1,0),""),"NA")</f>
        <v/>
      </c>
      <c r="CQ16" s="256" t="str">
        <f>IFERROR(IF($C16&lt;&gt;"",HLOOKUP(Model_Input2!$C16,Trend!$B$1:$K$122,CQ$1,0),""),"NA")</f>
        <v/>
      </c>
      <c r="CR16" s="256" t="str">
        <f>IFERROR(IF($C16&lt;&gt;"",HLOOKUP(Model_Input2!$C16,Trend!$B$1:$K$122,CR$1,0),""),"NA")</f>
        <v/>
      </c>
      <c r="CS16" s="256" t="str">
        <f>IFERROR(IF($C16&lt;&gt;"",HLOOKUP(Model_Input2!$C16,Trend!$B$1:$K$122,CS$1,0),""),"NA")</f>
        <v/>
      </c>
      <c r="CT16" s="38" t="str">
        <f>IFERROR(IF($C16&lt;&gt;"",HLOOKUP(Model_Input2!$C16,Trend!$B$1:$K$122,CT$1,0),""),"NA")</f>
        <v/>
      </c>
      <c r="CU16" s="38" t="str">
        <f>IFERROR(IF($C16&lt;&gt;"",HLOOKUP(Model_Input2!$C16,Trend!$B$1:$K$122,CU$1,0),""),"NA")</f>
        <v/>
      </c>
      <c r="CV16" s="38" t="str">
        <f>IFERROR(IF($C16&lt;&gt;"",HLOOKUP(Model_Input2!$C16,Trend!$B$1:$K$122,CV$1,0),""),"NA")</f>
        <v/>
      </c>
      <c r="CW16" s="38" t="str">
        <f>IFERROR(IF($C16&lt;&gt;"",HLOOKUP(Model_Input2!$C16,Trend!$B$1:$K$122,CW$1,0),""),"NA")</f>
        <v/>
      </c>
      <c r="CX16" s="256" t="str">
        <f>IFERROR(IF($C16&lt;&gt;"",HLOOKUP(Model_Input2!$C16,Trend!$B$1:$K$122,CX$1,0),""),"NA")</f>
        <v/>
      </c>
      <c r="CY16" s="256" t="str">
        <f>IFERROR(IF($C16&lt;&gt;"",HLOOKUP(Model_Input2!$C16,Trend!$B$1:$K$122,CY$1,0),""),"NA")</f>
        <v/>
      </c>
      <c r="CZ16" s="38" t="str">
        <f>IFERROR(IF($C16&lt;&gt;"",HLOOKUP(Model_Input2!$C16,Trend!$B$1:$K$122,CZ$1,0),""),"NA")</f>
        <v/>
      </c>
      <c r="DA16" s="38" t="str">
        <f>IFERROR(IF($C16&lt;&gt;"",HLOOKUP(Model_Input2!$C16,Trend!$B$1:$K$122,DA$1,0),""),"NA")</f>
        <v/>
      </c>
      <c r="DB16" s="256" t="str">
        <f>IFERROR(IF($C16&lt;&gt;"",HLOOKUP(Model_Input2!$C16,Trend!$B$1:$K$122,DB$1,0),""),"NA")</f>
        <v/>
      </c>
      <c r="DC16" s="256" t="str">
        <f>IFERROR(IF($C16&lt;&gt;"",HLOOKUP(Model_Input2!$C16,Trend!$B$1:$K$122,DC$1,0),""),"NA")</f>
        <v/>
      </c>
      <c r="DD16" s="256" t="str">
        <f>IFERROR(IF($C16&lt;&gt;"",HLOOKUP(Model_Input2!$C16,Trend!$B$1:$K$122,DD$1,0),""),"NA")</f>
        <v/>
      </c>
      <c r="DE16" s="256" t="str">
        <f>IFERROR(IF($C16&lt;&gt;"",HLOOKUP(Model_Input2!$C16,Trend!$B$1:$K$122,DE$1,0),""),"NA")</f>
        <v/>
      </c>
      <c r="DF16" s="256" t="str">
        <f>IFERROR(IF($C16&lt;&gt;"",HLOOKUP(Model_Input2!$C16,Trend!$B$1:$K$122,DF$1,0),""),"NA")</f>
        <v/>
      </c>
      <c r="DG16" s="256" t="str">
        <f>IFERROR(IF($C16&lt;&gt;"",HLOOKUP(Model_Input2!$C16,Trend!$B$1:$K$122,DG$1,0),""),"NA")</f>
        <v/>
      </c>
      <c r="DH16" s="256" t="str">
        <f>IFERROR(IF($C16&lt;&gt;"",HLOOKUP(Model_Input2!$C16,Trend!$B$1:$K$122,DH$1,0),""),"NA")</f>
        <v/>
      </c>
      <c r="DI16" s="256" t="str">
        <f>IFERROR(IF($C16&lt;&gt;"",HLOOKUP(Model_Input2!$C16,Trend!$B$1:$K$122,DI$1,0),""),"NA")</f>
        <v/>
      </c>
      <c r="DJ16" s="38" t="str">
        <f>IFERROR(IF($C16&lt;&gt;"",HLOOKUP(Model_Input2!$C16,Trend!$B$1:$K$122,DJ$1,0),""),"NA")</f>
        <v/>
      </c>
      <c r="DK16" s="38" t="str">
        <f>IFERROR(IF($C16&lt;&gt;"",HLOOKUP(Model_Input2!$C16,Trend!$B$1:$K$122,DK$1,0),""),"NA")</f>
        <v/>
      </c>
      <c r="DL16" s="256" t="str">
        <f>IFERROR(IF($C16&lt;&gt;"",HLOOKUP(Model_Input2!$C16,Trend!$B$1:$K$122,DL$1,0),""),"NA")</f>
        <v/>
      </c>
      <c r="DM16" s="256" t="str">
        <f>IFERROR(IF($C16&lt;&gt;"",HLOOKUP(Model_Input2!$C16,Trend!$B$1:$K$122,DM$1,0),""),"NA")</f>
        <v/>
      </c>
      <c r="DN16" s="256" t="str">
        <f>IFERROR(IF($C16&lt;&gt;"",HLOOKUP(Model_Input2!$C16,Trend!$B$1:$K$122,DN$1,0),""),"NA")</f>
        <v/>
      </c>
      <c r="DO16" s="256" t="str">
        <f>IFERROR(IF($C16&lt;&gt;"",HLOOKUP(Model_Input2!$C16,Trend!$B$1:$K$122,DO$1,0),""),"NA")</f>
        <v/>
      </c>
      <c r="DP16" s="256" t="str">
        <f>IFERROR(IF($C16&lt;&gt;"",HLOOKUP(Model_Input2!$C16,Trend!$B$1:$K$122,DP$1,0),""),"NA")</f>
        <v/>
      </c>
      <c r="DQ16" s="256" t="str">
        <f>IFERROR(IF($C16&lt;&gt;"",HLOOKUP(Model_Input2!$C16,Trend!$B$1:$K$122,DQ$1,0),""),"NA")</f>
        <v/>
      </c>
      <c r="DR16" s="256" t="str">
        <f>IFERROR(IF($C16&lt;&gt;"",HLOOKUP(Model_Input2!$C16,Trend!$B$1:$K$122,DR$1,0),""),"NA")</f>
        <v/>
      </c>
      <c r="DS16" s="256" t="str">
        <f>IFERROR(IF($C16&lt;&gt;"",HLOOKUP(Model_Input2!$C16,Trend!$B$1:$K$122,DS$1,0),""),"NA")</f>
        <v/>
      </c>
      <c r="DT16" s="256" t="str">
        <f>IFERROR(IF($C16&lt;&gt;"",HLOOKUP(Model_Input2!$C16,Trend!$B$1:$K$122,DT$1,0),""),"NA")</f>
        <v/>
      </c>
      <c r="DU16" s="256" t="str">
        <f>IFERROR(IF($C16&lt;&gt;"",HLOOKUP(Model_Input2!$C16,Trend!$B$1:$K$122,DU$1,0),""),"NA")</f>
        <v/>
      </c>
      <c r="DV16" s="256" t="str">
        <f>IFERROR(IF($C16&lt;&gt;"",HLOOKUP(Model_Input2!$C16,Trend!$B$1:$K$122,DV$1,0),""),"NA")</f>
        <v/>
      </c>
      <c r="DW16" s="256" t="str">
        <f>IFERROR(IF($C16&lt;&gt;"",HLOOKUP(Model_Input2!$C16,Trend!$B$1:$K$122,DW$1,0),""),"NA")</f>
        <v/>
      </c>
      <c r="DX16" s="256" t="str">
        <f>IFERROR(IF($C16&lt;&gt;"",HLOOKUP(Model_Input2!$C16,Trend!$B$1:$K$122,DX$1,0),""),"NA")</f>
        <v/>
      </c>
      <c r="DY16" s="256" t="str">
        <f>IFERROR(IF($C16&lt;&gt;"",HLOOKUP(Model_Input2!$C16,Trend!$B$1:$K$122,DY$1,0),""),"NA")</f>
        <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53" workbookViewId="0">
      <selection activeCell="A83" sqref="A83"/>
    </sheetView>
  </sheetViews>
  <sheetFormatPr defaultRowHeight="15" x14ac:dyDescent="0.25"/>
  <cols>
    <col min="1" max="1" width="38.5703125" customWidth="1"/>
  </cols>
  <sheetData>
    <row r="1" spans="1:2" x14ac:dyDescent="0.25">
      <c r="A1" s="245" t="s">
        <v>359</v>
      </c>
      <c r="B1" s="245" t="s">
        <v>360</v>
      </c>
    </row>
    <row r="2" spans="1:2" x14ac:dyDescent="0.25">
      <c r="A2" t="s">
        <v>361</v>
      </c>
      <c r="B2" s="85" t="e">
        <f>Trend!R17</f>
        <v>#DIV/0!</v>
      </c>
    </row>
    <row r="3" spans="1:2" x14ac:dyDescent="0.25">
      <c r="A3" t="s">
        <v>362</v>
      </c>
      <c r="B3" s="85">
        <f>Trend!Q17</f>
        <v>1.3858374711188577</v>
      </c>
    </row>
    <row r="4" spans="1:2" x14ac:dyDescent="0.25">
      <c r="A4" t="s">
        <v>363</v>
      </c>
      <c r="B4" s="85">
        <f>Trend!P17</f>
        <v>1.6080802324696224</v>
      </c>
    </row>
    <row r="5" spans="1:2" x14ac:dyDescent="0.25">
      <c r="A5" t="s">
        <v>364</v>
      </c>
      <c r="B5" s="85">
        <f>Trend!R18</f>
        <v>0.85015125902505062</v>
      </c>
    </row>
    <row r="6" spans="1:2" x14ac:dyDescent="0.25">
      <c r="A6" t="s">
        <v>365</v>
      </c>
      <c r="B6" s="85">
        <f>Trend!Q18</f>
        <v>1.5641554340361497</v>
      </c>
    </row>
    <row r="7" spans="1:2" x14ac:dyDescent="0.25">
      <c r="A7" t="s">
        <v>366</v>
      </c>
      <c r="B7" s="85">
        <f>Trend!P18</f>
        <v>2.0070167327753143</v>
      </c>
    </row>
    <row r="8" spans="1:2" x14ac:dyDescent="0.25">
      <c r="A8" t="s">
        <v>367</v>
      </c>
      <c r="B8" s="85">
        <f>Trend!O19</f>
        <v>0.32716135043514455</v>
      </c>
    </row>
    <row r="9" spans="1:2" x14ac:dyDescent="0.25">
      <c r="A9" t="s">
        <v>368</v>
      </c>
      <c r="B9" s="85">
        <f>Trend!N19</f>
        <v>0.2903329407986297</v>
      </c>
    </row>
    <row r="10" spans="1:2" x14ac:dyDescent="0.25">
      <c r="A10" t="s">
        <v>369</v>
      </c>
      <c r="B10" s="85">
        <f>Trend!M19</f>
        <v>0.28021048675061083</v>
      </c>
    </row>
    <row r="11" spans="1:2" x14ac:dyDescent="0.25">
      <c r="A11" t="s">
        <v>370</v>
      </c>
      <c r="B11" s="85">
        <f>Trend!O20</f>
        <v>0</v>
      </c>
    </row>
    <row r="12" spans="1:2" x14ac:dyDescent="0.25">
      <c r="A12" t="s">
        <v>371</v>
      </c>
      <c r="B12" s="85">
        <f>Trend!N20</f>
        <v>0</v>
      </c>
    </row>
    <row r="13" spans="1:2" x14ac:dyDescent="0.25">
      <c r="A13" t="s">
        <v>372</v>
      </c>
      <c r="B13" s="85">
        <f>Trend!M20</f>
        <v>0</v>
      </c>
    </row>
    <row r="14" spans="1:2" x14ac:dyDescent="0.25">
      <c r="A14" t="s">
        <v>373</v>
      </c>
      <c r="B14" s="85">
        <f>Trend!O34</f>
        <v>1</v>
      </c>
    </row>
    <row r="15" spans="1:2" x14ac:dyDescent="0.25">
      <c r="A15" t="s">
        <v>374</v>
      </c>
      <c r="B15" s="85">
        <f>Trend!N34</f>
        <v>1</v>
      </c>
    </row>
    <row r="16" spans="1:2" x14ac:dyDescent="0.25">
      <c r="A16" t="s">
        <v>375</v>
      </c>
      <c r="B16" s="85">
        <f>Trend!M34</f>
        <v>1</v>
      </c>
    </row>
    <row r="17" spans="1:2" x14ac:dyDescent="0.25">
      <c r="A17" t="s">
        <v>376</v>
      </c>
      <c r="B17" s="85">
        <f>Trend!O35</f>
        <v>0.23844735642210019</v>
      </c>
    </row>
    <row r="18" spans="1:2" x14ac:dyDescent="0.25">
      <c r="A18" t="s">
        <v>377</v>
      </c>
      <c r="B18" s="85">
        <f>Trend!N35</f>
        <v>0.24016700567391072</v>
      </c>
    </row>
    <row r="19" spans="1:2" x14ac:dyDescent="0.25">
      <c r="A19" t="s">
        <v>378</v>
      </c>
      <c r="B19" s="85">
        <f>Trend!M35</f>
        <v>0.31361434607853245</v>
      </c>
    </row>
    <row r="20" spans="1:2" x14ac:dyDescent="0.25">
      <c r="A20" t="s">
        <v>379</v>
      </c>
      <c r="B20" s="85">
        <f>Trend!O36</f>
        <v>0.14967388934044368</v>
      </c>
    </row>
    <row r="21" spans="1:2" x14ac:dyDescent="0.25">
      <c r="A21" t="s">
        <v>380</v>
      </c>
      <c r="B21" s="85">
        <f>Trend!N36</f>
        <v>0.14692217107376085</v>
      </c>
    </row>
    <row r="22" spans="1:2" x14ac:dyDescent="0.25">
      <c r="A22" t="s">
        <v>381</v>
      </c>
      <c r="B22" s="85">
        <f>Trend!M36</f>
        <v>0.19137804560142102</v>
      </c>
    </row>
    <row r="23" spans="1:2" x14ac:dyDescent="0.25">
      <c r="A23" t="s">
        <v>382</v>
      </c>
      <c r="B23" s="85">
        <f>Trend!O37</f>
        <v>0.20485673472817412</v>
      </c>
    </row>
    <row r="24" spans="1:2" x14ac:dyDescent="0.25">
      <c r="A24" t="s">
        <v>383</v>
      </c>
      <c r="B24" s="85">
        <f>Trend!N37</f>
        <v>0.20933585653780301</v>
      </c>
    </row>
    <row r="25" spans="1:2" x14ac:dyDescent="0.25">
      <c r="A25" t="s">
        <v>384</v>
      </c>
      <c r="B25" s="85">
        <f>Trend!M37</f>
        <v>0.23169572107765449</v>
      </c>
    </row>
    <row r="26" spans="1:2" x14ac:dyDescent="0.25">
      <c r="A26" t="s">
        <v>385</v>
      </c>
      <c r="B26" s="85" t="e">
        <f>Trend!O41</f>
        <v>#DIV/0!</v>
      </c>
    </row>
    <row r="27" spans="1:2" x14ac:dyDescent="0.25">
      <c r="A27" t="s">
        <v>386</v>
      </c>
      <c r="B27" s="85">
        <f>Trend!N41</f>
        <v>0.68700616307207851</v>
      </c>
    </row>
    <row r="28" spans="1:2" x14ac:dyDescent="0.25">
      <c r="A28" t="s">
        <v>387</v>
      </c>
      <c r="B28" s="85">
        <f>Trend!M41</f>
        <v>0.48151955122292284</v>
      </c>
    </row>
    <row r="29" spans="1:2" x14ac:dyDescent="0.25">
      <c r="A29" t="s">
        <v>388</v>
      </c>
      <c r="B29" s="85" t="e">
        <f>Trend!O42</f>
        <v>#DIV/0!</v>
      </c>
    </row>
    <row r="30" spans="1:2" x14ac:dyDescent="0.25">
      <c r="A30" t="s">
        <v>389</v>
      </c>
      <c r="B30" s="85">
        <f>Trend!N42</f>
        <v>0.62690329238208464</v>
      </c>
    </row>
    <row r="31" spans="1:2" x14ac:dyDescent="0.25">
      <c r="A31" t="s">
        <v>390</v>
      </c>
      <c r="B31" s="85">
        <f>Trend!M42</f>
        <v>0.43830437012688134</v>
      </c>
    </row>
    <row r="32" spans="1:2" x14ac:dyDescent="0.25">
      <c r="A32" t="s">
        <v>391</v>
      </c>
      <c r="B32" s="85">
        <f>Trend!O45</f>
        <v>0.23380506406573051</v>
      </c>
    </row>
    <row r="33" spans="1:2" x14ac:dyDescent="0.25">
      <c r="A33" t="s">
        <v>392</v>
      </c>
      <c r="B33" s="85">
        <f>Trend!N45</f>
        <v>0.60518481583464223</v>
      </c>
    </row>
    <row r="34" spans="1:2" x14ac:dyDescent="0.25">
      <c r="A34" t="s">
        <v>393</v>
      </c>
      <c r="B34" s="85">
        <f>Trend!M45</f>
        <v>0.48609759683340004</v>
      </c>
    </row>
    <row r="35" spans="1:2" x14ac:dyDescent="0.25">
      <c r="A35" t="s">
        <v>394</v>
      </c>
      <c r="B35" s="85">
        <f>Trend!O52</f>
        <v>2.9712677714130113</v>
      </c>
    </row>
    <row r="36" spans="1:2" x14ac:dyDescent="0.25">
      <c r="A36" t="s">
        <v>395</v>
      </c>
      <c r="B36" s="85">
        <f>Trend!N52</f>
        <v>0.1877977720689756</v>
      </c>
    </row>
    <row r="37" spans="1:2" x14ac:dyDescent="0.25">
      <c r="A37" t="s">
        <v>396</v>
      </c>
      <c r="B37" s="85">
        <f>Trend!M52</f>
        <v>0.10424511157363638</v>
      </c>
    </row>
    <row r="38" spans="1:2" x14ac:dyDescent="0.25">
      <c r="A38" t="s">
        <v>397</v>
      </c>
      <c r="B38" s="38">
        <f>Trend!O54</f>
        <v>8.2502228059088814E-2</v>
      </c>
    </row>
    <row r="39" spans="1:2" x14ac:dyDescent="0.25">
      <c r="A39" t="s">
        <v>398</v>
      </c>
      <c r="B39" s="38">
        <f>Trend!N54</f>
        <v>7.5711284703196699E-2</v>
      </c>
    </row>
    <row r="40" spans="1:2" x14ac:dyDescent="0.25">
      <c r="A40" t="s">
        <v>398</v>
      </c>
      <c r="B40" s="38">
        <f>Trend!M54</f>
        <v>0.10562904606167656</v>
      </c>
    </row>
    <row r="41" spans="1:2" x14ac:dyDescent="0.25">
      <c r="A41" t="s">
        <v>399</v>
      </c>
      <c r="B41" s="38">
        <f>Trend!O55</f>
        <v>9.9315773047036515</v>
      </c>
    </row>
    <row r="42" spans="1:2" x14ac:dyDescent="0.25">
      <c r="A42" t="s">
        <v>400</v>
      </c>
      <c r="B42" s="38">
        <f>Trend!N55</f>
        <v>1.4065645865928822</v>
      </c>
    </row>
    <row r="43" spans="1:2" x14ac:dyDescent="0.25">
      <c r="A43" t="s">
        <v>401</v>
      </c>
      <c r="B43" s="38">
        <f>Trend!M55</f>
        <v>1.7319871512365015</v>
      </c>
    </row>
    <row r="44" spans="1:2" x14ac:dyDescent="0.25">
      <c r="A44" t="s">
        <v>402</v>
      </c>
      <c r="B44" s="85">
        <f>Trend!O64</f>
        <v>0.11802971467658241</v>
      </c>
    </row>
    <row r="45" spans="1:2" x14ac:dyDescent="0.25">
      <c r="A45" t="s">
        <v>403</v>
      </c>
      <c r="B45" s="85">
        <f>Trend!N64</f>
        <v>8.679102665129132E-2</v>
      </c>
    </row>
    <row r="46" spans="1:2" x14ac:dyDescent="0.25">
      <c r="A46" t="s">
        <v>404</v>
      </c>
      <c r="B46" s="85">
        <f>Trend!M64</f>
        <v>8.4799460804117543E-2</v>
      </c>
    </row>
    <row r="47" spans="1:2" x14ac:dyDescent="0.25">
      <c r="A47" t="s">
        <v>405</v>
      </c>
      <c r="B47" s="85">
        <f>Trend!O65</f>
        <v>0.18358267705558354</v>
      </c>
    </row>
    <row r="48" spans="1:2" x14ac:dyDescent="0.25">
      <c r="A48" t="s">
        <v>406</v>
      </c>
      <c r="B48" s="85">
        <f>Trend!N65</f>
        <v>9.5681775693807702E-2</v>
      </c>
    </row>
    <row r="49" spans="1:2" x14ac:dyDescent="0.25">
      <c r="A49" t="s">
        <v>407</v>
      </c>
      <c r="B49" s="85">
        <f>Trend!M65</f>
        <v>9.3550964256629524E-2</v>
      </c>
    </row>
    <row r="50" spans="1:2" x14ac:dyDescent="0.25">
      <c r="A50" t="s">
        <v>408</v>
      </c>
      <c r="B50" s="85" t="e">
        <f>Trend!O69</f>
        <v>#DIV/0!</v>
      </c>
    </row>
    <row r="51" spans="1:2" x14ac:dyDescent="0.25">
      <c r="A51" t="s">
        <v>409</v>
      </c>
      <c r="B51" s="85">
        <f>Trend!N69</f>
        <v>0.10804731043845539</v>
      </c>
    </row>
    <row r="52" spans="1:2" x14ac:dyDescent="0.25">
      <c r="A52" t="s">
        <v>410</v>
      </c>
      <c r="B52" s="85">
        <f>Trend!M69</f>
        <v>0.22363377665094175</v>
      </c>
    </row>
    <row r="53" spans="1:2" x14ac:dyDescent="0.25">
      <c r="A53" t="s">
        <v>411</v>
      </c>
      <c r="B53" s="47">
        <f>Trend!O70</f>
        <v>145.15584757850331</v>
      </c>
    </row>
    <row r="54" spans="1:2" x14ac:dyDescent="0.25">
      <c r="A54" t="s">
        <v>412</v>
      </c>
      <c r="B54" s="47">
        <f>Trend!N70</f>
        <v>99.817164811433202</v>
      </c>
    </row>
    <row r="55" spans="1:2" x14ac:dyDescent="0.25">
      <c r="A55" t="s">
        <v>413</v>
      </c>
      <c r="B55" s="47">
        <f>Trend!M70</f>
        <v>101.88163437424033</v>
      </c>
    </row>
    <row r="56" spans="1:2" x14ac:dyDescent="0.25">
      <c r="A56" t="s">
        <v>414</v>
      </c>
      <c r="B56" s="38" t="e">
        <f>Trend!O71</f>
        <v>#VALUE!</v>
      </c>
    </row>
    <row r="57" spans="1:2" x14ac:dyDescent="0.25">
      <c r="A57" t="s">
        <v>415</v>
      </c>
      <c r="B57" s="38">
        <f>Trend!N71</f>
        <v>3.7107332138268752</v>
      </c>
    </row>
    <row r="58" spans="1:2" x14ac:dyDescent="0.25">
      <c r="A58" t="s">
        <v>416</v>
      </c>
      <c r="B58" s="38">
        <f>Trend!M71</f>
        <v>3.6112539194848114</v>
      </c>
    </row>
    <row r="59" spans="1:2" x14ac:dyDescent="0.25">
      <c r="A59" t="s">
        <v>417</v>
      </c>
      <c r="B59" s="47">
        <f>Trend!O72</f>
        <v>0</v>
      </c>
    </row>
    <row r="60" spans="1:2" x14ac:dyDescent="0.25">
      <c r="A60" t="s">
        <v>418</v>
      </c>
      <c r="B60" s="47">
        <f>Trend!N72</f>
        <v>0</v>
      </c>
    </row>
    <row r="61" spans="1:2" x14ac:dyDescent="0.25">
      <c r="A61" t="s">
        <v>419</v>
      </c>
      <c r="B61" s="47">
        <f>Trend!M72</f>
        <v>0</v>
      </c>
    </row>
    <row r="62" spans="1:2" x14ac:dyDescent="0.25">
      <c r="A62" t="s">
        <v>420</v>
      </c>
      <c r="B62" s="38" t="e">
        <f>Trend!O73</f>
        <v>#VALUE!</v>
      </c>
    </row>
    <row r="63" spans="1:2" x14ac:dyDescent="0.25">
      <c r="A63" t="s">
        <v>421</v>
      </c>
      <c r="B63" s="38" t="e">
        <f>Trend!N73</f>
        <v>#DIV/0!</v>
      </c>
    </row>
    <row r="64" spans="1:2" x14ac:dyDescent="0.25">
      <c r="A64" t="s">
        <v>422</v>
      </c>
      <c r="B64" s="38" t="e">
        <f>Trend!M73</f>
        <v>#DIV/0!</v>
      </c>
    </row>
    <row r="65" spans="1:2" x14ac:dyDescent="0.25">
      <c r="A65" t="s">
        <v>423</v>
      </c>
      <c r="B65" s="85">
        <f>Trend!O74</f>
        <v>7.280556807010026E-2</v>
      </c>
    </row>
    <row r="66" spans="1:2" x14ac:dyDescent="0.25">
      <c r="A66" t="s">
        <v>424</v>
      </c>
      <c r="B66" s="85">
        <f>Trend!N74</f>
        <v>0.12931804061335223</v>
      </c>
    </row>
    <row r="67" spans="1:2" x14ac:dyDescent="0.25">
      <c r="A67" t="s">
        <v>425</v>
      </c>
      <c r="B67" s="85">
        <f>Trend!M74</f>
        <v>0.11756812084335744</v>
      </c>
    </row>
    <row r="68" spans="1:2" x14ac:dyDescent="0.25">
      <c r="A68" t="s">
        <v>426</v>
      </c>
      <c r="B68" s="85">
        <f>Trend!O96</f>
        <v>0.11160431713345267</v>
      </c>
    </row>
    <row r="69" spans="1:2" x14ac:dyDescent="0.25">
      <c r="A69" t="s">
        <v>427</v>
      </c>
      <c r="B69" s="85">
        <f>Trend!N96</f>
        <v>0.14506386190422932</v>
      </c>
    </row>
    <row r="70" spans="1:2" x14ac:dyDescent="0.25">
      <c r="A70" t="s">
        <v>428</v>
      </c>
      <c r="B70" s="85">
        <f>Trend!M96</f>
        <v>0.17975294634625838</v>
      </c>
    </row>
    <row r="71" spans="1:2" x14ac:dyDescent="0.25">
      <c r="A71" t="s">
        <v>429</v>
      </c>
      <c r="B71" s="38">
        <f>Trend!O97</f>
        <v>0.57191939040451278</v>
      </c>
    </row>
    <row r="72" spans="1:2" x14ac:dyDescent="0.25">
      <c r="A72" t="s">
        <v>430</v>
      </c>
      <c r="B72" s="38">
        <f>Trend!N97</f>
        <v>0.83949570874446455</v>
      </c>
    </row>
    <row r="73" spans="1:2" x14ac:dyDescent="0.25">
      <c r="A73" t="s">
        <v>431</v>
      </c>
      <c r="B73" s="38">
        <f>Trend!M97</f>
        <v>0.97757946081192559</v>
      </c>
    </row>
    <row r="74" spans="1:2" x14ac:dyDescent="0.25">
      <c r="A74" t="s">
        <v>432</v>
      </c>
      <c r="B74" s="38">
        <f>Trend!O99</f>
        <v>0.78951482512842919</v>
      </c>
    </row>
    <row r="75" spans="1:2" x14ac:dyDescent="0.25">
      <c r="A75" t="s">
        <v>433</v>
      </c>
      <c r="B75" s="38">
        <f>Trend!N99</f>
        <v>1.0533526572247016</v>
      </c>
    </row>
    <row r="76" spans="1:2" x14ac:dyDescent="0.25">
      <c r="A76" t="s">
        <v>434</v>
      </c>
      <c r="B76" s="38">
        <f>Trend!M99</f>
        <v>0.63089510310193531</v>
      </c>
    </row>
    <row r="77" spans="1:2" x14ac:dyDescent="0.25">
      <c r="A77" t="s">
        <v>435</v>
      </c>
      <c r="B77" s="85" t="e">
        <f>Trend!O100</f>
        <v>#DIV/0!</v>
      </c>
    </row>
    <row r="78" spans="1:2" x14ac:dyDescent="0.25">
      <c r="A78" t="s">
        <v>436</v>
      </c>
      <c r="B78" s="85">
        <f>Trend!N100</f>
        <v>0.16748347909666617</v>
      </c>
    </row>
    <row r="79" spans="1:2" x14ac:dyDescent="0.25">
      <c r="A79" t="s">
        <v>437</v>
      </c>
      <c r="B79" s="85">
        <f>Trend!M100</f>
        <v>0.11751314554058577</v>
      </c>
    </row>
    <row r="80" spans="1:2" x14ac:dyDescent="0.25">
      <c r="A80" t="s">
        <v>438</v>
      </c>
      <c r="B80" s="38">
        <f>Trend!O103</f>
        <v>-1.6600906641267303</v>
      </c>
    </row>
    <row r="81" spans="1:2" x14ac:dyDescent="0.25">
      <c r="A81" t="s">
        <v>439</v>
      </c>
      <c r="B81" s="38">
        <f>Trend!N103</f>
        <v>-2.0143479952070824</v>
      </c>
    </row>
    <row r="82" spans="1:2" x14ac:dyDescent="0.25">
      <c r="A82" t="s">
        <v>440</v>
      </c>
      <c r="B82" s="38">
        <f>Trend!M103</f>
        <v>-0.66826368028939898</v>
      </c>
    </row>
    <row r="83" spans="1:2" x14ac:dyDescent="0.25">
      <c r="A83" t="s">
        <v>441</v>
      </c>
      <c r="B83" s="85" t="e">
        <f>Trend!O109</f>
        <v>#DIV/0!</v>
      </c>
    </row>
    <row r="84" spans="1:2" x14ac:dyDescent="0.25">
      <c r="A84" t="s">
        <v>442</v>
      </c>
      <c r="B84" s="85">
        <f>Trend!N109</f>
        <v>0.23158092753313514</v>
      </c>
    </row>
    <row r="85" spans="1:2" x14ac:dyDescent="0.25">
      <c r="A85" t="s">
        <v>443</v>
      </c>
      <c r="B85" s="85">
        <f>Trend!M109</f>
        <v>0.28987388029306566</v>
      </c>
    </row>
    <row r="86" spans="1:2" x14ac:dyDescent="0.25">
      <c r="A86" t="s">
        <v>444</v>
      </c>
      <c r="B86" s="85">
        <f>Trend!O110</f>
        <v>0.23197571708472106</v>
      </c>
    </row>
    <row r="87" spans="1:2" x14ac:dyDescent="0.25">
      <c r="A87" t="s">
        <v>445</v>
      </c>
      <c r="B87" s="85">
        <f>Trend!N110</f>
        <v>0.345321752430368</v>
      </c>
    </row>
    <row r="88" spans="1:2" x14ac:dyDescent="0.25">
      <c r="A88" t="s">
        <v>446</v>
      </c>
      <c r="B88" s="85">
        <f>Trend!M110</f>
        <v>0.42896321216286032</v>
      </c>
    </row>
    <row r="89" spans="1:2" x14ac:dyDescent="0.25">
      <c r="A89" t="s">
        <v>447</v>
      </c>
      <c r="B89" s="85">
        <f>Trend!O120</f>
        <v>4.3196904332131122E-2</v>
      </c>
    </row>
    <row r="90" spans="1:2" x14ac:dyDescent="0.25">
      <c r="A90" t="s">
        <v>448</v>
      </c>
      <c r="B90" s="85">
        <f>Trend!N120</f>
        <v>4.9312203973538103E-2</v>
      </c>
    </row>
    <row r="91" spans="1:2" x14ac:dyDescent="0.25">
      <c r="A91" t="s">
        <v>449</v>
      </c>
      <c r="B91" s="85">
        <f>Trend!M120</f>
        <v>3.4414714026288311E-2</v>
      </c>
    </row>
    <row r="92" spans="1:2" x14ac:dyDescent="0.25">
      <c r="A92" t="s">
        <v>450</v>
      </c>
      <c r="B92" s="38">
        <f>Trend!O111</f>
        <v>0.85407177637603393</v>
      </c>
    </row>
    <row r="93" spans="1:2" x14ac:dyDescent="0.25">
      <c r="A93" t="s">
        <v>451</v>
      </c>
      <c r="B93" s="38">
        <f>Trend!N111</f>
        <v>1.2335439704309663</v>
      </c>
    </row>
    <row r="94" spans="1:2" x14ac:dyDescent="0.25">
      <c r="A94" t="s">
        <v>452</v>
      </c>
      <c r="B94" s="38">
        <f>Trend!M111</f>
        <v>1.4158452787975557</v>
      </c>
    </row>
    <row r="95" spans="1:2" x14ac:dyDescent="0.25">
      <c r="A95" t="s">
        <v>453</v>
      </c>
      <c r="B95" s="85">
        <f>Trend!O112</f>
        <v>0.15805961135480268</v>
      </c>
    </row>
    <row r="96" spans="1:2" x14ac:dyDescent="0.25">
      <c r="A96" t="s">
        <v>454</v>
      </c>
      <c r="B96" s="85">
        <f>Trend!N112</f>
        <v>0.21206980391895316</v>
      </c>
    </row>
    <row r="97" spans="1:2" x14ac:dyDescent="0.25">
      <c r="A97" t="s">
        <v>455</v>
      </c>
      <c r="B97" s="85">
        <f>Trend!M112</f>
        <v>0.2592781940275381</v>
      </c>
    </row>
    <row r="98" spans="1:2" x14ac:dyDescent="0.25">
      <c r="A98" t="s">
        <v>456</v>
      </c>
      <c r="B98" s="85">
        <f>Trend!O113</f>
        <v>0.11089397724799446</v>
      </c>
    </row>
    <row r="99" spans="1:2" x14ac:dyDescent="0.25">
      <c r="A99" t="s">
        <v>457</v>
      </c>
      <c r="B99" s="85">
        <f>Trend!N113</f>
        <v>0.19053324119269036</v>
      </c>
    </row>
    <row r="100" spans="1:2" x14ac:dyDescent="0.25">
      <c r="A100" t="s">
        <v>458</v>
      </c>
      <c r="B100" s="85">
        <f>Trend!M113</f>
        <v>0.16887193288023372</v>
      </c>
    </row>
    <row r="101" spans="1:2" x14ac:dyDescent="0.25">
      <c r="A101" t="s">
        <v>459</v>
      </c>
      <c r="B101" s="85">
        <f>Trend!O114</f>
        <v>-0.19874160591284981</v>
      </c>
    </row>
    <row r="102" spans="1:2" x14ac:dyDescent="0.25">
      <c r="A102" t="s">
        <v>460</v>
      </c>
      <c r="B102" s="85">
        <f>Trend!N114</f>
        <v>-0.24320742257721242</v>
      </c>
    </row>
    <row r="103" spans="1:2" x14ac:dyDescent="0.25">
      <c r="A103" t="s">
        <v>461</v>
      </c>
      <c r="B103" s="85">
        <f>Trend!M114</f>
        <v>-0.13925974552036163</v>
      </c>
    </row>
    <row r="104" spans="1:2" x14ac:dyDescent="0.25">
      <c r="A104" t="s">
        <v>462</v>
      </c>
      <c r="B104" s="38">
        <f>Trend!O115</f>
        <v>1.0935996520563731</v>
      </c>
    </row>
    <row r="105" spans="1:2" x14ac:dyDescent="0.25">
      <c r="A105" t="s">
        <v>463</v>
      </c>
      <c r="B105" s="38">
        <f>Trend!N115</f>
        <v>1.2931108314993467</v>
      </c>
    </row>
    <row r="106" spans="1:2" x14ac:dyDescent="0.25">
      <c r="A106" t="s">
        <v>464</v>
      </c>
      <c r="B106" s="38">
        <f>Trend!M115</f>
        <v>1.450233319646727</v>
      </c>
    </row>
    <row r="107" spans="1:2" x14ac:dyDescent="0.25">
      <c r="A107" t="s">
        <v>465</v>
      </c>
      <c r="B107" s="85">
        <f>Trend!O116</f>
        <v>0.25608643177726559</v>
      </c>
    </row>
    <row r="108" spans="1:2" x14ac:dyDescent="0.25">
      <c r="A108" t="s">
        <v>466</v>
      </c>
      <c r="B108" s="85">
        <f>Trend!N116</f>
        <v>0.21187972481232858</v>
      </c>
    </row>
    <row r="109" spans="1:2" x14ac:dyDescent="0.25">
      <c r="A109" t="s">
        <v>467</v>
      </c>
      <c r="B109" s="85">
        <f>Trend!M116</f>
        <v>0.26121922337465608</v>
      </c>
    </row>
    <row r="110" spans="1:2" x14ac:dyDescent="0.25">
      <c r="A110" t="s">
        <v>468</v>
      </c>
      <c r="B110" s="85">
        <f>Trend!O117</f>
        <v>0.14710417017657409</v>
      </c>
    </row>
    <row r="111" spans="1:2" x14ac:dyDescent="0.25">
      <c r="A111" t="s">
        <v>469</v>
      </c>
      <c r="B111" s="85">
        <f>Trend!N117</f>
        <v>0.20203760103591889</v>
      </c>
    </row>
    <row r="112" spans="1:2" x14ac:dyDescent="0.25">
      <c r="A112" t="s">
        <v>470</v>
      </c>
      <c r="B112" s="85">
        <f>Trend!M117</f>
        <v>0.17249025071689164</v>
      </c>
    </row>
    <row r="113" spans="1:2" x14ac:dyDescent="0.25">
      <c r="A113" t="s">
        <v>471</v>
      </c>
      <c r="B113" s="85">
        <f>Trend!O118</f>
        <v>-0.27475747228153369</v>
      </c>
    </row>
    <row r="114" spans="1:2" x14ac:dyDescent="0.25">
      <c r="A114" t="s">
        <v>472</v>
      </c>
      <c r="B114" s="85">
        <f>Trend!N118</f>
        <v>-0.26621524491655801</v>
      </c>
    </row>
    <row r="115" spans="1:2" x14ac:dyDescent="0.25">
      <c r="A115" t="s">
        <v>473</v>
      </c>
      <c r="B115" s="85">
        <f>Trend!M118</f>
        <v>-0.14375711291923329</v>
      </c>
    </row>
    <row r="116" spans="1:2" x14ac:dyDescent="0.25">
      <c r="A116" t="s">
        <v>474</v>
      </c>
      <c r="B116" s="85">
        <f>Trend!N121</f>
        <v>3.437521255152248E-4</v>
      </c>
    </row>
    <row r="117" spans="1:2" x14ac:dyDescent="0.25">
      <c r="A117" t="s">
        <v>475</v>
      </c>
      <c r="B117" s="85">
        <f>Trend!M121</f>
        <v>5.7292020919204139E-4</v>
      </c>
    </row>
    <row r="118" spans="1:2" x14ac:dyDescent="0.25">
      <c r="A118" t="s">
        <v>476</v>
      </c>
      <c r="B118" s="85">
        <f>Trend!O122</f>
        <v>2.9194984205992152E-3</v>
      </c>
    </row>
    <row r="119" spans="1:2" x14ac:dyDescent="0.25">
      <c r="A119" t="s">
        <v>477</v>
      </c>
      <c r="B119" s="85">
        <f>Trend!N122</f>
        <v>5.8389968411984303E-3</v>
      </c>
    </row>
    <row r="120" spans="1:2" x14ac:dyDescent="0.25">
      <c r="A120" t="s">
        <v>478</v>
      </c>
      <c r="B120" s="85">
        <f>Trend!M122</f>
        <v>9.7316614019973841E-3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showGridLines="0" zoomScaleNormal="100" workbookViewId="0"/>
  </sheetViews>
  <sheetFormatPr defaultRowHeight="15" x14ac:dyDescent="0.25"/>
  <sheetData>
    <row r="1" spans="1:7" x14ac:dyDescent="0.25">
      <c r="A1" s="383" t="str">
        <f>'Data Sheet'!B1</f>
        <v>8K MILES SOFTWARE SERVICES LTD</v>
      </c>
      <c r="G1">
        <f>'Data Sheet'!B8</f>
        <v>211.95</v>
      </c>
    </row>
  </sheetData>
  <pageMargins left="0.7" right="0.7" top="0.75" bottom="0.75" header="0.3" footer="0.3"/>
  <pageSetup orientation="portrait" horizontalDpi="0" verticalDpi="0"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topLeftCell="A52" zoomScaleNormal="100" workbookViewId="0">
      <selection activeCell="A70" sqref="A70"/>
    </sheetView>
  </sheetViews>
  <sheetFormatPr defaultColWidth="14.42578125" defaultRowHeight="12" x14ac:dyDescent="0.2"/>
  <cols>
    <col min="1" max="1" width="17.28515625" style="101" customWidth="1"/>
    <col min="2" max="2" width="16.28515625" style="101" customWidth="1"/>
    <col min="3" max="4" width="14.42578125" style="101"/>
    <col min="5" max="5" width="12.28515625" style="101" customWidth="1"/>
    <col min="6" max="6" width="14.7109375" style="101" customWidth="1"/>
    <col min="7" max="7" width="14.42578125" style="101"/>
    <col min="8" max="8" width="11.140625" style="101" customWidth="1"/>
    <col min="9" max="9" width="10.7109375" style="101" customWidth="1"/>
    <col min="10" max="10" width="14.42578125" style="101"/>
    <col min="11" max="11" width="11.85546875" style="101" customWidth="1"/>
    <col min="12" max="12" width="14.42578125" style="101"/>
    <col min="13" max="13" width="13.28515625" style="101" customWidth="1"/>
    <col min="14" max="14" width="15.28515625" style="101" customWidth="1"/>
    <col min="15" max="16384" width="14.42578125" style="101"/>
  </cols>
  <sheetData>
    <row r="1" spans="1:35" ht="14.25" customHeight="1" x14ac:dyDescent="0.2">
      <c r="A1" s="455" t="s">
        <v>184</v>
      </c>
      <c r="B1" s="455"/>
      <c r="C1" s="455"/>
      <c r="D1" s="455"/>
      <c r="E1" s="455"/>
      <c r="F1" s="455"/>
      <c r="G1" s="455"/>
      <c r="H1" s="455"/>
      <c r="I1" s="455"/>
      <c r="J1" s="455"/>
      <c r="K1" s="455" t="s">
        <v>185</v>
      </c>
      <c r="L1" s="455"/>
      <c r="M1" s="455"/>
      <c r="N1" s="455"/>
      <c r="O1" s="455"/>
      <c r="P1" s="455"/>
      <c r="Q1" s="455"/>
      <c r="R1" s="455"/>
      <c r="S1" s="455"/>
      <c r="T1" s="455"/>
      <c r="U1" s="455"/>
      <c r="V1" s="455"/>
      <c r="W1" s="455"/>
      <c r="X1" s="455"/>
      <c r="Y1" s="455"/>
      <c r="Z1" s="455"/>
      <c r="AA1" s="455"/>
      <c r="AB1" s="455"/>
      <c r="AC1" s="455"/>
      <c r="AD1" s="455"/>
      <c r="AE1" s="455"/>
      <c r="AF1" s="455"/>
      <c r="AG1" s="455"/>
      <c r="AH1" s="455"/>
      <c r="AI1" s="455"/>
    </row>
    <row r="2" spans="1:35" ht="15.75" customHeight="1" x14ac:dyDescent="0.2">
      <c r="A2" s="102"/>
      <c r="B2" s="103" t="s">
        <v>186</v>
      </c>
      <c r="C2" s="103" t="s">
        <v>187</v>
      </c>
      <c r="D2" s="103" t="s">
        <v>188</v>
      </c>
      <c r="E2" s="103" t="s">
        <v>189</v>
      </c>
      <c r="F2" s="103" t="s">
        <v>190</v>
      </c>
      <c r="G2" s="103" t="s">
        <v>191</v>
      </c>
      <c r="H2" s="103" t="s">
        <v>192</v>
      </c>
      <c r="I2" s="103" t="s">
        <v>193</v>
      </c>
      <c r="J2" s="103" t="s">
        <v>194</v>
      </c>
      <c r="K2" s="103" t="s">
        <v>195</v>
      </c>
      <c r="L2" s="103" t="s">
        <v>196</v>
      </c>
      <c r="M2" s="103" t="s">
        <v>197</v>
      </c>
      <c r="N2" s="103" t="s">
        <v>145</v>
      </c>
      <c r="O2" s="103" t="s">
        <v>198</v>
      </c>
      <c r="P2" s="103" t="s">
        <v>199</v>
      </c>
      <c r="Q2" s="103" t="s">
        <v>200</v>
      </c>
      <c r="R2" s="103" t="s">
        <v>201</v>
      </c>
      <c r="S2" s="103" t="s">
        <v>202</v>
      </c>
      <c r="T2" s="103" t="s">
        <v>203</v>
      </c>
      <c r="U2" s="103" t="s">
        <v>204</v>
      </c>
      <c r="V2" s="103" t="s">
        <v>205</v>
      </c>
      <c r="W2" s="103" t="s">
        <v>206</v>
      </c>
      <c r="X2" s="103" t="s">
        <v>207</v>
      </c>
      <c r="Y2" s="103" t="s">
        <v>208</v>
      </c>
      <c r="Z2" s="103" t="s">
        <v>209</v>
      </c>
      <c r="AA2" s="103" t="s">
        <v>210</v>
      </c>
      <c r="AB2" s="103" t="s">
        <v>211</v>
      </c>
      <c r="AC2" s="103" t="s">
        <v>212</v>
      </c>
      <c r="AD2" s="103" t="s">
        <v>213</v>
      </c>
      <c r="AE2" s="103" t="s">
        <v>214</v>
      </c>
      <c r="AF2" s="103" t="s">
        <v>215</v>
      </c>
      <c r="AG2" s="103" t="s">
        <v>216</v>
      </c>
      <c r="AH2" s="103" t="s">
        <v>217</v>
      </c>
      <c r="AI2" s="103" t="s">
        <v>218</v>
      </c>
    </row>
    <row r="3" spans="1:35" ht="12.75" customHeight="1" x14ac:dyDescent="0.2">
      <c r="A3" s="104" t="s">
        <v>219</v>
      </c>
      <c r="B3" s="105">
        <f>MIN(Other_input_data!H85:M85)</f>
        <v>3.0304535232383811</v>
      </c>
      <c r="C3" s="105">
        <f>MIN(Other_input_data!G87:L87)</f>
        <v>1.8121149185236372</v>
      </c>
      <c r="D3" s="105">
        <f>MIN(Other_input_data!G91:L91)</f>
        <v>7.8279982744963927</v>
      </c>
      <c r="E3" s="105">
        <f>MIN(Other_input_data!G90:L90)</f>
        <v>2.095159062418924</v>
      </c>
      <c r="F3" s="106">
        <f>MIN(Other_input_data!G92:L92)</f>
        <v>0</v>
      </c>
      <c r="G3" s="107">
        <f>MIN(Other_input_data!G93:L93)</f>
        <v>55.574119025999998</v>
      </c>
      <c r="H3" s="106">
        <f>MIN('Financial Analysis'!F61:K61)</f>
        <v>-0.44570944243368305</v>
      </c>
      <c r="I3" s="108">
        <f>MIN('Financial Analysis'!F127:K127)</f>
        <v>-2.010979726520151</v>
      </c>
      <c r="J3" s="109">
        <f>1/B4</f>
        <v>1.8070983787704834E-2</v>
      </c>
      <c r="K3" s="109">
        <f>MIN('Financial Analysis'!F27:K27)</f>
        <v>0.65022523375099373</v>
      </c>
      <c r="L3" s="109">
        <f>MIN(F60:K60)</f>
        <v>0.21022510492178559</v>
      </c>
      <c r="M3" s="109"/>
      <c r="N3" s="109">
        <f>MIN('Financial Analysis'!F31:K31)</f>
        <v>0.1379936450295052</v>
      </c>
      <c r="O3" s="109">
        <f>MIN('Financial Analysis'!F32:K32)</f>
        <v>0.12141280353200884</v>
      </c>
      <c r="P3" s="110">
        <f>MIN('Financial Analysis'!F111:K111)</f>
        <v>25.756756756756754</v>
      </c>
      <c r="Q3" s="110">
        <f>MIN(Analysis2!F47:K47)</f>
        <v>7.0154339547003411E-4</v>
      </c>
      <c r="R3" s="110">
        <f>MIN(F54:K54)</f>
        <v>0.82089994079336881</v>
      </c>
      <c r="S3" s="111">
        <f>MIN(F49:K49)</f>
        <v>-0.13731275533363596</v>
      </c>
      <c r="T3" s="110">
        <f>MIN(F51:K51)</f>
        <v>0</v>
      </c>
      <c r="U3" s="110"/>
      <c r="V3" s="110"/>
      <c r="W3" s="110"/>
      <c r="X3" s="112" t="e">
        <f>MIN('Financial Analysis'!B34:K34)</f>
        <v>#DIV/0!</v>
      </c>
      <c r="Y3" s="111">
        <f>MIN('Financial Analysis'!F33:K33)</f>
        <v>0.22539046856227474</v>
      </c>
      <c r="Z3" s="110">
        <f>MIN('Financial Analysis'!F75:K75)</f>
        <v>0.44254720771394135</v>
      </c>
      <c r="AA3" s="111">
        <f>MIN('Financial Analysis'!F69:K69)</f>
        <v>6.1068702290076333E-2</v>
      </c>
      <c r="AB3" s="110">
        <f>MIN('Financial Analysis'!F76:K76)</f>
        <v>1.521848065744638</v>
      </c>
      <c r="AC3" s="111">
        <f>MIN('Financial Analysis'!F73:K73)</f>
        <v>9.8064516129032261E-2</v>
      </c>
      <c r="AD3" s="111">
        <f>MIN('Financial Analysis'!F71:K71)</f>
        <v>0.1448768622681666</v>
      </c>
      <c r="AE3" s="109"/>
      <c r="AF3" s="109"/>
      <c r="AG3" s="109"/>
      <c r="AH3" s="109"/>
      <c r="AI3" s="109"/>
    </row>
    <row r="4" spans="1:35" ht="12.75" customHeight="1" x14ac:dyDescent="0.2">
      <c r="A4" s="104" t="s">
        <v>220</v>
      </c>
      <c r="B4" s="105">
        <f>MAX(Other_input_data!H85:M85)</f>
        <v>55.337330371597233</v>
      </c>
      <c r="C4" s="105">
        <f>MAX(Other_input_data!G87:L87)</f>
        <v>10.715602393795718</v>
      </c>
      <c r="D4" s="105">
        <f>MAX(Other_input_data!G91:L91)</f>
        <v>24.402219447830635</v>
      </c>
      <c r="E4" s="105">
        <f>MAX(Other_input_data!G90:L90)</f>
        <v>8.0565031788016572</v>
      </c>
      <c r="F4" s="106">
        <f>MAX(Other_input_data!G92:L92)</f>
        <v>1.718760627576124E-3</v>
      </c>
      <c r="G4" s="107">
        <f>MAX(Other_input_data!G93:L93)</f>
        <v>2362.6464392085009</v>
      </c>
      <c r="H4" s="106">
        <f>MAX('Financial Analysis'!F61:K61)</f>
        <v>8.2462790850101584</v>
      </c>
      <c r="I4" s="105">
        <f>MAX('Financial Analysis'!F127:K127)</f>
        <v>0.54904493322486314</v>
      </c>
      <c r="J4" s="106">
        <f>1/B3</f>
        <v>0.32998361213320548</v>
      </c>
      <c r="K4" s="106">
        <f>MAX('Financial Analysis'!F27:K27)</f>
        <v>0.7924456314383822</v>
      </c>
      <c r="L4" s="106">
        <f>MAX(F60:K60)</f>
        <v>0.35540012246243691</v>
      </c>
      <c r="M4" s="106"/>
      <c r="N4" s="106">
        <f>MAX('Financial Analysis'!F31:K31)</f>
        <v>0.20208657152277332</v>
      </c>
      <c r="O4" s="106">
        <f>MAX('Financial Analysis'!F32:K32)</f>
        <v>0.24252374809428873</v>
      </c>
      <c r="P4" s="113">
        <f>MAX('Financial Analysis'!F111:K111)</f>
        <v>326.1904761904762</v>
      </c>
      <c r="Q4" s="113">
        <f>MAX(Analysis2!F47:K47)</f>
        <v>0.1760944817756058</v>
      </c>
      <c r="R4" s="113">
        <f>MAX(F54:K54)</f>
        <v>2.012270345559461</v>
      </c>
      <c r="S4" s="114">
        <f>MAX(F49:K49)</f>
        <v>0.43838229683326974</v>
      </c>
      <c r="T4" s="113">
        <f>MAX(F51:K51)</f>
        <v>0</v>
      </c>
      <c r="U4" s="113"/>
      <c r="V4" s="113"/>
      <c r="W4" s="113"/>
      <c r="X4" s="115" t="e">
        <f>MAX('Financial Analysis'!B34:K34)</f>
        <v>#DIV/0!</v>
      </c>
      <c r="Y4" s="114">
        <f>MAX('Financial Analysis'!F33:K33)</f>
        <v>0.5276611980160244</v>
      </c>
      <c r="Z4" s="113">
        <f>MAX('Financial Analysis'!F75:K75)</f>
        <v>1.0341199678527069</v>
      </c>
      <c r="AA4" s="114">
        <f>MAX('Financial Analysis'!F69:K69)</f>
        <v>0.20898175884659409</v>
      </c>
      <c r="AB4" s="113">
        <f>MAX('Financial Analysis'!F76:K76)</f>
        <v>1.6722052535125231</v>
      </c>
      <c r="AC4" s="114">
        <f>MAX('Financial Analysis'!F73:K73)</f>
        <v>0.34946039503156184</v>
      </c>
      <c r="AD4" s="114">
        <f>MAX('Financial Analysis'!F71:K71)</f>
        <v>0.47894663942657312</v>
      </c>
      <c r="AE4" s="106"/>
      <c r="AF4" s="106"/>
      <c r="AG4" s="106"/>
      <c r="AH4" s="106"/>
      <c r="AI4" s="106"/>
    </row>
    <row r="5" spans="1:35" ht="12.75" customHeight="1" x14ac:dyDescent="0.2">
      <c r="A5" s="116" t="s">
        <v>221</v>
      </c>
      <c r="B5" s="117">
        <f>AVERAGE(Other_input_data!G85:L85)</f>
        <v>26.512471608831689</v>
      </c>
      <c r="C5" s="117">
        <f>AVERAGE(Other_input_data!G87:L87)</f>
        <v>5.4236874295505126</v>
      </c>
      <c r="D5" s="117">
        <f>AVERAGE(Other_input_data!G91:L91)</f>
        <v>13.249016590355021</v>
      </c>
      <c r="E5" s="117">
        <f>AVERAGE(Other_input_data!G90:L90)</f>
        <v>4.1672784690499967</v>
      </c>
      <c r="F5" s="118">
        <f>AVERAGE(Other_input_data!G92:L92)</f>
        <v>2.8646010459602069E-4</v>
      </c>
      <c r="G5" s="119"/>
      <c r="H5" s="118">
        <f>AVERAGE('Financial Analysis'!F61:K61)</f>
        <v>1.6461630338934448</v>
      </c>
      <c r="I5" s="117"/>
      <c r="J5" s="118">
        <f>1/B5</f>
        <v>3.7718097910829466E-2</v>
      </c>
      <c r="K5" s="118">
        <f>AVERAGE('Financial Analysis'!F27:K27)</f>
        <v>0.69196143031618174</v>
      </c>
      <c r="L5" s="118">
        <f>AVERAGE(F60:K60)</f>
        <v>0.31113092284622329</v>
      </c>
      <c r="M5" s="118"/>
      <c r="N5" s="118">
        <f>AVERAGE('Financial Analysis'!F31:K31)</f>
        <v>0.16448216791961223</v>
      </c>
      <c r="O5" s="118">
        <f>AVERAGE('Financial Analysis'!F32:K32)</f>
        <v>0.20072675793229863</v>
      </c>
      <c r="P5" s="120">
        <f>AVERAGE('Financial Analysis'!F111:K111)</f>
        <v>95.992433382820749</v>
      </c>
      <c r="Q5" s="120">
        <f>AVERAGE(Analysis2!F47:K47)</f>
        <v>7.5838901321771082E-2</v>
      </c>
      <c r="R5" s="120">
        <f>AVERAGE(F54:K54)</f>
        <v>1.4659618566892878</v>
      </c>
      <c r="S5" s="121">
        <f>AVERAGE(F49:K49)</f>
        <v>0.16310314150425778</v>
      </c>
      <c r="T5" s="120">
        <f>AVERAGE(F51:K51)</f>
        <v>0</v>
      </c>
      <c r="U5" s="120"/>
      <c r="V5" s="120"/>
      <c r="W5" s="120"/>
      <c r="X5" s="122" t="e">
        <f>AVERAGE('Financial Analysis'!B34:K34)</f>
        <v>#DIV/0!</v>
      </c>
      <c r="Y5" s="121">
        <f>AVERAGE('Financial Analysis'!F33:K33)</f>
        <v>0.31583660334840863</v>
      </c>
      <c r="Z5" s="120">
        <f>AVERAGE('Financial Analysis'!F75:K75)</f>
        <v>0.79717433577975561</v>
      </c>
      <c r="AA5" s="121">
        <f>AVERAGE('Financial Analysis'!F69:K69)</f>
        <v>0.13566909552489767</v>
      </c>
      <c r="AB5" s="120">
        <f>AVERAGE('Financial Analysis'!F76:K76)</f>
        <v>1.5928785183856606</v>
      </c>
      <c r="AC5" s="121">
        <f>AVERAGE('Financial Analysis'!F73:K73)</f>
        <v>0.21696622540289953</v>
      </c>
      <c r="AD5" s="121">
        <f>AVERAGE('Financial Analysis'!F71:K71)</f>
        <v>0.31414298673349966</v>
      </c>
      <c r="AE5" s="118"/>
      <c r="AF5" s="118"/>
      <c r="AG5" s="118"/>
      <c r="AH5" s="118"/>
      <c r="AI5" s="118"/>
    </row>
    <row r="6" spans="1:35" ht="12.75" customHeight="1" x14ac:dyDescent="0.2">
      <c r="A6" s="123" t="s">
        <v>222</v>
      </c>
      <c r="B6" s="124">
        <f>'Data Sheet'!B8/'Profit &amp; Loss'!L13</f>
        <v>3.0304535232383811</v>
      </c>
      <c r="C6" s="124">
        <f>Other_input_data!L87</f>
        <v>4.6572112384616187</v>
      </c>
      <c r="D6" s="124" t="e">
        <f>Other_input_data!M91</f>
        <v>#DIV/0!</v>
      </c>
      <c r="E6" s="124" t="e">
        <f>Other_input_data!M90</f>
        <v>#DIV/0!</v>
      </c>
      <c r="F6" s="125" t="e">
        <f>Other_input_data!M92</f>
        <v>#DIV/0!</v>
      </c>
      <c r="G6" s="126">
        <f>Other_input_data!M93</f>
        <v>0</v>
      </c>
      <c r="H6" s="125">
        <f>'Financial Analysis'!L61</f>
        <v>1.0021447721226582</v>
      </c>
      <c r="I6" s="124">
        <f>'Financial Analysis'!L127</f>
        <v>0.12436246187554278</v>
      </c>
      <c r="J6" s="125">
        <f>1/B6</f>
        <v>0.32998361213320548</v>
      </c>
      <c r="K6" s="125">
        <f>'Financial Analysis'!L27</f>
        <v>0.65445554434477937</v>
      </c>
      <c r="L6" s="125">
        <f>L60</f>
        <v>0.35540012246243691</v>
      </c>
      <c r="M6" s="125"/>
      <c r="N6" s="125">
        <f>'Financial Analysis'!L31</f>
        <v>0.23665332461110308</v>
      </c>
      <c r="O6" s="125">
        <f>'Financial Analysis'!L32</f>
        <v>0.2276572545775839</v>
      </c>
      <c r="P6" s="127">
        <f>'Financial Analysis'!L111</f>
        <v>26.245730550284634</v>
      </c>
      <c r="Q6" s="127">
        <f>Analysis2!L47</f>
        <v>0.1760944817756058</v>
      </c>
      <c r="R6" s="127">
        <f>K54</f>
        <v>1.7846823181743556</v>
      </c>
      <c r="S6" s="128">
        <f>K49</f>
        <v>0.22511892986670434</v>
      </c>
      <c r="T6" s="127">
        <f>K51</f>
        <v>0</v>
      </c>
      <c r="U6" s="127"/>
      <c r="V6" s="127"/>
      <c r="W6" s="127"/>
      <c r="X6" s="129">
        <f>'Financial Analysis'!K34</f>
        <v>0</v>
      </c>
      <c r="Y6" s="128">
        <f>'Financial Analysis'!K33</f>
        <v>0.29734821722952287</v>
      </c>
      <c r="Z6" s="127">
        <f>'Financial Analysis'!L75</f>
        <v>1.0341199678527069</v>
      </c>
      <c r="AA6" s="128">
        <f>'Financial Analysis'!K69</f>
        <v>0.20898175884659409</v>
      </c>
      <c r="AB6" s="127">
        <f>'Financial Analysis'!K76</f>
        <v>1.6722052535125231</v>
      </c>
      <c r="AC6" s="128">
        <f>'Financial Analysis'!K73</f>
        <v>0.34946039503156184</v>
      </c>
      <c r="AD6" s="128">
        <f>'Financial Analysis'!K71</f>
        <v>0.47894663942657312</v>
      </c>
      <c r="AE6" s="125"/>
      <c r="AF6" s="125"/>
      <c r="AG6" s="125"/>
      <c r="AH6" s="125"/>
      <c r="AI6" s="125"/>
    </row>
    <row r="7" spans="1:35" ht="12.75" customHeight="1" x14ac:dyDescent="0.2">
      <c r="A7" s="116" t="s">
        <v>223</v>
      </c>
      <c r="B7" s="130">
        <f>(B5-B6)/B5</f>
        <v>0.88569705729627657</v>
      </c>
      <c r="C7" s="130">
        <f>(C5-C6)/C5</f>
        <v>0.141320126029537</v>
      </c>
      <c r="D7" s="130" t="e">
        <f>(D5-D6)/D5</f>
        <v>#DIV/0!</v>
      </c>
      <c r="E7" s="130" t="e">
        <f>(E5-E6)/E5</f>
        <v>#DIV/0!</v>
      </c>
      <c r="F7" s="131"/>
      <c r="G7" s="131"/>
      <c r="H7" s="131"/>
      <c r="I7" s="130">
        <f>1-I6-(B6/100)</f>
        <v>0.84533300289207336</v>
      </c>
      <c r="J7" s="130">
        <f>(J6-J5)/J6</f>
        <v>0.88569705729627657</v>
      </c>
      <c r="K7" s="132">
        <f>K5-K6</f>
        <v>3.7505885971402364E-2</v>
      </c>
      <c r="L7" s="132">
        <f>L6-L5</f>
        <v>4.4269199616213617E-2</v>
      </c>
      <c r="M7" s="132"/>
      <c r="N7" s="132">
        <f>N6-N5</f>
        <v>7.2171156691490851E-2</v>
      </c>
      <c r="O7" s="132">
        <f>O5-O6</f>
        <v>-2.6930496645285268E-2</v>
      </c>
      <c r="P7" s="133" t="str">
        <f>IF(P6&gt;4,"Positive","Negative")</f>
        <v>Positive</v>
      </c>
      <c r="Q7" s="133" t="str">
        <f>IF(Q6&lt;0.5,"Positive","Negative")</f>
        <v>Positive</v>
      </c>
      <c r="R7" s="133" t="str">
        <f>IF(R6&gt;1,"Positive","Negative")</f>
        <v>Positive</v>
      </c>
      <c r="S7" s="132">
        <f>S5-S6</f>
        <v>-6.2015788362446561E-2</v>
      </c>
      <c r="T7" s="134">
        <f>T5-T6</f>
        <v>0</v>
      </c>
      <c r="U7" s="133"/>
      <c r="V7" s="133"/>
      <c r="W7" s="133"/>
      <c r="X7" s="135" t="e">
        <f>X5-X6</f>
        <v>#DIV/0!</v>
      </c>
      <c r="Y7" s="135">
        <f>Y5-Y6</f>
        <v>1.8488386118885758E-2</v>
      </c>
      <c r="Z7" s="135">
        <f>Z6-Z5</f>
        <v>0.23694563207295127</v>
      </c>
      <c r="AA7" s="135">
        <f>AA6-AA5</f>
        <v>7.331266332169642E-2</v>
      </c>
      <c r="AB7" s="135">
        <f>AB5-AB6</f>
        <v>-7.9326735126862502E-2</v>
      </c>
      <c r="AC7" s="135">
        <f>AC6-AC5</f>
        <v>0.13249416962866231</v>
      </c>
      <c r="AD7" s="135">
        <f>AD6-AD5</f>
        <v>0.16480365269307345</v>
      </c>
      <c r="AE7" s="133"/>
      <c r="AF7" s="133"/>
      <c r="AG7" s="133"/>
      <c r="AH7" s="133"/>
      <c r="AI7" s="133"/>
    </row>
    <row r="8" spans="1:35" ht="12.75" customHeight="1" x14ac:dyDescent="0.2">
      <c r="A8" s="116" t="s">
        <v>224</v>
      </c>
      <c r="B8" s="130">
        <f>(10-B6)/10</f>
        <v>0.69695464767616189</v>
      </c>
      <c r="C8" s="131"/>
      <c r="D8" s="131"/>
      <c r="E8" s="131"/>
      <c r="F8" s="131"/>
      <c r="G8" s="131"/>
      <c r="H8" s="131"/>
      <c r="I8" s="130">
        <f>(1-I6)/1</f>
        <v>0.87563753812445722</v>
      </c>
      <c r="J8" s="130">
        <f>(J6-0.08)/0.08</f>
        <v>3.1247951516650683</v>
      </c>
    </row>
    <row r="9" spans="1:35" ht="8.25" customHeight="1" x14ac:dyDescent="0.2">
      <c r="A9" s="136"/>
      <c r="B9" s="136"/>
      <c r="C9" s="136"/>
      <c r="D9" s="136"/>
      <c r="E9" s="137"/>
      <c r="F9" s="138"/>
      <c r="G9" s="138"/>
      <c r="H9" s="138"/>
      <c r="I9" s="138"/>
      <c r="J9" s="138"/>
      <c r="K9" s="138"/>
      <c r="L9" s="138"/>
      <c r="M9" s="138"/>
      <c r="N9" s="138"/>
      <c r="O9" s="138"/>
    </row>
    <row r="10" spans="1:35" ht="13.5" customHeight="1" x14ac:dyDescent="0.2">
      <c r="A10" s="139"/>
      <c r="B10" s="139" t="s">
        <v>225</v>
      </c>
      <c r="C10" s="139" t="s">
        <v>226</v>
      </c>
      <c r="D10" s="139" t="s">
        <v>227</v>
      </c>
      <c r="E10" s="139" t="s">
        <v>228</v>
      </c>
      <c r="F10" s="140" t="s">
        <v>146</v>
      </c>
      <c r="G10" s="140" t="s">
        <v>145</v>
      </c>
      <c r="H10" s="140" t="s">
        <v>229</v>
      </c>
      <c r="I10" s="140" t="s">
        <v>157</v>
      </c>
      <c r="J10" s="140" t="s">
        <v>162</v>
      </c>
      <c r="K10" s="140" t="s">
        <v>230</v>
      </c>
      <c r="L10" s="140" t="s">
        <v>181</v>
      </c>
      <c r="M10" s="140" t="s">
        <v>231</v>
      </c>
      <c r="N10" s="140" t="s">
        <v>232</v>
      </c>
      <c r="O10" s="140" t="s">
        <v>233</v>
      </c>
      <c r="P10" s="140" t="s">
        <v>234</v>
      </c>
      <c r="Q10" s="140" t="s">
        <v>235</v>
      </c>
    </row>
    <row r="11" spans="1:35" ht="13.5" customHeight="1" x14ac:dyDescent="0.2">
      <c r="A11" s="141" t="s">
        <v>236</v>
      </c>
      <c r="B11" s="142">
        <f>AVERAGE('Financial Analysis'!D108:L108)</f>
        <v>12.709439883713841</v>
      </c>
      <c r="C11" s="142">
        <f>Other_input_data!L48-Other_input_data!C48</f>
        <v>484.65999999999997</v>
      </c>
      <c r="D11" s="142">
        <f>Other_input_data!L43-Other_input_data!C43</f>
        <v>2287.1564392085006</v>
      </c>
      <c r="E11" s="143">
        <f>D11/C11</f>
        <v>4.7190947039336875</v>
      </c>
      <c r="F11" s="113">
        <f>SUM('Data Sheet'!B82:K82)</f>
        <v>254.59</v>
      </c>
      <c r="G11" s="113">
        <f>SUM('Data Sheet'!B30:K30)</f>
        <v>351.59000000000003</v>
      </c>
      <c r="H11" s="144">
        <f>F11/G11</f>
        <v>0.72411046958104608</v>
      </c>
      <c r="I11" s="113">
        <f>SUM('Financial Analysis'!C45:K45)</f>
        <v>460.96</v>
      </c>
      <c r="J11" s="127">
        <f>SUM('Data Sheet'!B31:K31)</f>
        <v>3.05</v>
      </c>
      <c r="K11" s="127">
        <f>F11-I11</f>
        <v>-206.36999999999998</v>
      </c>
      <c r="L11" s="145">
        <f>F11-I11-J11</f>
        <v>-209.42</v>
      </c>
      <c r="M11" s="105">
        <f>K11/F11</f>
        <v>-0.81059743116383198</v>
      </c>
      <c r="N11" s="130" t="e">
        <f>'Financial Analysis'!N3</f>
        <v>#DIV/0!</v>
      </c>
      <c r="O11" s="130">
        <f>'Financial Analysis'!N8</f>
        <v>0.77996232804189236</v>
      </c>
      <c r="P11" s="146">
        <f>'Financial Analysis'!N13</f>
        <v>0.75862538339094132</v>
      </c>
      <c r="Q11" s="146" t="str">
        <f>'Financial Analysis'!N14</f>
        <v>NA</v>
      </c>
    </row>
    <row r="12" spans="1:35" ht="13.5" customHeight="1" x14ac:dyDescent="0.2">
      <c r="A12" s="141" t="s">
        <v>237</v>
      </c>
      <c r="B12" s="142">
        <f>AVERAGE('Financial Analysis'!H108:L108)</f>
        <v>23.036667770857438</v>
      </c>
      <c r="C12" s="142">
        <f>Other_input_data!L48-Other_input_data!G48</f>
        <v>463.51</v>
      </c>
      <c r="D12" s="142">
        <f>Other_input_data!L43-Other_input_data!H43</f>
        <v>2174.8053142600352</v>
      </c>
      <c r="E12" s="143">
        <f>D12/C12</f>
        <v>4.6920353698087105</v>
      </c>
      <c r="F12" s="110">
        <f>SUM('Data Sheet'!G82:K82)</f>
        <v>253.96</v>
      </c>
      <c r="G12" s="110">
        <f>SUM('Data Sheet'!G30:K30)</f>
        <v>340.74</v>
      </c>
      <c r="H12" s="144">
        <f>F12/G12</f>
        <v>0.74531901156306857</v>
      </c>
      <c r="I12" s="110">
        <f>SUM('Financial Analysis'!G45:K45)</f>
        <v>440.56</v>
      </c>
      <c r="J12" s="127">
        <f>SUM('Data Sheet'!G31:K31)</f>
        <v>3.05</v>
      </c>
      <c r="K12" s="127">
        <f>F12-I12</f>
        <v>-186.6</v>
      </c>
      <c r="L12" s="145">
        <f>F12-I12-J12</f>
        <v>-189.65</v>
      </c>
      <c r="M12" s="105">
        <f>K12/F12</f>
        <v>-0.73476137974484168</v>
      </c>
      <c r="N12" s="130">
        <f>'Financial Analysis'!O3</f>
        <v>1.3858374711188577</v>
      </c>
      <c r="O12" s="130">
        <f>'Financial Analysis'!O8</f>
        <v>1.5032006401075351</v>
      </c>
      <c r="P12" s="146">
        <f>'Financial Analysis'!O13</f>
        <v>3.26437110016633E-2</v>
      </c>
      <c r="Q12" s="146" t="str">
        <f>'Financial Analysis'!O14</f>
        <v>NA</v>
      </c>
    </row>
    <row r="13" spans="1:35" ht="13.5" customHeight="1" x14ac:dyDescent="0.2">
      <c r="A13" s="141" t="s">
        <v>238</v>
      </c>
      <c r="B13" s="142">
        <f>AVERAGE('Financial Analysis'!J108:L108)</f>
        <v>20.434778213827631</v>
      </c>
      <c r="C13" s="142">
        <f>Other_input_data!L48-Other_input_data!I48</f>
        <v>391.31999999999994</v>
      </c>
      <c r="D13" s="142">
        <f>Other_input_data!L43-Other_input_data!J43</f>
        <v>96.351529796966133</v>
      </c>
      <c r="E13" s="143">
        <f>D13/C13</f>
        <v>0.24622183838537809</v>
      </c>
      <c r="F13" s="113">
        <f>SUM('Data Sheet'!I82:K82)</f>
        <v>215.72</v>
      </c>
      <c r="G13" s="113">
        <f>SUM('Data Sheet'!I30:K30)</f>
        <v>315.68</v>
      </c>
      <c r="H13" s="144">
        <f>F13/G13</f>
        <v>0.68335022807906742</v>
      </c>
      <c r="I13" s="113">
        <f>SUM('Financial Analysis'!I45:K45)</f>
        <v>346.32</v>
      </c>
      <c r="J13" s="127">
        <f>SUM('Data Sheet'!I31:K31)</f>
        <v>3.05</v>
      </c>
      <c r="K13" s="127">
        <f>F13-I13</f>
        <v>-130.6</v>
      </c>
      <c r="L13" s="145">
        <f>F13-I13-J13</f>
        <v>-133.65</v>
      </c>
      <c r="M13" s="105">
        <f>K13/F13</f>
        <v>-0.60541442610791762</v>
      </c>
      <c r="N13" s="130">
        <f>'Financial Analysis'!P3</f>
        <v>1.6080802324696224</v>
      </c>
      <c r="O13" s="130">
        <f>'Financial Analysis'!P8</f>
        <v>1.8966023640082654</v>
      </c>
      <c r="P13" s="146">
        <f>'Financial Analysis'!P13</f>
        <v>0.7743268810489421</v>
      </c>
      <c r="Q13" s="146" t="str">
        <f>'Financial Analysis'!P14</f>
        <v>NA</v>
      </c>
    </row>
    <row r="14" spans="1:35" ht="13.5" customHeight="1" x14ac:dyDescent="0.2">
      <c r="A14" s="141" t="s">
        <v>239</v>
      </c>
      <c r="B14" s="142">
        <f>'Financial Analysis'!L108</f>
        <v>18.282625413337339</v>
      </c>
      <c r="C14" s="142">
        <f>Other_input_data!L48-Other_input_data!K48</f>
        <v>171.14999999999998</v>
      </c>
      <c r="D14" s="142">
        <f>Other_input_data!L43-Other_input_data!K43</f>
        <v>512.62195717230725</v>
      </c>
      <c r="E14" s="143">
        <f>D14/C14</f>
        <v>2.9951618882401831</v>
      </c>
      <c r="F14" s="127">
        <f>'Data Sheet'!K82</f>
        <v>125.1</v>
      </c>
      <c r="G14" s="127">
        <f>'Data Sheet'!K30</f>
        <v>171.62</v>
      </c>
      <c r="H14" s="144">
        <f>F14/G14</f>
        <v>0.72893602144272229</v>
      </c>
      <c r="I14" s="127">
        <f>'Financial Analysis'!K45</f>
        <v>203.46999999999997</v>
      </c>
      <c r="J14" s="127">
        <f>'Data Sheet'!K31</f>
        <v>0</v>
      </c>
      <c r="K14" s="127">
        <f>F14-I14</f>
        <v>-78.369999999999976</v>
      </c>
      <c r="L14" s="145">
        <f>F14-I14-J14</f>
        <v>-78.369999999999976</v>
      </c>
      <c r="M14" s="105">
        <f>K14/F14</f>
        <v>-0.6264588329336529</v>
      </c>
      <c r="N14" s="130">
        <f>'Financial Analysis'!K3</f>
        <v>0.60737403944429713</v>
      </c>
      <c r="O14" s="130">
        <f>'Financial Analysis'!K8</f>
        <v>0.64276825883028632</v>
      </c>
      <c r="P14" s="146">
        <f>'Financial Analysis'!L13</f>
        <v>0.95026258881680592</v>
      </c>
      <c r="Q14" s="146" t="str">
        <f>'Financial Analysis'!L14</f>
        <v>NA</v>
      </c>
    </row>
    <row r="15" spans="1:35" ht="11.25" customHeight="1" x14ac:dyDescent="0.2">
      <c r="A15" s="456" t="s">
        <v>240</v>
      </c>
      <c r="B15" s="456"/>
      <c r="C15" s="456"/>
      <c r="D15" s="456"/>
      <c r="E15" s="137"/>
      <c r="F15" s="138"/>
      <c r="G15" s="138"/>
      <c r="H15" s="138"/>
      <c r="I15" s="138"/>
      <c r="J15" s="138"/>
      <c r="K15" s="138"/>
      <c r="L15" s="138"/>
      <c r="M15" s="138"/>
      <c r="N15" s="138"/>
      <c r="O15" s="138"/>
    </row>
    <row r="16" spans="1:35" ht="6.75" customHeight="1" x14ac:dyDescent="0.2">
      <c r="A16" s="147"/>
      <c r="B16" s="147"/>
      <c r="C16" s="147"/>
      <c r="D16" s="147"/>
      <c r="E16" s="147"/>
      <c r="F16" s="147"/>
      <c r="G16" s="147"/>
      <c r="H16" s="147"/>
      <c r="I16" s="147"/>
      <c r="J16" s="147"/>
    </row>
    <row r="17" spans="1:20" ht="14.25" customHeight="1" x14ac:dyDescent="0.2">
      <c r="A17" s="148" t="str">
        <f>'Data Sheet'!A1</f>
        <v>COMPANY NAME</v>
      </c>
      <c r="B17" s="149" t="s">
        <v>241</v>
      </c>
      <c r="C17" s="149" t="s">
        <v>242</v>
      </c>
      <c r="D17" s="149" t="s">
        <v>197</v>
      </c>
      <c r="E17" s="149" t="s">
        <v>145</v>
      </c>
      <c r="F17" s="149" t="s">
        <v>243</v>
      </c>
      <c r="G17" s="149" t="s">
        <v>244</v>
      </c>
      <c r="H17" s="149" t="s">
        <v>245</v>
      </c>
      <c r="I17" s="149" t="s">
        <v>246</v>
      </c>
      <c r="J17" s="149" t="s">
        <v>247</v>
      </c>
      <c r="K17" s="149" t="s">
        <v>246</v>
      </c>
      <c r="L17" s="149" t="s">
        <v>248</v>
      </c>
      <c r="M17" s="149" t="s">
        <v>146</v>
      </c>
      <c r="N17" s="149" t="s">
        <v>181</v>
      </c>
      <c r="O17" s="149" t="s">
        <v>249</v>
      </c>
      <c r="P17" s="149" t="s">
        <v>250</v>
      </c>
      <c r="Q17" s="149" t="s">
        <v>251</v>
      </c>
      <c r="S17" s="150" t="s">
        <v>252</v>
      </c>
      <c r="T17" s="150"/>
    </row>
    <row r="18" spans="1:20" ht="10.5" customHeight="1" x14ac:dyDescent="0.2">
      <c r="A18" s="151" t="s">
        <v>253</v>
      </c>
      <c r="B18" s="130" t="e">
        <f>POWER(Other_input_data!L32/Other_input_data!C32,1/9)-1</f>
        <v>#DIV/0!</v>
      </c>
      <c r="C18" s="130" t="e">
        <f>POWER(Other_input_data!L34/Other_input_data!C34,1/9)-1</f>
        <v>#DIV/0!</v>
      </c>
      <c r="D18" s="130">
        <f>POWER(Other_input_data!L37/Other_input_data!C37,1/9)-1</f>
        <v>0.82202513008098288</v>
      </c>
      <c r="E18" s="130">
        <f>POWER(Other_input_data!L41/Other_input_data!C41,1/9)-1</f>
        <v>0.7627573067843576</v>
      </c>
      <c r="F18" s="152">
        <f>IFERROR(POWER(Other_input_data!L42/Other_input_data!C42,1/9)-1,0)</f>
        <v>0</v>
      </c>
      <c r="G18" s="152">
        <f>AVERAGE(B70:K70)</f>
        <v>0.18700247726379288</v>
      </c>
      <c r="H18" s="152">
        <f>L74</f>
        <v>0.37274831733359581</v>
      </c>
      <c r="I18" s="152">
        <f>POWER(K87/B87,1/9)-1</f>
        <v>0.90357944551760316</v>
      </c>
      <c r="J18" s="152">
        <f>SUM(B87:K87)/SUM('Data Sheet'!B17:K17)</f>
        <v>0.15898977124287031</v>
      </c>
      <c r="K18" s="152">
        <f>POWER(K87/B87,1/9)-1</f>
        <v>0.90357944551760316</v>
      </c>
      <c r="L18" s="152" t="e">
        <f>POWER(K89/B89,1/9)-1</f>
        <v>#DIV/0!</v>
      </c>
      <c r="M18" s="130" t="e">
        <f>(Other_input_data!L77/Other_input_data!C77)^(1/9)-1</f>
        <v>#DIV/0!</v>
      </c>
      <c r="N18" s="130" t="e">
        <f>(Other_input_data!L78/Other_input_data!C77)^(1/9)-1</f>
        <v>#DIV/0!</v>
      </c>
      <c r="O18" s="153">
        <f>(Other_input_data!L48/Other_input_data!C48)^(1/9)-1</f>
        <v>0.61861169536491811</v>
      </c>
      <c r="P18" s="153" t="e">
        <f>(Other_input_data!L82/Other_input_data!D82)^(1/9)-1</f>
        <v>#DIV/0!</v>
      </c>
      <c r="S18" s="154" t="s">
        <v>254</v>
      </c>
      <c r="T18" s="155">
        <v>0.1</v>
      </c>
    </row>
    <row r="19" spans="1:20" ht="10.5" customHeight="1" x14ac:dyDescent="0.2">
      <c r="A19" s="151" t="s">
        <v>255</v>
      </c>
      <c r="B19" s="130">
        <f>POWER(Other_input_data!L32/Other_input_data!G32,1/5)-1</f>
        <v>1.0049921848250656</v>
      </c>
      <c r="C19" s="130">
        <f>POWER(Other_input_data!L34/Other_input_data!G34,1/5)-1</f>
        <v>1.0049921848250656</v>
      </c>
      <c r="D19" s="130">
        <f>POWER(Other_input_data!L37/Other_input_data!G37,1/5)-1</f>
        <v>1.2592291542239304</v>
      </c>
      <c r="E19" s="130">
        <f>POWER(Other_input_data!L41/Other_input_data!G41,1/5)-1</f>
        <v>1.2006548361903655</v>
      </c>
      <c r="F19" s="152">
        <f>IFERROR(POWER(Other_input_data!L42/Other_input_data!G42,1/5)-1,0)</f>
        <v>0</v>
      </c>
      <c r="G19" s="152">
        <f>AVERAGE(G70:K70)</f>
        <v>0.26836767202347245</v>
      </c>
      <c r="H19" s="152">
        <f>L73</f>
        <v>0.3824264690129287</v>
      </c>
      <c r="I19" s="152">
        <f>POWER(K87/F87,1/5)-1</f>
        <v>1.6651575345194081</v>
      </c>
      <c r="J19" s="152">
        <f>SUM(G87:K87)/SUM('Data Sheet'!G17:K17)</f>
        <v>0.16363427392993576</v>
      </c>
      <c r="K19" s="152">
        <f>POWER(K87/F87,1/5)-1</f>
        <v>1.6651575345194081</v>
      </c>
      <c r="L19" s="152">
        <f>POWER(K89/G89,1/5)-1</f>
        <v>0.82702163067786838</v>
      </c>
      <c r="M19" s="130">
        <f>(Other_input_data!L77/Other_input_data!G77)^(1/5)-1</f>
        <v>-2.7594246849462434</v>
      </c>
      <c r="N19" s="130">
        <f>(Other_input_data!L78/Other_input_data!G78)^(1/5)-1</f>
        <v>0.81037673593747162</v>
      </c>
      <c r="O19" s="153">
        <f>(Other_input_data!L48/Other_input_data!G48)^(1/5)-1</f>
        <v>0.7786219462448658</v>
      </c>
      <c r="P19" s="153">
        <f>(Other_input_data!L82/Other_input_data!H82)^(1/5)-1</f>
        <v>0.82750864991735207</v>
      </c>
      <c r="S19" s="156" t="s">
        <v>256</v>
      </c>
      <c r="T19" s="105">
        <f>('Profit &amp; Loss'!K10/'Data Sheet'!K93)/T18</f>
        <v>871.52972849605999</v>
      </c>
    </row>
    <row r="20" spans="1:20" ht="10.5" customHeight="1" x14ac:dyDescent="0.2">
      <c r="A20" s="151" t="s">
        <v>257</v>
      </c>
      <c r="B20" s="130">
        <f>POWER(Other_input_data!L32/Other_input_data!I32,1/3)-1</f>
        <v>0.89472985513766323</v>
      </c>
      <c r="C20" s="130">
        <f>POWER(Other_input_data!L34/Other_input_data!I34,1/3)-1</f>
        <v>0.89472985513766323</v>
      </c>
      <c r="D20" s="130">
        <f>POWER(Other_input_data!L37/Other_input_data!I37,1/3)-1</f>
        <v>1.110184799708005</v>
      </c>
      <c r="E20" s="130">
        <f>POWER(Other_input_data!L41/Other_input_data!I41,1/3)-1</f>
        <v>1.0720787838964383</v>
      </c>
      <c r="F20" s="152">
        <f>IFERROR(POWER(Other_input_data!L42/Other_input_data!I42,1/3)-1,0)</f>
        <v>0</v>
      </c>
      <c r="G20" s="152">
        <f>AVERAGE(I70:K70)</f>
        <v>0.32972694428603072</v>
      </c>
      <c r="I20" s="152">
        <f>POWER(K87/H87,1/3)-1</f>
        <v>1.2623465287084867</v>
      </c>
      <c r="J20" s="152">
        <f>SUM(I87:K87)/SUM('Data Sheet'!I17:K17)</f>
        <v>0.17151769154058294</v>
      </c>
      <c r="K20" s="152">
        <f>POWER(K87/H87,1/3)-1</f>
        <v>1.2623465287084867</v>
      </c>
      <c r="L20" s="152">
        <f>POWER(K89/H89,1/3)-1</f>
        <v>0.43110587652877008</v>
      </c>
      <c r="M20" s="130">
        <f>(Other_input_data!L77/Other_input_data!I77)^(1/3)-1</f>
        <v>0.68648794373564481</v>
      </c>
      <c r="N20" s="130">
        <f>(Other_input_data!L78/Other_input_data!I78)^(1/3)-1</f>
        <v>0.97132428021258721</v>
      </c>
      <c r="O20" s="153">
        <f>(Other_input_data!L48/Other_input_data!I48)^(1/3)-1</f>
        <v>0.70101761699166021</v>
      </c>
      <c r="P20" s="153">
        <f>(Other_input_data!L82/Other_input_data!J82)^(1/3)-1</f>
        <v>1.4900910150678959E-2</v>
      </c>
      <c r="S20" s="157" t="s">
        <v>258</v>
      </c>
      <c r="T20" s="106">
        <f>('Profit &amp; Loss'!K10/'Data Sheet'!K93)/'Data Sheet'!B8</f>
        <v>0.4111959087030243</v>
      </c>
    </row>
    <row r="21" spans="1:20" ht="10.5" customHeight="1" x14ac:dyDescent="0.2">
      <c r="A21" s="151" t="s">
        <v>259</v>
      </c>
      <c r="B21" s="130">
        <f>POWER(Other_input_data!L32/Other_input_data!K32,1/1)-1</f>
        <v>0.60737403944429724</v>
      </c>
      <c r="C21" s="130">
        <f>POWER(Other_input_data!L34/Other_input_data!K34,1/1)-1</f>
        <v>0.60737403944429724</v>
      </c>
      <c r="D21" s="130">
        <f>POWER(Other_input_data!L37/Other_input_data!K37,1/1)-1</f>
        <v>0.60663259379718815</v>
      </c>
      <c r="E21" s="130">
        <f>POWER(Other_input_data!L41/Other_input_data!K41,1/1)-1</f>
        <v>0.59018423904629036</v>
      </c>
      <c r="F21" s="158">
        <f>POWER(Other_input_data!L42/Other_input_data!K42,1/1)-1</f>
        <v>-1</v>
      </c>
      <c r="G21" s="152">
        <f>K70</f>
        <v>0.36991096240555926</v>
      </c>
      <c r="I21" s="152">
        <f>POWER(K87/J87,1/1)-1</f>
        <v>0.65233754100058827</v>
      </c>
      <c r="J21" s="152">
        <f>K87/'Data Sheet'!K17</f>
        <v>0.18357022003933268</v>
      </c>
      <c r="K21" s="152">
        <f>POWER(K87/J87,1/1)-1</f>
        <v>0.65233754100058827</v>
      </c>
      <c r="L21" s="152">
        <f>POWER(K89/J89,1/1)-1</f>
        <v>0.28887686453074624</v>
      </c>
      <c r="M21" s="130">
        <f>(Other_input_data!L77/Other_input_data!K77)^(1/1)-1</f>
        <v>0.74404015056461703</v>
      </c>
      <c r="N21" s="130">
        <f>(Other_input_data!L78/Other_input_data!K78)^(1/1)-1</f>
        <v>-6.3714873200822453</v>
      </c>
      <c r="O21" s="153">
        <f>(Other_input_data!L48/Other_input_data!K48)^(1/1)-1</f>
        <v>0.53492733239568668</v>
      </c>
      <c r="P21" s="153">
        <f>(Other_input_data!L82/Other_input_data!K82)^(1/1)-1</f>
        <v>0.29059562515832238</v>
      </c>
    </row>
    <row r="22" spans="1:20" s="163" customFormat="1" ht="9" customHeight="1" x14ac:dyDescent="0.2">
      <c r="A22" s="159"/>
      <c r="B22" s="160"/>
      <c r="C22" s="160"/>
      <c r="D22" s="160"/>
      <c r="E22" s="160"/>
      <c r="F22" s="161"/>
      <c r="G22" s="161"/>
      <c r="H22" s="161"/>
      <c r="I22" s="160"/>
      <c r="J22" s="160"/>
      <c r="K22" s="162"/>
      <c r="L22" s="162"/>
    </row>
    <row r="23" spans="1:20" s="163" customFormat="1" ht="26.25" customHeight="1" x14ac:dyDescent="0.2">
      <c r="A23" s="164" t="s">
        <v>260</v>
      </c>
      <c r="B23" s="164" t="s">
        <v>261</v>
      </c>
      <c r="C23" s="164" t="s">
        <v>262</v>
      </c>
      <c r="D23" s="164" t="s">
        <v>263</v>
      </c>
      <c r="E23" s="164" t="s">
        <v>264</v>
      </c>
      <c r="F23" s="164" t="s">
        <v>265</v>
      </c>
      <c r="G23" s="164" t="s">
        <v>266</v>
      </c>
      <c r="H23" s="164" t="s">
        <v>267</v>
      </c>
      <c r="I23" s="164" t="s">
        <v>268</v>
      </c>
      <c r="J23" s="164" t="s">
        <v>269</v>
      </c>
      <c r="K23" s="164" t="s">
        <v>270</v>
      </c>
      <c r="L23" s="164" t="s">
        <v>271</v>
      </c>
    </row>
    <row r="24" spans="1:20" s="163" customFormat="1" ht="15.75" customHeight="1" x14ac:dyDescent="0.2">
      <c r="A24" s="131">
        <f>1-'Financial Analysis'!K27</f>
        <v>0.34545004945598412</v>
      </c>
      <c r="B24" s="131">
        <f>'Financial Analysis'!K31</f>
        <v>0.20208657152277332</v>
      </c>
      <c r="C24" s="131">
        <f>'Financial Analysis'!K32</f>
        <v>0.2276572545775839</v>
      </c>
      <c r="D24" s="131">
        <f>'Financial Analysis'!K33</f>
        <v>0.29734821722952287</v>
      </c>
      <c r="E24" s="131">
        <f>'Financial Analysis'!K34</f>
        <v>0</v>
      </c>
      <c r="F24" s="165">
        <f>Analysis2!K48</f>
        <v>25.950281425891177</v>
      </c>
      <c r="G24" s="165">
        <f>K47</f>
        <v>0.1760944817756058</v>
      </c>
      <c r="H24" s="165">
        <f>K54</f>
        <v>1.7846823181743556</v>
      </c>
      <c r="I24" s="166">
        <f>F13/3</f>
        <v>71.906666666666666</v>
      </c>
      <c r="J24" s="167">
        <f>F12/G12</f>
        <v>0.74531901156306857</v>
      </c>
      <c r="K24" s="168">
        <f>IF(F12&lt;0,-M12,M12)</f>
        <v>-0.73476137974484168</v>
      </c>
      <c r="L24" s="169">
        <v>0.1847</v>
      </c>
    </row>
    <row r="25" spans="1:20" s="163" customFormat="1" ht="4.5" customHeight="1" x14ac:dyDescent="0.2">
      <c r="A25" s="160"/>
      <c r="B25" s="160"/>
      <c r="C25" s="160"/>
      <c r="D25" s="160"/>
      <c r="E25" s="160"/>
      <c r="F25" s="170"/>
      <c r="G25" s="170"/>
      <c r="H25" s="170"/>
      <c r="I25" s="171"/>
      <c r="J25" s="172"/>
      <c r="K25" s="173"/>
      <c r="L25" s="162"/>
    </row>
    <row r="26" spans="1:20" s="163" customFormat="1" ht="21.75" customHeight="1" x14ac:dyDescent="0.2">
      <c r="A26" s="164" t="s">
        <v>272</v>
      </c>
      <c r="B26" s="164" t="s">
        <v>273</v>
      </c>
      <c r="C26" s="164" t="s">
        <v>274</v>
      </c>
      <c r="D26" s="164" t="s">
        <v>275</v>
      </c>
      <c r="E26" s="164" t="s">
        <v>276</v>
      </c>
      <c r="F26" s="164" t="s">
        <v>277</v>
      </c>
      <c r="G26" s="164" t="s">
        <v>278</v>
      </c>
      <c r="H26" s="164" t="s">
        <v>279</v>
      </c>
      <c r="I26" s="164" t="s">
        <v>280</v>
      </c>
      <c r="J26" s="164" t="s">
        <v>281</v>
      </c>
      <c r="K26" s="164" t="s">
        <v>282</v>
      </c>
      <c r="L26" s="164" t="s">
        <v>283</v>
      </c>
      <c r="M26" s="164" t="s">
        <v>284</v>
      </c>
      <c r="N26" s="164" t="s">
        <v>285</v>
      </c>
      <c r="O26" s="164" t="s">
        <v>286</v>
      </c>
    </row>
    <row r="27" spans="1:20" s="163" customFormat="1" ht="13.5" customHeight="1" x14ac:dyDescent="0.2">
      <c r="A27" s="174">
        <f>B19</f>
        <v>1.0049921848250656</v>
      </c>
      <c r="B27" s="174">
        <f>E19</f>
        <v>1.2006548361903655</v>
      </c>
      <c r="C27" s="131">
        <f>'Financial Analysis'!O8</f>
        <v>1.5032006401075351</v>
      </c>
      <c r="D27" s="174">
        <f>F19</f>
        <v>0</v>
      </c>
      <c r="E27" s="175"/>
      <c r="F27" s="176">
        <f>C27/A27</f>
        <v>1.4957336612216445</v>
      </c>
      <c r="G27" s="177">
        <f>H5</f>
        <v>1.6461630338934448</v>
      </c>
      <c r="H27" s="177">
        <f>G19</f>
        <v>0.26836767202347245</v>
      </c>
      <c r="I27" s="131">
        <f>H19</f>
        <v>0.3824264690129287</v>
      </c>
      <c r="J27" s="131">
        <f>I19</f>
        <v>1.6651575345194081</v>
      </c>
      <c r="K27" s="178">
        <f>J19</f>
        <v>0.16363427392993576</v>
      </c>
      <c r="L27" s="179"/>
      <c r="M27" s="175"/>
      <c r="N27" s="175"/>
      <c r="O27" s="175"/>
    </row>
    <row r="28" spans="1:20" s="163" customFormat="1" ht="5.25" customHeight="1" x14ac:dyDescent="0.2">
      <c r="A28" s="180"/>
      <c r="B28" s="180"/>
      <c r="C28" s="160"/>
      <c r="D28" s="180"/>
      <c r="E28" s="181"/>
      <c r="F28" s="182"/>
      <c r="G28" s="183"/>
      <c r="H28" s="183"/>
      <c r="I28" s="160"/>
      <c r="J28" s="160"/>
      <c r="K28" s="184"/>
      <c r="L28" s="162"/>
      <c r="M28" s="181"/>
      <c r="N28" s="181"/>
      <c r="O28" s="181"/>
    </row>
    <row r="29" spans="1:20" s="163" customFormat="1" ht="27.75" customHeight="1" x14ac:dyDescent="0.2">
      <c r="A29" s="164" t="s">
        <v>186</v>
      </c>
      <c r="B29" s="164" t="s">
        <v>193</v>
      </c>
      <c r="C29" s="164" t="s">
        <v>287</v>
      </c>
      <c r="D29" s="164" t="s">
        <v>187</v>
      </c>
      <c r="E29" s="164" t="s">
        <v>189</v>
      </c>
      <c r="F29" s="164" t="s">
        <v>190</v>
      </c>
      <c r="G29" s="164" t="s">
        <v>192</v>
      </c>
      <c r="H29" s="164" t="s">
        <v>244</v>
      </c>
      <c r="I29" s="164" t="s">
        <v>245</v>
      </c>
      <c r="J29" s="164" t="s">
        <v>246</v>
      </c>
      <c r="K29" s="164" t="s">
        <v>247</v>
      </c>
      <c r="L29" s="164" t="s">
        <v>218</v>
      </c>
      <c r="M29" s="164" t="s">
        <v>288</v>
      </c>
      <c r="N29" s="164" t="s">
        <v>289</v>
      </c>
    </row>
    <row r="30" spans="1:20" s="163" customFormat="1" ht="15.75" customHeight="1" x14ac:dyDescent="0.2">
      <c r="A30" s="185">
        <f>B6</f>
        <v>3.0304535232383811</v>
      </c>
      <c r="B30" s="134">
        <f>I6</f>
        <v>0.12436246187554278</v>
      </c>
      <c r="C30" s="132">
        <f>J6</f>
        <v>0.32998361213320548</v>
      </c>
      <c r="D30" s="134">
        <f>C6</f>
        <v>4.6572112384616187</v>
      </c>
      <c r="E30" s="134" t="e">
        <f>E6</f>
        <v>#DIV/0!</v>
      </c>
      <c r="F30" s="132" t="e">
        <f>F6</f>
        <v>#DIV/0!</v>
      </c>
      <c r="G30" s="132">
        <f>H6</f>
        <v>1.0021447721226582</v>
      </c>
      <c r="H30" s="135">
        <f>G21</f>
        <v>0.36991096240555926</v>
      </c>
      <c r="I30" s="186">
        <f>L74</f>
        <v>0.37274831733359581</v>
      </c>
      <c r="J30" s="135">
        <f>I21</f>
        <v>0.65233754100058827</v>
      </c>
      <c r="K30" s="186">
        <f>J21</f>
        <v>0.18357022003933268</v>
      </c>
      <c r="L30" s="133" t="s">
        <v>290</v>
      </c>
      <c r="M30" s="134">
        <f>H5/B19</f>
        <v>1.637985905512275</v>
      </c>
      <c r="N30" s="175"/>
    </row>
    <row r="31" spans="1:20" s="163" customFormat="1" ht="6.75" customHeight="1" x14ac:dyDescent="0.2">
      <c r="A31" s="187"/>
      <c r="B31" s="188"/>
      <c r="C31" s="189"/>
      <c r="D31" s="188"/>
      <c r="E31" s="188"/>
      <c r="F31" s="189"/>
      <c r="G31" s="189"/>
      <c r="H31" s="190"/>
      <c r="I31" s="191"/>
      <c r="J31" s="190"/>
      <c r="K31" s="191"/>
      <c r="L31" s="192"/>
      <c r="M31" s="188"/>
    </row>
    <row r="32" spans="1:20" s="163" customFormat="1" ht="24.75" customHeight="1" x14ac:dyDescent="0.2">
      <c r="A32" s="164" t="s">
        <v>291</v>
      </c>
      <c r="B32" s="164" t="s">
        <v>292</v>
      </c>
      <c r="C32" s="164" t="s">
        <v>293</v>
      </c>
      <c r="D32" s="164" t="s">
        <v>294</v>
      </c>
      <c r="E32" s="164" t="s">
        <v>295</v>
      </c>
      <c r="F32" s="164" t="s">
        <v>296</v>
      </c>
      <c r="G32" s="164" t="s">
        <v>297</v>
      </c>
      <c r="H32" s="164" t="s">
        <v>298</v>
      </c>
      <c r="I32" s="164" t="s">
        <v>299</v>
      </c>
      <c r="J32" s="164" t="s">
        <v>300</v>
      </c>
      <c r="K32" s="164" t="s">
        <v>301</v>
      </c>
      <c r="L32" s="164" t="s">
        <v>302</v>
      </c>
      <c r="M32" s="164" t="s">
        <v>303</v>
      </c>
      <c r="N32" s="164" t="s">
        <v>304</v>
      </c>
      <c r="O32" s="164" t="s">
        <v>305</v>
      </c>
    </row>
    <row r="33" spans="1:35" s="163" customFormat="1" ht="13.5" customHeight="1" x14ac:dyDescent="0.2">
      <c r="A33" s="193" t="str">
        <f>IF(B19&lt;B21,"+VE","-VE")</f>
        <v>-VE</v>
      </c>
      <c r="B33" s="193" t="str">
        <f>IF(E19&lt;E21,"+VE","-VE")</f>
        <v>-VE</v>
      </c>
      <c r="C33" s="193" t="str">
        <f>IF(N6&lt;N5,"+VE","-VE")</f>
        <v>-VE</v>
      </c>
      <c r="D33" s="193" t="str">
        <f>IF(N6&gt;N5,"+VE","-VE")</f>
        <v>+VE</v>
      </c>
      <c r="E33" s="193" t="str">
        <f>IF(Y6&gt;Y5,"-VE","+VE")</f>
        <v>+VE</v>
      </c>
      <c r="F33" s="193" t="e">
        <f>IF(X6&gt;X5,"-VE","+VE")</f>
        <v>#DIV/0!</v>
      </c>
      <c r="G33" s="193" t="str">
        <f>IF(H6&gt;H5,"+VE","-VE")</f>
        <v>-VE</v>
      </c>
      <c r="H33" s="193" t="str">
        <f>IF(G21&gt;G20,"+VE","-VE")</f>
        <v>+VE</v>
      </c>
      <c r="I33" s="193" t="str">
        <f>IF('Financial Analysis'!N35&lt;0,"+VE","-VE")</f>
        <v>+VE</v>
      </c>
      <c r="J33" s="193" t="str">
        <f>IF(I21&gt;I20,"+VE","-VE")</f>
        <v>-VE</v>
      </c>
      <c r="K33" s="193" t="str">
        <f>IF(J21&gt;J19,"+VE","-VE")</f>
        <v>+VE</v>
      </c>
      <c r="L33" s="193" t="str">
        <f>IF(Q6&lt;Q5,"+VE","-VE")</f>
        <v>-VE</v>
      </c>
      <c r="M33" s="193" t="str">
        <f>IF('Financial Analysis'!M75&gt;0,"+VE","-VE")</f>
        <v>+VE</v>
      </c>
      <c r="N33" s="193"/>
      <c r="O33" s="193" t="str">
        <f>IF(E21&gt;B21,"+VE","-VE")</f>
        <v>-VE</v>
      </c>
    </row>
    <row r="34" spans="1:35" x14ac:dyDescent="0.2">
      <c r="H34" s="192"/>
      <c r="M34" s="192"/>
      <c r="N34" s="192"/>
    </row>
    <row r="35" spans="1:35" x14ac:dyDescent="0.2">
      <c r="H35" s="192"/>
      <c r="I35" s="192"/>
      <c r="J35" s="192"/>
      <c r="K35" s="192"/>
      <c r="L35" s="192"/>
      <c r="M35" s="192"/>
      <c r="N35" s="192"/>
    </row>
    <row r="36" spans="1:35" x14ac:dyDescent="0.2">
      <c r="H36" s="192"/>
      <c r="I36" s="192"/>
      <c r="J36" s="192"/>
      <c r="K36" s="192"/>
      <c r="L36" s="192"/>
      <c r="M36" s="192"/>
      <c r="N36" s="192"/>
    </row>
    <row r="37" spans="1:35" x14ac:dyDescent="0.2">
      <c r="H37" s="192"/>
      <c r="I37" s="192"/>
      <c r="J37" s="192"/>
      <c r="K37" s="192"/>
      <c r="L37" s="192"/>
      <c r="M37" s="192"/>
      <c r="N37" s="192"/>
    </row>
    <row r="38" spans="1:35" x14ac:dyDescent="0.2">
      <c r="H38" s="192"/>
      <c r="I38" s="192"/>
      <c r="J38" s="192"/>
      <c r="K38" s="192"/>
      <c r="L38" s="192"/>
      <c r="M38" s="192"/>
      <c r="N38" s="192"/>
    </row>
    <row r="39" spans="1:35" x14ac:dyDescent="0.2">
      <c r="B39" s="188"/>
      <c r="C39" s="189"/>
      <c r="D39" s="188"/>
      <c r="E39" s="188"/>
      <c r="F39" s="189"/>
      <c r="G39" s="189"/>
      <c r="H39" s="192"/>
      <c r="I39" s="192"/>
      <c r="J39" s="192"/>
      <c r="K39" s="192"/>
      <c r="L39" s="192"/>
      <c r="M39" s="192"/>
      <c r="N39" s="192"/>
    </row>
    <row r="40" spans="1:35" x14ac:dyDescent="0.2">
      <c r="A40" s="187"/>
      <c r="B40" s="188"/>
      <c r="C40" s="189"/>
      <c r="D40" s="188"/>
      <c r="E40" s="188"/>
      <c r="F40" s="189"/>
      <c r="G40" s="189"/>
      <c r="H40" s="192"/>
      <c r="I40" s="192"/>
      <c r="J40" s="192"/>
      <c r="K40" s="192"/>
      <c r="L40" s="192"/>
      <c r="M40" s="192"/>
      <c r="N40" s="192"/>
    </row>
    <row r="41" spans="1:35" x14ac:dyDescent="0.2">
      <c r="A41" s="138"/>
      <c r="B41" s="194"/>
    </row>
    <row r="42" spans="1:35" x14ac:dyDescent="0.2">
      <c r="A42" s="148" t="str">
        <f>'Data Sheet'!A1</f>
        <v>COMPANY NAME</v>
      </c>
      <c r="B42" s="195">
        <f>'Data Sheet'!B16</f>
        <v>39903</v>
      </c>
      <c r="C42" s="195">
        <f>'Data Sheet'!C16</f>
        <v>40268</v>
      </c>
      <c r="D42" s="195">
        <f>'Data Sheet'!D16</f>
        <v>40633</v>
      </c>
      <c r="E42" s="195">
        <f>'Data Sheet'!E16</f>
        <v>40999</v>
      </c>
      <c r="F42" s="195">
        <f>'Data Sheet'!F16</f>
        <v>41364</v>
      </c>
      <c r="G42" s="195">
        <f>'Data Sheet'!G16</f>
        <v>41729</v>
      </c>
      <c r="H42" s="195">
        <f>'Data Sheet'!H16</f>
        <v>42094</v>
      </c>
      <c r="I42" s="195">
        <f>'Data Sheet'!I16</f>
        <v>42460</v>
      </c>
      <c r="J42" s="195">
        <f>'Data Sheet'!J16</f>
        <v>42825</v>
      </c>
      <c r="K42" s="195">
        <f>'Data Sheet'!K16</f>
        <v>43190</v>
      </c>
      <c r="L42" s="195">
        <f>'Data Sheet'!K16</f>
        <v>43190</v>
      </c>
      <c r="M42" s="101" t="s">
        <v>306</v>
      </c>
    </row>
    <row r="43" spans="1:35" x14ac:dyDescent="0.2">
      <c r="A43" s="151" t="s">
        <v>307</v>
      </c>
      <c r="B43" s="196">
        <f>Other_input_data!C72/(Other_input_data!C46+Other_input_data!C47)</f>
        <v>1.2282608695652175</v>
      </c>
      <c r="C43" s="196">
        <f>Other_input_data!D72/(Other_input_data!D46+Other_input_data!D47)</f>
        <v>1.0231481481481481</v>
      </c>
      <c r="D43" s="196">
        <f>Other_input_data!E72/(Other_input_data!E46+Other_input_data!E47)</f>
        <v>1.7075882068632187</v>
      </c>
      <c r="E43" s="196">
        <f>Other_input_data!F72/(Other_input_data!F46+Other_input_data!F47)</f>
        <v>1.7408859270874164</v>
      </c>
      <c r="F43" s="196">
        <f>Other_input_data!G72/(Other_input_data!G46+Other_input_data!G47)</f>
        <v>1.6223269300471184</v>
      </c>
      <c r="G43" s="196">
        <f>Other_input_data!H72/(Other_input_data!H46+Other_input_data!H47)</f>
        <v>1.6058064516129034</v>
      </c>
      <c r="H43" s="196">
        <f>Other_input_data!I72/(Other_input_data!I46+Other_input_data!I47)</f>
        <v>1.521848065744638</v>
      </c>
      <c r="I43" s="196">
        <f>Other_input_data!J72/(Other_input_data!J46+Other_input_data!J47)</f>
        <v>1.53636585962338</v>
      </c>
      <c r="J43" s="196">
        <f>Other_input_data!K72/(Other_input_data!K46+Other_input_data!K47)</f>
        <v>1.5987185497734022</v>
      </c>
      <c r="K43" s="196">
        <f>Other_input_data!L72/(Other_input_data!L46+Other_input_data!L47)</f>
        <v>1.6722052535125231</v>
      </c>
      <c r="L43" s="196">
        <f>Other_input_data!L72/(Other_input_data!L46+Other_input_data!L47)</f>
        <v>1.6722052535125231</v>
      </c>
      <c r="M43" s="197">
        <f t="shared" ref="M43:M57" si="0">(L43/C43)^(1/9)-1</f>
        <v>5.6101534002770848E-2</v>
      </c>
      <c r="N43" s="197"/>
      <c r="O43" s="197"/>
      <c r="P43" s="197"/>
      <c r="Q43" s="197"/>
      <c r="R43" s="197"/>
      <c r="S43" s="197"/>
      <c r="T43" s="197"/>
      <c r="U43" s="197"/>
      <c r="V43" s="197"/>
      <c r="W43" s="197"/>
      <c r="X43" s="197"/>
      <c r="Y43" s="197"/>
      <c r="Z43" s="197"/>
      <c r="AA43" s="197"/>
      <c r="AB43" s="197"/>
      <c r="AC43" s="197"/>
      <c r="AD43" s="197"/>
      <c r="AE43" s="197"/>
      <c r="AF43" s="197"/>
      <c r="AG43" s="197"/>
      <c r="AH43" s="197"/>
      <c r="AI43" s="197"/>
    </row>
    <row r="44" spans="1:35" ht="24" x14ac:dyDescent="0.2">
      <c r="A44" s="151" t="s">
        <v>308</v>
      </c>
      <c r="B44" s="196">
        <f>Other_input_data!C51/Other_input_data!C41</f>
        <v>1.048</v>
      </c>
      <c r="C44" s="196">
        <f>Other_input_data!D51/Other_input_data!D41</f>
        <v>0</v>
      </c>
      <c r="D44" s="196">
        <f>Other_input_data!E51/Other_input_data!E41</f>
        <v>0.5119617224880384</v>
      </c>
      <c r="E44" s="196">
        <f>Other_input_data!F51/Other_input_data!F41</f>
        <v>0.83475783475783527</v>
      </c>
      <c r="F44" s="196">
        <f>Other_input_data!G51/Other_input_data!G41</f>
        <v>0.53015075376884402</v>
      </c>
      <c r="G44" s="196">
        <f>Other_input_data!H51/Other_input_data!H41</f>
        <v>0.50738255033556989</v>
      </c>
      <c r="H44" s="196">
        <f>Other_input_data!I51/Other_input_data!I41</f>
        <v>3.0316154179298414E-3</v>
      </c>
      <c r="I44" s="196">
        <f>Other_input_data!J51/Other_input_data!J41</f>
        <v>5.1099004320871673E-2</v>
      </c>
      <c r="J44" s="196">
        <f>Other_input_data!K51/Other_input_data!K41</f>
        <v>0.31576095370800417</v>
      </c>
      <c r="K44" s="196">
        <f>Other_input_data!L51/Other_input_data!L41</f>
        <v>0.42099114010320343</v>
      </c>
      <c r="L44" s="196">
        <f>Other_input_data!L51/Other_input_data!L41</f>
        <v>0.42099114010320343</v>
      </c>
      <c r="M44" s="197" t="e">
        <f t="shared" si="0"/>
        <v>#DIV/0!</v>
      </c>
      <c r="N44" s="197"/>
      <c r="O44" s="197"/>
      <c r="P44" s="197"/>
      <c r="Q44" s="197"/>
      <c r="R44" s="197"/>
      <c r="S44" s="197"/>
      <c r="T44" s="197"/>
      <c r="U44" s="197"/>
      <c r="V44" s="197"/>
      <c r="W44" s="197"/>
      <c r="X44" s="197"/>
      <c r="Y44" s="197"/>
      <c r="Z44" s="197"/>
      <c r="AA44" s="197"/>
      <c r="AB44" s="197"/>
      <c r="AC44" s="197"/>
      <c r="AD44" s="197"/>
      <c r="AE44" s="197"/>
      <c r="AF44" s="197"/>
      <c r="AG44" s="197"/>
      <c r="AH44" s="197"/>
      <c r="AI44" s="197"/>
    </row>
    <row r="45" spans="1:35" ht="24" x14ac:dyDescent="0.2">
      <c r="A45" s="151" t="s">
        <v>309</v>
      </c>
      <c r="B45" s="196">
        <f>Other_input_data!C58/Other_input_data!C41</f>
        <v>5.5439999999999996</v>
      </c>
      <c r="C45" s="196">
        <f>Other_input_data!D58/Other_input_data!D41</f>
        <v>159.75000000000003</v>
      </c>
      <c r="D45" s="196">
        <f>Other_input_data!E58/Other_input_data!E41</f>
        <v>1.4928229665071777</v>
      </c>
      <c r="E45" s="196">
        <f>Other_input_data!F58/Other_input_data!F41</f>
        <v>1.7179487179487187</v>
      </c>
      <c r="F45" s="196">
        <f>Other_input_data!G58/Other_input_data!G41</f>
        <v>2.8869346733668331</v>
      </c>
      <c r="G45" s="196">
        <f>Other_input_data!H58/Other_input_data!H41</f>
        <v>-0.81208053691275084</v>
      </c>
      <c r="H45" s="196">
        <f>Other_input_data!I58/Other_input_data!I41</f>
        <v>3.5946297098310903E-2</v>
      </c>
      <c r="I45" s="196">
        <f>Other_input_data!J58/Other_input_data!J41</f>
        <v>0.80161563028367466</v>
      </c>
      <c r="J45" s="196">
        <f>Other_input_data!K58/Other_input_data!K41</f>
        <v>1.1814522371884184</v>
      </c>
      <c r="K45" s="196">
        <f>Other_input_data!L58/Other_input_data!L41</f>
        <v>0.93067860967773386</v>
      </c>
      <c r="L45" s="196">
        <f>Other_input_data!L58/Other_input_data!L41</f>
        <v>0.93067860967773386</v>
      </c>
      <c r="M45" s="197">
        <f t="shared" si="0"/>
        <v>-0.43544463274489709</v>
      </c>
      <c r="N45" s="197"/>
      <c r="O45" s="197"/>
      <c r="P45" s="197"/>
      <c r="Q45" s="197"/>
      <c r="R45" s="197"/>
      <c r="S45" s="197"/>
      <c r="T45" s="197"/>
      <c r="U45" s="197"/>
      <c r="V45" s="197"/>
      <c r="W45" s="197"/>
      <c r="X45" s="197"/>
      <c r="Y45" s="197"/>
      <c r="Z45" s="197"/>
      <c r="AA45" s="197"/>
      <c r="AB45" s="197"/>
      <c r="AC45" s="197"/>
      <c r="AD45" s="197"/>
      <c r="AE45" s="197"/>
      <c r="AF45" s="197"/>
      <c r="AG45" s="197"/>
      <c r="AH45" s="197"/>
      <c r="AI45" s="197"/>
    </row>
    <row r="46" spans="1:35" x14ac:dyDescent="0.2">
      <c r="A46" s="151" t="s">
        <v>310</v>
      </c>
      <c r="B46" s="196">
        <f>Other_input_data!C71/Other_input_data!C41</f>
        <v>1.1759999999999999</v>
      </c>
      <c r="C46" s="196">
        <f>Other_input_data!D71/Other_input_data!D41</f>
        <v>3.7500000000000004</v>
      </c>
      <c r="D46" s="196">
        <f>Other_input_data!E71/Other_input_data!E41</f>
        <v>7.0047846889952163</v>
      </c>
      <c r="E46" s="196">
        <f>Other_input_data!F71/Other_input_data!F41</f>
        <v>5.3846153846153886</v>
      </c>
      <c r="F46" s="196">
        <f>Other_input_data!G71/Other_input_data!G41</f>
        <v>4.3140703517587928</v>
      </c>
      <c r="G46" s="196">
        <f>Other_input_data!H71/Other_input_data!H41</f>
        <v>5.0416107382550281</v>
      </c>
      <c r="H46" s="196">
        <f>Other_input_data!I71/Other_input_data!I41</f>
        <v>2.2550887830229547</v>
      </c>
      <c r="I46" s="196">
        <f>Other_input_data!J71/Other_input_data!J41</f>
        <v>2.060116475671613</v>
      </c>
      <c r="J46" s="196">
        <f>Other_input_data!K71/Other_input_data!K41</f>
        <v>1.4828920885585997</v>
      </c>
      <c r="K46" s="196">
        <f>Other_input_data!L71/Other_input_data!L41</f>
        <v>1.6070489728361415</v>
      </c>
      <c r="L46" s="196">
        <f>Other_input_data!L71/Other_input_data!L41</f>
        <v>1.6070489728361415</v>
      </c>
      <c r="M46" s="197">
        <f t="shared" si="0"/>
        <v>-8.9854404911409391E-2</v>
      </c>
      <c r="N46" s="197"/>
      <c r="O46" s="197"/>
      <c r="P46" s="197"/>
      <c r="Q46" s="197"/>
      <c r="R46" s="197"/>
      <c r="S46" s="197"/>
      <c r="T46" s="197"/>
      <c r="U46" s="197"/>
      <c r="V46" s="197"/>
      <c r="W46" s="197"/>
      <c r="X46" s="197"/>
      <c r="Y46" s="197"/>
      <c r="Z46" s="197"/>
      <c r="AA46" s="197"/>
      <c r="AB46" s="197"/>
      <c r="AC46" s="197"/>
      <c r="AD46" s="197"/>
      <c r="AE46" s="197"/>
      <c r="AF46" s="197"/>
      <c r="AG46" s="197"/>
      <c r="AH46" s="197"/>
      <c r="AI46" s="197"/>
    </row>
    <row r="47" spans="1:35" x14ac:dyDescent="0.2">
      <c r="A47" s="198" t="s">
        <v>266</v>
      </c>
      <c r="B47" s="196">
        <f>Other_input_data!C51/Other_input_data!C48</f>
        <v>0.203416149068323</v>
      </c>
      <c r="C47" s="196">
        <f>Other_input_data!D51/Other_input_data!D48</f>
        <v>0</v>
      </c>
      <c r="D47" s="196">
        <f>Other_input_data!E51/Other_input_data!E48</f>
        <v>5.1715804736587725E-2</v>
      </c>
      <c r="E47" s="196">
        <f>Other_input_data!F51/Other_input_data!F48</f>
        <v>0.11485691885535085</v>
      </c>
      <c r="F47" s="196">
        <f>Other_input_data!G51/Other_input_data!G48</f>
        <v>7.6476984414642984E-2</v>
      </c>
      <c r="G47" s="196">
        <f>Other_input_data!H51/Other_input_data!H48</f>
        <v>6.096774193548387E-2</v>
      </c>
      <c r="H47" s="196">
        <f>Other_input_data!I51/Other_input_data!I48</f>
        <v>7.0154339547003411E-4</v>
      </c>
      <c r="I47" s="196">
        <f>Other_input_data!J51/Other_input_data!J48</f>
        <v>1.3303986304719982E-2</v>
      </c>
      <c r="J47" s="196">
        <f>Other_input_data!K51/Other_input_data!K48</f>
        <v>0.12748867010470386</v>
      </c>
      <c r="K47" s="196">
        <f>Other_input_data!L51/Other_input_data!L48</f>
        <v>0.1760944817756058</v>
      </c>
      <c r="L47" s="196">
        <f>Other_input_data!L51/Other_input_data!L48</f>
        <v>0.1760944817756058</v>
      </c>
      <c r="M47" s="197" t="e">
        <f t="shared" si="0"/>
        <v>#DIV/0!</v>
      </c>
      <c r="N47" s="197"/>
      <c r="O47" s="197"/>
      <c r="P47" s="197"/>
      <c r="Q47" s="197"/>
      <c r="R47" s="197"/>
      <c r="S47" s="197"/>
      <c r="T47" s="197"/>
      <c r="U47" s="197"/>
      <c r="V47" s="197"/>
      <c r="W47" s="197"/>
      <c r="X47" s="197"/>
      <c r="Y47" s="197"/>
      <c r="Z47" s="197"/>
      <c r="AA47" s="197"/>
      <c r="AB47" s="197"/>
      <c r="AC47" s="197"/>
      <c r="AD47" s="197"/>
      <c r="AE47" s="197"/>
      <c r="AF47" s="197"/>
      <c r="AG47" s="197"/>
      <c r="AH47" s="197"/>
      <c r="AI47" s="197"/>
    </row>
    <row r="48" spans="1:35" x14ac:dyDescent="0.2">
      <c r="A48" s="198" t="s">
        <v>265</v>
      </c>
      <c r="B48" s="196" t="e">
        <f>Other_input_data!C37/Other_input_data!C38</f>
        <v>#DIV/0!</v>
      </c>
      <c r="C48" s="196" t="e">
        <f>Other_input_data!D37/Other_input_data!D38</f>
        <v>#DIV/0!</v>
      </c>
      <c r="D48" s="196">
        <f>Other_input_data!E37/Other_input_data!E38</f>
        <v>128</v>
      </c>
      <c r="E48" s="196">
        <f>Other_input_data!F37/Other_input_data!F38</f>
        <v>85.19999999999996</v>
      </c>
      <c r="F48" s="196">
        <f>Other_input_data!G37/Other_input_data!G38</f>
        <v>27.647058823529417</v>
      </c>
      <c r="G48" s="196">
        <f>Other_input_data!H37/Other_input_data!H38</f>
        <v>25.810810810810832</v>
      </c>
      <c r="H48" s="196">
        <f>Other_input_data!I37/Other_input_data!I38</f>
        <v>65.422222222222203</v>
      </c>
      <c r="I48" s="196">
        <f>Other_input_data!J37/Other_input_data!J38</f>
        <v>326.14285714285722</v>
      </c>
      <c r="J48" s="196">
        <f>Other_input_data!K37/Other_input_data!K38</f>
        <v>104.98780487804882</v>
      </c>
      <c r="K48" s="196">
        <f>Other_input_data!L37/Other_input_data!L38</f>
        <v>25.950281425891177</v>
      </c>
      <c r="L48" s="196">
        <f>Other_input_data!L37/Other_input_data!L38</f>
        <v>25.950281425891177</v>
      </c>
      <c r="M48" s="197" t="e">
        <f t="shared" si="0"/>
        <v>#DIV/0!</v>
      </c>
      <c r="N48" s="197"/>
      <c r="O48" s="197"/>
      <c r="P48" s="197"/>
      <c r="Q48" s="197"/>
      <c r="R48" s="197"/>
      <c r="S48" s="197"/>
      <c r="T48" s="197"/>
      <c r="U48" s="197"/>
      <c r="V48" s="197"/>
      <c r="W48" s="197"/>
      <c r="X48" s="197"/>
      <c r="Y48" s="197"/>
      <c r="Z48" s="197"/>
      <c r="AA48" s="197"/>
      <c r="AB48" s="197"/>
      <c r="AC48" s="197"/>
      <c r="AD48" s="197"/>
      <c r="AE48" s="197"/>
      <c r="AF48" s="197"/>
      <c r="AG48" s="197"/>
      <c r="AH48" s="197"/>
      <c r="AI48" s="197"/>
    </row>
    <row r="49" spans="1:35" s="199" customFormat="1" x14ac:dyDescent="0.2">
      <c r="A49" s="151" t="s">
        <v>311</v>
      </c>
      <c r="B49" s="196" t="e">
        <f>Other_input_data!C58/Other_input_data!C32</f>
        <v>#DIV/0!</v>
      </c>
      <c r="C49" s="196" t="e">
        <f>Other_input_data!D58/Other_input_data!D32</f>
        <v>#DIV/0!</v>
      </c>
      <c r="D49" s="196">
        <f>Other_input_data!E58/Other_input_data!E32</f>
        <v>0.19117647058823536</v>
      </c>
      <c r="E49" s="196">
        <f>Other_input_data!F58/Other_input_data!F32</f>
        <v>0.28632478632478631</v>
      </c>
      <c r="F49" s="196">
        <f>Other_input_data!G58/Other_input_data!G32</f>
        <v>0.43838229683326974</v>
      </c>
      <c r="G49" s="196">
        <f>Other_input_data!H58/Other_input_data!H32</f>
        <v>-0.13731275533363596</v>
      </c>
      <c r="H49" s="196">
        <f>Other_input_data!I58/Other_input_data!I32</f>
        <v>6.6479775730876921E-3</v>
      </c>
      <c r="I49" s="196">
        <f>Other_input_data!J58/Other_input_data!J32</f>
        <v>0.15691538263523708</v>
      </c>
      <c r="J49" s="196">
        <f>Other_input_data!K58/Other_input_data!K32</f>
        <v>0.28886701745088383</v>
      </c>
      <c r="K49" s="196">
        <f>Other_input_data!L58/Other_input_data!L32</f>
        <v>0.22511892986670434</v>
      </c>
      <c r="L49" s="196">
        <f>Other_input_data!L58/Other_input_data!L32</f>
        <v>0.22511892986670434</v>
      </c>
      <c r="M49" s="197" t="e">
        <f t="shared" si="0"/>
        <v>#DIV/0!</v>
      </c>
      <c r="N49" s="197"/>
      <c r="O49" s="197"/>
      <c r="P49" s="197"/>
      <c r="Q49" s="197"/>
      <c r="R49" s="197"/>
      <c r="S49" s="197"/>
      <c r="T49" s="197"/>
      <c r="U49" s="197"/>
      <c r="V49" s="197"/>
      <c r="W49" s="197"/>
      <c r="X49" s="197"/>
      <c r="Y49" s="197"/>
      <c r="Z49" s="197"/>
      <c r="AA49" s="197"/>
      <c r="AB49" s="197"/>
      <c r="AC49" s="197"/>
      <c r="AD49" s="197"/>
      <c r="AE49" s="197"/>
      <c r="AF49" s="197"/>
      <c r="AG49" s="197"/>
      <c r="AH49" s="197"/>
      <c r="AI49" s="197"/>
    </row>
    <row r="50" spans="1:35" s="199" customFormat="1" x14ac:dyDescent="0.2">
      <c r="A50" s="151" t="s">
        <v>46</v>
      </c>
      <c r="B50" s="200" t="str">
        <f>IFERROR((Other_input_data!C7/Other_input_data!C32)*365,"NA")</f>
        <v>NA</v>
      </c>
      <c r="C50" s="200" t="str">
        <f>IFERROR((Other_input_data!D7/Other_input_data!D32)*365,"NA")</f>
        <v>NA</v>
      </c>
      <c r="D50" s="200">
        <f>IFERROR((Other_input_data!E7/Other_input_data!E32)*365,"NA")</f>
        <v>245.12254901960787</v>
      </c>
      <c r="E50" s="200">
        <f>IFERROR((Other_input_data!F7/Other_input_data!F32)*365,"NA")</f>
        <v>224.44207027540361</v>
      </c>
      <c r="F50" s="200">
        <f>IFERROR((Other_input_data!G7/Other_input_data!G32)*365,"NA")</f>
        <v>192.5963372758489</v>
      </c>
      <c r="G50" s="200">
        <f>IFERROR((Other_input_data!H7/Other_input_data!H32)*365,"NA")</f>
        <v>111.17339990921471</v>
      </c>
      <c r="H50" s="200">
        <f>IFERROR((Other_input_data!I7/Other_input_data!I32)*365,"NA")</f>
        <v>82.26752102523028</v>
      </c>
      <c r="I50" s="200">
        <f>IFERROR((Other_input_data!J7/Other_input_data!J32)*365,"NA")</f>
        <v>107.6624498951936</v>
      </c>
      <c r="J50" s="200">
        <f>IFERROR((Other_input_data!K7/Other_input_data!K32)*365,"NA")</f>
        <v>89.450353938751547</v>
      </c>
      <c r="K50" s="200">
        <f>IFERROR((Other_input_data!L7/Other_input_data!L32)*365,"NA")</f>
        <v>108.53209928877585</v>
      </c>
      <c r="L50" s="200">
        <f>IFERROR((Other_input_data!L7/Other_input_data!L32)*365,"NA")</f>
        <v>108.53209928877585</v>
      </c>
      <c r="M50" s="197" t="e">
        <f t="shared" si="0"/>
        <v>#VALUE!</v>
      </c>
      <c r="N50" s="197"/>
      <c r="O50" s="197"/>
      <c r="P50" s="197"/>
      <c r="Q50" s="197"/>
      <c r="R50" s="197"/>
      <c r="S50" s="197"/>
      <c r="T50" s="197"/>
      <c r="U50" s="197"/>
      <c r="V50" s="197"/>
      <c r="W50" s="197"/>
      <c r="X50" s="197"/>
      <c r="Y50" s="197"/>
      <c r="Z50" s="197"/>
      <c r="AA50" s="197"/>
      <c r="AB50" s="197"/>
      <c r="AC50" s="197"/>
      <c r="AD50" s="197"/>
      <c r="AE50" s="197"/>
      <c r="AF50" s="197"/>
      <c r="AG50" s="197"/>
      <c r="AH50" s="197"/>
      <c r="AI50" s="197"/>
    </row>
    <row r="51" spans="1:35" s="199" customFormat="1" x14ac:dyDescent="0.2">
      <c r="A51" s="151" t="s">
        <v>312</v>
      </c>
      <c r="B51" s="200" t="str">
        <f>IFERROR((Other_input_data!C6/Other_input_data!C32)*365,"NA")</f>
        <v>NA</v>
      </c>
      <c r="C51" s="200" t="str">
        <f>IFERROR((Other_input_data!D6/Other_input_data!D32)*365,"NA")</f>
        <v>NA</v>
      </c>
      <c r="D51" s="200">
        <f>IFERROR((Other_input_data!E6/Other_input_data!E32)*365,"NA")</f>
        <v>0</v>
      </c>
      <c r="E51" s="200">
        <f>IFERROR((Other_input_data!F6/Other_input_data!F32)*365,"NA")</f>
        <v>0</v>
      </c>
      <c r="F51" s="200">
        <f>IFERROR((Other_input_data!G6/Other_input_data!G32)*365,"NA")</f>
        <v>0</v>
      </c>
      <c r="G51" s="200">
        <f>IFERROR((Other_input_data!H6/Other_input_data!H32)*365,"NA")</f>
        <v>0</v>
      </c>
      <c r="H51" s="200">
        <f>IFERROR((Other_input_data!I6/Other_input_data!I32)*365,"NA")</f>
        <v>0</v>
      </c>
      <c r="I51" s="200">
        <f>IFERROR((Other_input_data!J6/Other_input_data!J32)*365,"NA")</f>
        <v>0</v>
      </c>
      <c r="J51" s="200">
        <f>IFERROR((Other_input_data!K6/Other_input_data!K32)*365,"NA")</f>
        <v>0</v>
      </c>
      <c r="K51" s="200">
        <f>IFERROR((Other_input_data!L6/Other_input_data!L32)*365,"NA")</f>
        <v>0</v>
      </c>
      <c r="L51" s="200">
        <f>IFERROR((Other_input_data!L6/Other_input_data!L32)*365,"NA")</f>
        <v>0</v>
      </c>
      <c r="M51" s="197" t="e">
        <f t="shared" si="0"/>
        <v>#VALUE!</v>
      </c>
      <c r="N51" s="197"/>
      <c r="O51" s="197"/>
      <c r="P51" s="197"/>
      <c r="Q51" s="197"/>
      <c r="R51" s="197"/>
      <c r="S51" s="197"/>
      <c r="T51" s="197"/>
      <c r="U51" s="197"/>
      <c r="V51" s="197"/>
      <c r="W51" s="197"/>
      <c r="X51" s="197"/>
      <c r="Y51" s="197"/>
      <c r="Z51" s="197"/>
      <c r="AA51" s="197"/>
      <c r="AB51" s="197"/>
      <c r="AC51" s="197"/>
      <c r="AD51" s="197"/>
      <c r="AE51" s="197"/>
      <c r="AF51" s="197"/>
      <c r="AG51" s="197"/>
      <c r="AH51" s="197"/>
      <c r="AI51" s="197"/>
    </row>
    <row r="52" spans="1:35" s="199" customFormat="1" x14ac:dyDescent="0.2">
      <c r="A52" s="151" t="s">
        <v>313</v>
      </c>
      <c r="B52" s="196" t="e">
        <f t="shared" ref="B52:L52" si="1">365/B51</f>
        <v>#VALUE!</v>
      </c>
      <c r="C52" s="196" t="e">
        <f t="shared" si="1"/>
        <v>#VALUE!</v>
      </c>
      <c r="D52" s="196" t="e">
        <f t="shared" si="1"/>
        <v>#DIV/0!</v>
      </c>
      <c r="E52" s="196" t="e">
        <f t="shared" si="1"/>
        <v>#DIV/0!</v>
      </c>
      <c r="F52" s="196" t="e">
        <f t="shared" si="1"/>
        <v>#DIV/0!</v>
      </c>
      <c r="G52" s="196" t="e">
        <f t="shared" si="1"/>
        <v>#DIV/0!</v>
      </c>
      <c r="H52" s="196" t="e">
        <f t="shared" si="1"/>
        <v>#DIV/0!</v>
      </c>
      <c r="I52" s="196" t="e">
        <f t="shared" si="1"/>
        <v>#DIV/0!</v>
      </c>
      <c r="J52" s="196" t="e">
        <f t="shared" si="1"/>
        <v>#DIV/0!</v>
      </c>
      <c r="K52" s="196" t="e">
        <f t="shared" si="1"/>
        <v>#DIV/0!</v>
      </c>
      <c r="L52" s="196" t="e">
        <f t="shared" si="1"/>
        <v>#DIV/0!</v>
      </c>
      <c r="M52" s="197" t="e">
        <f t="shared" si="0"/>
        <v>#DIV/0!</v>
      </c>
      <c r="N52" s="197"/>
      <c r="O52" s="197"/>
      <c r="P52" s="197"/>
      <c r="Q52" s="197"/>
      <c r="R52" s="197"/>
      <c r="S52" s="197"/>
      <c r="T52" s="197"/>
      <c r="U52" s="197"/>
      <c r="V52" s="197"/>
      <c r="W52" s="197"/>
      <c r="X52" s="197"/>
      <c r="Y52" s="197"/>
      <c r="Z52" s="197"/>
      <c r="AA52" s="197"/>
      <c r="AB52" s="197"/>
      <c r="AC52" s="197"/>
      <c r="AD52" s="197"/>
      <c r="AE52" s="197"/>
      <c r="AF52" s="197"/>
      <c r="AG52" s="197"/>
      <c r="AH52" s="197"/>
      <c r="AI52" s="197"/>
    </row>
    <row r="53" spans="1:35" s="199" customFormat="1" ht="24" x14ac:dyDescent="0.2">
      <c r="A53" s="151" t="s">
        <v>314</v>
      </c>
      <c r="B53" s="196">
        <f>(Other_input_data!C7+Other_input_data!C8)/(Other_input_data!C10)</f>
        <v>17.25</v>
      </c>
      <c r="C53" s="196">
        <f>(Other_input_data!D7+Other_input_data!D8)/(Other_input_data!D10)</f>
        <v>18.466666666666665</v>
      </c>
      <c r="D53" s="196">
        <f>(Other_input_data!E7+Other_input_data!E8)/(Other_input_data!E10)</f>
        <v>0.8400884303610906</v>
      </c>
      <c r="E53" s="196">
        <f>(Other_input_data!F7+Other_input_data!F8)/(Other_input_data!F10)</f>
        <v>0.99686912961803376</v>
      </c>
      <c r="F53" s="196">
        <f>(Other_input_data!G7+Other_input_data!G8)/(Other_input_data!G10)</f>
        <v>1.0146082337317397</v>
      </c>
      <c r="G53" s="196">
        <f>(Other_input_data!H7+Other_input_data!H8)/(Other_input_data!H10)</f>
        <v>0.54026050917702784</v>
      </c>
      <c r="H53" s="196">
        <f>(Other_input_data!I7+Other_input_data!I8)/(Other_input_data!I10)</f>
        <v>0.82538461538461538</v>
      </c>
      <c r="I53" s="196">
        <f>(Other_input_data!J7+Other_input_data!J8)/(Other_input_data!J10)</f>
        <v>1.0171123994763418</v>
      </c>
      <c r="J53" s="196">
        <f>(Other_input_data!K7+Other_input_data!K8)/(Other_input_data!K10)</f>
        <v>1.4543344166611392</v>
      </c>
      <c r="K53" s="196">
        <f>(Other_input_data!L7+Other_input_data!L8)/(Other_input_data!L10)</f>
        <v>1.0815547529141356</v>
      </c>
      <c r="L53" s="196">
        <f>(Other_input_data!L7+Other_input_data!L8)/(Other_input_data!L10)</f>
        <v>1.0815547529141356</v>
      </c>
      <c r="M53" s="197">
        <f t="shared" si="0"/>
        <v>-0.27041930586282836</v>
      </c>
      <c r="N53" s="197"/>
      <c r="O53" s="197"/>
      <c r="P53" s="197"/>
      <c r="Q53" s="197"/>
      <c r="R53" s="197"/>
      <c r="S53" s="197"/>
      <c r="T53" s="197"/>
      <c r="U53" s="197"/>
      <c r="V53" s="197"/>
      <c r="W53" s="197"/>
      <c r="X53" s="197"/>
      <c r="Y53" s="197"/>
      <c r="Z53" s="197"/>
      <c r="AA53" s="197"/>
      <c r="AB53" s="197"/>
      <c r="AC53" s="197"/>
      <c r="AD53" s="197"/>
      <c r="AE53" s="197"/>
      <c r="AF53" s="197"/>
      <c r="AG53" s="197"/>
      <c r="AH53" s="197"/>
      <c r="AI53" s="197"/>
    </row>
    <row r="54" spans="1:35" s="199" customFormat="1" x14ac:dyDescent="0.2">
      <c r="A54" s="151" t="s">
        <v>267</v>
      </c>
      <c r="B54" s="196">
        <f>Other_input_data!C9/Other_input_data!C10</f>
        <v>44.3125</v>
      </c>
      <c r="C54" s="196">
        <f>Other_input_data!D9/Other_input_data!D10</f>
        <v>43.6</v>
      </c>
      <c r="D54" s="196">
        <f>Other_input_data!E9/Other_input_data!E10</f>
        <v>1.2299189388356671</v>
      </c>
      <c r="E54" s="196">
        <f>Other_input_data!F9/Other_input_data!F10</f>
        <v>1.3775829680651221</v>
      </c>
      <c r="F54" s="196">
        <f>Other_input_data!G9/Other_input_data!G10</f>
        <v>1.7629482071713147</v>
      </c>
      <c r="G54" s="196">
        <f>Other_input_data!H9/Other_input_data!H10</f>
        <v>0.82089994079336881</v>
      </c>
      <c r="H54" s="196">
        <f>Other_input_data!I9/Other_input_data!I10</f>
        <v>1.0159615384615384</v>
      </c>
      <c r="I54" s="196">
        <f>Other_input_data!J9/Other_input_data!J10</f>
        <v>1.3990087899756876</v>
      </c>
      <c r="J54" s="196">
        <f>Other_input_data!K9/Other_input_data!K10</f>
        <v>2.012270345559461</v>
      </c>
      <c r="K54" s="196">
        <f>Other_input_data!L9/Other_input_data!L10</f>
        <v>1.7846823181743556</v>
      </c>
      <c r="L54" s="196">
        <f>Other_input_data!L9/Other_input_data!L10</f>
        <v>1.7846823181743556</v>
      </c>
      <c r="M54" s="197">
        <f t="shared" si="0"/>
        <v>-0.29889018336675555</v>
      </c>
      <c r="N54" s="197"/>
      <c r="O54" s="197"/>
      <c r="P54" s="197"/>
      <c r="Q54" s="197"/>
      <c r="R54" s="197"/>
      <c r="S54" s="197"/>
      <c r="T54" s="197"/>
      <c r="U54" s="197"/>
      <c r="V54" s="197"/>
      <c r="W54" s="197"/>
      <c r="X54" s="197"/>
      <c r="Y54" s="197"/>
      <c r="Z54" s="197"/>
      <c r="AA54" s="197"/>
      <c r="AB54" s="197"/>
      <c r="AC54" s="197"/>
      <c r="AD54" s="197"/>
      <c r="AE54" s="197"/>
      <c r="AF54" s="197"/>
      <c r="AG54" s="197"/>
      <c r="AH54" s="197"/>
      <c r="AI54" s="197"/>
    </row>
    <row r="55" spans="1:35" s="199" customFormat="1" x14ac:dyDescent="0.2">
      <c r="A55" s="201" t="s">
        <v>315</v>
      </c>
      <c r="B55" s="196" t="e">
        <f>Other_input_data!C30/Other_input_data!C78</f>
        <v>#DIV/0!</v>
      </c>
      <c r="C55" s="196">
        <f>Other_input_data!D30/Other_input_data!D78</f>
        <v>-1</v>
      </c>
      <c r="D55" s="196">
        <f>Other_input_data!E30/Other_input_data!E78</f>
        <v>-2.454081632653061</v>
      </c>
      <c r="E55" s="196">
        <f>Other_input_data!F30/Other_input_data!F78</f>
        <v>-0.5770202020202021</v>
      </c>
      <c r="F55" s="196">
        <f>Other_input_data!G30/Other_input_data!G78</f>
        <v>0.84119106699751822</v>
      </c>
      <c r="G55" s="196">
        <f>Other_input_data!H30/Other_input_data!H78</f>
        <v>-1.2656762071225693</v>
      </c>
      <c r="H55" s="196">
        <f>Other_input_data!I30/Other_input_data!I78</f>
        <v>-3.5493646138807415</v>
      </c>
      <c r="I55" s="196">
        <f>Other_input_data!J30/Other_input_data!J78</f>
        <v>-1.2826997904818915</v>
      </c>
      <c r="J55" s="196">
        <f>Other_input_data!K30/Other_input_data!K78</f>
        <v>3.9163810829335151</v>
      </c>
      <c r="K55" s="196">
        <f>Other_input_data!L30/Other_input_data!L78</f>
        <v>-2.5962740844710992</v>
      </c>
      <c r="L55" s="196">
        <f>Other_input_data!L30/Other_input_data!L78</f>
        <v>-2.5962740844710992</v>
      </c>
      <c r="M55" s="197">
        <f t="shared" si="0"/>
        <v>0.1118314348559577</v>
      </c>
      <c r="N55" s="197"/>
      <c r="O55" s="197"/>
      <c r="P55" s="197"/>
      <c r="Q55" s="197"/>
      <c r="R55" s="197"/>
      <c r="S55" s="197"/>
      <c r="T55" s="197"/>
      <c r="U55" s="197"/>
      <c r="V55" s="197"/>
      <c r="W55" s="197"/>
      <c r="X55" s="197"/>
      <c r="Y55" s="197"/>
      <c r="Z55" s="197"/>
      <c r="AA55" s="197"/>
      <c r="AB55" s="197"/>
      <c r="AC55" s="197"/>
      <c r="AD55" s="197"/>
      <c r="AE55" s="197"/>
      <c r="AF55" s="197"/>
      <c r="AG55" s="197"/>
      <c r="AH55" s="197"/>
      <c r="AI55" s="197"/>
    </row>
    <row r="56" spans="1:35" s="199" customFormat="1" x14ac:dyDescent="0.2">
      <c r="A56" s="201" t="s">
        <v>316</v>
      </c>
      <c r="B56" s="196">
        <f>Other_input_data!C78/Other_input_data!C41</f>
        <v>0</v>
      </c>
      <c r="C56" s="196">
        <f>Other_input_data!D78/Other_input_data!D41</f>
        <v>0.50000000000000022</v>
      </c>
      <c r="D56" s="196">
        <f>Other_input_data!E78/Other_input_data!E41</f>
        <v>-3.7511961722488047</v>
      </c>
      <c r="E56" s="196">
        <f>Other_input_data!F78/Other_input_data!F41</f>
        <v>-2.2564102564102577</v>
      </c>
      <c r="F56" s="196">
        <f>Other_input_data!G78/Other_input_data!G41</f>
        <v>-1.0125628140703518</v>
      </c>
      <c r="G56" s="196">
        <f>Other_input_data!H78/Other_input_data!H41</f>
        <v>-6.14362416107382</v>
      </c>
      <c r="H56" s="196">
        <f>Other_input_data!I78/Other_input_data!I41</f>
        <v>-0.44304893893460412</v>
      </c>
      <c r="I56" s="196">
        <f>Other_input_data!J78/Other_input_data!J41</f>
        <v>-1.2553071576178843</v>
      </c>
      <c r="J56" s="196">
        <f>Other_input_data!K78/Other_input_data!K41</f>
        <v>0.11294318005883261</v>
      </c>
      <c r="K56" s="196">
        <f>Other_input_data!L78/Other_input_data!L41</f>
        <v>-0.38151105053062023</v>
      </c>
      <c r="L56" s="196">
        <f>Other_input_data!L78/Other_input_data!L41</f>
        <v>-0.38151105053062023</v>
      </c>
      <c r="M56" s="197">
        <f t="shared" si="0"/>
        <v>-1.9703950412748941</v>
      </c>
      <c r="N56" s="197"/>
      <c r="O56" s="197"/>
      <c r="P56" s="197"/>
      <c r="Q56" s="197"/>
      <c r="R56" s="197"/>
      <c r="S56" s="197"/>
      <c r="T56" s="197"/>
      <c r="U56" s="197"/>
      <c r="V56" s="197"/>
      <c r="W56" s="197"/>
      <c r="X56" s="197"/>
      <c r="Y56" s="197"/>
      <c r="Z56" s="197"/>
      <c r="AA56" s="197"/>
      <c r="AB56" s="197"/>
      <c r="AC56" s="197"/>
      <c r="AD56" s="197"/>
      <c r="AE56" s="197"/>
      <c r="AF56" s="197"/>
      <c r="AG56" s="197"/>
      <c r="AH56" s="197"/>
      <c r="AI56" s="197"/>
    </row>
    <row r="57" spans="1:35" s="199" customFormat="1" x14ac:dyDescent="0.2">
      <c r="A57" s="202" t="s">
        <v>229</v>
      </c>
      <c r="B57" s="196">
        <f>Other_input_data!C77/Other_input_data!C41</f>
        <v>0</v>
      </c>
      <c r="C57" s="196">
        <f>Other_input_data!D77/Other_input_data!D41</f>
        <v>0</v>
      </c>
      <c r="D57" s="196">
        <f>Other_input_data!E77/Other_input_data!E41</f>
        <v>5.454545454545455</v>
      </c>
      <c r="E57" s="196">
        <f>Other_input_data!F77/Other_input_data!F41</f>
        <v>-0.95441595441595495</v>
      </c>
      <c r="F57" s="196">
        <f>Other_input_data!G77/Other_input_data!G41</f>
        <v>-1.8643216080402003</v>
      </c>
      <c r="G57" s="196">
        <f>Other_input_data!H77/Other_input_data!H41</f>
        <v>1.6322147651006693</v>
      </c>
      <c r="H57" s="196">
        <f>Other_input_data!I77/Other_input_data!I41</f>
        <v>1.1294932871372894</v>
      </c>
      <c r="I57" s="196">
        <f>Other_input_data!J77/Other_input_data!J41</f>
        <v>0.3548750704489948</v>
      </c>
      <c r="J57" s="196">
        <f>Other_input_data!K77/Other_input_data!K41</f>
        <v>0.55527171388759844</v>
      </c>
      <c r="K57" s="196">
        <f>Other_input_data!L77/Other_input_data!L41</f>
        <v>0.60899620290137302</v>
      </c>
      <c r="L57" s="196">
        <f>Other_input_data!L77/Other_input_data!L41</f>
        <v>0.60899620290137302</v>
      </c>
      <c r="M57" s="197" t="e">
        <f t="shared" si="0"/>
        <v>#DIV/0!</v>
      </c>
      <c r="N57" s="197"/>
      <c r="O57" s="197"/>
      <c r="P57" s="197"/>
      <c r="Q57" s="197"/>
      <c r="R57" s="197"/>
      <c r="S57" s="197"/>
      <c r="T57" s="197"/>
      <c r="U57" s="197"/>
      <c r="V57" s="197"/>
      <c r="W57" s="197"/>
      <c r="X57" s="197"/>
      <c r="Y57" s="197"/>
      <c r="Z57" s="197"/>
      <c r="AA57" s="197"/>
      <c r="AB57" s="197"/>
      <c r="AC57" s="197"/>
      <c r="AD57" s="197"/>
      <c r="AE57" s="197"/>
      <c r="AF57" s="197"/>
      <c r="AG57" s="197"/>
      <c r="AH57" s="197"/>
      <c r="AI57" s="197"/>
    </row>
    <row r="58" spans="1:35" x14ac:dyDescent="0.2">
      <c r="A58" s="457"/>
      <c r="B58" s="457"/>
      <c r="C58" s="457"/>
      <c r="D58" s="457"/>
      <c r="E58" s="457"/>
      <c r="F58" s="457"/>
      <c r="G58" s="457"/>
      <c r="H58" s="457"/>
      <c r="I58" s="457"/>
      <c r="J58" s="457"/>
      <c r="K58" s="457"/>
      <c r="L58" s="101" t="s">
        <v>317</v>
      </c>
    </row>
    <row r="59" spans="1:35" x14ac:dyDescent="0.2">
      <c r="A59" s="203" t="s">
        <v>260</v>
      </c>
      <c r="B59" s="204" t="e">
        <f>Other_input_data!C34/Other_input_data!C32</f>
        <v>#DIV/0!</v>
      </c>
      <c r="C59" s="205" t="e">
        <f>Other_input_data!D34/Other_input_data!D32</f>
        <v>#DIV/0!</v>
      </c>
      <c r="D59" s="205">
        <f>Other_input_data!E34/Other_input_data!E32</f>
        <v>1</v>
      </c>
      <c r="E59" s="205">
        <f>Other_input_data!F34/Other_input_data!F32</f>
        <v>1</v>
      </c>
      <c r="F59" s="205">
        <f>Other_input_data!G34/Other_input_data!G32</f>
        <v>1</v>
      </c>
      <c r="G59" s="205">
        <f>Other_input_data!H34/Other_input_data!H32</f>
        <v>1</v>
      </c>
      <c r="H59" s="205">
        <f>Other_input_data!I34/Other_input_data!I32</f>
        <v>1</v>
      </c>
      <c r="I59" s="205">
        <f>Other_input_data!J34/Other_input_data!J32</f>
        <v>1</v>
      </c>
      <c r="J59" s="205">
        <f>Other_input_data!K34/Other_input_data!K32</f>
        <v>1</v>
      </c>
      <c r="K59" s="205">
        <f>Other_input_data!L34/Other_input_data!L32</f>
        <v>1</v>
      </c>
      <c r="L59" s="205">
        <f>Other_input_data!L34/Other_input_data!L32</f>
        <v>1</v>
      </c>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row>
    <row r="60" spans="1:35" x14ac:dyDescent="0.2">
      <c r="A60" s="151" t="s">
        <v>318</v>
      </c>
      <c r="B60" s="207" t="e">
        <f>Other_input_data!C35/Other_input_data!C32</f>
        <v>#DIV/0!</v>
      </c>
      <c r="C60" s="208" t="e">
        <f>Other_input_data!D35/Other_input_data!D32</f>
        <v>#DIV/0!</v>
      </c>
      <c r="D60" s="208">
        <f>Other_input_data!E35/Other_input_data!E32</f>
        <v>0.19914215686274508</v>
      </c>
      <c r="E60" s="208">
        <f>Other_input_data!F35/Other_input_data!F32</f>
        <v>0.24026590693257352</v>
      </c>
      <c r="F60" s="208">
        <f>Other_input_data!G35/Other_input_data!G32</f>
        <v>0.21022510492178559</v>
      </c>
      <c r="G60" s="208">
        <f>Other_input_data!H35/Other_input_data!H32</f>
        <v>0.31457103949160253</v>
      </c>
      <c r="H60" s="208">
        <f>Other_input_data!I35/Other_input_data!I32</f>
        <v>0.30885062074489378</v>
      </c>
      <c r="I60" s="208">
        <f>Other_input_data!J35/Other_input_data!J32</f>
        <v>0.32626043467068733</v>
      </c>
      <c r="J60" s="208">
        <f>Other_input_data!K35/Other_input_data!K32</f>
        <v>0.35147821478593344</v>
      </c>
      <c r="K60" s="208">
        <f>Other_input_data!L35/Other_input_data!L32</f>
        <v>0.35540012246243691</v>
      </c>
      <c r="L60" s="208">
        <f>Other_input_data!L35/Other_input_data!L32</f>
        <v>0.35540012246243691</v>
      </c>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row>
    <row r="61" spans="1:35" x14ac:dyDescent="0.2">
      <c r="A61" s="151" t="s">
        <v>319</v>
      </c>
      <c r="B61" s="207" t="e">
        <f>Other_input_data!C41/Other_input_data!C32</f>
        <v>#DIV/0!</v>
      </c>
      <c r="C61" s="208" t="e">
        <f>Other_input_data!D41/Other_input_data!D32</f>
        <v>#DIV/0!</v>
      </c>
      <c r="D61" s="208">
        <f>Other_input_data!E41/Other_input_data!E32</f>
        <v>0.12806372549019607</v>
      </c>
      <c r="E61" s="208">
        <f>Other_input_data!F41/Other_input_data!F32</f>
        <v>0.16666666666666657</v>
      </c>
      <c r="F61" s="208">
        <f>Other_input_data!G41/Other_input_data!G32</f>
        <v>0.15185043876383064</v>
      </c>
      <c r="G61" s="208">
        <f>Other_input_data!H41/Other_input_data!H32</f>
        <v>0.16908760780753535</v>
      </c>
      <c r="H61" s="208">
        <f>Other_input_data!I41/Other_input_data!I32</f>
        <v>0.18494193031637957</v>
      </c>
      <c r="I61" s="208">
        <f>Other_input_data!J41/Other_input_data!J32</f>
        <v>0.19574890596844782</v>
      </c>
      <c r="J61" s="208">
        <f>Other_input_data!K41/Other_input_data!K32</f>
        <v>0.24450164666691915</v>
      </c>
      <c r="K61" s="208">
        <f>Other_input_data!L41/Other_input_data!L32</f>
        <v>0.24188686354858449</v>
      </c>
      <c r="L61" s="208">
        <f>Other_input_data!L41/Other_input_data!L32</f>
        <v>0.24188686354858449</v>
      </c>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row>
    <row r="62" spans="1:35" x14ac:dyDescent="0.2">
      <c r="A62" s="151" t="s">
        <v>320</v>
      </c>
      <c r="B62" s="207" t="e">
        <f>Other_input_data!C78/Other_input_data!C32</f>
        <v>#DIV/0!</v>
      </c>
      <c r="C62" s="208" t="e">
        <f>Other_input_data!D78/Other_input_data!D32</f>
        <v>#DIV/0!</v>
      </c>
      <c r="D62" s="208">
        <f>Other_input_data!E78/Other_input_data!E32</f>
        <v>-0.48039215686274517</v>
      </c>
      <c r="E62" s="208">
        <f>Other_input_data!F78/Other_input_data!F32</f>
        <v>-0.37606837606837606</v>
      </c>
      <c r="F62" s="208">
        <f>Other_input_data!G78/Other_input_data!G32</f>
        <v>-0.15375810759252198</v>
      </c>
      <c r="G62" s="208">
        <f>Other_input_data!H78/Other_input_data!H32</f>
        <v>-1.0388107126645485</v>
      </c>
      <c r="H62" s="208">
        <f>Other_input_data!I78/Other_input_data!I32</f>
        <v>-8.1938325991189456E-2</v>
      </c>
      <c r="I62" s="208">
        <f>Other_input_data!J78/Other_input_data!J32</f>
        <v>-0.24572500275806275</v>
      </c>
      <c r="J62" s="208">
        <f>Other_input_data!K78/Other_input_data!K32</f>
        <v>2.7614793504182916E-2</v>
      </c>
      <c r="K62" s="208">
        <f>Other_input_data!L78/Other_input_data!L32</f>
        <v>-9.228251142197727E-2</v>
      </c>
      <c r="L62" s="208">
        <f>Other_input_data!L78/Other_input_data!L32</f>
        <v>-9.228251142197727E-2</v>
      </c>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row>
    <row r="63" spans="1:35" x14ac:dyDescent="0.2">
      <c r="A63" s="457"/>
      <c r="B63" s="457"/>
      <c r="C63" s="457"/>
      <c r="D63" s="457"/>
      <c r="E63" s="457"/>
      <c r="F63" s="457"/>
      <c r="G63" s="457"/>
      <c r="H63" s="457"/>
      <c r="I63" s="457"/>
      <c r="J63" s="457"/>
      <c r="K63" s="457"/>
    </row>
    <row r="64" spans="1:35" x14ac:dyDescent="0.2">
      <c r="A64" s="151" t="s">
        <v>321</v>
      </c>
      <c r="B64" s="209">
        <f>Other_input_data!C32/Other_input_data!C63</f>
        <v>0</v>
      </c>
      <c r="C64" s="196">
        <f>Other_input_data!D32/Other_input_data!D63</f>
        <v>0</v>
      </c>
      <c r="D64" s="196">
        <f>Other_input_data!E32/Other_input_data!E63</f>
        <v>0.75</v>
      </c>
      <c r="E64" s="196">
        <f>Other_input_data!F32/Other_input_data!F63</f>
        <v>0.740506329113924</v>
      </c>
      <c r="F64" s="196">
        <f>Other_input_data!G32/Other_input_data!G63</f>
        <v>0.88249158249158255</v>
      </c>
      <c r="G64" s="196">
        <f>Other_input_data!H32/Other_input_data!H63</f>
        <v>0.66980845241714804</v>
      </c>
      <c r="H64" s="196">
        <f>Other_input_data!I32/Other_input_data!I63</f>
        <v>1.2503755633450175</v>
      </c>
      <c r="I64" s="196">
        <f>Other_input_data!J32/Other_input_data!J63</f>
        <v>1.312593522228122</v>
      </c>
      <c r="J64" s="196">
        <f>Other_input_data!K32/Other_input_data!K63</f>
        <v>1.4646005433276044</v>
      </c>
      <c r="K64" s="196">
        <f>Other_input_data!L32/Other_input_data!L63</f>
        <v>1.4703417708369406</v>
      </c>
      <c r="L64" s="196">
        <f>Other_input_data!L32/Other_input_data!L63</f>
        <v>1.4703417708369406</v>
      </c>
    </row>
    <row r="65" spans="1:35" s="199" customFormat="1" x14ac:dyDescent="0.2">
      <c r="A65" s="151" t="s">
        <v>322</v>
      </c>
      <c r="B65" s="209">
        <f>Other_input_data!C32/Other_input_data!C56</f>
        <v>0</v>
      </c>
      <c r="C65" s="196">
        <f>Other_input_data!D32/Other_input_data!D56</f>
        <v>0</v>
      </c>
      <c r="D65" s="196">
        <f>Other_input_data!E32/Other_input_data!E56</f>
        <v>2.697520661157025</v>
      </c>
      <c r="E65" s="196">
        <f>Other_input_data!F32/Other_input_data!F56</f>
        <v>3.5217391304347823</v>
      </c>
      <c r="F65" s="196">
        <f>Other_input_data!G32/Other_input_data!G56</f>
        <v>35.904109589041099</v>
      </c>
      <c r="G65" s="196">
        <f>Other_input_data!H32/Other_input_data!H56</f>
        <v>0.84325358851674648</v>
      </c>
      <c r="H65" s="196">
        <f>Other_input_data!I32/Other_input_data!I56</f>
        <v>1.5779828109201213</v>
      </c>
      <c r="I65" s="196">
        <f>Other_input_data!J32/Other_input_data!J56</f>
        <v>1.8578260572521692</v>
      </c>
      <c r="J65" s="196">
        <f>Other_input_data!K32/Other_input_data!K56</f>
        <v>2.8193169690501603</v>
      </c>
      <c r="K65" s="196">
        <f>Other_input_data!L32/Other_input_data!L56</f>
        <v>2.3699280013395101</v>
      </c>
      <c r="L65" s="196">
        <f>Other_input_data!L32/Other_input_data!L56</f>
        <v>2.3699280013395101</v>
      </c>
    </row>
    <row r="66" spans="1:35" x14ac:dyDescent="0.2">
      <c r="A66" s="151" t="s">
        <v>323</v>
      </c>
      <c r="B66" s="209">
        <f>Other_input_data!C32/Other_input_data!C72</f>
        <v>0</v>
      </c>
      <c r="C66" s="196">
        <f>Other_input_data!D32/Other_input_data!D72</f>
        <v>0</v>
      </c>
      <c r="D66" s="196">
        <f>Other_input_data!E32/Other_input_data!E72</f>
        <v>0.46193037078969718</v>
      </c>
      <c r="E66" s="196">
        <f>Other_input_data!F32/Other_input_data!F72</f>
        <v>0.47421751857689709</v>
      </c>
      <c r="F66" s="196">
        <f>Other_input_data!G32/Other_input_data!G72</f>
        <v>0.58556747095621098</v>
      </c>
      <c r="G66" s="196">
        <f>Other_input_data!H32/Other_input_data!H72</f>
        <v>0.44254720771394135</v>
      </c>
      <c r="H66" s="196">
        <f>Other_input_data!I32/Other_input_data!I72</f>
        <v>0.82219295357260458</v>
      </c>
      <c r="I66" s="196">
        <f>Other_input_data!J32/Other_input_data!J72</f>
        <v>0.86571583203336411</v>
      </c>
      <c r="J66" s="196">
        <f>Other_input_data!K32/Other_input_data!K72</f>
        <v>1.0329025825497058</v>
      </c>
      <c r="K66" s="196">
        <f>Other_input_data!L32/Other_input_data!L72</f>
        <v>1.0341199678527069</v>
      </c>
      <c r="L66" s="196">
        <f>Other_input_data!L32/Other_input_data!L72</f>
        <v>1.0341199678527069</v>
      </c>
    </row>
    <row r="67" spans="1:35" x14ac:dyDescent="0.2">
      <c r="A67" s="151" t="s">
        <v>324</v>
      </c>
      <c r="B67" s="208" t="e">
        <f>B61*B66</f>
        <v>#DIV/0!</v>
      </c>
      <c r="C67" s="208" t="e">
        <f t="shared" ref="C67:L67" si="2">C61*C66</f>
        <v>#DIV/0!</v>
      </c>
      <c r="D67" s="208">
        <f t="shared" si="2"/>
        <v>5.9156524200396264E-2</v>
      </c>
      <c r="E67" s="208">
        <f t="shared" si="2"/>
        <v>7.9036253096149478E-2</v>
      </c>
      <c r="F67" s="208">
        <f t="shared" si="2"/>
        <v>8.8918677390527293E-2</v>
      </c>
      <c r="G67" s="208">
        <f t="shared" si="2"/>
        <v>7.4829248694254794E-2</v>
      </c>
      <c r="H67" s="208">
        <f t="shared" si="2"/>
        <v>0.15205795192624294</v>
      </c>
      <c r="I67" s="208">
        <f t="shared" si="2"/>
        <v>0.16946292700009555</v>
      </c>
      <c r="J67" s="208">
        <f t="shared" si="2"/>
        <v>0.25254638227991644</v>
      </c>
      <c r="K67" s="208">
        <f t="shared" si="2"/>
        <v>0.25014003555685427</v>
      </c>
      <c r="L67" s="208">
        <f t="shared" si="2"/>
        <v>0.25014003555685427</v>
      </c>
    </row>
    <row r="68" spans="1:35" x14ac:dyDescent="0.2">
      <c r="A68" s="151" t="s">
        <v>325</v>
      </c>
      <c r="B68" s="208" t="e">
        <f>B61*B66*B43</f>
        <v>#DIV/0!</v>
      </c>
      <c r="C68" s="208" t="e">
        <f t="shared" ref="C68:L68" si="3">C61*C66*C43</f>
        <v>#DIV/0!</v>
      </c>
      <c r="D68" s="208">
        <f t="shared" si="3"/>
        <v>0.10101498308361526</v>
      </c>
      <c r="E68" s="208">
        <f t="shared" si="3"/>
        <v>0.13759310074480588</v>
      </c>
      <c r="F68" s="208">
        <f t="shared" si="3"/>
        <v>0.14425516491482426</v>
      </c>
      <c r="G68" s="208">
        <f t="shared" si="3"/>
        <v>0.12016129032258077</v>
      </c>
      <c r="H68" s="208">
        <f t="shared" si="3"/>
        <v>0.23140910002004397</v>
      </c>
      <c r="I68" s="208">
        <f t="shared" si="3"/>
        <v>0.26035705551479588</v>
      </c>
      <c r="J68" s="208">
        <f t="shared" si="3"/>
        <v>0.40375058602906727</v>
      </c>
      <c r="K68" s="208">
        <f t="shared" si="3"/>
        <v>0.41828548157198103</v>
      </c>
      <c r="L68" s="208">
        <f t="shared" si="3"/>
        <v>0.41828548157198103</v>
      </c>
    </row>
    <row r="69" spans="1:35" x14ac:dyDescent="0.2">
      <c r="A69" s="151" t="s">
        <v>326</v>
      </c>
      <c r="B69" s="208">
        <f>Other_input_data!C37/Other_input_data!C65</f>
        <v>0.16129032258064516</v>
      </c>
      <c r="C69" s="208">
        <f>Other_input_data!D37/Other_input_data!D65</f>
        <v>6.1728395061728392E-3</v>
      </c>
      <c r="D69" s="208">
        <f>Other_input_data!E37/Other_input_data!E65</f>
        <v>0.11764705882352942</v>
      </c>
      <c r="E69" s="208">
        <f>Other_input_data!F37/Other_input_data!F65</f>
        <v>0.14978902953586493</v>
      </c>
      <c r="F69" s="208">
        <f>Other_input_data!G37/Other_input_data!G65</f>
        <v>0.15824915824915831</v>
      </c>
      <c r="G69" s="208">
        <f>Other_input_data!H37/Other_input_data!H65</f>
        <v>0.14518090605047138</v>
      </c>
      <c r="H69" s="208">
        <f>Other_input_data!I37/Other_input_data!I65</f>
        <v>0.29484226339509256</v>
      </c>
      <c r="I69" s="208">
        <f>Other_input_data!J37/Other_input_data!J65</f>
        <v>0.3305980595646088</v>
      </c>
      <c r="J69" s="208">
        <f>Other_input_data!K37/Other_input_data!K65</f>
        <v>0.47729666796030401</v>
      </c>
      <c r="K69" s="208">
        <f>Other_input_data!L37/Other_input_data!L65</f>
        <v>0.47894663942657278</v>
      </c>
      <c r="L69" s="208">
        <f>Other_input_data!L37/Other_input_data!L65</f>
        <v>0.47894663942657278</v>
      </c>
    </row>
    <row r="70" spans="1:35" x14ac:dyDescent="0.2">
      <c r="A70" s="151" t="s">
        <v>327</v>
      </c>
      <c r="B70" s="208">
        <f t="shared" ref="B70:L70" si="4">B85*(1-B78)</f>
        <v>0.16129032258064516</v>
      </c>
      <c r="C70" s="208">
        <f t="shared" si="4"/>
        <v>6.1728395061728383E-3</v>
      </c>
      <c r="D70" s="208">
        <f t="shared" si="4"/>
        <v>9.6804075961093097E-2</v>
      </c>
      <c r="E70" s="208">
        <f t="shared" si="4"/>
        <v>0.12488349018310825</v>
      </c>
      <c r="F70" s="208">
        <f t="shared" si="4"/>
        <v>0.13903568428954746</v>
      </c>
      <c r="G70" s="208">
        <f t="shared" si="4"/>
        <v>0.1178211056727682</v>
      </c>
      <c r="H70" s="208">
        <f t="shared" si="4"/>
        <v>0.23483642158650175</v>
      </c>
      <c r="I70" s="208">
        <f t="shared" si="4"/>
        <v>0.25772897935887712</v>
      </c>
      <c r="J70" s="208">
        <f t="shared" si="4"/>
        <v>0.36154089109365595</v>
      </c>
      <c r="K70" s="208">
        <f t="shared" si="4"/>
        <v>0.36991096240555926</v>
      </c>
      <c r="L70" s="208">
        <f t="shared" si="4"/>
        <v>0.36991096240555926</v>
      </c>
    </row>
    <row r="71" spans="1:35" x14ac:dyDescent="0.2">
      <c r="A71" s="151" t="s">
        <v>328</v>
      </c>
      <c r="B71" s="208"/>
      <c r="C71" s="208">
        <f>(Other_input_data!D80-Other_input_data!C80)/(Other_input_data!D63-Other_input_data!C63)</f>
        <v>0.95275590551181133</v>
      </c>
      <c r="D71" s="208">
        <f>(Other_input_data!E80-Other_input_data!D80)/(Other_input_data!E63-Other_input_data!D63)</f>
        <v>0.13523931236344147</v>
      </c>
      <c r="E71" s="208">
        <f>(Other_input_data!F80-Other_input_data!E80)/(Other_input_data!F63-Other_input_data!E63)</f>
        <v>0.21635176166081033</v>
      </c>
      <c r="F71" s="208">
        <f>(Other_input_data!G80-Other_input_data!F80)/(Other_input_data!G63-Other_input_data!F63)</f>
        <v>0.45847092269203343</v>
      </c>
      <c r="G71" s="208">
        <f>(Other_input_data!H80-Other_input_data!G80)/(Other_input_data!H63-Other_input_data!G63)</f>
        <v>0.1003578854699316</v>
      </c>
      <c r="H71" s="208">
        <f>(Other_input_data!I80-Other_input_data!H80)/(Other_input_data!I63-Other_input_data!H63)</f>
        <v>0.46076150173928704</v>
      </c>
      <c r="I71" s="208">
        <f>(Other_input_data!J80-Other_input_data!I80)/(Other_input_data!J63-Other_input_data!I63)</f>
        <v>0.27902810248198262</v>
      </c>
      <c r="J71" s="208">
        <f>(Other_input_data!K80-Other_input_data!J80)/(Other_input_data!K63-Other_input_data!J63)</f>
        <v>0.50158591130654984</v>
      </c>
      <c r="K71" s="208">
        <f>(Other_input_data!L80-Other_input_data!K80)/(Other_input_data!L63-Other_input_data!K63)</f>
        <v>0.38383560511472731</v>
      </c>
      <c r="L71" s="208">
        <f>(Other_input_data!L80-Other_input_data!K80)/(Other_input_data!L63-Other_input_data!K63)</f>
        <v>0.38383560511472731</v>
      </c>
    </row>
    <row r="72" spans="1:35" ht="15" customHeight="1" x14ac:dyDescent="0.2">
      <c r="A72" s="151" t="s">
        <v>329</v>
      </c>
      <c r="B72" s="452"/>
      <c r="C72" s="453"/>
      <c r="D72" s="454"/>
      <c r="E72" s="208">
        <f>(Other_input_data!F80-Other_input_data!C80)/(Other_input_data!F63-Other_input_data!C63)</f>
        <v>0.11124632483362004</v>
      </c>
      <c r="F72" s="208">
        <f>(Other_input_data!G80-Other_input_data!D80)/(Other_input_data!G63-Other_input_data!D63)</f>
        <v>0.17611368748490785</v>
      </c>
      <c r="G72" s="208">
        <f>(Other_input_data!H80-Other_input_data!E80)/(Other_input_data!H63-Other_input_data!E63)</f>
        <v>0.12821025984191972</v>
      </c>
      <c r="H72" s="208">
        <f>(Other_input_data!I80-Other_input_data!F80)/(Other_input_data!I63-Other_input_data!F63)</f>
        <v>0.27862666621768101</v>
      </c>
      <c r="I72" s="208">
        <f>(Other_input_data!J80-Other_input_data!G80)/(Other_input_data!J63-Other_input_data!G63)</f>
        <v>0.27759256680215816</v>
      </c>
      <c r="J72" s="208">
        <f>(Other_input_data!K80-Other_input_data!H80)/(Other_input_data!K63-Other_input_data!H63)</f>
        <v>0.41589364226325859</v>
      </c>
      <c r="K72" s="208">
        <f>(Other_input_data!L80-Other_input_data!I80)/(Other_input_data!L63-Other_input_data!I63)</f>
        <v>0.39814279398570473</v>
      </c>
      <c r="L72" s="208">
        <f>(Other_input_data!L80-Other_input_data!I80)/(Other_input_data!L63-Other_input_data!I63)</f>
        <v>0.39814279398570473</v>
      </c>
    </row>
    <row r="73" spans="1:35" ht="15" customHeight="1" x14ac:dyDescent="0.2">
      <c r="A73" s="151" t="s">
        <v>330</v>
      </c>
      <c r="B73" s="452"/>
      <c r="C73" s="453"/>
      <c r="D73" s="453"/>
      <c r="E73" s="453"/>
      <c r="F73" s="454"/>
      <c r="G73" s="208">
        <f>(Other_input_data!H80-Other_input_data!C80)/(Other_input_data!H63-Other_input_data!C63)</f>
        <v>0.11201572171557284</v>
      </c>
      <c r="H73" s="208">
        <f>(Other_input_data!I80-Other_input_data!D80)/(Other_input_data!I63-Other_input_data!D63)</f>
        <v>0.25070597296146729</v>
      </c>
      <c r="I73" s="208">
        <f>(Other_input_data!J80-Other_input_data!E80)/(Other_input_data!J63-Other_input_data!E63)</f>
        <v>0.27661537112812246</v>
      </c>
      <c r="J73" s="208">
        <f>(Other_input_data!K80-Other_input_data!F80)/(Other_input_data!K63-Other_input_data!F63)</f>
        <v>0.38179528917339106</v>
      </c>
      <c r="K73" s="208">
        <f>(Other_input_data!L80-Other_input_data!G80)/(Other_input_data!L63-Other_input_data!G63)</f>
        <v>0.3824264690129287</v>
      </c>
      <c r="L73" s="208">
        <f>(Other_input_data!L80-Other_input_data!G80)/(Other_input_data!L63-Other_input_data!G63)</f>
        <v>0.3824264690129287</v>
      </c>
    </row>
    <row r="74" spans="1:35" ht="15" customHeight="1" x14ac:dyDescent="0.2">
      <c r="A74" s="151" t="s">
        <v>331</v>
      </c>
      <c r="B74" s="452"/>
      <c r="C74" s="453"/>
      <c r="D74" s="453"/>
      <c r="E74" s="453"/>
      <c r="F74" s="453"/>
      <c r="G74" s="453"/>
      <c r="H74" s="453"/>
      <c r="I74" s="453"/>
      <c r="J74" s="453"/>
      <c r="K74" s="454"/>
      <c r="L74" s="210">
        <f>(Other_input_data!L80-Other_input_data!C80)/(Other_input_data!L63-Other_input_data!C63)</f>
        <v>0.37274831733359581</v>
      </c>
    </row>
    <row r="75" spans="1:35" ht="15" customHeight="1" x14ac:dyDescent="0.2">
      <c r="A75" s="151"/>
      <c r="B75" s="211"/>
      <c r="C75" s="212"/>
      <c r="D75" s="213"/>
      <c r="E75" s="213"/>
      <c r="F75" s="213"/>
      <c r="G75" s="213"/>
      <c r="H75" s="213"/>
      <c r="I75" s="213"/>
      <c r="J75" s="213"/>
      <c r="K75" s="214"/>
    </row>
    <row r="76" spans="1:35" x14ac:dyDescent="0.2">
      <c r="A76" s="215"/>
      <c r="B76" s="216">
        <f>B42</f>
        <v>39903</v>
      </c>
      <c r="C76" s="216">
        <f t="shared" ref="C76:L76" si="5">C42</f>
        <v>40268</v>
      </c>
      <c r="D76" s="216">
        <f t="shared" si="5"/>
        <v>40633</v>
      </c>
      <c r="E76" s="216">
        <f t="shared" si="5"/>
        <v>40999</v>
      </c>
      <c r="F76" s="216">
        <f t="shared" si="5"/>
        <v>41364</v>
      </c>
      <c r="G76" s="216">
        <f t="shared" si="5"/>
        <v>41729</v>
      </c>
      <c r="H76" s="216">
        <f t="shared" si="5"/>
        <v>42094</v>
      </c>
      <c r="I76" s="216">
        <f t="shared" si="5"/>
        <v>42460</v>
      </c>
      <c r="J76" s="216">
        <f t="shared" si="5"/>
        <v>42825</v>
      </c>
      <c r="K76" s="216">
        <f t="shared" si="5"/>
        <v>43190</v>
      </c>
      <c r="L76" s="216">
        <f t="shared" si="5"/>
        <v>43190</v>
      </c>
    </row>
    <row r="77" spans="1:35" x14ac:dyDescent="0.2">
      <c r="A77" s="217" t="s">
        <v>332</v>
      </c>
      <c r="B77" s="218">
        <f>Other_input_data!C101</f>
        <v>0</v>
      </c>
      <c r="C77" s="219">
        <f>Other_input_data!D101</f>
        <v>0</v>
      </c>
      <c r="D77" s="219">
        <f>Other_input_data!E101</f>
        <v>12.401437350482638</v>
      </c>
      <c r="E77" s="219">
        <f>Other_input_data!F101</f>
        <v>10.560802590753951</v>
      </c>
      <c r="F77" s="219">
        <f>Other_input_data!G101</f>
        <v>22.743934925373686</v>
      </c>
      <c r="G77" s="219">
        <f>Other_input_data!H101</f>
        <v>21.16665660619724</v>
      </c>
      <c r="H77" s="219">
        <f>Other_input_data!I101</f>
        <v>104.65080118618953</v>
      </c>
      <c r="I77" s="219">
        <f>Other_input_data!J101</f>
        <v>139.27954978398532</v>
      </c>
      <c r="J77" s="219">
        <f>Other_input_data!K101</f>
        <v>65.213484271002599</v>
      </c>
      <c r="K77" s="219">
        <f>Other_input_data!L101</f>
        <v>49.034875031222924</v>
      </c>
      <c r="L77" s="219">
        <f>Other_input_data!L101</f>
        <v>49.034875031222924</v>
      </c>
    </row>
    <row r="78" spans="1:35" x14ac:dyDescent="0.2">
      <c r="A78" s="220" t="s">
        <v>262</v>
      </c>
      <c r="B78" s="221">
        <f>Other_input_data!C40/Other_input_data!C39</f>
        <v>0</v>
      </c>
      <c r="C78" s="221">
        <f>Other_input_data!D40/Other_input_data!D39</f>
        <v>0</v>
      </c>
      <c r="D78" s="221">
        <f>Other_input_data!E40/Other_input_data!E39</f>
        <v>0.17716535433070865</v>
      </c>
      <c r="E78" s="221">
        <f>Other_input_data!F40/Other_input_data!F39</f>
        <v>0.16627078384798105</v>
      </c>
      <c r="F78" s="221">
        <f>Other_input_data!G40/Other_input_data!G39</f>
        <v>0.12141280353200881</v>
      </c>
      <c r="G78" s="221">
        <f>Other_input_data!H40/Other_input_data!H39</f>
        <v>0.18845315904139415</v>
      </c>
      <c r="H78" s="221">
        <f>Other_input_data!I40/Other_input_data!I39</f>
        <v>0.20351845463953094</v>
      </c>
      <c r="I78" s="221">
        <f>Other_input_data!J40/Other_input_data!J39</f>
        <v>0.22041593438781484</v>
      </c>
      <c r="J78" s="221">
        <f>Other_input_data!K40/Other_input_data!K39</f>
        <v>0.24252374809428862</v>
      </c>
      <c r="K78" s="221">
        <f>Other_input_data!L40/Other_input_data!L39</f>
        <v>0.22765725457758401</v>
      </c>
      <c r="L78" s="222">
        <f>Other_input_data!L40/Other_input_data!L39</f>
        <v>0.22765725457758401</v>
      </c>
    </row>
    <row r="79" spans="1:35" ht="24" x14ac:dyDescent="0.2">
      <c r="A79" s="220" t="s">
        <v>333</v>
      </c>
      <c r="B79" s="221"/>
      <c r="C79" s="221">
        <f>(Other_input_data!D46-Other_input_data!C46)/Other_input_data!C46</f>
        <v>0</v>
      </c>
      <c r="D79" s="221">
        <f>(Other_input_data!E46-Other_input_data!D46)/Other_input_data!D46</f>
        <v>2.5576923076923075</v>
      </c>
      <c r="E79" s="221">
        <f>(Other_input_data!F46-Other_input_data!E46)/Other_input_data!E46</f>
        <v>0</v>
      </c>
      <c r="F79" s="221">
        <f>(Other_input_data!G46-Other_input_data!F46)/Other_input_data!F46</f>
        <v>0.80900900900900896</v>
      </c>
      <c r="G79" s="221">
        <f>(Other_input_data!H46-Other_input_data!G46)/Other_input_data!G46</f>
        <v>0</v>
      </c>
      <c r="H79" s="221">
        <f>(Other_input_data!I46-Other_input_data!H46)/Other_input_data!H46</f>
        <v>2.9880478087649476E-2</v>
      </c>
      <c r="I79" s="221">
        <f>(Other_input_data!J46-Other_input_data!I46)/Other_input_data!I46</f>
        <v>5.3191489361702197E-2</v>
      </c>
      <c r="J79" s="221">
        <f>(Other_input_data!K46-Other_input_data!J46)/Other_input_data!J46</f>
        <v>0.40128558310376483</v>
      </c>
      <c r="K79" s="221">
        <f>(Other_input_data!L46-Other_input_data!K46)/Other_input_data!K46</f>
        <v>0</v>
      </c>
      <c r="L79" s="221">
        <f>(Other_input_data!L46-Other_input_data!K46)/Other_input_data!K46</f>
        <v>0</v>
      </c>
      <c r="M79" s="197">
        <f>(L79/F79)^(1/6)-1</f>
        <v>-1</v>
      </c>
      <c r="N79" s="197"/>
      <c r="O79" s="197"/>
      <c r="P79" s="197"/>
      <c r="Q79" s="197"/>
      <c r="R79" s="197"/>
      <c r="S79" s="197"/>
      <c r="T79" s="197"/>
      <c r="U79" s="197"/>
      <c r="V79" s="197"/>
      <c r="W79" s="197"/>
      <c r="X79" s="197"/>
      <c r="Y79" s="197"/>
      <c r="Z79" s="197"/>
      <c r="AA79" s="197"/>
      <c r="AB79" s="197"/>
      <c r="AC79" s="197"/>
      <c r="AD79" s="197"/>
      <c r="AE79" s="197"/>
      <c r="AF79" s="197"/>
      <c r="AG79" s="197"/>
      <c r="AH79" s="197"/>
      <c r="AI79" s="197"/>
    </row>
    <row r="80" spans="1:35" ht="36" x14ac:dyDescent="0.2">
      <c r="A80" s="220" t="s">
        <v>334</v>
      </c>
      <c r="B80" s="223"/>
      <c r="C80" s="218" t="e">
        <f>((Other_input_data!D6-Other_input_data!C6)/Other_input_data!C6)/((Other_input_data!D32-Other_input_data!C32)/Other_input_data!C32)</f>
        <v>#DIV/0!</v>
      </c>
      <c r="D80" s="218" t="e">
        <f>((Other_input_data!E6-Other_input_data!D6)/Other_input_data!D6)/((Other_input_data!E32-Other_input_data!D32)/Other_input_data!D32)</f>
        <v>#DIV/0!</v>
      </c>
      <c r="E80" s="218" t="e">
        <f>((Other_input_data!F6-Other_input_data!E6)/Other_input_data!E6)/((Other_input_data!F32-Other_input_data!E32)/Other_input_data!E32)</f>
        <v>#DIV/0!</v>
      </c>
      <c r="F80" s="218" t="e">
        <f>((Other_input_data!G6-Other_input_data!F6)/Other_input_data!F6)/((Other_input_data!G32-Other_input_data!F32)/Other_input_data!F32)</f>
        <v>#DIV/0!</v>
      </c>
      <c r="G80" s="218" t="e">
        <f>((Other_input_data!H6-Other_input_data!G6)/Other_input_data!G6)/((Other_input_data!H32-Other_input_data!G32)/Other_input_data!G32)</f>
        <v>#DIV/0!</v>
      </c>
      <c r="H80" s="218" t="e">
        <f>((Other_input_data!I6-Other_input_data!H6)/Other_input_data!H6)/((Other_input_data!I32-Other_input_data!H32)/Other_input_data!H32)</f>
        <v>#DIV/0!</v>
      </c>
      <c r="I80" s="218" t="e">
        <f>((Other_input_data!J6-Other_input_data!I6)/Other_input_data!I6)/((Other_input_data!J32-Other_input_data!I32)/Other_input_data!I32)</f>
        <v>#DIV/0!</v>
      </c>
      <c r="J80" s="218" t="e">
        <f>((Other_input_data!K6-Other_input_data!J6)/Other_input_data!J6)/((Other_input_data!K32-Other_input_data!J32)/Other_input_data!J32)</f>
        <v>#DIV/0!</v>
      </c>
      <c r="K80" s="218" t="e">
        <f>((Other_input_data!L6-Other_input_data!K6)/Other_input_data!K6)/((Other_input_data!L32-Other_input_data!K32)/Other_input_data!K32)</f>
        <v>#DIV/0!</v>
      </c>
      <c r="L80" s="218" t="e">
        <f>((Other_input_data!L6-Other_input_data!K6)/Other_input_data!K6)/((Other_input_data!L32-Other_input_data!K32)/Other_input_data!K32)</f>
        <v>#DIV/0!</v>
      </c>
    </row>
    <row r="81" spans="1:35" ht="36" x14ac:dyDescent="0.2">
      <c r="A81" s="220" t="s">
        <v>335</v>
      </c>
      <c r="B81" s="223"/>
      <c r="C81" s="218" t="e">
        <f>((Other_input_data!D7-Other_input_data!C7)/Other_input_data!C7)/((Other_input_data!D32-Other_input_data!C32)/Other_input_data!C32)</f>
        <v>#DIV/0!</v>
      </c>
      <c r="D81" s="218" t="e">
        <f>((Other_input_data!E7-Other_input_data!D7)/Other_input_data!D7)/((Other_input_data!E32-Other_input_data!D32)/Other_input_data!D32)</f>
        <v>#DIV/0!</v>
      </c>
      <c r="E81" s="218">
        <f>((Other_input_data!F7-Other_input_data!E7)/Other_input_data!E7)/((Other_input_data!F32-Other_input_data!E32)/Other_input_data!E32)</f>
        <v>0.62515014321352647</v>
      </c>
      <c r="F81" s="218">
        <f>((Other_input_data!G7-Other_input_data!F7)/Other_input_data!F7)/((Other_input_data!G32-Other_input_data!F32)/Other_input_data!F32)</f>
        <v>0.27788431982606748</v>
      </c>
      <c r="G81" s="218">
        <f>((Other_input_data!H7-Other_input_data!G7)/Other_input_data!G7)/((Other_input_data!H32-Other_input_data!G32)/Other_input_data!G32)</f>
        <v>-4.3530181414575965E-2</v>
      </c>
      <c r="H81" s="218">
        <f>((Other_input_data!I7-Other_input_data!H7)/Other_input_data!H7)/((Other_input_data!I32-Other_input_data!H32)/Other_input_data!H32)</f>
        <v>0.59819417381524376</v>
      </c>
      <c r="I81" s="218">
        <f>((Other_input_data!J7-Other_input_data!I7)/Other_input_data!I7)/((Other_input_data!J32-Other_input_data!I32)/Other_input_data!I32)</f>
        <v>1.5707186850239259</v>
      </c>
      <c r="J81" s="218">
        <f>((Other_input_data!K7-Other_input_data!J7)/Other_input_data!J7)/((Other_input_data!K32-Other_input_data!J32)/Other_input_data!J32)</f>
        <v>0.65144268223684743</v>
      </c>
      <c r="K81" s="218">
        <f>((Other_input_data!L7-Other_input_data!K7)/Other_input_data!K7)/((Other_input_data!L32-Other_input_data!K32)/Other_input_data!K32)</f>
        <v>1.5645426493470593</v>
      </c>
      <c r="L81" s="218">
        <f>((Other_input_data!L7-Other_input_data!K7)/Other_input_data!K7)/((Other_input_data!L32-Other_input_data!K32)/Other_input_data!K32)</f>
        <v>1.5645426493470593</v>
      </c>
    </row>
    <row r="82" spans="1:35" x14ac:dyDescent="0.2">
      <c r="A82" s="220" t="s">
        <v>336</v>
      </c>
      <c r="B82" s="223"/>
      <c r="C82" s="223" t="e">
        <f>Other_input_data!D30/Other_input_data!D36</f>
        <v>#DIV/0!</v>
      </c>
      <c r="D82" s="223">
        <f>Other_input_data!E30/Other_input_data!E36</f>
        <v>27.884057971014499</v>
      </c>
      <c r="E82" s="223">
        <f>Other_input_data!F30/Other_input_data!F36</f>
        <v>5.7125000000000004</v>
      </c>
      <c r="F82" s="223">
        <f>Other_input_data!G30/Other_input_data!G36</f>
        <v>-4.1851851851851842</v>
      </c>
      <c r="G82" s="223">
        <f>Other_input_data!H30/Other_input_data!H36</f>
        <v>13.440835266821349</v>
      </c>
      <c r="H82" s="223">
        <f>Other_input_data!I30/Other_input_data!I36</f>
        <v>3.9813596491228078</v>
      </c>
      <c r="I82" s="223">
        <f>Other_input_data!J30/Other_input_data!J36</f>
        <v>4.2367770637666835</v>
      </c>
      <c r="J82" s="223">
        <f>Other_input_data!K30/Other_input_data!K36</f>
        <v>4.2263313609467454</v>
      </c>
      <c r="K82" s="223">
        <f>Other_input_data!L30/Other_input_data!L36</f>
        <v>8.0774116712981332</v>
      </c>
      <c r="L82" s="223">
        <f>Other_input_data!L30/Other_input_data!L36</f>
        <v>8.0774116712981332</v>
      </c>
    </row>
    <row r="83" spans="1:35" x14ac:dyDescent="0.2">
      <c r="A83" s="220" t="s">
        <v>17</v>
      </c>
      <c r="B83" s="222">
        <f>Other_input_data!C42/Other_input_data!C41</f>
        <v>0</v>
      </c>
      <c r="C83" s="222">
        <f>Other_input_data!D42/Other_input_data!D41</f>
        <v>0</v>
      </c>
      <c r="D83" s="222">
        <f>Other_input_data!E42/Other_input_data!E41</f>
        <v>0</v>
      </c>
      <c r="E83" s="222">
        <f>Other_input_data!F42/Other_input_data!F41</f>
        <v>0</v>
      </c>
      <c r="F83" s="222">
        <f>Other_input_data!G42/Other_input_data!G41</f>
        <v>0</v>
      </c>
      <c r="G83" s="222">
        <f>Other_input_data!H42/Other_input_data!H41</f>
        <v>0</v>
      </c>
      <c r="H83" s="222">
        <f>Other_input_data!I42/Other_input_data!I41</f>
        <v>0</v>
      </c>
      <c r="I83" s="222">
        <f>Other_input_data!J42/Other_input_data!J41</f>
        <v>0</v>
      </c>
      <c r="J83" s="222">
        <f>Other_input_data!K42/Other_input_data!K41</f>
        <v>2.3610466016411195E-2</v>
      </c>
      <c r="K83" s="222">
        <f>Other_input_data!L42/Other_input_data!L41</f>
        <v>0</v>
      </c>
      <c r="L83" s="222">
        <f>Other_input_data!L42/Other_input_data!L41</f>
        <v>0</v>
      </c>
      <c r="M83" s="197" t="e">
        <f>(L83/F83)^(1/6)-1</f>
        <v>#DIV/0!</v>
      </c>
      <c r="N83" s="197"/>
      <c r="O83" s="197"/>
      <c r="P83" s="197"/>
      <c r="Q83" s="197"/>
      <c r="R83" s="197"/>
      <c r="S83" s="197"/>
      <c r="T83" s="197"/>
      <c r="U83" s="197"/>
      <c r="V83" s="197"/>
      <c r="W83" s="197"/>
      <c r="X83" s="197"/>
      <c r="Y83" s="197"/>
      <c r="Z83" s="197"/>
      <c r="AA83" s="197"/>
      <c r="AB83" s="197"/>
      <c r="AC83" s="197"/>
      <c r="AD83" s="197"/>
      <c r="AE83" s="197"/>
      <c r="AF83" s="197"/>
      <c r="AG83" s="197"/>
      <c r="AH83" s="197"/>
      <c r="AI83" s="197"/>
    </row>
    <row r="84" spans="1:35" x14ac:dyDescent="0.2">
      <c r="A84" s="220" t="s">
        <v>337</v>
      </c>
      <c r="B84" s="224">
        <f>Other_input_data!C8/Other_input_data!C55</f>
        <v>0</v>
      </c>
      <c r="C84" s="224">
        <f>Other_input_data!D8/Other_input_data!D55</f>
        <v>1.5082956259426848E-3</v>
      </c>
      <c r="D84" s="224">
        <f>Other_input_data!E8/Other_input_data!E55</f>
        <v>1.2454005094820267E-2</v>
      </c>
      <c r="E84" s="224">
        <f>Other_input_data!F8/Other_input_data!F55</f>
        <v>6.6876829542895755E-2</v>
      </c>
      <c r="F84" s="224">
        <f>Other_input_data!G8/Other_input_data!G55</f>
        <v>3.2394995531724757E-2</v>
      </c>
      <c r="G84" s="224">
        <f>Other_input_data!H8/Other_input_data!H55</f>
        <v>4.8513459220570508E-2</v>
      </c>
      <c r="H84" s="224">
        <f>Other_input_data!I8/Other_input_data!I55</f>
        <v>9.7332894303589074E-2</v>
      </c>
      <c r="I84" s="224">
        <f>Other_input_data!J8/Other_input_data!J55</f>
        <v>9.0923561809557157E-2</v>
      </c>
      <c r="J84" s="224">
        <f>Other_input_data!K8/Other_input_data!K55</f>
        <v>0.17553909014486521</v>
      </c>
      <c r="K84" s="224">
        <f>Other_input_data!L8/Other_input_data!L55</f>
        <v>1.3382528433306545E-2</v>
      </c>
      <c r="L84" s="225">
        <f>Other_input_data!L8/Other_input_data!L55</f>
        <v>1.3382528433306545E-2</v>
      </c>
    </row>
    <row r="85" spans="1:35" ht="24" x14ac:dyDescent="0.2">
      <c r="A85" s="220" t="s">
        <v>338</v>
      </c>
      <c r="B85" s="221">
        <f>Other_input_data!C37/Other_input_data!C63</f>
        <v>0.16129032258064516</v>
      </c>
      <c r="C85" s="221">
        <f>Other_input_data!D37/Other_input_data!D63</f>
        <v>6.1728395061728383E-3</v>
      </c>
      <c r="D85" s="221">
        <f>Other_input_data!E37/Other_input_data!E63</f>
        <v>0.11764705882352941</v>
      </c>
      <c r="E85" s="221">
        <f>Other_input_data!F37/Other_input_data!F63</f>
        <v>0.1497890295358649</v>
      </c>
      <c r="F85" s="221">
        <f>Other_input_data!G37/Other_input_data!G63</f>
        <v>0.15824915824915828</v>
      </c>
      <c r="G85" s="221">
        <f>Other_input_data!H37/Other_input_data!H63</f>
        <v>0.14518090605047138</v>
      </c>
      <c r="H85" s="221">
        <f>Other_input_data!I37/Other_input_data!I63</f>
        <v>0.29484226339509256</v>
      </c>
      <c r="I85" s="221">
        <f>Other_input_data!J37/Other_input_data!J63</f>
        <v>0.33059805956460886</v>
      </c>
      <c r="J85" s="221">
        <f>Other_input_data!K37/Other_input_data!K63</f>
        <v>0.47729666796030401</v>
      </c>
      <c r="K85" s="221">
        <f>Other_input_data!L37/Other_input_data!L63</f>
        <v>0.4789466394265729</v>
      </c>
      <c r="L85" s="221">
        <f>Other_input_data!L37/Other_input_data!L63</f>
        <v>0.4789466394265729</v>
      </c>
    </row>
    <row r="86" spans="1:35" x14ac:dyDescent="0.2">
      <c r="A86" s="220" t="s">
        <v>339</v>
      </c>
      <c r="B86" s="221">
        <v>0.1</v>
      </c>
      <c r="C86" s="221">
        <v>0.1</v>
      </c>
      <c r="D86" s="221">
        <v>0.1</v>
      </c>
      <c r="E86" s="221">
        <v>0.1</v>
      </c>
      <c r="F86" s="221">
        <v>0.1</v>
      </c>
      <c r="G86" s="221">
        <v>0.1</v>
      </c>
      <c r="H86" s="221">
        <v>0.1</v>
      </c>
      <c r="I86" s="221">
        <v>0.1</v>
      </c>
      <c r="J86" s="221">
        <v>0.1</v>
      </c>
      <c r="K86" s="221">
        <v>0.1</v>
      </c>
      <c r="L86" s="226">
        <v>0.1</v>
      </c>
    </row>
    <row r="87" spans="1:35" x14ac:dyDescent="0.2">
      <c r="A87" s="220" t="s">
        <v>246</v>
      </c>
      <c r="B87" s="223">
        <f>Other_input_data!C63*(Analysis2!B70-Analysis2!B86)</f>
        <v>0.47499999999999992</v>
      </c>
      <c r="C87" s="223">
        <f>Other_input_data!D63*(Analysis2!C70-Analysis2!C86)</f>
        <v>-0.6080000000000001</v>
      </c>
      <c r="D87" s="223">
        <f>Other_input_data!E63*(Analysis2!D70-Analysis2!D86)</f>
        <v>-6.9543307086614325E-2</v>
      </c>
      <c r="E87" s="223">
        <f>Other_input_data!F63*(Analysis2!E70-Analysis2!E86)</f>
        <v>0.70768646080759856</v>
      </c>
      <c r="F87" s="223">
        <f>Other_input_data!G63*(Analysis2!F70-Analysis2!F86)</f>
        <v>1.1593598233995595</v>
      </c>
      <c r="G87" s="223">
        <f>Other_input_data!H63*(Analysis2!G70-Analysis2!G86)</f>
        <v>1.1722723311546916</v>
      </c>
      <c r="H87" s="223">
        <f>Other_input_data!I63*(Analysis2!H70-Analysis2!H86)</f>
        <v>13.463416695412199</v>
      </c>
      <c r="I87" s="223">
        <f>Other_input_data!J63*(Analysis2!I70-Analysis2!I86)</f>
        <v>32.676712653778573</v>
      </c>
      <c r="J87" s="223">
        <f>Other_input_data!K63*(Analysis2!J70-Analysis2!J86)</f>
        <v>94.348261053125455</v>
      </c>
      <c r="K87" s="223">
        <f>Other_input_data!L63*(Analysis2!K70-Analysis2!K86)</f>
        <v>155.89517366620288</v>
      </c>
      <c r="L87" s="223">
        <f>Other_input_data!L63*(Analysis2!L70-Analysis2!L86)</f>
        <v>155.89517366620288</v>
      </c>
    </row>
    <row r="88" spans="1:35" x14ac:dyDescent="0.2">
      <c r="A88" s="220" t="s">
        <v>247</v>
      </c>
      <c r="B88" s="221" t="e">
        <f>B87/Other_input_data!C32</f>
        <v>#DIV/0!</v>
      </c>
      <c r="C88" s="221" t="e">
        <f>C87/Other_input_data!D32</f>
        <v>#DIV/0!</v>
      </c>
      <c r="D88" s="221">
        <f>D87/Other_input_data!E32</f>
        <v>-4.2612320518758779E-3</v>
      </c>
      <c r="E88" s="221">
        <f>E87/Other_input_data!F32</f>
        <v>3.3603345717359859E-2</v>
      </c>
      <c r="F88" s="221">
        <f>F87/Other_input_data!G32</f>
        <v>4.4233491926728707E-2</v>
      </c>
      <c r="G88" s="221">
        <f>G87/Other_input_data!H32</f>
        <v>2.6606271701195904E-2</v>
      </c>
      <c r="H88" s="221">
        <f>H87/Other_input_data!I32</f>
        <v>0.10783673764847578</v>
      </c>
      <c r="I88" s="221">
        <f>I87/Other_input_data!J32</f>
        <v>0.12016589803912246</v>
      </c>
      <c r="J88" s="221">
        <f>J87/Other_input_data!K32</f>
        <v>0.17857489694727913</v>
      </c>
      <c r="K88" s="221">
        <f>K87/Other_input_data!L32</f>
        <v>0.18357022003933268</v>
      </c>
      <c r="L88" s="221">
        <f>L87/Other_input_data!L32</f>
        <v>0.18357022003933268</v>
      </c>
    </row>
    <row r="89" spans="1:35" ht="15" customHeight="1" x14ac:dyDescent="0.2">
      <c r="A89" s="227" t="s">
        <v>340</v>
      </c>
      <c r="B89" s="367">
        <f>Other_input_data!C43</f>
        <v>0</v>
      </c>
      <c r="C89" s="228">
        <f>Other_input_data!D43</f>
        <v>0</v>
      </c>
      <c r="D89" s="228">
        <f>Other_input_data!E43</f>
        <v>25.229197468505198</v>
      </c>
      <c r="E89" s="228">
        <f>Other_input_data!F43</f>
        <v>27.5157861488</v>
      </c>
      <c r="F89" s="228">
        <f>Other_input_data!G43</f>
        <v>54.914119026000002</v>
      </c>
      <c r="G89" s="228">
        <f>Other_input_data!H43</f>
        <v>112.3511249484655</v>
      </c>
      <c r="H89" s="228">
        <f>Other_input_data!I43</f>
        <v>780.33408218250008</v>
      </c>
      <c r="I89" s="228">
        <f>Other_input_data!J43</f>
        <v>2190.8049094115345</v>
      </c>
      <c r="J89" s="228">
        <f>Other_input_data!K43</f>
        <v>1774.5344820361934</v>
      </c>
      <c r="K89" s="228">
        <f>Other_input_data!L43</f>
        <v>2287.1564392085006</v>
      </c>
      <c r="L89" s="228">
        <f>Other_input_data!L43</f>
        <v>2287.1564392085006</v>
      </c>
    </row>
    <row r="90" spans="1:35" ht="15" customHeight="1" x14ac:dyDescent="0.2">
      <c r="A90" s="229" t="s">
        <v>341</v>
      </c>
      <c r="B90" s="230"/>
      <c r="D90" s="231">
        <f t="shared" ref="D90:L90" si="6">D89-C89</f>
        <v>25.229197468505198</v>
      </c>
      <c r="E90" s="231">
        <f t="shared" si="6"/>
        <v>2.2865886802948019</v>
      </c>
      <c r="F90" s="231">
        <f t="shared" si="6"/>
        <v>27.398332877200001</v>
      </c>
      <c r="G90" s="231">
        <f t="shared" si="6"/>
        <v>57.437005922465495</v>
      </c>
      <c r="H90" s="231">
        <f t="shared" si="6"/>
        <v>667.98295723403453</v>
      </c>
      <c r="I90" s="231">
        <f t="shared" si="6"/>
        <v>1410.4708272290345</v>
      </c>
      <c r="J90" s="231">
        <f t="shared" si="6"/>
        <v>-416.27042737534111</v>
      </c>
      <c r="K90" s="231">
        <f t="shared" si="6"/>
        <v>512.62195717230725</v>
      </c>
      <c r="L90" s="231">
        <f t="shared" si="6"/>
        <v>0</v>
      </c>
    </row>
    <row r="91" spans="1:35" x14ac:dyDescent="0.2">
      <c r="A91" s="232" t="s">
        <v>342</v>
      </c>
      <c r="B91" s="233"/>
      <c r="D91" s="233">
        <f t="shared" ref="D91:L91" si="7">D90-C87</f>
        <v>25.837197468505199</v>
      </c>
      <c r="E91" s="233">
        <f t="shared" si="7"/>
        <v>2.3561319873814162</v>
      </c>
      <c r="F91" s="233">
        <f t="shared" si="7"/>
        <v>26.690646416392404</v>
      </c>
      <c r="G91" s="233">
        <f t="shared" si="7"/>
        <v>56.277646099065933</v>
      </c>
      <c r="H91" s="233">
        <f t="shared" si="7"/>
        <v>666.81068490287987</v>
      </c>
      <c r="I91" s="233">
        <f t="shared" si="7"/>
        <v>1397.0074105336223</v>
      </c>
      <c r="J91" s="233">
        <f t="shared" si="7"/>
        <v>-448.94714002911968</v>
      </c>
      <c r="K91" s="233">
        <f t="shared" si="7"/>
        <v>418.27369611918181</v>
      </c>
      <c r="L91" s="233">
        <f t="shared" si="7"/>
        <v>-155.89517366620288</v>
      </c>
    </row>
    <row r="92" spans="1:35" x14ac:dyDescent="0.2">
      <c r="A92" s="137"/>
      <c r="B92" s="234"/>
      <c r="C92" s="234"/>
      <c r="D92" s="234"/>
      <c r="E92" s="234"/>
      <c r="F92" s="234"/>
      <c r="G92" s="234"/>
      <c r="H92" s="234"/>
      <c r="I92" s="234"/>
      <c r="J92" s="234"/>
      <c r="K92" s="234"/>
    </row>
    <row r="93" spans="1:35" ht="24" x14ac:dyDescent="0.2">
      <c r="A93" s="229" t="s">
        <v>343</v>
      </c>
      <c r="B93" s="235">
        <f>SUM(Other_input_data!C30:L30)/SUM(Other_input_data!C77:L77)</f>
        <v>1.810597431163832</v>
      </c>
      <c r="C93" s="236" t="s">
        <v>344</v>
      </c>
      <c r="D93" s="237"/>
      <c r="E93" s="237"/>
      <c r="F93" s="237"/>
      <c r="G93" s="237"/>
      <c r="H93" s="237"/>
      <c r="I93" s="237"/>
      <c r="J93" s="237"/>
      <c r="K93" s="237"/>
    </row>
    <row r="94" spans="1:35" ht="24" x14ac:dyDescent="0.2">
      <c r="A94" s="229" t="s">
        <v>345</v>
      </c>
      <c r="B94" s="235">
        <f>SUM(Other_input_data!F30:L30)/SUM(Other_input_data!F77:L77)</f>
        <v>1.8164398207163124</v>
      </c>
      <c r="C94" s="238"/>
      <c r="D94" s="238"/>
      <c r="E94" s="238"/>
      <c r="F94" s="238"/>
      <c r="G94" s="238"/>
      <c r="H94" s="238"/>
      <c r="I94" s="238"/>
      <c r="J94" s="238"/>
      <c r="K94" s="238"/>
    </row>
    <row r="95" spans="1:35" ht="24" x14ac:dyDescent="0.2">
      <c r="A95" s="229" t="s">
        <v>346</v>
      </c>
      <c r="B95" s="235">
        <f>SUM(Other_input_data!H30:L30)/SUM(Other_input_data!H77:L77)</f>
        <v>1.7347613797448416</v>
      </c>
      <c r="C95" s="239"/>
      <c r="D95" s="239"/>
      <c r="E95" s="239"/>
      <c r="F95" s="239"/>
      <c r="G95" s="239"/>
      <c r="H95" s="239"/>
      <c r="I95" s="239"/>
      <c r="J95" s="239"/>
      <c r="K95" s="239"/>
    </row>
    <row r="96" spans="1:35" ht="24" x14ac:dyDescent="0.2">
      <c r="A96" s="229" t="s">
        <v>347</v>
      </c>
      <c r="B96" s="235">
        <f>SUM(Other_input_data!J30:L30)/SUM(Other_input_data!J77:L77)</f>
        <v>1.6054144261079177</v>
      </c>
      <c r="C96" s="240"/>
      <c r="D96" s="240"/>
      <c r="E96" s="240"/>
      <c r="F96" s="240"/>
      <c r="G96" s="240"/>
      <c r="H96" s="240"/>
      <c r="I96" s="240"/>
      <c r="J96" s="240"/>
      <c r="K96" s="240"/>
    </row>
    <row r="97" spans="1:3" ht="24" x14ac:dyDescent="0.2">
      <c r="A97" s="232" t="s">
        <v>348</v>
      </c>
      <c r="B97" s="233">
        <f>SUM(Other_input_data!D30:M30)/SUM(Other_input_data!D36:M36)</f>
        <v>0.99852685147984466</v>
      </c>
      <c r="C97" s="236" t="s">
        <v>344</v>
      </c>
    </row>
    <row r="98" spans="1:3" x14ac:dyDescent="0.2">
      <c r="B98" s="241"/>
    </row>
    <row r="99" spans="1:3" ht="24" x14ac:dyDescent="0.2">
      <c r="A99" s="119" t="s">
        <v>349</v>
      </c>
      <c r="B99" s="242">
        <f>AVERAGE(I60:K60)</f>
        <v>0.34437959063968587</v>
      </c>
    </row>
    <row r="100" spans="1:3" ht="24" x14ac:dyDescent="0.2">
      <c r="A100" s="119" t="s">
        <v>350</v>
      </c>
      <c r="B100" s="242">
        <f>AVERAGE(G60:K60)</f>
        <v>0.33131208643111087</v>
      </c>
    </row>
    <row r="101" spans="1:3" ht="24" x14ac:dyDescent="0.2">
      <c r="A101" s="119" t="s">
        <v>351</v>
      </c>
      <c r="B101" s="243">
        <f>AVERAGE(I64:K64)</f>
        <v>1.4158452787975557</v>
      </c>
    </row>
    <row r="102" spans="1:3" ht="24" x14ac:dyDescent="0.2">
      <c r="A102" s="119" t="s">
        <v>352</v>
      </c>
      <c r="B102" s="243">
        <f>AVERAGE(G64:K64)</f>
        <v>1.2335439704309663</v>
      </c>
    </row>
    <row r="103" spans="1:3" x14ac:dyDescent="0.2">
      <c r="A103" s="119" t="s">
        <v>353</v>
      </c>
      <c r="B103" s="242">
        <f>AVERAGE(I70:K70)</f>
        <v>0.32972694428603072</v>
      </c>
    </row>
    <row r="104" spans="1:3" x14ac:dyDescent="0.2">
      <c r="A104" s="119" t="s">
        <v>354</v>
      </c>
      <c r="B104" s="242">
        <f>AVERAGE(G70:K70)</f>
        <v>0.26836767202347245</v>
      </c>
    </row>
    <row r="105" spans="1:3" ht="24" x14ac:dyDescent="0.2">
      <c r="A105" s="119" t="s">
        <v>355</v>
      </c>
      <c r="B105" s="243">
        <f>AVERAGE(Other_input_data!J63:L63)</f>
        <v>381.82999999999993</v>
      </c>
    </row>
    <row r="106" spans="1:3" ht="24" x14ac:dyDescent="0.2">
      <c r="A106" s="119" t="s">
        <v>356</v>
      </c>
      <c r="B106" s="243">
        <f>AVERAGE(Other_input_data!G63:L63)</f>
        <v>223.47</v>
      </c>
    </row>
    <row r="107" spans="1:3" x14ac:dyDescent="0.2">
      <c r="A107" s="119" t="s">
        <v>357</v>
      </c>
      <c r="B107" s="244">
        <f>AVERAGE(I88:K88)</f>
        <v>0.16077033834191143</v>
      </c>
    </row>
    <row r="108" spans="1:3" x14ac:dyDescent="0.2">
      <c r="A108" s="119" t="s">
        <v>358</v>
      </c>
      <c r="B108" s="244">
        <f>AVERAGE(G88:K88)</f>
        <v>0.12335080487508118</v>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95" operator="lessThan">
      <formula>-0.2</formula>
    </cfRule>
    <cfRule type="cellIs" dxfId="98" priority="96" operator="between">
      <formula>0</formula>
      <formula>0.1</formula>
    </cfRule>
    <cfRule type="cellIs" dxfId="97" priority="97" operator="between">
      <formula>0.1</formula>
      <formula>0.2</formula>
    </cfRule>
    <cfRule type="cellIs" dxfId="96" priority="98" operator="greaterThan">
      <formula>0.2</formula>
    </cfRule>
  </conditionalFormatting>
  <conditionalFormatting sqref="B7:E7 I7:J8 B8">
    <cfRule type="cellIs" dxfId="95" priority="93" operator="between">
      <formula>0</formula>
      <formula>-0.1</formula>
    </cfRule>
    <cfRule type="cellIs" dxfId="94" priority="94" operator="between">
      <formula>-0.1</formula>
      <formula>-0.2</formula>
    </cfRule>
  </conditionalFormatting>
  <conditionalFormatting sqref="C7 I7:J8 B8">
    <cfRule type="cellIs" dxfId="93" priority="92" operator="between">
      <formula>-0.1</formula>
      <formula>-0.2</formula>
    </cfRule>
  </conditionalFormatting>
  <conditionalFormatting sqref="D7">
    <cfRule type="cellIs" dxfId="92" priority="91" operator="between">
      <formula>-0.1</formula>
      <formula>-0.2</formula>
    </cfRule>
  </conditionalFormatting>
  <conditionalFormatting sqref="E7">
    <cfRule type="cellIs" dxfId="91" priority="90" operator="between">
      <formula>-0.1</formula>
      <formula>-0.2</formula>
    </cfRule>
  </conditionalFormatting>
  <conditionalFormatting sqref="H11">
    <cfRule type="cellIs" dxfId="90" priority="86" operator="lessThan">
      <formula>0</formula>
    </cfRule>
    <cfRule type="cellIs" dxfId="89" priority="87" operator="between">
      <formula>0</formula>
      <formula>0.5</formula>
    </cfRule>
    <cfRule type="cellIs" dxfId="88" priority="88" operator="between">
      <formula>0.5</formula>
      <formula>1</formula>
    </cfRule>
    <cfRule type="cellIs" dxfId="87" priority="89" operator="greaterThanOrEqual">
      <formula>1</formula>
    </cfRule>
  </conditionalFormatting>
  <conditionalFormatting sqref="H12:H14">
    <cfRule type="cellIs" dxfId="86" priority="82" operator="lessThan">
      <formula>0</formula>
    </cfRule>
    <cfRule type="cellIs" dxfId="85" priority="83" operator="between">
      <formula>0</formula>
      <formula>0.5</formula>
    </cfRule>
    <cfRule type="cellIs" dxfId="84" priority="84" operator="between">
      <formula>0.5</formula>
      <formula>1</formula>
    </cfRule>
    <cfRule type="cellIs" dxfId="83" priority="85" operator="greaterThanOrEqual">
      <formula>1</formula>
    </cfRule>
  </conditionalFormatting>
  <conditionalFormatting sqref="L11:L14">
    <cfRule type="cellIs" dxfId="82" priority="80" operator="lessThanOrEqual">
      <formula>0</formula>
    </cfRule>
    <cfRule type="cellIs" dxfId="81" priority="81" operator="greaterThan">
      <formula>0</formula>
    </cfRule>
  </conditionalFormatting>
  <conditionalFormatting sqref="N11:N14">
    <cfRule type="cellIs" dxfId="80" priority="76" operator="lessThan">
      <formula>-0.2</formula>
    </cfRule>
    <cfRule type="cellIs" dxfId="79" priority="77" operator="between">
      <formula>0</formula>
      <formula>0.1</formula>
    </cfRule>
    <cfRule type="cellIs" dxfId="78" priority="78" operator="between">
      <formula>0.1</formula>
      <formula>0.2</formula>
    </cfRule>
    <cfRule type="cellIs" dxfId="77" priority="79" operator="greaterThan">
      <formula>0.2</formula>
    </cfRule>
  </conditionalFormatting>
  <conditionalFormatting sqref="N11:N14">
    <cfRule type="cellIs" dxfId="76" priority="74" operator="between">
      <formula>0</formula>
      <formula>-0.1</formula>
    </cfRule>
    <cfRule type="cellIs" dxfId="75" priority="75" operator="between">
      <formula>-0.1</formula>
      <formula>-0.2</formula>
    </cfRule>
  </conditionalFormatting>
  <conditionalFormatting sqref="N11:N14">
    <cfRule type="cellIs" dxfId="74" priority="73" operator="between">
      <formula>-0.1</formula>
      <formula>-0.2</formula>
    </cfRule>
  </conditionalFormatting>
  <conditionalFormatting sqref="O11:O14">
    <cfRule type="cellIs" dxfId="73" priority="69" operator="lessThan">
      <formula>-0.2</formula>
    </cfRule>
    <cfRule type="cellIs" dxfId="72" priority="70" operator="between">
      <formula>0</formula>
      <formula>0.1</formula>
    </cfRule>
    <cfRule type="cellIs" dxfId="71" priority="71" operator="between">
      <formula>0.1</formula>
      <formula>0.2</formula>
    </cfRule>
    <cfRule type="cellIs" dxfId="70" priority="72" operator="greaterThan">
      <formula>0.2</formula>
    </cfRule>
  </conditionalFormatting>
  <conditionalFormatting sqref="O11:O14">
    <cfRule type="cellIs" dxfId="69" priority="67" operator="between">
      <formula>0</formula>
      <formula>-0.1</formula>
    </cfRule>
    <cfRule type="cellIs" dxfId="68" priority="68" operator="between">
      <formula>-0.1</formula>
      <formula>-0.2</formula>
    </cfRule>
  </conditionalFormatting>
  <conditionalFormatting sqref="O11:O14">
    <cfRule type="cellIs" dxfId="67" priority="66" operator="between">
      <formula>-0.1</formula>
      <formula>-0.2</formula>
    </cfRule>
  </conditionalFormatting>
  <conditionalFormatting sqref="B18:B21">
    <cfRule type="cellIs" dxfId="66" priority="62" operator="lessThan">
      <formula>-0.2</formula>
    </cfRule>
    <cfRule type="cellIs" dxfId="65" priority="63" operator="between">
      <formula>0</formula>
      <formula>0.1</formula>
    </cfRule>
    <cfRule type="cellIs" dxfId="64" priority="64" operator="between">
      <formula>0.1</formula>
      <formula>0.2</formula>
    </cfRule>
    <cfRule type="cellIs" dxfId="63" priority="65" operator="greaterThan">
      <formula>0.2</formula>
    </cfRule>
  </conditionalFormatting>
  <conditionalFormatting sqref="B18:B21">
    <cfRule type="cellIs" dxfId="62" priority="60" operator="between">
      <formula>0</formula>
      <formula>-0.1</formula>
    </cfRule>
    <cfRule type="cellIs" dxfId="61" priority="61" operator="between">
      <formula>-0.1</formula>
      <formula>-0.2</formula>
    </cfRule>
  </conditionalFormatting>
  <conditionalFormatting sqref="D18:E21">
    <cfRule type="cellIs" dxfId="60" priority="56" operator="lessThan">
      <formula>-0.2</formula>
    </cfRule>
    <cfRule type="cellIs" dxfId="59" priority="57" operator="between">
      <formula>0</formula>
      <formula>0.1</formula>
    </cfRule>
    <cfRule type="cellIs" dxfId="58" priority="58" operator="between">
      <formula>0.1</formula>
      <formula>0.2</formula>
    </cfRule>
    <cfRule type="cellIs" dxfId="57" priority="59" operator="greaterThan">
      <formula>0.2</formula>
    </cfRule>
  </conditionalFormatting>
  <conditionalFormatting sqref="D18:E21">
    <cfRule type="cellIs" dxfId="56" priority="54" operator="between">
      <formula>0</formula>
      <formula>-0.1</formula>
    </cfRule>
    <cfRule type="cellIs" dxfId="55" priority="55" operator="between">
      <formula>-0.1</formula>
      <formula>-0.2</formula>
    </cfRule>
  </conditionalFormatting>
  <conditionalFormatting sqref="C18:C21">
    <cfRule type="cellIs" dxfId="54" priority="50" operator="lessThan">
      <formula>-0.2</formula>
    </cfRule>
    <cfRule type="cellIs" dxfId="53" priority="51" operator="between">
      <formula>0</formula>
      <formula>0.1</formula>
    </cfRule>
    <cfRule type="cellIs" dxfId="52" priority="52" operator="between">
      <formula>0.1</formula>
      <formula>0.2</formula>
    </cfRule>
    <cfRule type="cellIs" dxfId="51" priority="53" operator="greaterThan">
      <formula>0.2</formula>
    </cfRule>
  </conditionalFormatting>
  <conditionalFormatting sqref="C18:C21">
    <cfRule type="cellIs" dxfId="50" priority="48" operator="between">
      <formula>0</formula>
      <formula>-0.1</formula>
    </cfRule>
    <cfRule type="cellIs" dxfId="49" priority="49" operator="between">
      <formula>-0.1</formula>
      <formula>-0.2</formula>
    </cfRule>
  </conditionalFormatting>
  <conditionalFormatting sqref="F18">
    <cfRule type="cellIs" dxfId="48" priority="45" operator="lessThan">
      <formula>0.1</formula>
    </cfRule>
    <cfRule type="cellIs" dxfId="47" priority="46" operator="between">
      <formula>0.1</formula>
      <formula>0.2</formula>
    </cfRule>
    <cfRule type="cellIs" dxfId="46" priority="47" operator="greaterThanOrEqual">
      <formula>0.2</formula>
    </cfRule>
  </conditionalFormatting>
  <conditionalFormatting sqref="F19:F21">
    <cfRule type="cellIs" dxfId="45" priority="42" operator="lessThan">
      <formula>0.1</formula>
    </cfRule>
    <cfRule type="cellIs" dxfId="44" priority="43" operator="between">
      <formula>0.1</formula>
      <formula>0.2</formula>
    </cfRule>
    <cfRule type="cellIs" dxfId="43" priority="44" operator="greaterThanOrEqual">
      <formula>0.2</formula>
    </cfRule>
  </conditionalFormatting>
  <conditionalFormatting sqref="M18:N21">
    <cfRule type="cellIs" dxfId="42" priority="38" operator="lessThan">
      <formula>-0.2</formula>
    </cfRule>
    <cfRule type="cellIs" dxfId="41" priority="39" operator="between">
      <formula>0</formula>
      <formula>0.1</formula>
    </cfRule>
    <cfRule type="cellIs" dxfId="40" priority="40" operator="between">
      <formula>0.1</formula>
      <formula>0.2</formula>
    </cfRule>
    <cfRule type="cellIs" dxfId="39" priority="41" operator="greaterThan">
      <formula>0.2</formula>
    </cfRule>
  </conditionalFormatting>
  <conditionalFormatting sqref="M18:N21">
    <cfRule type="cellIs" dxfId="38" priority="36" operator="between">
      <formula>0</formula>
      <formula>-0.1</formula>
    </cfRule>
    <cfRule type="cellIs" dxfId="37" priority="37" operator="between">
      <formula>-0.1</formula>
      <formula>-0.2</formula>
    </cfRule>
  </conditionalFormatting>
  <conditionalFormatting sqref="K7">
    <cfRule type="cellIs" dxfId="36" priority="34" operator="lessThan">
      <formula>0</formula>
    </cfRule>
    <cfRule type="cellIs" dxfId="35" priority="35" operator="greaterThan">
      <formula>0</formula>
    </cfRule>
  </conditionalFormatting>
  <conditionalFormatting sqref="L7:O7">
    <cfRule type="cellIs" dxfId="34" priority="32" operator="lessThan">
      <formula>0</formula>
    </cfRule>
    <cfRule type="cellIs" dxfId="33" priority="33" operator="greaterThan">
      <formula>0</formula>
    </cfRule>
  </conditionalFormatting>
  <conditionalFormatting sqref="P7">
    <cfRule type="expression" dxfId="32" priority="30">
      <formula>$P$7="Negative"</formula>
    </cfRule>
    <cfRule type="expression" dxfId="31" priority="31">
      <formula>$P$7="Positive"</formula>
    </cfRule>
  </conditionalFormatting>
  <conditionalFormatting sqref="Q7:R7">
    <cfRule type="expression" dxfId="30" priority="28">
      <formula>$P$7="Negative"</formula>
    </cfRule>
    <cfRule type="expression" dxfId="29" priority="29">
      <formula>$P$7="Positive"</formula>
    </cfRule>
  </conditionalFormatting>
  <conditionalFormatting sqref="S7">
    <cfRule type="cellIs" dxfId="28" priority="26" operator="lessThan">
      <formula>0</formula>
    </cfRule>
    <cfRule type="cellIs" dxfId="27" priority="27" operator="greaterThan">
      <formula>0</formula>
    </cfRule>
  </conditionalFormatting>
  <conditionalFormatting sqref="T7">
    <cfRule type="cellIs" dxfId="26" priority="24" operator="lessThan">
      <formula>0</formula>
    </cfRule>
    <cfRule type="cellIs" dxfId="25" priority="25" operator="greaterThan">
      <formula>0</formula>
    </cfRule>
  </conditionalFormatting>
  <conditionalFormatting sqref="X7:AD7">
    <cfRule type="cellIs" dxfId="24" priority="22" operator="lessThan">
      <formula>0</formula>
    </cfRule>
    <cfRule type="cellIs" dxfId="23" priority="23"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99">
      <formula>$P11&gt;=N11</formula>
    </cfRule>
    <cfRule type="expression" dxfId="0" priority="100">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K5" sqref="K5"/>
    </sheetView>
  </sheetViews>
  <sheetFormatPr defaultRowHeight="15" x14ac:dyDescent="0.25"/>
  <cols>
    <col min="1" max="1" width="26.85546875" style="6" bestFit="1" customWidth="1"/>
    <col min="2" max="6" width="13.5703125" style="6" customWidth="1"/>
    <col min="7" max="11" width="13.5703125" style="6" bestFit="1" customWidth="1"/>
    <col min="12" max="16384" width="9.140625" style="6"/>
  </cols>
  <sheetData>
    <row r="1" spans="1:11" s="8" customFormat="1" x14ac:dyDescent="0.25">
      <c r="A1" s="8" t="str">
        <f>'Balance Sheet'!A1</f>
        <v>8K MILES SOFTWARE SERVICES LTD</v>
      </c>
      <c r="E1" t="str">
        <f>UPDATE</f>
        <v/>
      </c>
      <c r="F1"/>
      <c r="J1" s="4" t="s">
        <v>1</v>
      </c>
      <c r="K1" s="4"/>
    </row>
    <row r="3" spans="1:11" s="2" customFormat="1" x14ac:dyDescent="0.25">
      <c r="A3" s="15" t="s">
        <v>2</v>
      </c>
      <c r="B3" s="16">
        <f>'Data Sheet'!B81</f>
        <v>39903</v>
      </c>
      <c r="C3" s="16">
        <f>'Data Sheet'!C81</f>
        <v>40268</v>
      </c>
      <c r="D3" s="16">
        <f>'Data Sheet'!D81</f>
        <v>40633</v>
      </c>
      <c r="E3" s="16">
        <f>'Data Sheet'!E81</f>
        <v>40999</v>
      </c>
      <c r="F3" s="16">
        <f>'Data Sheet'!F81</f>
        <v>41364</v>
      </c>
      <c r="G3" s="16">
        <f>'Data Sheet'!G81</f>
        <v>41729</v>
      </c>
      <c r="H3" s="16">
        <f>'Data Sheet'!H81</f>
        <v>42094</v>
      </c>
      <c r="I3" s="16">
        <f>'Data Sheet'!I81</f>
        <v>42460</v>
      </c>
      <c r="J3" s="16">
        <f>'Data Sheet'!J81</f>
        <v>42825</v>
      </c>
      <c r="K3" s="16">
        <f>'Data Sheet'!K81</f>
        <v>43190</v>
      </c>
    </row>
    <row r="4" spans="1:11" s="8" customFormat="1" x14ac:dyDescent="0.25">
      <c r="A4" s="8" t="s">
        <v>32</v>
      </c>
      <c r="B4" s="1">
        <f>'Data Sheet'!B82</f>
        <v>0</v>
      </c>
      <c r="C4" s="1">
        <f>'Data Sheet'!C82</f>
        <v>0</v>
      </c>
      <c r="D4" s="1">
        <f>'Data Sheet'!D82</f>
        <v>11.4</v>
      </c>
      <c r="E4" s="1">
        <f>'Data Sheet'!E82</f>
        <v>-3.35</v>
      </c>
      <c r="F4" s="1">
        <f>'Data Sheet'!F82</f>
        <v>-7.42</v>
      </c>
      <c r="G4" s="1">
        <f>'Data Sheet'!G82</f>
        <v>12.16</v>
      </c>
      <c r="H4" s="1">
        <f>'Data Sheet'!H82</f>
        <v>26.08</v>
      </c>
      <c r="I4" s="1">
        <f>'Data Sheet'!I82</f>
        <v>18.89</v>
      </c>
      <c r="J4" s="1">
        <f>'Data Sheet'!J82</f>
        <v>71.73</v>
      </c>
      <c r="K4" s="1">
        <f>'Data Sheet'!K82</f>
        <v>125.1</v>
      </c>
    </row>
    <row r="5" spans="1:11" x14ac:dyDescent="0.25">
      <c r="A5" s="6" t="s">
        <v>33</v>
      </c>
      <c r="B5" s="9">
        <f>'Data Sheet'!B83</f>
        <v>0</v>
      </c>
      <c r="C5" s="9">
        <f>'Data Sheet'!C83</f>
        <v>0</v>
      </c>
      <c r="D5" s="9">
        <f>'Data Sheet'!D83</f>
        <v>-18.8</v>
      </c>
      <c r="E5" s="9">
        <f>'Data Sheet'!E83</f>
        <v>-3.77</v>
      </c>
      <c r="F5" s="9">
        <f>'Data Sheet'!F83</f>
        <v>-2.0699999999999998</v>
      </c>
      <c r="G5" s="9">
        <f>'Data Sheet'!G83</f>
        <v>-57.5</v>
      </c>
      <c r="H5" s="9">
        <f>'Data Sheet'!H83</f>
        <v>-36.65</v>
      </c>
      <c r="I5" s="9">
        <f>'Data Sheet'!I83</f>
        <v>-85.71</v>
      </c>
      <c r="J5" s="9">
        <f>'Data Sheet'!J83</f>
        <v>-56.67</v>
      </c>
      <c r="K5" s="9">
        <f>'Data Sheet'!K83</f>
        <v>-238.07</v>
      </c>
    </row>
    <row r="6" spans="1:11" x14ac:dyDescent="0.25">
      <c r="A6" s="6" t="s">
        <v>34</v>
      </c>
      <c r="B6" s="9">
        <f>'Data Sheet'!B84</f>
        <v>0</v>
      </c>
      <c r="C6" s="9">
        <f>'Data Sheet'!C84</f>
        <v>0</v>
      </c>
      <c r="D6" s="9">
        <f>'Data Sheet'!D84</f>
        <v>7.84</v>
      </c>
      <c r="E6" s="9">
        <f>'Data Sheet'!E84</f>
        <v>9.65</v>
      </c>
      <c r="F6" s="9">
        <f>'Data Sheet'!F84</f>
        <v>7.96</v>
      </c>
      <c r="G6" s="9">
        <f>'Data Sheet'!G84</f>
        <v>48.73</v>
      </c>
      <c r="H6" s="9">
        <f>'Data Sheet'!H84</f>
        <v>20.52</v>
      </c>
      <c r="I6" s="9">
        <f>'Data Sheet'!I84</f>
        <v>80.59</v>
      </c>
      <c r="J6" s="9">
        <f>'Data Sheet'!J84</f>
        <v>45.49</v>
      </c>
      <c r="K6" s="9">
        <f>'Data Sheet'!K84</f>
        <v>34.369999999999997</v>
      </c>
    </row>
    <row r="7" spans="1:11" s="8" customFormat="1" x14ac:dyDescent="0.25">
      <c r="A7" s="8" t="s">
        <v>35</v>
      </c>
      <c r="B7" s="1">
        <f>'Data Sheet'!B85</f>
        <v>0</v>
      </c>
      <c r="C7" s="1">
        <f>'Data Sheet'!C85</f>
        <v>0</v>
      </c>
      <c r="D7" s="1">
        <f>'Data Sheet'!D85</f>
        <v>0.44</v>
      </c>
      <c r="E7" s="1">
        <f>'Data Sheet'!E85</f>
        <v>2.5299999999999998</v>
      </c>
      <c r="F7" s="1">
        <f>'Data Sheet'!F85</f>
        <v>-1.53</v>
      </c>
      <c r="G7" s="1">
        <f>'Data Sheet'!G85</f>
        <v>3.39</v>
      </c>
      <c r="H7" s="1">
        <f>'Data Sheet'!H85</f>
        <v>9.9499999999999993</v>
      </c>
      <c r="I7" s="1">
        <f>'Data Sheet'!I85</f>
        <v>13.77</v>
      </c>
      <c r="J7" s="1">
        <f>'Data Sheet'!J85</f>
        <v>60.54</v>
      </c>
      <c r="K7" s="1">
        <f>'Data Sheet'!K85</f>
        <v>-78.599999999999994</v>
      </c>
    </row>
    <row r="8" spans="1:11"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
  <sheetViews>
    <sheetView workbookViewId="0">
      <selection activeCell="B13" sqref="B13"/>
    </sheetView>
  </sheetViews>
  <sheetFormatPr defaultRowHeight="15" x14ac:dyDescent="0.2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3" width="1.140625" customWidth="1"/>
    <col min="14" max="14" width="33.42578125" customWidth="1"/>
    <col min="15" max="15" width="10.140625" customWidth="1"/>
    <col min="16" max="16" width="2.5703125" customWidth="1"/>
    <col min="17" max="17" width="24.85546875" bestFit="1" customWidth="1"/>
    <col min="18" max="18" width="13.7109375" customWidth="1"/>
  </cols>
  <sheetData>
    <row r="1" spans="1:19" ht="11.25" customHeight="1" x14ac:dyDescent="0.25">
      <c r="A1" s="460" t="str">
        <f>CONCATENATE('Data Sheet'!B1,"    : 3-Stage DCF")</f>
        <v>8K MILES SOFTWARE SERVICES LTD    : 3-Stage DCF</v>
      </c>
      <c r="B1" s="461"/>
      <c r="C1" s="462"/>
      <c r="D1" s="37"/>
      <c r="E1" s="16"/>
      <c r="F1" s="16"/>
      <c r="G1" s="16"/>
      <c r="H1" s="16"/>
      <c r="I1" s="16"/>
      <c r="J1" s="16"/>
      <c r="K1" s="16"/>
      <c r="L1" s="16"/>
    </row>
    <row r="2" spans="1:19" ht="4.5" customHeight="1" thickBot="1" x14ac:dyDescent="0.3">
      <c r="A2" s="463"/>
      <c r="B2" s="464"/>
      <c r="C2" s="465"/>
      <c r="D2" s="37"/>
      <c r="M2" s="38"/>
    </row>
    <row r="3" spans="1:19" x14ac:dyDescent="0.25">
      <c r="A3" s="466" t="s">
        <v>114</v>
      </c>
      <c r="B3" s="466"/>
      <c r="C3" s="466"/>
      <c r="D3" s="458" t="s">
        <v>115</v>
      </c>
      <c r="E3" s="458"/>
      <c r="F3" s="35">
        <f>Analysis2!B24</f>
        <v>0.20208657152277332</v>
      </c>
      <c r="G3" s="39" t="s">
        <v>116</v>
      </c>
      <c r="H3" s="39"/>
      <c r="I3" s="40">
        <f>Analysis2!H14</f>
        <v>0.72893602144272229</v>
      </c>
      <c r="M3" s="38"/>
      <c r="N3" s="467" t="s">
        <v>117</v>
      </c>
      <c r="O3" s="468"/>
      <c r="P3" s="37"/>
      <c r="Q3" s="467" t="s">
        <v>118</v>
      </c>
      <c r="R3" s="468"/>
      <c r="S3" s="37"/>
    </row>
    <row r="4" spans="1:19" ht="15" customHeight="1" x14ac:dyDescent="0.25">
      <c r="A4" s="37" t="s">
        <v>119</v>
      </c>
      <c r="B4" s="33">
        <f>Analysis2!K13/3</f>
        <v>-43.533333333333331</v>
      </c>
      <c r="C4" s="37"/>
      <c r="D4" s="458" t="s">
        <v>120</v>
      </c>
      <c r="E4" s="458"/>
      <c r="F4" s="35">
        <f>AVERAGE('Financial Analysis'!E31:K31)</f>
        <v>0.16472640576802469</v>
      </c>
      <c r="G4" s="458" t="s">
        <v>121</v>
      </c>
      <c r="H4" s="458"/>
      <c r="I4" s="40">
        <f>Analysis2!H12</f>
        <v>0.74531901156306857</v>
      </c>
      <c r="M4" s="38"/>
      <c r="N4" s="41" t="s">
        <v>122</v>
      </c>
      <c r="O4" s="42">
        <f>(B45*B30)+B45</f>
        <v>46.0938395352523</v>
      </c>
      <c r="P4" s="37"/>
      <c r="Q4" s="41" t="s">
        <v>122</v>
      </c>
      <c r="R4" s="42">
        <f>(G45*B31)+G45</f>
        <v>36.152031008041021</v>
      </c>
      <c r="S4" s="37"/>
    </row>
    <row r="5" spans="1:19" x14ac:dyDescent="0.25">
      <c r="A5" s="43" t="s">
        <v>123</v>
      </c>
      <c r="B5" s="44">
        <f>'Financial Analysis'!N46</f>
        <v>0.32426109548197446</v>
      </c>
      <c r="C5" s="37"/>
      <c r="D5" s="458" t="s">
        <v>124</v>
      </c>
      <c r="E5" s="458"/>
      <c r="F5" s="45">
        <f>'Financial Analysis'!L79</f>
        <v>0</v>
      </c>
      <c r="G5" s="458" t="s">
        <v>125</v>
      </c>
      <c r="H5" s="458"/>
      <c r="I5" s="46">
        <f>Other_input_data!M56</f>
        <v>0</v>
      </c>
      <c r="J5" s="47"/>
      <c r="K5" s="47"/>
      <c r="L5" s="47"/>
      <c r="M5" s="47"/>
      <c r="N5" s="48" t="s">
        <v>126</v>
      </c>
      <c r="O5" s="42">
        <f>SUM(D36:D45)</f>
        <v>277.67322567053054</v>
      </c>
      <c r="Q5" s="48" t="s">
        <v>126</v>
      </c>
      <c r="R5" s="42">
        <f>SUM(I36:I45)</f>
        <v>222.13858053642446</v>
      </c>
    </row>
    <row r="6" spans="1:19" x14ac:dyDescent="0.25">
      <c r="A6" s="43" t="s">
        <v>127</v>
      </c>
      <c r="B6" s="49">
        <v>0.2</v>
      </c>
      <c r="C6" s="37"/>
      <c r="D6" s="458" t="s">
        <v>128</v>
      </c>
      <c r="E6" s="458"/>
      <c r="F6" s="50">
        <f>AVERAGE('Financial Analysis'!G79:K79)</f>
        <v>5.8389968411984303E-3</v>
      </c>
      <c r="G6" s="458" t="s">
        <v>129</v>
      </c>
      <c r="H6" s="458"/>
      <c r="I6" s="51">
        <v>0.24</v>
      </c>
      <c r="N6" s="41" t="s">
        <v>130</v>
      </c>
      <c r="O6" s="42">
        <f>((O4)/($B$28-$B$30))/(1+$B$28)^A45</f>
        <v>222.13963146072697</v>
      </c>
      <c r="Q6" s="41" t="s">
        <v>130</v>
      </c>
      <c r="R6" s="42">
        <f>((R4)/($B$29-$B$31))/(1+$B$29)^F45</f>
        <v>139.38172954398556</v>
      </c>
    </row>
    <row r="7" spans="1:19" x14ac:dyDescent="0.25">
      <c r="A7" t="s">
        <v>131</v>
      </c>
      <c r="B7" s="52">
        <f>AVERAGE(Other_input_data!D30:M30)/AVERAGE(Other_input_data!D56:M56)</f>
        <v>8.9151411524159133E-2</v>
      </c>
      <c r="C7" s="37"/>
      <c r="D7" s="458" t="s">
        <v>132</v>
      </c>
      <c r="E7" s="458"/>
      <c r="F7" s="53">
        <f>Analysis2!K14</f>
        <v>-78.369999999999976</v>
      </c>
      <c r="G7" s="458" t="s">
        <v>10</v>
      </c>
      <c r="H7" s="458"/>
      <c r="I7" s="40">
        <f>AVERAGE('Financial Analysis'!G24:K24)</f>
        <v>9.5681775693807702E-2</v>
      </c>
      <c r="N7" s="41" t="s">
        <v>133</v>
      </c>
      <c r="O7" s="42">
        <f>O5+O6</f>
        <v>499.81285713125749</v>
      </c>
      <c r="P7" s="37"/>
      <c r="Q7" s="41" t="s">
        <v>133</v>
      </c>
      <c r="R7" s="42">
        <f>R5+R6</f>
        <v>361.52031008041001</v>
      </c>
    </row>
    <row r="8" spans="1:19" x14ac:dyDescent="0.25">
      <c r="A8" s="43"/>
      <c r="B8" s="54"/>
      <c r="C8" s="37"/>
      <c r="D8" s="458" t="s">
        <v>134</v>
      </c>
      <c r="E8" s="458"/>
      <c r="F8" s="35">
        <f>Analysis2!B21</f>
        <v>0.60737403944429724</v>
      </c>
      <c r="G8" s="458" t="s">
        <v>135</v>
      </c>
      <c r="H8" s="458"/>
      <c r="I8" s="35">
        <f>Analysis2!B19</f>
        <v>1.0049921848250656</v>
      </c>
      <c r="N8" s="41" t="s">
        <v>136</v>
      </c>
      <c r="O8" s="55">
        <f>B32</f>
        <v>3.0517574899740509</v>
      </c>
      <c r="P8" s="37"/>
      <c r="Q8" s="41" t="s">
        <v>136</v>
      </c>
      <c r="R8" s="55">
        <f>B32</f>
        <v>3.0517574899740509</v>
      </c>
    </row>
    <row r="9" spans="1:19" ht="15.75" thickBot="1" x14ac:dyDescent="0.3">
      <c r="A9" s="43"/>
      <c r="B9" s="54"/>
      <c r="C9" s="37"/>
      <c r="D9" s="39"/>
      <c r="E9" s="39"/>
      <c r="N9" s="56" t="s">
        <v>137</v>
      </c>
      <c r="O9" s="57">
        <f>(O7-B33)/O8</f>
        <v>135.44092493888564</v>
      </c>
      <c r="P9" s="37"/>
      <c r="Q9" s="56" t="s">
        <v>137</v>
      </c>
      <c r="R9" s="57">
        <f>(R7-B33)/R8</f>
        <v>90.12521833205976</v>
      </c>
    </row>
    <row r="10" spans="1:19" ht="13.5" customHeight="1" thickBot="1" x14ac:dyDescent="0.3">
      <c r="A10" s="58" t="s">
        <v>138</v>
      </c>
      <c r="B10" s="59">
        <v>1</v>
      </c>
      <c r="C10" s="59">
        <v>2</v>
      </c>
      <c r="D10" s="60">
        <v>3</v>
      </c>
      <c r="E10" s="61">
        <v>4</v>
      </c>
      <c r="F10" s="61">
        <v>5</v>
      </c>
      <c r="G10" s="61">
        <v>6</v>
      </c>
      <c r="H10" s="61">
        <v>7</v>
      </c>
      <c r="I10" s="61">
        <v>8</v>
      </c>
      <c r="J10" s="61">
        <v>9</v>
      </c>
      <c r="K10" s="61">
        <v>10</v>
      </c>
      <c r="N10" s="62" t="s">
        <v>139</v>
      </c>
      <c r="O10" s="63">
        <f>O5/O7</f>
        <v>0.55555438742467134</v>
      </c>
      <c r="P10" s="64"/>
      <c r="Q10" s="62" t="s">
        <v>139</v>
      </c>
      <c r="R10" s="63">
        <f>R5/R7</f>
        <v>0.61445671057046836</v>
      </c>
      <c r="S10" s="37"/>
    </row>
    <row r="11" spans="1:19" ht="13.5" customHeight="1" x14ac:dyDescent="0.25">
      <c r="A11" s="58" t="s">
        <v>140</v>
      </c>
      <c r="B11" s="49">
        <v>0</v>
      </c>
      <c r="C11" s="49">
        <v>0</v>
      </c>
      <c r="D11" s="49">
        <v>0</v>
      </c>
      <c r="E11" s="49">
        <v>0</v>
      </c>
      <c r="F11" s="49">
        <v>0</v>
      </c>
      <c r="G11" s="49">
        <v>0</v>
      </c>
      <c r="H11" s="49">
        <v>0</v>
      </c>
      <c r="I11" s="49">
        <v>0</v>
      </c>
      <c r="J11" s="49">
        <v>0</v>
      </c>
      <c r="K11" s="49">
        <v>0</v>
      </c>
      <c r="N11" s="62" t="s">
        <v>141</v>
      </c>
      <c r="O11" s="63">
        <f>O6/O7</f>
        <v>0.44444561257532866</v>
      </c>
      <c r="P11" s="64"/>
      <c r="Q11" s="62" t="s">
        <v>141</v>
      </c>
      <c r="R11" s="63">
        <f>R6/R7</f>
        <v>0.3855432894295317</v>
      </c>
      <c r="S11" s="37"/>
    </row>
    <row r="12" spans="1:19" ht="13.5" customHeight="1" x14ac:dyDescent="0.25">
      <c r="A12" s="58" t="s">
        <v>142</v>
      </c>
      <c r="B12" s="65">
        <f>'Data Sheet'!K17*(1+B11)</f>
        <v>849.24</v>
      </c>
      <c r="C12" s="65">
        <f>B12*(1+C11)</f>
        <v>849.24</v>
      </c>
      <c r="D12" s="65">
        <f t="shared" ref="D12:K12" si="0">C12*(1+D11)</f>
        <v>849.24</v>
      </c>
      <c r="E12" s="65">
        <f t="shared" si="0"/>
        <v>849.24</v>
      </c>
      <c r="F12" s="65">
        <f t="shared" si="0"/>
        <v>849.24</v>
      </c>
      <c r="G12" s="65">
        <f t="shared" si="0"/>
        <v>849.24</v>
      </c>
      <c r="H12" s="65">
        <f t="shared" si="0"/>
        <v>849.24</v>
      </c>
      <c r="I12" s="65">
        <f t="shared" si="0"/>
        <v>849.24</v>
      </c>
      <c r="J12" s="65">
        <f t="shared" si="0"/>
        <v>849.24</v>
      </c>
      <c r="K12" s="65">
        <f t="shared" si="0"/>
        <v>849.24</v>
      </c>
      <c r="S12" s="37"/>
    </row>
    <row r="13" spans="1:19" ht="13.5" customHeight="1" x14ac:dyDescent="0.25">
      <c r="A13" s="58" t="s">
        <v>143</v>
      </c>
      <c r="B13" s="66">
        <v>7.2999999999999995E-2</v>
      </c>
      <c r="C13" s="66">
        <v>7.2999999999999995E-2</v>
      </c>
      <c r="D13" s="66">
        <v>7.2999999999999995E-2</v>
      </c>
      <c r="E13" s="66">
        <v>7.2999999999999995E-2</v>
      </c>
      <c r="F13" s="66">
        <v>7.2999999999999995E-2</v>
      </c>
      <c r="G13" s="66">
        <v>7.2999999999999995E-2</v>
      </c>
      <c r="H13" s="66">
        <v>7.2999999999999995E-2</v>
      </c>
      <c r="I13" s="66">
        <v>7.2999999999999995E-2</v>
      </c>
      <c r="J13" s="66">
        <v>7.2999999999999995E-2</v>
      </c>
      <c r="K13" s="66">
        <v>7.2999999999999995E-2</v>
      </c>
      <c r="N13" s="67" t="s">
        <v>144</v>
      </c>
      <c r="O13" s="47">
        <f>'Data Sheet'!B8</f>
        <v>211.95</v>
      </c>
      <c r="Q13" s="67" t="s">
        <v>144</v>
      </c>
      <c r="R13" s="68">
        <f>'Data Sheet'!B8</f>
        <v>211.95</v>
      </c>
    </row>
    <row r="14" spans="1:19" ht="13.5" customHeight="1" x14ac:dyDescent="0.25">
      <c r="A14" s="58" t="s">
        <v>145</v>
      </c>
      <c r="B14" s="69">
        <f>B12*B13</f>
        <v>61.994519999999994</v>
      </c>
      <c r="C14" s="69">
        <f t="shared" ref="C14:K14" si="1">C12*C13</f>
        <v>61.994519999999994</v>
      </c>
      <c r="D14" s="69">
        <f t="shared" si="1"/>
        <v>61.994519999999994</v>
      </c>
      <c r="E14" s="69">
        <f t="shared" si="1"/>
        <v>61.994519999999994</v>
      </c>
      <c r="F14" s="69">
        <f t="shared" si="1"/>
        <v>61.994519999999994</v>
      </c>
      <c r="G14" s="69">
        <f t="shared" si="1"/>
        <v>61.994519999999994</v>
      </c>
      <c r="H14" s="69">
        <f t="shared" si="1"/>
        <v>61.994519999999994</v>
      </c>
      <c r="I14" s="69">
        <f t="shared" si="1"/>
        <v>61.994519999999994</v>
      </c>
      <c r="J14" s="69">
        <f t="shared" si="1"/>
        <v>61.994519999999994</v>
      </c>
      <c r="K14" s="69">
        <f t="shared" si="1"/>
        <v>61.994519999999994</v>
      </c>
    </row>
    <row r="15" spans="1:19" ht="13.5" customHeight="1" x14ac:dyDescent="0.25">
      <c r="A15" s="58" t="s">
        <v>146</v>
      </c>
      <c r="B15" s="69">
        <f t="shared" ref="B15:K15" si="2">MIN($I$3,$I$4)*B14</f>
        <v>45.190038760051273</v>
      </c>
      <c r="C15" s="69">
        <f t="shared" si="2"/>
        <v>45.190038760051273</v>
      </c>
      <c r="D15" s="69">
        <f t="shared" si="2"/>
        <v>45.190038760051273</v>
      </c>
      <c r="E15" s="69">
        <f t="shared" si="2"/>
        <v>45.190038760051273</v>
      </c>
      <c r="F15" s="69">
        <f t="shared" si="2"/>
        <v>45.190038760051273</v>
      </c>
      <c r="G15" s="69">
        <f t="shared" si="2"/>
        <v>45.190038760051273</v>
      </c>
      <c r="H15" s="69">
        <f t="shared" si="2"/>
        <v>45.190038760051273</v>
      </c>
      <c r="I15" s="69">
        <f t="shared" si="2"/>
        <v>45.190038760051273</v>
      </c>
      <c r="J15" s="69">
        <f t="shared" si="2"/>
        <v>45.190038760051273</v>
      </c>
      <c r="K15" s="69">
        <f t="shared" si="2"/>
        <v>45.190038760051273</v>
      </c>
      <c r="N15" s="70" t="s">
        <v>147</v>
      </c>
      <c r="O15" s="71">
        <f>(O9-O13)/O9</f>
        <v>-0.56488889968550615</v>
      </c>
      <c r="Q15" s="70" t="s">
        <v>148</v>
      </c>
      <c r="R15" s="71">
        <f>(R9-R13)/R9</f>
        <v>-1.351728006018091</v>
      </c>
    </row>
    <row r="16" spans="1:19" ht="13.5" customHeight="1" x14ac:dyDescent="0.25">
      <c r="A16" s="58" t="s">
        <v>125</v>
      </c>
      <c r="B16" s="69">
        <f>I5*(1-I7)</f>
        <v>0</v>
      </c>
      <c r="C16" s="69">
        <f>(B16+B21)*(1-$I$7)</f>
        <v>0</v>
      </c>
      <c r="D16" s="69">
        <f t="shared" ref="D16:K16" si="3">(C16+C21)*(1-$I$7)</f>
        <v>0</v>
      </c>
      <c r="E16" s="69">
        <f t="shared" si="3"/>
        <v>0</v>
      </c>
      <c r="F16" s="69">
        <f t="shared" si="3"/>
        <v>0</v>
      </c>
      <c r="G16" s="69">
        <f t="shared" si="3"/>
        <v>0</v>
      </c>
      <c r="H16" s="69">
        <f t="shared" si="3"/>
        <v>0</v>
      </c>
      <c r="I16" s="69">
        <f t="shared" si="3"/>
        <v>0</v>
      </c>
      <c r="J16" s="69">
        <f t="shared" si="3"/>
        <v>0</v>
      </c>
      <c r="K16" s="69">
        <f t="shared" si="3"/>
        <v>0</v>
      </c>
    </row>
    <row r="17" spans="1:18" ht="13.5" customHeight="1" x14ac:dyDescent="0.25">
      <c r="A17" s="58" t="s">
        <v>149</v>
      </c>
      <c r="B17" s="72">
        <f>AVERAGE($B$7*(B11/$I$8),$B$7)</f>
        <v>4.4575705762079566E-2</v>
      </c>
      <c r="C17" s="72">
        <f t="shared" ref="C17:K17" si="4">AVERAGE($B$7*(C11/$I$8),$B$7)</f>
        <v>4.4575705762079566E-2</v>
      </c>
      <c r="D17" s="72">
        <f t="shared" si="4"/>
        <v>4.4575705762079566E-2</v>
      </c>
      <c r="E17" s="72">
        <f t="shared" si="4"/>
        <v>4.4575705762079566E-2</v>
      </c>
      <c r="F17" s="72">
        <f t="shared" si="4"/>
        <v>4.4575705762079566E-2</v>
      </c>
      <c r="G17" s="72">
        <f t="shared" si="4"/>
        <v>4.4575705762079566E-2</v>
      </c>
      <c r="H17" s="72">
        <f t="shared" si="4"/>
        <v>4.4575705762079566E-2</v>
      </c>
      <c r="I17" s="72">
        <f t="shared" si="4"/>
        <v>4.4575705762079566E-2</v>
      </c>
      <c r="J17" s="72">
        <f t="shared" si="4"/>
        <v>4.4575705762079566E-2</v>
      </c>
      <c r="K17" s="72">
        <f t="shared" si="4"/>
        <v>4.4575705762079566E-2</v>
      </c>
      <c r="N17" t="str">
        <f>'PE Forecast'!D13</f>
        <v>Aggressive PE 2 Quarters Forward</v>
      </c>
      <c r="O17" s="33">
        <f>'PE Forecast'!E13</f>
        <v>2.3478658455951833</v>
      </c>
      <c r="Q17" s="73" t="s">
        <v>150</v>
      </c>
      <c r="R17" s="71">
        <f>($O$20-O17)/$O$20</f>
        <v>0.9114429661543485</v>
      </c>
    </row>
    <row r="18" spans="1:18" ht="13.5" customHeight="1" x14ac:dyDescent="0.25">
      <c r="A18" s="58" t="s">
        <v>151</v>
      </c>
      <c r="B18" s="74">
        <v>-0.4</v>
      </c>
      <c r="C18" s="74">
        <v>-0.4</v>
      </c>
      <c r="D18" s="74">
        <v>-0.6</v>
      </c>
      <c r="E18" s="74">
        <v>0</v>
      </c>
      <c r="F18" s="74">
        <v>0</v>
      </c>
      <c r="G18" s="74">
        <v>0.5</v>
      </c>
      <c r="H18" s="74">
        <v>2.1</v>
      </c>
      <c r="I18" s="74">
        <v>-0.4</v>
      </c>
      <c r="J18" s="74">
        <v>-0.4</v>
      </c>
      <c r="K18" s="74">
        <v>-0.6</v>
      </c>
      <c r="N18" t="str">
        <f>'PE Forecast'!D14</f>
        <v>Moderate PE 2 Quarters Forward</v>
      </c>
      <c r="O18" s="33">
        <f>'PE Forecast'!E14</f>
        <v>2.6016871058561595</v>
      </c>
      <c r="Q18" s="73" t="s">
        <v>152</v>
      </c>
      <c r="R18" s="71">
        <f>($O$20-O18)/$O$20</f>
        <v>0.90186931100797485</v>
      </c>
    </row>
    <row r="19" spans="1:18" ht="13.5" customHeight="1" x14ac:dyDescent="0.25">
      <c r="A19" s="58" t="s">
        <v>153</v>
      </c>
      <c r="B19" s="75">
        <f>B17*B18</f>
        <v>-1.7830282304831826E-2</v>
      </c>
      <c r="C19" s="75">
        <f t="shared" ref="C19:K19" si="5">C17*C18</f>
        <v>-1.7830282304831826E-2</v>
      </c>
      <c r="D19" s="75">
        <f t="shared" si="5"/>
        <v>-2.674542345724774E-2</v>
      </c>
      <c r="E19" s="75">
        <f t="shared" si="5"/>
        <v>0</v>
      </c>
      <c r="F19" s="75">
        <f t="shared" si="5"/>
        <v>0</v>
      </c>
      <c r="G19" s="75">
        <f t="shared" si="5"/>
        <v>2.2287852881039783E-2</v>
      </c>
      <c r="H19" s="75">
        <f t="shared" si="5"/>
        <v>9.3608982100367097E-2</v>
      </c>
      <c r="I19" s="75">
        <f t="shared" si="5"/>
        <v>-1.7830282304831826E-2</v>
      </c>
      <c r="J19" s="75">
        <f t="shared" si="5"/>
        <v>-1.7830282304831826E-2</v>
      </c>
      <c r="K19" s="75">
        <f t="shared" si="5"/>
        <v>-2.674542345724774E-2</v>
      </c>
      <c r="N19" t="str">
        <f>'PE Forecast'!D15</f>
        <v>Conservative PE 2 Quarters Forward</v>
      </c>
      <c r="O19" s="33">
        <f>'PE Forecast'!E15</f>
        <v>3.1052345370818757</v>
      </c>
      <c r="Q19" s="73" t="s">
        <v>154</v>
      </c>
      <c r="R19" s="71">
        <f>($O$20-O19)/$O$20</f>
        <v>0.88287645969425654</v>
      </c>
    </row>
    <row r="20" spans="1:18" ht="13.5" customHeight="1" x14ac:dyDescent="0.25">
      <c r="A20" s="58" t="s">
        <v>155</v>
      </c>
      <c r="B20" s="75">
        <f>B17+B19</f>
        <v>2.674542345724774E-2</v>
      </c>
      <c r="C20" s="75">
        <f t="shared" ref="C20:K20" si="6">C17+C19</f>
        <v>2.674542345724774E-2</v>
      </c>
      <c r="D20" s="75">
        <f t="shared" si="6"/>
        <v>1.7830282304831826E-2</v>
      </c>
      <c r="E20" s="75">
        <f t="shared" si="6"/>
        <v>4.4575705762079566E-2</v>
      </c>
      <c r="F20" s="75">
        <f t="shared" si="6"/>
        <v>4.4575705762079566E-2</v>
      </c>
      <c r="G20" s="75">
        <f t="shared" si="6"/>
        <v>6.6863558643119353E-2</v>
      </c>
      <c r="H20" s="75">
        <f t="shared" si="6"/>
        <v>0.13818468786244667</v>
      </c>
      <c r="I20" s="75">
        <f t="shared" si="6"/>
        <v>2.674542345724774E-2</v>
      </c>
      <c r="J20" s="75">
        <f t="shared" si="6"/>
        <v>2.674542345724774E-2</v>
      </c>
      <c r="K20" s="75">
        <f t="shared" si="6"/>
        <v>1.7830282304831826E-2</v>
      </c>
      <c r="N20" t="s">
        <v>156</v>
      </c>
      <c r="O20" s="76">
        <f>Analysis2!B5</f>
        <v>26.512471608831689</v>
      </c>
      <c r="P20" s="64"/>
      <c r="R20" s="64"/>
    </row>
    <row r="21" spans="1:18" ht="13.5" customHeight="1" x14ac:dyDescent="0.25">
      <c r="A21" s="58" t="s">
        <v>157</v>
      </c>
      <c r="B21" s="69">
        <f>B20*B16</f>
        <v>0</v>
      </c>
      <c r="C21" s="69">
        <f t="shared" ref="C21:K21" si="7">C20*C16</f>
        <v>0</v>
      </c>
      <c r="D21" s="69">
        <f t="shared" si="7"/>
        <v>0</v>
      </c>
      <c r="E21" s="69">
        <f t="shared" si="7"/>
        <v>0</v>
      </c>
      <c r="F21" s="69">
        <f t="shared" si="7"/>
        <v>0</v>
      </c>
      <c r="G21" s="69">
        <f t="shared" si="7"/>
        <v>0</v>
      </c>
      <c r="H21" s="69">
        <f t="shared" si="7"/>
        <v>0</v>
      </c>
      <c r="I21" s="69">
        <f t="shared" si="7"/>
        <v>0</v>
      </c>
      <c r="J21" s="69">
        <f t="shared" si="7"/>
        <v>0</v>
      </c>
      <c r="K21" s="69">
        <f t="shared" si="7"/>
        <v>0</v>
      </c>
      <c r="P21" s="64"/>
      <c r="Q21" s="77" t="s">
        <v>158</v>
      </c>
      <c r="R21" s="76">
        <f>'Data Sheet'!B9/('Data Sheet'!K57+'Data Sheet'!K58)</f>
        <v>1.31708409692527</v>
      </c>
    </row>
    <row r="22" spans="1:18" ht="13.5" customHeight="1" x14ac:dyDescent="0.25">
      <c r="A22" s="58" t="s">
        <v>159</v>
      </c>
      <c r="B22" s="78">
        <v>0</v>
      </c>
      <c r="C22" s="78">
        <v>0</v>
      </c>
      <c r="D22" s="78">
        <v>0</v>
      </c>
      <c r="E22" s="78">
        <v>0.1</v>
      </c>
      <c r="F22" s="78">
        <v>0</v>
      </c>
      <c r="G22" s="78">
        <v>0</v>
      </c>
      <c r="H22" s="78">
        <v>0</v>
      </c>
      <c r="I22" s="78">
        <v>0.1</v>
      </c>
      <c r="J22" s="78">
        <v>0</v>
      </c>
      <c r="K22" s="78">
        <v>0</v>
      </c>
      <c r="N22" s="79" t="s">
        <v>160</v>
      </c>
      <c r="O22" s="80">
        <v>1.2</v>
      </c>
      <c r="P22" s="64"/>
      <c r="Q22" s="77" t="s">
        <v>161</v>
      </c>
      <c r="R22" s="81">
        <f>Analysis2!C5</f>
        <v>5.4236874295505126</v>
      </c>
    </row>
    <row r="23" spans="1:18" ht="13.5" customHeight="1" x14ac:dyDescent="0.25">
      <c r="A23" s="58" t="s">
        <v>162</v>
      </c>
      <c r="B23" s="69">
        <f>B14*($F$5*(1+B22))</f>
        <v>0</v>
      </c>
      <c r="C23" s="69">
        <f t="shared" ref="C23:K23" si="8">C14*($F$5*(1+C22))</f>
        <v>0</v>
      </c>
      <c r="D23" s="69">
        <f t="shared" si="8"/>
        <v>0</v>
      </c>
      <c r="E23" s="69">
        <f t="shared" si="8"/>
        <v>0</v>
      </c>
      <c r="F23" s="69">
        <f t="shared" si="8"/>
        <v>0</v>
      </c>
      <c r="G23" s="69">
        <f t="shared" si="8"/>
        <v>0</v>
      </c>
      <c r="H23" s="69">
        <f t="shared" si="8"/>
        <v>0</v>
      </c>
      <c r="I23" s="69">
        <f t="shared" si="8"/>
        <v>0</v>
      </c>
      <c r="J23" s="69">
        <f t="shared" si="8"/>
        <v>0</v>
      </c>
      <c r="K23" s="69">
        <f t="shared" si="8"/>
        <v>0</v>
      </c>
      <c r="N23" s="79" t="s">
        <v>163</v>
      </c>
      <c r="O23" s="80">
        <v>1</v>
      </c>
      <c r="P23" s="64"/>
      <c r="Q23" t="s">
        <v>164</v>
      </c>
      <c r="R23" s="52">
        <f>(('Data Sheet'!K57+'Data Sheet'!K58)-('Data Sheet'!J57+'Data Sheet'!J58))/('Data Sheet'!J57+'Data Sheet'!J58)</f>
        <v>0.53492733239568679</v>
      </c>
    </row>
    <row r="24" spans="1:18" ht="13.5" customHeight="1" x14ac:dyDescent="0.25">
      <c r="A24" s="58" t="s">
        <v>165</v>
      </c>
      <c r="B24" s="69">
        <f>B15-B21</f>
        <v>45.190038760051273</v>
      </c>
      <c r="C24" s="69">
        <f t="shared" ref="C24:K24" si="9">C15-C21</f>
        <v>45.190038760051273</v>
      </c>
      <c r="D24" s="69">
        <f t="shared" si="9"/>
        <v>45.190038760051273</v>
      </c>
      <c r="E24" s="69">
        <f t="shared" si="9"/>
        <v>45.190038760051273</v>
      </c>
      <c r="F24" s="69">
        <f t="shared" si="9"/>
        <v>45.190038760051273</v>
      </c>
      <c r="G24" s="69">
        <f t="shared" si="9"/>
        <v>45.190038760051273</v>
      </c>
      <c r="H24" s="69">
        <f t="shared" si="9"/>
        <v>45.190038760051273</v>
      </c>
      <c r="I24" s="69">
        <f t="shared" si="9"/>
        <v>45.190038760051273</v>
      </c>
      <c r="J24" s="69">
        <f t="shared" si="9"/>
        <v>45.190038760051273</v>
      </c>
      <c r="K24" s="69">
        <f t="shared" si="9"/>
        <v>45.190038760051273</v>
      </c>
      <c r="N24" s="79" t="s">
        <v>166</v>
      </c>
      <c r="O24" s="80">
        <v>0.7</v>
      </c>
      <c r="P24" s="64"/>
      <c r="Q24" t="s">
        <v>167</v>
      </c>
      <c r="R24" s="82">
        <f>'Data Sheet'!B9/(('Data Sheet'!K57+'Data Sheet'!K58)*(1+R23))</f>
        <v>0.85807586400171076</v>
      </c>
    </row>
    <row r="25" spans="1:18" ht="13.5" customHeight="1" x14ac:dyDescent="0.25">
      <c r="A25" s="58" t="s">
        <v>168</v>
      </c>
      <c r="B25" s="69">
        <f t="shared" ref="B25:K25" si="10">B24*(1-$B$6)</f>
        <v>36.152031008041021</v>
      </c>
      <c r="C25" s="69">
        <f t="shared" si="10"/>
        <v>36.152031008041021</v>
      </c>
      <c r="D25" s="69">
        <f t="shared" si="10"/>
        <v>36.152031008041021</v>
      </c>
      <c r="E25" s="69">
        <f t="shared" si="10"/>
        <v>36.152031008041021</v>
      </c>
      <c r="F25" s="69">
        <f t="shared" si="10"/>
        <v>36.152031008041021</v>
      </c>
      <c r="G25" s="69">
        <f t="shared" si="10"/>
        <v>36.152031008041021</v>
      </c>
      <c r="H25" s="69">
        <f t="shared" si="10"/>
        <v>36.152031008041021</v>
      </c>
      <c r="I25" s="69">
        <f t="shared" si="10"/>
        <v>36.152031008041021</v>
      </c>
      <c r="J25" s="69">
        <f t="shared" si="10"/>
        <v>36.152031008041021</v>
      </c>
      <c r="K25" s="69">
        <f t="shared" si="10"/>
        <v>36.152031008041021</v>
      </c>
      <c r="P25" s="64"/>
    </row>
    <row r="26" spans="1:18" x14ac:dyDescent="0.25">
      <c r="A26" s="43" t="s">
        <v>169</v>
      </c>
      <c r="B26" s="44">
        <f>(B24-F7)/F7</f>
        <v>-1.5766242026292112</v>
      </c>
      <c r="C26" s="44">
        <f>(C24-B24)/B24</f>
        <v>0</v>
      </c>
      <c r="D26" s="44">
        <f t="shared" ref="D26:K27" si="11">(D24-C24)/C24</f>
        <v>0</v>
      </c>
      <c r="E26" s="44">
        <f t="shared" si="11"/>
        <v>0</v>
      </c>
      <c r="F26" s="44">
        <f t="shared" si="11"/>
        <v>0</v>
      </c>
      <c r="G26" s="44">
        <f t="shared" si="11"/>
        <v>0</v>
      </c>
      <c r="H26" s="44">
        <f t="shared" si="11"/>
        <v>0</v>
      </c>
      <c r="I26" s="44">
        <f t="shared" si="11"/>
        <v>0</v>
      </c>
      <c r="J26" s="44">
        <f t="shared" si="11"/>
        <v>0</v>
      </c>
      <c r="K26" s="44">
        <f t="shared" si="11"/>
        <v>0</v>
      </c>
      <c r="P26" s="64"/>
      <c r="Q26" s="73" t="s">
        <v>170</v>
      </c>
      <c r="R26" s="83">
        <f>(R22-R21)/R22</f>
        <v>0.75716076672316213</v>
      </c>
    </row>
    <row r="27" spans="1:18" x14ac:dyDescent="0.25">
      <c r="A27" s="43" t="s">
        <v>171</v>
      </c>
      <c r="B27" s="44">
        <f>(B25-$F$7)/$F$7</f>
        <v>-1.461299362103369</v>
      </c>
      <c r="C27" s="44">
        <f>(C25-B25)/B25</f>
        <v>0</v>
      </c>
      <c r="D27" s="44">
        <f t="shared" si="11"/>
        <v>0</v>
      </c>
      <c r="E27" s="44">
        <f t="shared" si="11"/>
        <v>0</v>
      </c>
      <c r="F27" s="44">
        <f t="shared" si="11"/>
        <v>0</v>
      </c>
      <c r="G27" s="44">
        <f t="shared" si="11"/>
        <v>0</v>
      </c>
      <c r="H27" s="44">
        <f t="shared" si="11"/>
        <v>0</v>
      </c>
      <c r="I27" s="44">
        <f t="shared" si="11"/>
        <v>0</v>
      </c>
      <c r="J27" s="44">
        <f t="shared" si="11"/>
        <v>0</v>
      </c>
      <c r="K27" s="44">
        <f t="shared" si="11"/>
        <v>0</v>
      </c>
      <c r="P27" s="64"/>
      <c r="Q27" s="73" t="s">
        <v>172</v>
      </c>
      <c r="R27" s="83">
        <f>(R22-R24)/R22</f>
        <v>0.84179105541249388</v>
      </c>
    </row>
    <row r="28" spans="1:18" x14ac:dyDescent="0.25">
      <c r="A28" s="43" t="s">
        <v>173</v>
      </c>
      <c r="B28" s="49">
        <v>0.1</v>
      </c>
      <c r="C28" s="84"/>
      <c r="D28" s="84"/>
    </row>
    <row r="29" spans="1:18" x14ac:dyDescent="0.25">
      <c r="A29" s="43" t="s">
        <v>174</v>
      </c>
      <c r="B29" s="49">
        <v>0.1</v>
      </c>
      <c r="C29" s="84"/>
      <c r="D29" s="84"/>
    </row>
    <row r="30" spans="1:18" x14ac:dyDescent="0.25">
      <c r="A30" s="43" t="s">
        <v>175</v>
      </c>
      <c r="B30" s="49">
        <v>0.02</v>
      </c>
      <c r="C30" s="84"/>
      <c r="D30" s="84"/>
      <c r="M30" s="85"/>
    </row>
    <row r="31" spans="1:18" x14ac:dyDescent="0.25">
      <c r="A31" s="43" t="s">
        <v>176</v>
      </c>
      <c r="B31" s="49">
        <v>0</v>
      </c>
      <c r="C31" s="84"/>
      <c r="D31" s="84"/>
      <c r="M31" s="85"/>
    </row>
    <row r="32" spans="1:18" x14ac:dyDescent="0.25">
      <c r="A32" s="43" t="s">
        <v>177</v>
      </c>
      <c r="B32" s="86">
        <f>'Data Sheet'!B6</f>
        <v>3.0517574899740509</v>
      </c>
      <c r="C32" s="37"/>
      <c r="D32" s="37"/>
      <c r="M32" s="38"/>
    </row>
    <row r="33" spans="1:13" x14ac:dyDescent="0.25">
      <c r="A33" s="87" t="s">
        <v>178</v>
      </c>
      <c r="B33" s="86">
        <f>'Data Sheet'!K59-'Data Sheet'!K64</f>
        <v>86.48</v>
      </c>
      <c r="C33" s="37"/>
      <c r="D33" s="37"/>
      <c r="M33" s="38"/>
    </row>
    <row r="34" spans="1:13" ht="18" customHeight="1" thickBot="1" x14ac:dyDescent="0.3">
      <c r="A34" s="459" t="s">
        <v>117</v>
      </c>
      <c r="B34" s="459"/>
      <c r="C34" s="459"/>
      <c r="D34" s="459"/>
      <c r="F34" s="459" t="s">
        <v>179</v>
      </c>
      <c r="G34" s="459"/>
      <c r="H34" s="459"/>
      <c r="I34" s="459"/>
    </row>
    <row r="35" spans="1:13" x14ac:dyDescent="0.25">
      <c r="A35" s="88" t="s">
        <v>180</v>
      </c>
      <c r="B35" s="89" t="s">
        <v>181</v>
      </c>
      <c r="C35" s="89" t="s">
        <v>182</v>
      </c>
      <c r="D35" s="90" t="s">
        <v>183</v>
      </c>
      <c r="F35" s="88" t="s">
        <v>180</v>
      </c>
      <c r="G35" s="89" t="s">
        <v>181</v>
      </c>
      <c r="H35" s="89" t="s">
        <v>182</v>
      </c>
      <c r="I35" s="90" t="s">
        <v>183</v>
      </c>
    </row>
    <row r="36" spans="1:13" x14ac:dyDescent="0.25">
      <c r="A36" s="91">
        <v>1</v>
      </c>
      <c r="B36" s="92">
        <f>B24+B23</f>
        <v>45.190038760051273</v>
      </c>
      <c r="C36" s="93">
        <f>B26</f>
        <v>-1.5766242026292112</v>
      </c>
      <c r="D36" s="94">
        <f>B36/((1+$B$28)^A36)</f>
        <v>41.081853418228427</v>
      </c>
      <c r="F36" s="91">
        <v>1</v>
      </c>
      <c r="G36" s="92">
        <f>B25+B23</f>
        <v>36.152031008041021</v>
      </c>
      <c r="H36" s="93">
        <f>B27</f>
        <v>-1.461299362103369</v>
      </c>
      <c r="I36" s="94">
        <f t="shared" ref="I36:I45" si="12">G36/((1+$B$29)^F36)</f>
        <v>32.865482734582741</v>
      </c>
    </row>
    <row r="37" spans="1:13" x14ac:dyDescent="0.25">
      <c r="A37" s="91">
        <v>2</v>
      </c>
      <c r="B37" s="92">
        <f>C24+C23</f>
        <v>45.190038760051273</v>
      </c>
      <c r="C37" s="93">
        <f>(B37-B36)/B36</f>
        <v>0</v>
      </c>
      <c r="D37" s="94">
        <f t="shared" ref="D37:D45" si="13">B37/((1+$B$28)^A37)</f>
        <v>37.347139471116748</v>
      </c>
      <c r="F37" s="91">
        <v>2</v>
      </c>
      <c r="G37" s="92">
        <f>C25+C23</f>
        <v>36.152031008041021</v>
      </c>
      <c r="H37" s="93">
        <f>(G37-G36)/G36</f>
        <v>0</v>
      </c>
      <c r="I37" s="94">
        <f t="shared" si="12"/>
        <v>29.8777115768934</v>
      </c>
    </row>
    <row r="38" spans="1:13" x14ac:dyDescent="0.25">
      <c r="A38" s="91">
        <v>3</v>
      </c>
      <c r="B38" s="92">
        <f>D24+D23</f>
        <v>45.190038760051273</v>
      </c>
      <c r="C38" s="93">
        <f t="shared" ref="C38:C45" si="14">(B38-B37)/B37</f>
        <v>0</v>
      </c>
      <c r="D38" s="94">
        <f t="shared" si="13"/>
        <v>33.951944973742492</v>
      </c>
      <c r="F38" s="91">
        <v>3</v>
      </c>
      <c r="G38" s="92">
        <f>D25+D23</f>
        <v>36.152031008041021</v>
      </c>
      <c r="H38" s="93">
        <f t="shared" ref="H38:H45" si="15">(G38-G37)/G37</f>
        <v>0</v>
      </c>
      <c r="I38" s="94">
        <f t="shared" si="12"/>
        <v>27.161555978993999</v>
      </c>
    </row>
    <row r="39" spans="1:13" x14ac:dyDescent="0.25">
      <c r="A39" s="91">
        <v>4</v>
      </c>
      <c r="B39" s="92">
        <f>E24+E23</f>
        <v>45.190038760051273</v>
      </c>
      <c r="C39" s="93">
        <f t="shared" si="14"/>
        <v>0</v>
      </c>
      <c r="D39" s="94">
        <f t="shared" si="13"/>
        <v>30.865404521584086</v>
      </c>
      <c r="F39" s="91">
        <v>4</v>
      </c>
      <c r="G39" s="92">
        <f>E25+E23</f>
        <v>36.152031008041021</v>
      </c>
      <c r="H39" s="93">
        <f t="shared" si="15"/>
        <v>0</v>
      </c>
      <c r="I39" s="94">
        <f t="shared" si="12"/>
        <v>24.69232361726727</v>
      </c>
    </row>
    <row r="40" spans="1:13" x14ac:dyDescent="0.25">
      <c r="A40" s="91">
        <v>5</v>
      </c>
      <c r="B40" s="92">
        <f>F24+F23</f>
        <v>45.190038760051273</v>
      </c>
      <c r="C40" s="93">
        <f t="shared" si="14"/>
        <v>0</v>
      </c>
      <c r="D40" s="94">
        <f t="shared" si="13"/>
        <v>28.05945865598553</v>
      </c>
      <c r="F40" s="91">
        <v>5</v>
      </c>
      <c r="G40" s="92">
        <f>F25+F23</f>
        <v>36.152031008041021</v>
      </c>
      <c r="H40" s="93">
        <f t="shared" si="15"/>
        <v>0</v>
      </c>
      <c r="I40" s="94">
        <f t="shared" si="12"/>
        <v>22.447566924788426</v>
      </c>
    </row>
    <row r="41" spans="1:13" x14ac:dyDescent="0.25">
      <c r="A41" s="91">
        <v>6</v>
      </c>
      <c r="B41" s="92">
        <f>G24+G23</f>
        <v>45.190038760051273</v>
      </c>
      <c r="C41" s="93">
        <f t="shared" si="14"/>
        <v>0</v>
      </c>
      <c r="D41" s="94">
        <f t="shared" si="13"/>
        <v>25.508598778168661</v>
      </c>
      <c r="F41" s="91">
        <v>6</v>
      </c>
      <c r="G41" s="92">
        <f>G25+G23</f>
        <v>36.152031008041021</v>
      </c>
      <c r="H41" s="93">
        <f t="shared" si="15"/>
        <v>0</v>
      </c>
      <c r="I41" s="94">
        <f t="shared" si="12"/>
        <v>20.40687902253493</v>
      </c>
    </row>
    <row r="42" spans="1:13" x14ac:dyDescent="0.25">
      <c r="A42" s="91">
        <v>7</v>
      </c>
      <c r="B42" s="92">
        <f>H24+H23</f>
        <v>45.190038760051273</v>
      </c>
      <c r="C42" s="93">
        <f t="shared" si="14"/>
        <v>0</v>
      </c>
      <c r="D42" s="94">
        <f t="shared" si="13"/>
        <v>23.189635252880599</v>
      </c>
      <c r="F42" s="91">
        <v>7</v>
      </c>
      <c r="G42" s="92">
        <f>H25+H23</f>
        <v>36.152031008041021</v>
      </c>
      <c r="H42" s="93">
        <f t="shared" si="15"/>
        <v>0</v>
      </c>
      <c r="I42" s="94">
        <f t="shared" si="12"/>
        <v>18.551708202304479</v>
      </c>
    </row>
    <row r="43" spans="1:13" x14ac:dyDescent="0.25">
      <c r="A43" s="91">
        <v>8</v>
      </c>
      <c r="B43" s="92">
        <f>I24+I23</f>
        <v>45.190038760051273</v>
      </c>
      <c r="C43" s="93">
        <f t="shared" si="14"/>
        <v>0</v>
      </c>
      <c r="D43" s="94">
        <f t="shared" si="13"/>
        <v>21.081486593527817</v>
      </c>
      <c r="F43" s="91">
        <v>8</v>
      </c>
      <c r="G43" s="92">
        <f>I25+I23</f>
        <v>36.152031008041021</v>
      </c>
      <c r="H43" s="93">
        <f t="shared" si="15"/>
        <v>0</v>
      </c>
      <c r="I43" s="94">
        <f t="shared" si="12"/>
        <v>16.865189274822256</v>
      </c>
    </row>
    <row r="44" spans="1:13" x14ac:dyDescent="0.25">
      <c r="A44" s="91">
        <v>9</v>
      </c>
      <c r="B44" s="92">
        <f>J24+J23</f>
        <v>45.190038760051273</v>
      </c>
      <c r="C44" s="93">
        <f t="shared" si="14"/>
        <v>0</v>
      </c>
      <c r="D44" s="94">
        <f t="shared" si="13"/>
        <v>19.164987812298016</v>
      </c>
      <c r="F44" s="91">
        <v>9</v>
      </c>
      <c r="G44" s="92">
        <f>J25+J23</f>
        <v>36.152031008041021</v>
      </c>
      <c r="H44" s="93">
        <f t="shared" si="15"/>
        <v>0</v>
      </c>
      <c r="I44" s="94">
        <f t="shared" si="12"/>
        <v>15.331990249838412</v>
      </c>
    </row>
    <row r="45" spans="1:13" ht="15.75" thickBot="1" x14ac:dyDescent="0.3">
      <c r="A45" s="95">
        <v>10</v>
      </c>
      <c r="B45" s="92">
        <f>K24+K23</f>
        <v>45.190038760051273</v>
      </c>
      <c r="C45" s="93">
        <f t="shared" si="14"/>
        <v>0</v>
      </c>
      <c r="D45" s="96">
        <f t="shared" si="13"/>
        <v>17.422716192998195</v>
      </c>
      <c r="F45" s="95">
        <v>10</v>
      </c>
      <c r="G45" s="97">
        <f>K25+K23</f>
        <v>36.152031008041021</v>
      </c>
      <c r="H45" s="93">
        <f t="shared" si="15"/>
        <v>0</v>
      </c>
      <c r="I45" s="94">
        <f t="shared" si="12"/>
        <v>13.938172954398556</v>
      </c>
    </row>
    <row r="46" spans="1:13" ht="6.75" customHeight="1" x14ac:dyDescent="0.25">
      <c r="A46" s="37"/>
      <c r="B46" s="98"/>
      <c r="C46" s="99"/>
      <c r="D46" s="42"/>
    </row>
    <row r="47" spans="1:13" x14ac:dyDescent="0.25">
      <c r="D47" s="37"/>
    </row>
    <row r="48" spans="1:13" x14ac:dyDescent="0.25">
      <c r="D48" s="37"/>
    </row>
    <row r="49" spans="1:14" x14ac:dyDescent="0.25">
      <c r="D49" s="37"/>
    </row>
    <row r="50" spans="1:14" x14ac:dyDescent="0.25">
      <c r="D50" s="37"/>
    </row>
    <row r="51" spans="1:14" x14ac:dyDescent="0.25">
      <c r="D51" s="37"/>
    </row>
    <row r="52" spans="1:14" x14ac:dyDescent="0.25">
      <c r="D52" s="37"/>
      <c r="F52" s="47"/>
      <c r="N52" s="47"/>
    </row>
    <row r="53" spans="1:14" x14ac:dyDescent="0.25">
      <c r="D53" s="37"/>
      <c r="F53" s="47"/>
      <c r="N53" s="47"/>
    </row>
    <row r="54" spans="1:14" x14ac:dyDescent="0.25">
      <c r="C54" s="85"/>
    </row>
    <row r="55" spans="1:14" x14ac:dyDescent="0.25">
      <c r="C55" s="85"/>
    </row>
    <row r="56" spans="1:14" x14ac:dyDescent="0.25">
      <c r="C56" s="85"/>
    </row>
    <row r="57" spans="1:14" x14ac:dyDescent="0.25">
      <c r="C57" s="100"/>
    </row>
    <row r="58" spans="1:14" x14ac:dyDescent="0.25">
      <c r="A58" s="85">
        <v>0</v>
      </c>
      <c r="B58" s="85">
        <v>0</v>
      </c>
      <c r="C58" s="85"/>
    </row>
    <row r="59" spans="1:14" x14ac:dyDescent="0.25">
      <c r="A59" s="85">
        <v>0.01</v>
      </c>
      <c r="B59" s="85">
        <v>0.01</v>
      </c>
      <c r="C59" s="85"/>
    </row>
    <row r="60" spans="1:14" x14ac:dyDescent="0.25">
      <c r="A60" s="85">
        <v>0.02</v>
      </c>
      <c r="B60" s="85">
        <v>0.02</v>
      </c>
      <c r="C60" s="85"/>
    </row>
    <row r="61" spans="1:14" x14ac:dyDescent="0.25">
      <c r="A61" s="85">
        <v>0.03</v>
      </c>
      <c r="B61" s="85">
        <v>0.03</v>
      </c>
      <c r="C61" s="85"/>
    </row>
    <row r="62" spans="1:14" x14ac:dyDescent="0.25">
      <c r="A62" s="85">
        <v>0.04</v>
      </c>
      <c r="B62" s="85">
        <v>0.04</v>
      </c>
    </row>
    <row r="63" spans="1:14" x14ac:dyDescent="0.25">
      <c r="A63" s="85">
        <v>0.06</v>
      </c>
      <c r="B63" s="85">
        <v>0.05</v>
      </c>
    </row>
    <row r="64" spans="1:14" x14ac:dyDescent="0.25">
      <c r="A64" s="85">
        <v>0.08</v>
      </c>
      <c r="B64" s="85">
        <v>0.06</v>
      </c>
    </row>
    <row r="65" spans="1:2" x14ac:dyDescent="0.25">
      <c r="A65" s="85">
        <v>0.1</v>
      </c>
      <c r="B65" s="85">
        <v>7.0000000000000007E-2</v>
      </c>
    </row>
    <row r="66" spans="1:2" x14ac:dyDescent="0.25">
      <c r="A66" s="85">
        <v>0.12</v>
      </c>
      <c r="B66" s="85">
        <v>0.08</v>
      </c>
    </row>
    <row r="67" spans="1:2" x14ac:dyDescent="0.25">
      <c r="A67" s="85">
        <v>0.14000000000000001</v>
      </c>
      <c r="B67" s="85">
        <v>0.09</v>
      </c>
    </row>
    <row r="68" spans="1:2" x14ac:dyDescent="0.25">
      <c r="A68" s="85">
        <v>0.16</v>
      </c>
      <c r="B68" s="85">
        <v>0.1</v>
      </c>
    </row>
    <row r="69" spans="1:2" x14ac:dyDescent="0.25">
      <c r="A69" s="85">
        <v>0.18</v>
      </c>
      <c r="B69" s="85">
        <v>0.11</v>
      </c>
    </row>
    <row r="70" spans="1:2" x14ac:dyDescent="0.25">
      <c r="A70" s="85">
        <v>0.2</v>
      </c>
      <c r="B70" s="85">
        <v>0.12</v>
      </c>
    </row>
    <row r="71" spans="1:2" x14ac:dyDescent="0.25">
      <c r="A71" s="85">
        <v>0.22</v>
      </c>
      <c r="B71" s="85">
        <v>0.13</v>
      </c>
    </row>
    <row r="72" spans="1:2" x14ac:dyDescent="0.25">
      <c r="A72" s="85">
        <v>0.24</v>
      </c>
      <c r="B72" s="85">
        <v>0.14000000000000001</v>
      </c>
    </row>
    <row r="73" spans="1:2" x14ac:dyDescent="0.25">
      <c r="A73" s="85">
        <v>0.26</v>
      </c>
      <c r="B73" s="85">
        <v>0.15</v>
      </c>
    </row>
    <row r="74" spans="1:2" x14ac:dyDescent="0.25">
      <c r="A74" s="85">
        <v>0.28000000000000003</v>
      </c>
      <c r="B74" s="85">
        <v>0.16</v>
      </c>
    </row>
    <row r="75" spans="1:2" x14ac:dyDescent="0.25">
      <c r="A75" s="85">
        <v>0.3</v>
      </c>
      <c r="B75" s="85">
        <v>0.17</v>
      </c>
    </row>
    <row r="76" spans="1:2" x14ac:dyDescent="0.25">
      <c r="A76" s="85">
        <v>0.32</v>
      </c>
      <c r="B76" s="85">
        <v>0.18</v>
      </c>
    </row>
    <row r="77" spans="1:2" x14ac:dyDescent="0.25">
      <c r="A77" s="85">
        <v>0.34</v>
      </c>
      <c r="B77" s="85">
        <v>0.19</v>
      </c>
    </row>
    <row r="78" spans="1:2" x14ac:dyDescent="0.25">
      <c r="A78" s="85">
        <v>0.36</v>
      </c>
      <c r="B78" s="85">
        <v>0.2</v>
      </c>
    </row>
    <row r="79" spans="1:2" x14ac:dyDescent="0.25">
      <c r="A79" s="85">
        <v>0.38</v>
      </c>
      <c r="B79" s="85">
        <v>0.21</v>
      </c>
    </row>
    <row r="80" spans="1:2" x14ac:dyDescent="0.25">
      <c r="A80" s="85">
        <v>0.4</v>
      </c>
      <c r="B80" s="85">
        <v>0.22</v>
      </c>
    </row>
    <row r="81" spans="1:2" x14ac:dyDescent="0.25">
      <c r="A81" s="85">
        <v>0.42</v>
      </c>
      <c r="B81" s="85">
        <v>0.23</v>
      </c>
    </row>
    <row r="82" spans="1:2" x14ac:dyDescent="0.25">
      <c r="A82" s="85">
        <v>0.44</v>
      </c>
      <c r="B82" s="85">
        <v>0.24</v>
      </c>
    </row>
    <row r="83" spans="1:2" x14ac:dyDescent="0.25">
      <c r="A83" s="85">
        <v>0.46</v>
      </c>
      <c r="B83" s="85">
        <v>0.25</v>
      </c>
    </row>
    <row r="84" spans="1:2" x14ac:dyDescent="0.25">
      <c r="A84" s="85">
        <v>0.48</v>
      </c>
      <c r="B84" s="85">
        <v>0.26</v>
      </c>
    </row>
    <row r="85" spans="1:2" x14ac:dyDescent="0.25">
      <c r="A85" s="85">
        <v>0.5</v>
      </c>
      <c r="B85" s="85">
        <v>0.27</v>
      </c>
    </row>
    <row r="86" spans="1:2" x14ac:dyDescent="0.25">
      <c r="A86" s="85">
        <v>0.52</v>
      </c>
      <c r="B86" s="85">
        <v>0.28000000000000003</v>
      </c>
    </row>
    <row r="87" spans="1:2" x14ac:dyDescent="0.25">
      <c r="A87" s="85">
        <v>0.54</v>
      </c>
      <c r="B87" s="85">
        <v>0.28999999999999998</v>
      </c>
    </row>
    <row r="88" spans="1:2" x14ac:dyDescent="0.25">
      <c r="A88" s="85">
        <v>0.56000000000000005</v>
      </c>
      <c r="B88" s="85">
        <v>0.3</v>
      </c>
    </row>
    <row r="89" spans="1:2" x14ac:dyDescent="0.25">
      <c r="A89" s="85">
        <v>0.57999999999999996</v>
      </c>
      <c r="B89" s="85">
        <v>0.31</v>
      </c>
    </row>
    <row r="90" spans="1:2" x14ac:dyDescent="0.25">
      <c r="A90" s="85">
        <v>0.6</v>
      </c>
      <c r="B90" s="85">
        <v>0.32</v>
      </c>
    </row>
    <row r="91" spans="1:2" x14ac:dyDescent="0.25">
      <c r="A91" s="85">
        <v>0.62</v>
      </c>
      <c r="B91" s="85">
        <v>0.33</v>
      </c>
    </row>
    <row r="92" spans="1:2" x14ac:dyDescent="0.25">
      <c r="A92" s="85">
        <v>0.64</v>
      </c>
      <c r="B92" s="85">
        <v>0.34</v>
      </c>
    </row>
    <row r="93" spans="1:2" x14ac:dyDescent="0.25">
      <c r="A93" s="85">
        <v>0.66</v>
      </c>
      <c r="B93" s="85">
        <v>0.35</v>
      </c>
    </row>
    <row r="94" spans="1:2" x14ac:dyDescent="0.25">
      <c r="A94" s="85">
        <v>0.68</v>
      </c>
      <c r="B94" s="85">
        <v>0.36</v>
      </c>
    </row>
    <row r="95" spans="1:2" x14ac:dyDescent="0.25">
      <c r="A95" s="85">
        <v>0.7</v>
      </c>
      <c r="B95" s="85">
        <v>0.37</v>
      </c>
    </row>
    <row r="96" spans="1:2" x14ac:dyDescent="0.25">
      <c r="A96" s="85">
        <v>0.72</v>
      </c>
      <c r="B96" s="85">
        <v>0.38</v>
      </c>
    </row>
    <row r="97" spans="1:2" x14ac:dyDescent="0.25">
      <c r="A97" s="85">
        <v>0.74</v>
      </c>
      <c r="B97" s="85">
        <v>0.39</v>
      </c>
    </row>
    <row r="98" spans="1:2" x14ac:dyDescent="0.25">
      <c r="A98" s="85">
        <v>0.76</v>
      </c>
      <c r="B98" s="85">
        <v>0.4</v>
      </c>
    </row>
    <row r="99" spans="1:2" x14ac:dyDescent="0.25">
      <c r="A99" s="85">
        <v>0.78</v>
      </c>
      <c r="B99" s="85">
        <v>0.41</v>
      </c>
    </row>
    <row r="100" spans="1:2" x14ac:dyDescent="0.25">
      <c r="A100" s="85">
        <v>0.8</v>
      </c>
      <c r="B100" s="85">
        <v>0.42</v>
      </c>
    </row>
    <row r="101" spans="1:2" x14ac:dyDescent="0.25">
      <c r="A101" s="85">
        <v>0.82</v>
      </c>
      <c r="B101" s="85">
        <v>0.43</v>
      </c>
    </row>
    <row r="102" spans="1:2" x14ac:dyDescent="0.25">
      <c r="A102" s="85">
        <v>0.84</v>
      </c>
      <c r="B102" s="85">
        <v>0.44</v>
      </c>
    </row>
    <row r="103" spans="1:2" x14ac:dyDescent="0.25">
      <c r="A103" s="85">
        <v>0.86</v>
      </c>
      <c r="B103" s="85">
        <v>0.45</v>
      </c>
    </row>
    <row r="104" spans="1:2" x14ac:dyDescent="0.25">
      <c r="A104" s="85">
        <v>0.88</v>
      </c>
      <c r="B104" s="85">
        <v>0.46</v>
      </c>
    </row>
    <row r="105" spans="1:2" x14ac:dyDescent="0.25">
      <c r="A105" s="85">
        <v>0.9</v>
      </c>
      <c r="B105" s="85">
        <v>0.47</v>
      </c>
    </row>
    <row r="106" spans="1:2" x14ac:dyDescent="0.25">
      <c r="A106" s="85">
        <v>0.92</v>
      </c>
      <c r="B106" s="85">
        <v>0.48</v>
      </c>
    </row>
    <row r="107" spans="1:2" x14ac:dyDescent="0.25">
      <c r="A107" s="85">
        <v>0.94</v>
      </c>
      <c r="B107" s="85">
        <v>0.49</v>
      </c>
    </row>
    <row r="108" spans="1:2" x14ac:dyDescent="0.25">
      <c r="A108" s="85">
        <v>0.96000000000000096</v>
      </c>
      <c r="B108" s="85">
        <v>0.5</v>
      </c>
    </row>
    <row r="109" spans="1:2" x14ac:dyDescent="0.25">
      <c r="A109" s="85">
        <v>0.98000000000000098</v>
      </c>
    </row>
    <row r="110" spans="1:2" x14ac:dyDescent="0.25">
      <c r="A110" s="85">
        <v>1</v>
      </c>
    </row>
  </sheetData>
  <mergeCells count="17">
    <mergeCell ref="A1:C2"/>
    <mergeCell ref="A3:C3"/>
    <mergeCell ref="D3:E3"/>
    <mergeCell ref="N3:O3"/>
    <mergeCell ref="Q3:R3"/>
    <mergeCell ref="D4:E4"/>
    <mergeCell ref="G4:H4"/>
    <mergeCell ref="D8:E8"/>
    <mergeCell ref="G8:H8"/>
    <mergeCell ref="A34:D34"/>
    <mergeCell ref="F34:I34"/>
    <mergeCell ref="D5:E5"/>
    <mergeCell ref="G5:H5"/>
    <mergeCell ref="D6:E6"/>
    <mergeCell ref="G6:H6"/>
    <mergeCell ref="D7:E7"/>
    <mergeCell ref="G7:H7"/>
  </mergeCells>
  <dataValidations count="4">
    <dataValidation type="list" allowBlank="1" showInputMessage="1" showErrorMessage="1" sqref="B11:K11">
      <formula1>$A$58:$A$80</formula1>
    </dataValidation>
    <dataValidation type="list" allowBlank="1" showInputMessage="1" showErrorMessage="1" sqref="B28:B29">
      <formula1>$A$59:$A$80</formula1>
    </dataValidation>
    <dataValidation type="list" allowBlank="1" showInputMessage="1" showErrorMessage="1" sqref="I22 E22">
      <formula1>$B$59:$B$108</formula1>
    </dataValidation>
    <dataValidation type="list" allowBlank="1" showInputMessage="1" showErrorMessage="1" sqref="B22:D22 F22:H22 J22:K22">
      <formula1>$B$58:$B$108</formula1>
    </dataValidation>
  </dataValidation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 sqref="E1:E3"/>
    </sheetView>
  </sheetViews>
  <sheetFormatPr defaultRowHeight="15" x14ac:dyDescent="0.25"/>
  <cols>
    <col min="1" max="1" width="30.42578125" customWidth="1"/>
    <col min="2" max="2" width="14.85546875" style="32" customWidth="1"/>
    <col min="3" max="3" width="4.7109375" customWidth="1"/>
    <col min="4" max="4" width="33.140625" bestFit="1" customWidth="1"/>
    <col min="6" max="6" width="4.28515625" customWidth="1"/>
    <col min="7" max="7" width="40.7109375" customWidth="1"/>
    <col min="8" max="8" width="13.140625" style="32" customWidth="1"/>
  </cols>
  <sheetData>
    <row r="1" spans="1:8" x14ac:dyDescent="0.25">
      <c r="A1" t="s">
        <v>94</v>
      </c>
      <c r="B1" s="32">
        <f>'Data Sheet'!B8</f>
        <v>211.95</v>
      </c>
      <c r="D1" t="s">
        <v>95</v>
      </c>
      <c r="E1" s="32">
        <f>Valuation!O22</f>
        <v>1.2</v>
      </c>
      <c r="G1" t="s">
        <v>96</v>
      </c>
      <c r="H1" s="33">
        <f>$B$4*(1+$B$5)*E1</f>
        <v>161.26301387406619</v>
      </c>
    </row>
    <row r="2" spans="1:8" x14ac:dyDescent="0.25">
      <c r="A2" t="s">
        <v>97</v>
      </c>
      <c r="B2" s="34">
        <f>'Data Sheet'!K93</f>
        <v>3.0517604999999999</v>
      </c>
      <c r="D2" t="s">
        <v>98</v>
      </c>
      <c r="E2" s="32">
        <f>Valuation!O23</f>
        <v>1</v>
      </c>
      <c r="G2" t="s">
        <v>99</v>
      </c>
      <c r="H2" s="33">
        <f>$B$4*(1+$B$5)*E2</f>
        <v>134.38584489505516</v>
      </c>
    </row>
    <row r="3" spans="1:8" x14ac:dyDescent="0.25">
      <c r="A3" t="s">
        <v>100</v>
      </c>
      <c r="B3" s="32">
        <f>('Data Sheet'!K49+'Data Sheet'!J49)</f>
        <v>114.22999999999999</v>
      </c>
      <c r="D3" t="s">
        <v>101</v>
      </c>
      <c r="E3" s="32">
        <f>Valuation!O24</f>
        <v>0.7</v>
      </c>
      <c r="G3" t="s">
        <v>102</v>
      </c>
      <c r="H3" s="33">
        <f>$B$4*(1+$B$5)*E3</f>
        <v>94.07009142653861</v>
      </c>
    </row>
    <row r="4" spans="1:8" x14ac:dyDescent="0.25">
      <c r="A4" t="s">
        <v>103</v>
      </c>
      <c r="B4" s="32">
        <f>'Data Sheet'!I49+'Data Sheet'!H49</f>
        <v>99.210000000000008</v>
      </c>
    </row>
    <row r="5" spans="1:8" x14ac:dyDescent="0.25">
      <c r="A5" t="s">
        <v>104</v>
      </c>
      <c r="B5" s="35">
        <f>(('Data Sheet'!J49+'Data Sheet'!K49)-('Data Sheet'!F49+'Data Sheet'!G49))/('Data Sheet'!F49+'Data Sheet'!G49)</f>
        <v>0.35455946875370559</v>
      </c>
    </row>
    <row r="6" spans="1:8" x14ac:dyDescent="0.25">
      <c r="B6" s="33"/>
      <c r="G6" t="s">
        <v>105</v>
      </c>
      <c r="H6" s="33">
        <f>$B$3+H1</f>
        <v>275.49301387406615</v>
      </c>
    </row>
    <row r="7" spans="1:8" x14ac:dyDescent="0.25">
      <c r="G7" t="s">
        <v>106</v>
      </c>
      <c r="H7" s="33">
        <f>$B$3+H2</f>
        <v>248.61584489505515</v>
      </c>
    </row>
    <row r="8" spans="1:8" x14ac:dyDescent="0.25">
      <c r="G8" t="s">
        <v>107</v>
      </c>
      <c r="H8" s="33">
        <f>$B$3+H3</f>
        <v>208.30009142653859</v>
      </c>
    </row>
    <row r="9" spans="1:8" x14ac:dyDescent="0.25">
      <c r="A9" t="s">
        <v>106</v>
      </c>
      <c r="B9" s="33">
        <f>B3+B6</f>
        <v>114.22999999999999</v>
      </c>
    </row>
    <row r="13" spans="1:8" x14ac:dyDescent="0.25">
      <c r="A13" t="s">
        <v>108</v>
      </c>
      <c r="B13" s="36">
        <f>H6/$B$2</f>
        <v>90.27347128782425</v>
      </c>
      <c r="D13" t="s">
        <v>109</v>
      </c>
      <c r="E13" s="34">
        <f>$B$1/B13</f>
        <v>2.3478658455951833</v>
      </c>
    </row>
    <row r="14" spans="1:8" x14ac:dyDescent="0.25">
      <c r="A14" t="s">
        <v>110</v>
      </c>
      <c r="B14" s="36">
        <f>H7/$B$2</f>
        <v>81.46636831266909</v>
      </c>
      <c r="D14" t="s">
        <v>111</v>
      </c>
      <c r="E14" s="34">
        <f>$B$1/B14</f>
        <v>2.6016871058561595</v>
      </c>
    </row>
    <row r="15" spans="1:8" x14ac:dyDescent="0.25">
      <c r="A15" t="s">
        <v>112</v>
      </c>
      <c r="B15" s="36">
        <f>H8/$B$2</f>
        <v>68.255713849936328</v>
      </c>
      <c r="D15" t="s">
        <v>113</v>
      </c>
      <c r="E15" s="34">
        <f>$B$1/B15</f>
        <v>3.1052345370818757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workbookViewId="0">
      <selection activeCell="B2" sqref="B2"/>
    </sheetView>
  </sheetViews>
  <sheetFormatPr defaultRowHeight="15" x14ac:dyDescent="0.25"/>
  <cols>
    <col min="1" max="1" width="33.5703125" customWidth="1"/>
  </cols>
  <sheetData>
    <row r="1" spans="1:5" x14ac:dyDescent="0.25">
      <c r="B1" t="s">
        <v>479</v>
      </c>
      <c r="C1" t="s">
        <v>480</v>
      </c>
      <c r="D1" t="s">
        <v>481</v>
      </c>
      <c r="E1" t="s">
        <v>482</v>
      </c>
    </row>
    <row r="2" spans="1:5" x14ac:dyDescent="0.25">
      <c r="A2" s="246" t="s">
        <v>483</v>
      </c>
      <c r="B2" s="85" t="e">
        <f>Trend!R17</f>
        <v>#DIV/0!</v>
      </c>
      <c r="C2" s="85">
        <f>Trend!Q17</f>
        <v>1.3858374711188577</v>
      </c>
      <c r="D2" s="85">
        <f>Trend!P17</f>
        <v>1.6080802324696224</v>
      </c>
      <c r="E2" s="85">
        <f>Trend!K17</f>
        <v>0.60737403944429713</v>
      </c>
    </row>
    <row r="3" spans="1:5" x14ac:dyDescent="0.25">
      <c r="A3" s="246" t="s">
        <v>484</v>
      </c>
      <c r="B3" s="85">
        <f>Trend!R18</f>
        <v>0.85015125902505062</v>
      </c>
      <c r="C3" s="85">
        <f>Trend!Q18</f>
        <v>1.5641554340361497</v>
      </c>
      <c r="D3" s="85">
        <f>Trend!P18</f>
        <v>2.0070167327753143</v>
      </c>
      <c r="E3" s="85">
        <f>Trend!K18</f>
        <v>0.64276825883028632</v>
      </c>
    </row>
    <row r="4" spans="1:5" x14ac:dyDescent="0.25">
      <c r="A4" s="246" t="s">
        <v>485</v>
      </c>
      <c r="B4" s="85">
        <f>Trend!O19</f>
        <v>0.32716135043514455</v>
      </c>
      <c r="C4" s="85">
        <f>Trend!N19</f>
        <v>0.2903329407986297</v>
      </c>
      <c r="D4" s="85">
        <f>Trend!M19</f>
        <v>0.28021048675061083</v>
      </c>
      <c r="E4" s="85">
        <f>Trend!K19</f>
        <v>0.29734821722952287</v>
      </c>
    </row>
    <row r="5" spans="1:5" x14ac:dyDescent="0.25">
      <c r="A5" s="246" t="s">
        <v>264</v>
      </c>
      <c r="B5" s="85">
        <f>Trend!O20</f>
        <v>0</v>
      </c>
      <c r="C5" s="85">
        <f>Trend!N20</f>
        <v>0</v>
      </c>
      <c r="D5" s="85">
        <f>Trend!M20</f>
        <v>0</v>
      </c>
      <c r="E5" s="85">
        <f>Trend!K20</f>
        <v>0</v>
      </c>
    </row>
    <row r="6" spans="1:5" x14ac:dyDescent="0.25">
      <c r="A6" s="246" t="s">
        <v>260</v>
      </c>
      <c r="B6" s="85" t="e">
        <f>Trend!#REF!</f>
        <v>#REF!</v>
      </c>
      <c r="C6" s="85" t="e">
        <f>Trend!#REF!</f>
        <v>#REF!</v>
      </c>
      <c r="D6" s="85" t="e">
        <f>Trend!#REF!</f>
        <v>#REF!</v>
      </c>
      <c r="E6" s="85" t="e">
        <f>Trend!#REF!</f>
        <v>#REF!</v>
      </c>
    </row>
    <row r="7" spans="1:5" x14ac:dyDescent="0.25">
      <c r="A7" s="246" t="s">
        <v>143</v>
      </c>
      <c r="B7" s="85">
        <f>Trend!O21</f>
        <v>0.14967388934044368</v>
      </c>
      <c r="C7" s="85">
        <f>Trend!N21</f>
        <v>0.14692217107376085</v>
      </c>
      <c r="D7" s="85">
        <f>Trend!M21</f>
        <v>0.19137804560142102</v>
      </c>
      <c r="E7" s="85">
        <f>Trend!K21</f>
        <v>0.20208657152277332</v>
      </c>
    </row>
    <row r="8" spans="1:5" x14ac:dyDescent="0.25">
      <c r="A8" s="246" t="s">
        <v>262</v>
      </c>
      <c r="B8" s="85">
        <f>Trend!O22</f>
        <v>0.32291390728476826</v>
      </c>
      <c r="C8" s="85">
        <f>Trend!N22</f>
        <v>0.33853104051296995</v>
      </c>
      <c r="D8" s="85">
        <f>Trend!M22</f>
        <v>0.37050177394830203</v>
      </c>
      <c r="E8" s="85">
        <f>Trend!K22</f>
        <v>0.2276572545775839</v>
      </c>
    </row>
    <row r="9" spans="1:5" x14ac:dyDescent="0.25">
      <c r="A9" s="246" t="s">
        <v>486</v>
      </c>
      <c r="B9" s="85">
        <f>Trend!O23</f>
        <v>-95.750000000000028</v>
      </c>
      <c r="C9" s="85">
        <f>Trend!N23</f>
        <v>-86.78</v>
      </c>
      <c r="D9" s="85">
        <f>Trend!M23</f>
        <v>-99.960000000000008</v>
      </c>
      <c r="E9" s="85">
        <f>Trend!K23</f>
        <v>-46.52000000000001</v>
      </c>
    </row>
    <row r="10" spans="1:5" x14ac:dyDescent="0.25">
      <c r="A10" s="246"/>
      <c r="B10" s="85"/>
      <c r="C10" s="85"/>
      <c r="D10" s="85"/>
      <c r="E10" s="85"/>
    </row>
    <row r="11" spans="1:5" x14ac:dyDescent="0.25">
      <c r="A11" s="247" t="s">
        <v>487</v>
      </c>
      <c r="B11" s="85"/>
      <c r="C11" s="85"/>
      <c r="D11" s="85"/>
      <c r="E11" s="85"/>
    </row>
    <row r="12" spans="1:5" x14ac:dyDescent="0.25">
      <c r="A12" s="246" t="s">
        <v>488</v>
      </c>
      <c r="B12" s="85">
        <f>Trend!O25</f>
        <v>0</v>
      </c>
      <c r="C12" s="85">
        <f>Trend!N25</f>
        <v>0</v>
      </c>
      <c r="D12" s="85">
        <f>Trend!M25</f>
        <v>0</v>
      </c>
      <c r="E12" s="85">
        <f>Trend!K25</f>
        <v>0</v>
      </c>
    </row>
    <row r="13" spans="1:5" x14ac:dyDescent="0.25">
      <c r="A13" s="248" t="s">
        <v>489</v>
      </c>
      <c r="B13" s="85">
        <f>Trend!O26</f>
        <v>0</v>
      </c>
      <c r="C13" s="85">
        <f>Trend!N26</f>
        <v>0</v>
      </c>
      <c r="D13" s="85">
        <f>Trend!M26</f>
        <v>0</v>
      </c>
      <c r="E13" s="85">
        <f>Trend!K26</f>
        <v>0</v>
      </c>
    </row>
    <row r="14" spans="1:5" x14ac:dyDescent="0.25">
      <c r="A14" s="248" t="s">
        <v>490</v>
      </c>
      <c r="B14" s="85">
        <f>Trend!O27</f>
        <v>1.1894613722419365E-4</v>
      </c>
      <c r="C14" s="85">
        <f>Trend!N27</f>
        <v>1.0705491917353603E-4</v>
      </c>
      <c r="D14" s="85">
        <f>Trend!M27</f>
        <v>3.5161957187285924E-4</v>
      </c>
      <c r="E14" s="85">
        <f>Trend!K27</f>
        <v>3.5325702981489328E-4</v>
      </c>
    </row>
    <row r="15" spans="1:5" x14ac:dyDescent="0.25">
      <c r="A15" s="248" t="s">
        <v>491</v>
      </c>
      <c r="B15" s="85">
        <f>Trend!O28</f>
        <v>1.9824356204032276E-5</v>
      </c>
      <c r="C15" s="85">
        <f>Trend!N28</f>
        <v>2.1410983834707204E-5</v>
      </c>
      <c r="D15" s="85">
        <f>Trend!M28</f>
        <v>2.1824663081763673E-3</v>
      </c>
      <c r="E15" s="85">
        <f>Trend!K28</f>
        <v>1.7309594460929772E-3</v>
      </c>
    </row>
    <row r="16" spans="1:5" x14ac:dyDescent="0.25">
      <c r="A16" s="248" t="s">
        <v>492</v>
      </c>
      <c r="B16" s="85">
        <f>Trend!O29</f>
        <v>0.48914616497829233</v>
      </c>
      <c r="C16" s="85">
        <f>Trend!N29</f>
        <v>0.47748635049780536</v>
      </c>
      <c r="D16" s="85">
        <f>Trend!M29</f>
        <v>0.32692739055840825</v>
      </c>
      <c r="E16" s="85">
        <f>Trend!K29</f>
        <v>0.27740097027930855</v>
      </c>
    </row>
    <row r="17" spans="1:5" x14ac:dyDescent="0.25">
      <c r="A17" s="248" t="s">
        <v>493</v>
      </c>
      <c r="B17" s="85">
        <f>Trend!O30</f>
        <v>0.19037329262732192</v>
      </c>
      <c r="C17" s="85">
        <f>Trend!N30</f>
        <v>0.19892945080826463</v>
      </c>
      <c r="D17" s="85">
        <f>Trend!M30</f>
        <v>0.30509666507023298</v>
      </c>
      <c r="E17" s="85">
        <f>Trend!K30</f>
        <v>0.34792284866468848</v>
      </c>
    </row>
    <row r="18" spans="1:5" x14ac:dyDescent="0.25">
      <c r="A18" s="248" t="s">
        <v>494</v>
      </c>
      <c r="B18" s="85">
        <f>Trend!O31</f>
        <v>1.4828618440616141E-2</v>
      </c>
      <c r="C18" s="85">
        <f>Trend!N31</f>
        <v>1.0791135852692431E-2</v>
      </c>
      <c r="D18" s="85">
        <f>Trend!M31</f>
        <v>2.189741195870289E-2</v>
      </c>
      <c r="E18" s="85">
        <f>Trend!K31</f>
        <v>2.7141915124110971E-2</v>
      </c>
    </row>
    <row r="19" spans="1:5" x14ac:dyDescent="0.25">
      <c r="A19" s="246" t="s">
        <v>495</v>
      </c>
      <c r="B19" s="85">
        <f>Trend!O32</f>
        <v>4.2424122276629077E-3</v>
      </c>
      <c r="C19" s="85">
        <f>Trend!N32</f>
        <v>1.3274809977518467E-3</v>
      </c>
      <c r="D19" s="85">
        <f>Trend!M32</f>
        <v>5.7956605294905749E-3</v>
      </c>
      <c r="E19" s="85">
        <f>Trend!K32</f>
        <v>9.9500730064528281E-3</v>
      </c>
    </row>
    <row r="20" spans="1:5" x14ac:dyDescent="0.25">
      <c r="A20" s="248" t="s">
        <v>496</v>
      </c>
      <c r="B20" s="85">
        <f>Trend!O33</f>
        <v>7.1288384909700062E-2</v>
      </c>
      <c r="C20" s="85">
        <f>Trend!N33</f>
        <v>7.3803661278235733E-2</v>
      </c>
      <c r="D20" s="85">
        <f>Trend!M33</f>
        <v>3.5731823389976415E-2</v>
      </c>
      <c r="E20" s="85">
        <f>Trend!K33</f>
        <v>2.9661815270123876E-2</v>
      </c>
    </row>
    <row r="21" spans="1:5" x14ac:dyDescent="0.25">
      <c r="A21" s="246" t="s">
        <v>260</v>
      </c>
      <c r="B21" s="85">
        <f>Trend!O34</f>
        <v>1</v>
      </c>
      <c r="C21" s="85">
        <f>Trend!N34</f>
        <v>1</v>
      </c>
      <c r="D21" s="85">
        <f>Trend!M34</f>
        <v>1</v>
      </c>
      <c r="E21" s="85">
        <f>Trend!K34</f>
        <v>1</v>
      </c>
    </row>
    <row r="22" spans="1:5" x14ac:dyDescent="0.25">
      <c r="A22" s="246" t="s">
        <v>497</v>
      </c>
      <c r="B22" s="85">
        <f>Trend!O35</f>
        <v>0.23844735642210019</v>
      </c>
      <c r="C22" s="85">
        <f>Trend!N35</f>
        <v>0.24016700567391072</v>
      </c>
      <c r="D22" s="85">
        <f>Trend!M35</f>
        <v>0.31361434607853245</v>
      </c>
      <c r="E22" s="85">
        <f>Trend!K35</f>
        <v>0.32573830719231317</v>
      </c>
    </row>
    <row r="23" spans="1:5" x14ac:dyDescent="0.25">
      <c r="A23" s="246" t="s">
        <v>143</v>
      </c>
      <c r="B23" s="85">
        <f>Trend!O36</f>
        <v>0.14967388934044368</v>
      </c>
      <c r="C23" s="85">
        <f>Trend!N36</f>
        <v>0.14692217107376085</v>
      </c>
      <c r="D23" s="85">
        <f>Trend!M36</f>
        <v>0.19137804560142102</v>
      </c>
      <c r="E23" s="85">
        <f>Trend!K36</f>
        <v>0.20208657152277332</v>
      </c>
    </row>
    <row r="24" spans="1:5" x14ac:dyDescent="0.25">
      <c r="A24" s="246" t="s">
        <v>262</v>
      </c>
      <c r="B24" s="85">
        <f>Trend!O37</f>
        <v>0.20485673472817412</v>
      </c>
      <c r="C24" s="85">
        <f>Trend!N37</f>
        <v>0.20933585653780301</v>
      </c>
      <c r="D24" s="85">
        <f>Trend!M37</f>
        <v>0.23169572107765449</v>
      </c>
      <c r="E24" s="85">
        <f>Trend!K37</f>
        <v>0.2276572545775839</v>
      </c>
    </row>
    <row r="25" spans="1:5" x14ac:dyDescent="0.25">
      <c r="A25" s="246"/>
      <c r="B25" s="85"/>
      <c r="C25" s="85"/>
      <c r="D25" s="85"/>
      <c r="E25" s="85"/>
    </row>
    <row r="26" spans="1:5" x14ac:dyDescent="0.25">
      <c r="A26" s="247" t="s">
        <v>498</v>
      </c>
      <c r="B26" s="85">
        <f>Trend!O38</f>
        <v>0</v>
      </c>
      <c r="C26" s="85">
        <f>Trend!N38</f>
        <v>0</v>
      </c>
      <c r="D26" s="85">
        <f>Trend!M38</f>
        <v>0</v>
      </c>
      <c r="E26" s="85">
        <f>Trend!K38</f>
        <v>0</v>
      </c>
    </row>
    <row r="27" spans="1:5" x14ac:dyDescent="0.25">
      <c r="A27" s="246" t="s">
        <v>499</v>
      </c>
      <c r="B27" s="85" t="e">
        <f>Trend!O41</f>
        <v>#DIV/0!</v>
      </c>
      <c r="C27" s="85">
        <f>Trend!N41</f>
        <v>0.68700616307207851</v>
      </c>
      <c r="D27" s="85">
        <f>Trend!M41</f>
        <v>0.48151955122292284</v>
      </c>
      <c r="E27" s="85">
        <f>Trend!K41</f>
        <v>0.45161556214968673</v>
      </c>
    </row>
    <row r="28" spans="1:5" x14ac:dyDescent="0.25">
      <c r="A28" s="246" t="s">
        <v>500</v>
      </c>
      <c r="B28" s="85" t="e">
        <f>Trend!O42</f>
        <v>#DIV/0!</v>
      </c>
      <c r="C28" s="85">
        <f>Trend!N42</f>
        <v>0.62690329238208464</v>
      </c>
      <c r="D28" s="85">
        <f>Trend!M42</f>
        <v>0.43830437012688134</v>
      </c>
      <c r="E28" s="85">
        <f>Trend!K42</f>
        <v>0.42195374687956289</v>
      </c>
    </row>
    <row r="29" spans="1:5" x14ac:dyDescent="0.25">
      <c r="A29" s="246" t="s">
        <v>501</v>
      </c>
      <c r="B29" s="85">
        <f>Trend!O44</f>
        <v>0.43002332690529688</v>
      </c>
      <c r="C29" s="85">
        <f>Trend!N44</f>
        <v>0.5530180322410605</v>
      </c>
      <c r="D29" s="85">
        <f>Trend!M44</f>
        <v>0.44312556967187772</v>
      </c>
      <c r="E29" s="85">
        <f>Trend!K44</f>
        <v>0.53051912497066722</v>
      </c>
    </row>
    <row r="30" spans="1:5" x14ac:dyDescent="0.25">
      <c r="A30" s="246" t="s">
        <v>502</v>
      </c>
      <c r="B30" s="85">
        <f>Trend!O45</f>
        <v>0.23380506406573051</v>
      </c>
      <c r="C30" s="85">
        <f>Trend!N45</f>
        <v>0.60518481583464223</v>
      </c>
      <c r="D30" s="85">
        <f>Trend!M45</f>
        <v>0.48609759683340004</v>
      </c>
      <c r="E30" s="85">
        <f>Trend!K45</f>
        <v>0.56781269185689565</v>
      </c>
    </row>
    <row r="31" spans="1:5" x14ac:dyDescent="0.25">
      <c r="A31" s="246" t="s">
        <v>503</v>
      </c>
      <c r="B31" s="85">
        <f>Trend!O51</f>
        <v>1.6498719675943949</v>
      </c>
      <c r="C31" s="85">
        <f>Trend!N51</f>
        <v>0.17136279364622892</v>
      </c>
      <c r="D31" s="85">
        <f>Trend!M51</f>
        <v>9.5037205341558961E-2</v>
      </c>
      <c r="E31" s="85">
        <f>Trend!K51</f>
        <v>7.3162464474747738E-2</v>
      </c>
    </row>
    <row r="32" spans="1:5" x14ac:dyDescent="0.25">
      <c r="A32" s="246" t="s">
        <v>504</v>
      </c>
      <c r="B32" s="85">
        <f>Trend!O52</f>
        <v>2.9712677714130113</v>
      </c>
      <c r="C32" s="85">
        <f>Trend!N52</f>
        <v>0.1877977720689756</v>
      </c>
      <c r="D32" s="85">
        <f>Trend!M52</f>
        <v>0.10424511157363638</v>
      </c>
      <c r="E32" s="85">
        <f>Trend!K52</f>
        <v>7.8305519897304235E-2</v>
      </c>
    </row>
    <row r="33" spans="1:5" x14ac:dyDescent="0.25">
      <c r="A33" s="246"/>
      <c r="B33" s="85"/>
      <c r="C33" s="85"/>
      <c r="D33" s="85"/>
      <c r="E33" s="85"/>
    </row>
    <row r="34" spans="1:5" x14ac:dyDescent="0.25">
      <c r="A34" s="249" t="s">
        <v>505</v>
      </c>
      <c r="B34" s="85"/>
      <c r="C34" s="85"/>
      <c r="D34" s="85"/>
      <c r="E34" s="85"/>
    </row>
    <row r="35" spans="1:5" x14ac:dyDescent="0.25">
      <c r="A35" s="246" t="s">
        <v>506</v>
      </c>
      <c r="B35" s="33">
        <f>Trend!O54</f>
        <v>8.2502228059088814E-2</v>
      </c>
      <c r="C35" s="33">
        <f>Trend!N54</f>
        <v>7.5711284703196699E-2</v>
      </c>
      <c r="D35" s="33">
        <f>Trend!M54</f>
        <v>0.10562904606167656</v>
      </c>
      <c r="E35" s="33">
        <f>Trend!K54</f>
        <v>0.1760944817756058</v>
      </c>
    </row>
    <row r="36" spans="1:5" x14ac:dyDescent="0.25">
      <c r="A36" s="246" t="s">
        <v>267</v>
      </c>
      <c r="B36" s="33">
        <f>Trend!O55</f>
        <v>9.9315773047036515</v>
      </c>
      <c r="C36" s="33">
        <f>Trend!N55</f>
        <v>1.4065645865928822</v>
      </c>
      <c r="D36" s="33">
        <f>Trend!M55</f>
        <v>1.7319871512365015</v>
      </c>
      <c r="E36" s="33">
        <f>Trend!K55</f>
        <v>1.7846823181743556</v>
      </c>
    </row>
    <row r="37" spans="1:5" x14ac:dyDescent="0.25">
      <c r="A37" s="246" t="s">
        <v>507</v>
      </c>
      <c r="B37" s="33" t="e">
        <f>Trend!O56</f>
        <v>#DIV/0!</v>
      </c>
      <c r="C37" s="33">
        <f>Trend!N56</f>
        <v>109.66150829467901</v>
      </c>
      <c r="D37" s="33">
        <f>Trend!M56</f>
        <v>152.37618749813873</v>
      </c>
      <c r="E37" s="33">
        <f>Trend!K56</f>
        <v>25.950281425891188</v>
      </c>
    </row>
    <row r="38" spans="1:5" x14ac:dyDescent="0.25">
      <c r="A38" s="246" t="s">
        <v>508</v>
      </c>
      <c r="B38" s="33">
        <f>Trend!O57</f>
        <v>1.5257154261977965</v>
      </c>
      <c r="C38" s="33">
        <f>Trend!N57</f>
        <v>1.5869888360533693</v>
      </c>
      <c r="D38" s="33">
        <f>Trend!M57</f>
        <v>1.6024298876364351</v>
      </c>
      <c r="E38" s="33">
        <f>Trend!K57</f>
        <v>1.6722052535125231</v>
      </c>
    </row>
    <row r="39" spans="1:5" x14ac:dyDescent="0.25">
      <c r="A39" s="246" t="s">
        <v>509</v>
      </c>
      <c r="B39" s="33">
        <f>Trend!O58</f>
        <v>9.9315773047036515</v>
      </c>
      <c r="C39" s="33">
        <f>Trend!N58</f>
        <v>1.4065645865928822</v>
      </c>
      <c r="D39" s="33">
        <f>Trend!M58</f>
        <v>1.7319871512365015</v>
      </c>
      <c r="E39" s="33">
        <f>Trend!K58</f>
        <v>1.7846823181743556</v>
      </c>
    </row>
    <row r="40" spans="1:5" x14ac:dyDescent="0.25">
      <c r="A40" s="246" t="s">
        <v>510</v>
      </c>
      <c r="B40" s="33">
        <f>Trend!O59</f>
        <v>0.2165000380064705</v>
      </c>
      <c r="C40" s="33">
        <f>Trend!N59</f>
        <v>0.40547522968589583</v>
      </c>
      <c r="D40" s="33">
        <f>Trend!M59</f>
        <v>0.38862045651449167</v>
      </c>
      <c r="E40" s="33">
        <f>Trend!K59</f>
        <v>0.51346248563454278</v>
      </c>
    </row>
    <row r="41" spans="1:5" x14ac:dyDescent="0.25">
      <c r="A41" s="246" t="s">
        <v>511</v>
      </c>
      <c r="B41" s="38" t="e">
        <f>Trend!O63</f>
        <v>#DIV/0!</v>
      </c>
      <c r="C41" s="38">
        <f>Trend!N63</f>
        <v>159.52467502846113</v>
      </c>
      <c r="D41" s="38">
        <f>Trend!M63</f>
        <v>15.276574782885021</v>
      </c>
      <c r="E41" s="38">
        <f>Trend!K63</f>
        <v>2.8172987974098054</v>
      </c>
    </row>
    <row r="42" spans="1:5" x14ac:dyDescent="0.25">
      <c r="A42" s="246" t="s">
        <v>512</v>
      </c>
      <c r="B42" s="85">
        <f>Trend!O64</f>
        <v>0.11802971467658241</v>
      </c>
      <c r="C42" s="85">
        <f>Trend!N64</f>
        <v>8.679102665129132E-2</v>
      </c>
      <c r="D42" s="85">
        <f>Trend!M64</f>
        <v>8.4799460804117543E-2</v>
      </c>
      <c r="E42" s="85">
        <f>Trend!K64</f>
        <v>6.5679347117565776E-2</v>
      </c>
    </row>
    <row r="43" spans="1:5" x14ac:dyDescent="0.25">
      <c r="A43" s="246" t="s">
        <v>513</v>
      </c>
      <c r="B43" s="85">
        <f>Trend!O65</f>
        <v>0.18358267705558354</v>
      </c>
      <c r="C43" s="85">
        <f>Trend!N65</f>
        <v>9.5681775693807702E-2</v>
      </c>
      <c r="D43" s="85">
        <f>Trend!M65</f>
        <v>9.3550964256629524E-2</v>
      </c>
      <c r="E43" s="85">
        <f>Trend!K65</f>
        <v>7.0296366579226444E-2</v>
      </c>
    </row>
    <row r="44" spans="1:5" x14ac:dyDescent="0.25">
      <c r="A44" s="246"/>
      <c r="B44" s="85"/>
      <c r="C44" s="85"/>
      <c r="D44" s="85"/>
      <c r="E44" s="85"/>
    </row>
    <row r="45" spans="1:5" x14ac:dyDescent="0.25">
      <c r="A45" s="249" t="s">
        <v>514</v>
      </c>
      <c r="B45" s="85"/>
      <c r="C45" s="85"/>
      <c r="D45" s="85"/>
      <c r="E45" s="85"/>
    </row>
    <row r="46" spans="1:5" x14ac:dyDescent="0.25">
      <c r="A46" s="246" t="s">
        <v>515</v>
      </c>
      <c r="B46" s="85" t="e">
        <f>Trend!O69</f>
        <v>#DIV/0!</v>
      </c>
      <c r="C46" s="85">
        <f>Trend!N69</f>
        <v>0.10804731043845539</v>
      </c>
      <c r="D46" s="85">
        <f>Trend!M69</f>
        <v>0.22363377665094175</v>
      </c>
      <c r="E46" s="85">
        <f>Trend!K69</f>
        <v>0.22511892986670434</v>
      </c>
    </row>
    <row r="47" spans="1:5" x14ac:dyDescent="0.25">
      <c r="A47" s="246" t="s">
        <v>46</v>
      </c>
      <c r="B47" s="47">
        <f>Trend!O70</f>
        <v>145.15584757850331</v>
      </c>
      <c r="C47" s="47">
        <f>Trend!N70</f>
        <v>99.817164811433202</v>
      </c>
      <c r="D47" s="47">
        <f>Trend!M70</f>
        <v>101.88163437424033</v>
      </c>
      <c r="E47" s="47">
        <f>Trend!K70</f>
        <v>108.53209928877585</v>
      </c>
    </row>
    <row r="48" spans="1:5" x14ac:dyDescent="0.25">
      <c r="A48" s="246" t="s">
        <v>516</v>
      </c>
      <c r="B48" s="38" t="e">
        <f>Trend!O71</f>
        <v>#VALUE!</v>
      </c>
      <c r="C48" s="38">
        <f>Trend!N71</f>
        <v>3.7107332138268752</v>
      </c>
      <c r="D48" s="38">
        <f>Trend!M71</f>
        <v>3.6112539194848114</v>
      </c>
      <c r="E48" s="38">
        <f>Trend!K71</f>
        <v>3.3630603516553141</v>
      </c>
    </row>
    <row r="49" spans="1:5" x14ac:dyDescent="0.25">
      <c r="A49" s="246" t="s">
        <v>312</v>
      </c>
      <c r="B49" s="47">
        <f>Trend!O72</f>
        <v>0</v>
      </c>
      <c r="C49" s="47">
        <f>Trend!N72</f>
        <v>0</v>
      </c>
      <c r="D49" s="47">
        <f>Trend!M72</f>
        <v>0</v>
      </c>
      <c r="E49" s="47">
        <f>Trend!K72</f>
        <v>0</v>
      </c>
    </row>
    <row r="50" spans="1:5" x14ac:dyDescent="0.25">
      <c r="A50" s="246" t="s">
        <v>47</v>
      </c>
      <c r="B50" s="38" t="e">
        <f>Trend!O73</f>
        <v>#VALUE!</v>
      </c>
      <c r="C50" s="38" t="e">
        <f>Trend!N73</f>
        <v>#DIV/0!</v>
      </c>
      <c r="D50" s="38" t="e">
        <f>Trend!M73</f>
        <v>#DIV/0!</v>
      </c>
      <c r="E50" s="38" t="e">
        <f>Trend!K73</f>
        <v>#DIV/0!</v>
      </c>
    </row>
    <row r="51" spans="1:5" x14ac:dyDescent="0.25">
      <c r="A51" s="246" t="s">
        <v>517</v>
      </c>
      <c r="B51" s="85">
        <f>Trend!O74</f>
        <v>7.280556807010026E-2</v>
      </c>
      <c r="C51" s="85">
        <f>Trend!N74</f>
        <v>0.12931804061335223</v>
      </c>
      <c r="D51" s="85">
        <f>Trend!M74</f>
        <v>0.11756812084335744</v>
      </c>
      <c r="E51" s="85">
        <f>Trend!K74</f>
        <v>0.15233433184773873</v>
      </c>
    </row>
    <row r="52" spans="1:5" x14ac:dyDescent="0.25">
      <c r="A52" s="246" t="s">
        <v>518</v>
      </c>
      <c r="B52" s="85">
        <f>Trend!O96</f>
        <v>0.11160431713345267</v>
      </c>
      <c r="C52" s="85">
        <f>Trend!N96</f>
        <v>0.14506386190422932</v>
      </c>
      <c r="D52" s="85">
        <f>Trend!M96</f>
        <v>0.17975294634625838</v>
      </c>
      <c r="E52" s="85">
        <f>Trend!K96</f>
        <v>0.20898175884659409</v>
      </c>
    </row>
    <row r="53" spans="1:5" x14ac:dyDescent="0.25">
      <c r="A53" s="246" t="s">
        <v>519</v>
      </c>
      <c r="B53" s="38">
        <f>Trend!O97</f>
        <v>0.57191939040451278</v>
      </c>
      <c r="C53" s="38">
        <f>Trend!N97</f>
        <v>0.83949570874446455</v>
      </c>
      <c r="D53" s="38">
        <f>Trend!M97</f>
        <v>0.97757946081192559</v>
      </c>
      <c r="E53" s="38">
        <f>Trend!K97</f>
        <v>1.0341199678527069</v>
      </c>
    </row>
    <row r="54" spans="1:5" x14ac:dyDescent="0.25">
      <c r="A54" s="246" t="s">
        <v>520</v>
      </c>
      <c r="B54" s="38">
        <f>Trend!O98</f>
        <v>5.1591676807711613</v>
      </c>
      <c r="C54" s="38">
        <f>Trend!N98</f>
        <v>1.8936614854157416</v>
      </c>
      <c r="D54" s="38">
        <f>Trend!M98</f>
        <v>2.3490236758806131</v>
      </c>
      <c r="E54" s="38">
        <f>Trend!K98</f>
        <v>2.3699280013395101</v>
      </c>
    </row>
    <row r="55" spans="1:5" x14ac:dyDescent="0.25">
      <c r="A55" s="246" t="s">
        <v>229</v>
      </c>
      <c r="B55" s="38">
        <f>Trend!O99</f>
        <v>0.78951482512842919</v>
      </c>
      <c r="C55" s="38">
        <f>Trend!N99</f>
        <v>1.0533526572247016</v>
      </c>
      <c r="D55" s="38">
        <f>Trend!M99</f>
        <v>0.63089510310193531</v>
      </c>
      <c r="E55" s="38">
        <f>Trend!K99</f>
        <v>0.72893602144272229</v>
      </c>
    </row>
    <row r="56" spans="1:5" x14ac:dyDescent="0.25">
      <c r="A56" s="246" t="s">
        <v>521</v>
      </c>
      <c r="B56" s="85" t="e">
        <f>Trend!O100</f>
        <v>#DIV/0!</v>
      </c>
      <c r="C56" s="85">
        <f>Trend!N100</f>
        <v>0.16748347909666617</v>
      </c>
      <c r="D56" s="85">
        <f>Trend!M100</f>
        <v>0.11751314554058577</v>
      </c>
      <c r="E56" s="85">
        <f>Trend!K100</f>
        <v>0.14730818143281049</v>
      </c>
    </row>
    <row r="57" spans="1:5" x14ac:dyDescent="0.25">
      <c r="A57" s="246" t="s">
        <v>522</v>
      </c>
      <c r="B57" s="250">
        <f>Trend!O101</f>
        <v>2.44960548925516</v>
      </c>
      <c r="C57" s="250">
        <f>Trend!N101</f>
        <v>3.067700652431784</v>
      </c>
      <c r="D57" s="250">
        <f>Trend!M101</f>
        <v>1.2991587833913341</v>
      </c>
      <c r="E57" s="250">
        <f>Trend!K101</f>
        <v>1.1855844307190302</v>
      </c>
    </row>
    <row r="58" spans="1:5" x14ac:dyDescent="0.25">
      <c r="A58" s="246" t="s">
        <v>523</v>
      </c>
      <c r="B58" s="85">
        <f>Trend!O102</f>
        <v>2.9194984205992152E-3</v>
      </c>
      <c r="C58" s="85">
        <f>Trend!N102</f>
        <v>5.8389968411984303E-3</v>
      </c>
      <c r="D58" s="85">
        <f>Trend!M102</f>
        <v>9.7316614019973841E-3</v>
      </c>
      <c r="E58" s="85">
        <f>Trend!K102</f>
        <v>0</v>
      </c>
    </row>
    <row r="59" spans="1:5" x14ac:dyDescent="0.25">
      <c r="A59" s="246" t="s">
        <v>316</v>
      </c>
      <c r="B59" s="38">
        <f>Trend!O103</f>
        <v>-1.6600906641267303</v>
      </c>
      <c r="C59" s="38">
        <f>Trend!N103</f>
        <v>-2.0143479952070824</v>
      </c>
      <c r="D59" s="38">
        <f>Trend!M103</f>
        <v>-0.66826368028939898</v>
      </c>
      <c r="E59" s="38">
        <f>Trend!K103</f>
        <v>-0.45664840927630795</v>
      </c>
    </row>
    <row r="60" spans="1:5" x14ac:dyDescent="0.25">
      <c r="A60" s="246" t="s">
        <v>231</v>
      </c>
      <c r="B60" s="38" t="e">
        <f>Trend!O104</f>
        <v>#DIV/0!</v>
      </c>
      <c r="C60" s="38">
        <f>Trend!N104</f>
        <v>-1.623322677259972</v>
      </c>
      <c r="D60" s="38">
        <f>Trend!M104</f>
        <v>-1.320126173971657</v>
      </c>
      <c r="E60" s="38">
        <f>Trend!K104</f>
        <v>-0.6264588329336529</v>
      </c>
    </row>
    <row r="61" spans="1:5" x14ac:dyDescent="0.25">
      <c r="A61" s="246" t="s">
        <v>524</v>
      </c>
      <c r="B61" s="85" t="e">
        <f>Trend!O105</f>
        <v>#DIV/0!</v>
      </c>
      <c r="C61" s="85">
        <f>Trend!N105</f>
        <v>-0.28622835186631901</v>
      </c>
      <c r="D61" s="85">
        <f>Trend!M105</f>
        <v>-0.10346424022528571</v>
      </c>
      <c r="E61" s="85">
        <f>Trend!K105</f>
        <v>-9.228251142197727E-2</v>
      </c>
    </row>
    <row r="62" spans="1:5" x14ac:dyDescent="0.25">
      <c r="A62" s="251" t="s">
        <v>525</v>
      </c>
      <c r="B62" s="85" t="e">
        <f>Trend!O106</f>
        <v>#DIV/0!</v>
      </c>
      <c r="C62" s="85">
        <f>Trend!N106</f>
        <v>0.16708482050391621</v>
      </c>
      <c r="D62" s="85">
        <f>Trend!M106</f>
        <v>0.18180267685926035</v>
      </c>
      <c r="E62" s="85">
        <f>Trend!K106</f>
        <v>0.20208657152277332</v>
      </c>
    </row>
    <row r="63" spans="1:5" x14ac:dyDescent="0.25">
      <c r="A63" s="251" t="s">
        <v>526</v>
      </c>
      <c r="B63" s="38">
        <f>Trend!O107</f>
        <v>0.57191939040451278</v>
      </c>
      <c r="C63" s="38">
        <f>Trend!N107</f>
        <v>0.83949570874446455</v>
      </c>
      <c r="D63" s="38">
        <f>Trend!M107</f>
        <v>0.97757946081192559</v>
      </c>
      <c r="E63" s="38">
        <f>Trend!K107</f>
        <v>1.0341199678527069</v>
      </c>
    </row>
    <row r="64" spans="1:5" x14ac:dyDescent="0.25">
      <c r="A64" s="251" t="s">
        <v>307</v>
      </c>
      <c r="B64" s="38">
        <f>Trend!O108</f>
        <v>1.5257154261977965</v>
      </c>
      <c r="C64" s="38">
        <f>Trend!N108</f>
        <v>1.5869888360533693</v>
      </c>
      <c r="D64" s="38">
        <f>Trend!M108</f>
        <v>1.6024298876364351</v>
      </c>
      <c r="E64" s="38">
        <f>Trend!K108</f>
        <v>1.6722052535125231</v>
      </c>
    </row>
    <row r="65" spans="1:5" x14ac:dyDescent="0.25">
      <c r="A65" s="246" t="s">
        <v>60</v>
      </c>
      <c r="B65" s="85" t="e">
        <f>Trend!O109</f>
        <v>#DIV/0!</v>
      </c>
      <c r="C65" s="85">
        <f>Trend!N109</f>
        <v>0.23158092753313514</v>
      </c>
      <c r="D65" s="85">
        <f>Trend!M109</f>
        <v>0.28987388029306566</v>
      </c>
      <c r="E65" s="85">
        <f>Trend!K109</f>
        <v>0.34946039503156184</v>
      </c>
    </row>
    <row r="66" spans="1:5" x14ac:dyDescent="0.25">
      <c r="A66" s="246" t="s">
        <v>527</v>
      </c>
      <c r="B66" s="85">
        <f>Trend!O110</f>
        <v>0.23197571708472106</v>
      </c>
      <c r="C66" s="85">
        <f>Trend!N110</f>
        <v>0.345321752430368</v>
      </c>
      <c r="D66" s="85">
        <f>Trend!M110</f>
        <v>0.42896321216286032</v>
      </c>
      <c r="E66" s="85">
        <f>Trend!K110</f>
        <v>0.47894663942657312</v>
      </c>
    </row>
    <row r="67" spans="1:5" x14ac:dyDescent="0.25">
      <c r="A67" s="251" t="s">
        <v>528</v>
      </c>
      <c r="B67" s="38">
        <f>Trend!O111</f>
        <v>0.85407177637603393</v>
      </c>
      <c r="C67" s="38">
        <f>Trend!N111</f>
        <v>1.2335439704309663</v>
      </c>
      <c r="D67" s="38">
        <f>Trend!M111</f>
        <v>1.4158452787975557</v>
      </c>
      <c r="E67" s="38">
        <f>Trend!K111</f>
        <v>1.4703417708369406</v>
      </c>
    </row>
    <row r="68" spans="1:5" x14ac:dyDescent="0.25">
      <c r="A68" s="251" t="s">
        <v>529</v>
      </c>
      <c r="B68" s="85">
        <f>Trend!O112</f>
        <v>0.15805961135480268</v>
      </c>
      <c r="C68" s="85">
        <f>Trend!N112</f>
        <v>0.21206980391895316</v>
      </c>
      <c r="D68" s="85">
        <f>Trend!M112</f>
        <v>0.2592781940275381</v>
      </c>
      <c r="E68" s="85">
        <f>Trend!K112</f>
        <v>0.29713632743516055</v>
      </c>
    </row>
    <row r="69" spans="1:5" x14ac:dyDescent="0.25">
      <c r="A69" s="251" t="s">
        <v>530</v>
      </c>
      <c r="B69" s="85">
        <f>Trend!O113</f>
        <v>0.11089397724799446</v>
      </c>
      <c r="C69" s="85">
        <f>Trend!N113</f>
        <v>0.19053324119269036</v>
      </c>
      <c r="D69" s="85">
        <f>Trend!M113</f>
        <v>0.16887193288023372</v>
      </c>
      <c r="E69" s="85">
        <f>Trend!K113</f>
        <v>0.21659337234668793</v>
      </c>
    </row>
    <row r="70" spans="1:5" x14ac:dyDescent="0.25">
      <c r="A70" s="251" t="s">
        <v>531</v>
      </c>
      <c r="B70" s="85">
        <f>Trend!O114</f>
        <v>-0.19874160591284981</v>
      </c>
      <c r="C70" s="85">
        <f>Trend!N114</f>
        <v>-0.24320742257721242</v>
      </c>
      <c r="D70" s="85">
        <f>Trend!M114</f>
        <v>-0.13925974552036163</v>
      </c>
      <c r="E70" s="85">
        <f>Trend!K114</f>
        <v>-0.13568683126147024</v>
      </c>
    </row>
    <row r="71" spans="1:5" x14ac:dyDescent="0.25">
      <c r="A71" s="251" t="s">
        <v>532</v>
      </c>
      <c r="B71" s="38">
        <f>Trend!O115</f>
        <v>1.0935996520563731</v>
      </c>
      <c r="C71" s="38">
        <f>Trend!N115</f>
        <v>1.2931108314993467</v>
      </c>
      <c r="D71" s="38">
        <f>Trend!M115</f>
        <v>1.450233319646727</v>
      </c>
      <c r="E71" s="38">
        <f>Trend!K115</f>
        <v>1.4903392239790816</v>
      </c>
    </row>
    <row r="72" spans="1:5" x14ac:dyDescent="0.25">
      <c r="A72" s="251" t="s">
        <v>533</v>
      </c>
      <c r="B72" s="85">
        <f>Trend!O116</f>
        <v>0.25608643177726559</v>
      </c>
      <c r="C72" s="85">
        <f>Trend!N116</f>
        <v>0.21187972481232858</v>
      </c>
      <c r="D72" s="85">
        <f>Trend!M116</f>
        <v>0.26121922337465608</v>
      </c>
      <c r="E72" s="85">
        <f>Trend!K116</f>
        <v>0.29898390748117865</v>
      </c>
    </row>
    <row r="73" spans="1:5" x14ac:dyDescent="0.25">
      <c r="A73" s="251" t="s">
        <v>534</v>
      </c>
      <c r="B73" s="85">
        <f>Trend!O117</f>
        <v>0.14710417017657409</v>
      </c>
      <c r="C73" s="85">
        <f>Trend!N117</f>
        <v>0.20203760103591889</v>
      </c>
      <c r="D73" s="85">
        <f>Trend!M117</f>
        <v>0.17249025071689164</v>
      </c>
      <c r="E73" s="85">
        <f>Trend!K117</f>
        <v>0.21953916080234459</v>
      </c>
    </row>
    <row r="74" spans="1:5" x14ac:dyDescent="0.25">
      <c r="A74" s="251" t="s">
        <v>535</v>
      </c>
      <c r="B74" s="85">
        <f>Trend!O118</f>
        <v>-0.27475747228153369</v>
      </c>
      <c r="C74" s="85">
        <f>Trend!N118</f>
        <v>-0.26621524491655801</v>
      </c>
      <c r="D74" s="85">
        <f>Trend!M118</f>
        <v>-0.14375711291923329</v>
      </c>
      <c r="E74" s="85">
        <f>Trend!K118</f>
        <v>-0.13753224645947035</v>
      </c>
    </row>
    <row r="75" spans="1:5" x14ac:dyDescent="0.25">
      <c r="A75" s="252" t="s">
        <v>536</v>
      </c>
      <c r="B75" s="85">
        <f>Trend!O120</f>
        <v>4.3196904332131122E-2</v>
      </c>
      <c r="C75" s="85">
        <f>Trend!N120</f>
        <v>4.9312203973538103E-2</v>
      </c>
      <c r="D75" s="85">
        <f>Trend!M120</f>
        <v>3.4414714026288311E-2</v>
      </c>
      <c r="E75" s="85">
        <f>Trend!K120</f>
        <v>5.2949098910418928E-2</v>
      </c>
    </row>
    <row r="76" spans="1:5" x14ac:dyDescent="0.25">
      <c r="A76" s="246" t="s">
        <v>537</v>
      </c>
      <c r="B76" s="85" t="e">
        <f>Trend!O121</f>
        <v>#DIV/0!</v>
      </c>
      <c r="C76" s="85">
        <f>Trend!N121</f>
        <v>3.437521255152248E-4</v>
      </c>
      <c r="D76" s="85">
        <f>Trend!M121</f>
        <v>5.7292020919204139E-4</v>
      </c>
      <c r="E76" s="85">
        <f>Trend!K121</f>
        <v>0</v>
      </c>
    </row>
    <row r="77" spans="1:5" x14ac:dyDescent="0.25">
      <c r="A77" s="246" t="s">
        <v>17</v>
      </c>
      <c r="B77" s="85">
        <f>Trend!O122</f>
        <v>2.9194984205992152E-3</v>
      </c>
      <c r="C77" s="85">
        <f>Trend!N122</f>
        <v>5.8389968411984303E-3</v>
      </c>
      <c r="D77" s="85">
        <f>Trend!M122</f>
        <v>9.7316614019973841E-3</v>
      </c>
      <c r="E77" s="85">
        <f>Trend!K122</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1" ySplit="1" topLeftCell="B73" activePane="bottomRight" state="frozen"/>
      <selection activeCell="C4" sqref="C4"/>
      <selection pane="topRight" activeCell="C4" sqref="C4"/>
      <selection pane="bottomLeft" activeCell="C4" sqref="C4"/>
      <selection pane="bottomRight" activeCell="D82" sqref="D82"/>
    </sheetView>
  </sheetViews>
  <sheetFormatPr defaultRowHeight="15" x14ac:dyDescent="0.25"/>
  <cols>
    <col min="1" max="1" width="27.7109375" style="5" bestFit="1" customWidth="1"/>
    <col min="2" max="11" width="13.5703125" style="5" bestFit="1" customWidth="1"/>
    <col min="12" max="16384" width="9.140625" style="5"/>
  </cols>
  <sheetData>
    <row r="1" spans="1:11" s="1" customFormat="1" x14ac:dyDescent="0.25">
      <c r="A1" s="1" t="s">
        <v>0</v>
      </c>
      <c r="B1" s="1" t="s">
        <v>64</v>
      </c>
      <c r="E1" s="436" t="str">
        <f>IF(B2&lt;&gt;B3, "A NEW VERSION OF THE WORKSHEET IS AVAILABLE", "")</f>
        <v/>
      </c>
      <c r="F1" s="436"/>
      <c r="G1" s="436"/>
      <c r="H1" s="436"/>
      <c r="I1" s="436"/>
      <c r="J1" s="436"/>
      <c r="K1" s="436"/>
    </row>
    <row r="2" spans="1:11" x14ac:dyDescent="0.25">
      <c r="A2" s="1" t="s">
        <v>62</v>
      </c>
      <c r="B2" s="5">
        <v>2.1</v>
      </c>
      <c r="E2" s="437" t="s">
        <v>36</v>
      </c>
      <c r="F2" s="437"/>
      <c r="G2" s="437"/>
      <c r="H2" s="437"/>
      <c r="I2" s="437"/>
      <c r="J2" s="437"/>
      <c r="K2" s="437"/>
    </row>
    <row r="3" spans="1:11" x14ac:dyDescent="0.25">
      <c r="A3" s="1" t="s">
        <v>63</v>
      </c>
      <c r="B3" s="5">
        <v>2.1</v>
      </c>
    </row>
    <row r="4" spans="1:11" x14ac:dyDescent="0.25">
      <c r="A4" s="1"/>
    </row>
    <row r="5" spans="1:11" x14ac:dyDescent="0.25">
      <c r="A5" s="1" t="s">
        <v>65</v>
      </c>
      <c r="G5" s="414"/>
    </row>
    <row r="6" spans="1:11" x14ac:dyDescent="0.25">
      <c r="A6" s="5" t="s">
        <v>42</v>
      </c>
      <c r="B6" s="5">
        <f>IF(B9&gt;0, B9/B8, 0)</f>
        <v>3.0517574899740509</v>
      </c>
    </row>
    <row r="7" spans="1:11" x14ac:dyDescent="0.25">
      <c r="A7" s="5" t="s">
        <v>31</v>
      </c>
      <c r="B7">
        <v>5</v>
      </c>
    </row>
    <row r="8" spans="1:11" x14ac:dyDescent="0.25">
      <c r="A8" s="5" t="s">
        <v>43</v>
      </c>
      <c r="B8">
        <v>211.95</v>
      </c>
    </row>
    <row r="9" spans="1:11" x14ac:dyDescent="0.25">
      <c r="A9" s="5" t="s">
        <v>80</v>
      </c>
      <c r="B9">
        <v>646.82000000000005</v>
      </c>
    </row>
    <row r="15" spans="1:11" x14ac:dyDescent="0.25">
      <c r="A15" s="1" t="s">
        <v>37</v>
      </c>
    </row>
    <row r="16" spans="1:11" s="24" customFormat="1" x14ac:dyDescent="0.25">
      <c r="A16" s="23" t="s">
        <v>38</v>
      </c>
      <c r="B16" s="16">
        <v>39903</v>
      </c>
      <c r="C16" s="16">
        <v>40268</v>
      </c>
      <c r="D16" s="16">
        <v>40633</v>
      </c>
      <c r="E16" s="16">
        <v>40999</v>
      </c>
      <c r="F16" s="16">
        <v>41364</v>
      </c>
      <c r="G16" s="16">
        <v>41729</v>
      </c>
      <c r="H16" s="16">
        <v>42094</v>
      </c>
      <c r="I16" s="16">
        <v>42460</v>
      </c>
      <c r="J16" s="16">
        <v>42825</v>
      </c>
      <c r="K16" s="16">
        <v>43190</v>
      </c>
    </row>
    <row r="17" spans="1:11" s="9" customFormat="1" x14ac:dyDescent="0.25">
      <c r="A17" s="9" t="s">
        <v>6</v>
      </c>
      <c r="B17" s="470"/>
      <c r="C17" s="470"/>
      <c r="D17">
        <v>16.32</v>
      </c>
      <c r="E17">
        <v>21.06</v>
      </c>
      <c r="F17">
        <v>26.21</v>
      </c>
      <c r="G17" s="409">
        <v>44.06</v>
      </c>
      <c r="H17" s="409">
        <v>124.85</v>
      </c>
      <c r="I17" s="409">
        <v>271.93</v>
      </c>
      <c r="J17" s="409">
        <v>528.34</v>
      </c>
      <c r="K17" s="409">
        <v>849.24</v>
      </c>
    </row>
    <row r="18" spans="1:11" s="9" customFormat="1" x14ac:dyDescent="0.25">
      <c r="A18" s="5" t="s">
        <v>81</v>
      </c>
      <c r="B18" s="470"/>
      <c r="C18" s="470"/>
      <c r="D18"/>
      <c r="E18"/>
      <c r="F18"/>
      <c r="G18" s="409"/>
      <c r="H18" s="409"/>
      <c r="I18" s="409"/>
      <c r="J18" s="409"/>
      <c r="K18" s="409"/>
    </row>
    <row r="19" spans="1:11" s="9" customFormat="1" x14ac:dyDescent="0.25">
      <c r="A19" s="5" t="s">
        <v>82</v>
      </c>
      <c r="B19" s="470"/>
      <c r="C19" s="470"/>
      <c r="D19"/>
      <c r="E19"/>
      <c r="F19"/>
      <c r="G19" s="409"/>
      <c r="H19" s="409"/>
      <c r="I19" s="409"/>
      <c r="J19" s="409"/>
      <c r="K19" s="409"/>
    </row>
    <row r="20" spans="1:11" s="9" customFormat="1" x14ac:dyDescent="0.25">
      <c r="A20" s="5" t="s">
        <v>83</v>
      </c>
      <c r="B20" s="470">
        <v>0.01</v>
      </c>
      <c r="C20" s="470"/>
      <c r="D20"/>
      <c r="E20"/>
      <c r="F20"/>
      <c r="G20" s="409">
        <v>0.05</v>
      </c>
      <c r="H20" s="409"/>
      <c r="I20" s="409"/>
      <c r="J20" s="409">
        <v>0.28000000000000003</v>
      </c>
      <c r="K20" s="409">
        <v>0.3</v>
      </c>
    </row>
    <row r="21" spans="1:11" s="9" customFormat="1" x14ac:dyDescent="0.25">
      <c r="A21" s="5" t="s">
        <v>84</v>
      </c>
      <c r="B21" s="470"/>
      <c r="C21" s="470"/>
      <c r="D21"/>
      <c r="E21"/>
      <c r="F21"/>
      <c r="G21" s="409">
        <v>0.01</v>
      </c>
      <c r="H21" s="409"/>
      <c r="I21" s="409"/>
      <c r="J21" s="409">
        <v>2.13</v>
      </c>
      <c r="K21" s="409">
        <v>1.47</v>
      </c>
    </row>
    <row r="22" spans="1:11" s="9" customFormat="1" x14ac:dyDescent="0.25">
      <c r="A22" s="5" t="s">
        <v>85</v>
      </c>
      <c r="B22" s="470">
        <v>0.03</v>
      </c>
      <c r="C22" s="470">
        <v>0.01</v>
      </c>
      <c r="D22">
        <v>10.56</v>
      </c>
      <c r="E22">
        <v>13.13</v>
      </c>
      <c r="F22">
        <v>15.67</v>
      </c>
      <c r="G22" s="409">
        <v>23.36</v>
      </c>
      <c r="H22" s="409">
        <v>56.65</v>
      </c>
      <c r="I22" s="409">
        <v>127.33</v>
      </c>
      <c r="J22" s="409">
        <v>176.36</v>
      </c>
      <c r="K22" s="409">
        <v>235.58</v>
      </c>
    </row>
    <row r="23" spans="1:11" s="9" customFormat="1" x14ac:dyDescent="0.25">
      <c r="A23" s="5" t="s">
        <v>86</v>
      </c>
      <c r="B23" s="470">
        <v>0.02</v>
      </c>
      <c r="C23" s="470">
        <v>0.04</v>
      </c>
      <c r="D23">
        <v>2.5099999999999998</v>
      </c>
      <c r="E23">
        <v>0.55000000000000004</v>
      </c>
      <c r="F23">
        <v>0.24</v>
      </c>
      <c r="G23" s="409">
        <v>6.65</v>
      </c>
      <c r="H23" s="409">
        <v>29.93</v>
      </c>
      <c r="I23" s="409">
        <v>56.09</v>
      </c>
      <c r="J23" s="409">
        <v>151.69999999999999</v>
      </c>
      <c r="K23" s="409">
        <v>295.47000000000003</v>
      </c>
    </row>
    <row r="24" spans="1:11" s="9" customFormat="1" x14ac:dyDescent="0.25">
      <c r="A24" s="5" t="s">
        <v>87</v>
      </c>
      <c r="B24" s="470">
        <v>0.04</v>
      </c>
      <c r="C24" s="470"/>
      <c r="D24">
        <v>0.02</v>
      </c>
      <c r="E24">
        <v>2.38</v>
      </c>
      <c r="F24">
        <v>4.8600000000000003</v>
      </c>
      <c r="G24" s="409">
        <v>0.18</v>
      </c>
      <c r="H24" s="409"/>
      <c r="I24" s="409"/>
      <c r="J24" s="409">
        <v>13.07</v>
      </c>
      <c r="K24" s="409">
        <v>23.05</v>
      </c>
    </row>
    <row r="25" spans="1:11" s="9" customFormat="1" x14ac:dyDescent="0.25">
      <c r="A25" s="9" t="s">
        <v>9</v>
      </c>
      <c r="B25" s="470">
        <v>1.35</v>
      </c>
      <c r="C25" s="470">
        <v>0.09</v>
      </c>
      <c r="D25">
        <v>0.02</v>
      </c>
      <c r="E25">
        <v>0.06</v>
      </c>
      <c r="F25">
        <v>7.0000000000000007E-2</v>
      </c>
      <c r="G25" s="409">
        <v>0.05</v>
      </c>
      <c r="H25" s="409">
        <v>0.28999999999999998</v>
      </c>
      <c r="I25" s="409">
        <v>0.21</v>
      </c>
      <c r="J25" s="409">
        <v>0.9</v>
      </c>
      <c r="K25" s="409">
        <v>8.4499999999999993</v>
      </c>
    </row>
    <row r="26" spans="1:11" s="9" customFormat="1" x14ac:dyDescent="0.25">
      <c r="A26" s="9" t="s">
        <v>10</v>
      </c>
      <c r="B26" s="470"/>
      <c r="C26" s="470"/>
      <c r="D26">
        <v>0.69</v>
      </c>
      <c r="E26">
        <v>0.8</v>
      </c>
      <c r="F26">
        <v>0.81</v>
      </c>
      <c r="G26" s="409">
        <v>4.3099999999999996</v>
      </c>
      <c r="H26" s="409">
        <v>9.1199999999999992</v>
      </c>
      <c r="I26" s="409">
        <v>20.23</v>
      </c>
      <c r="J26" s="409">
        <v>13.52</v>
      </c>
      <c r="K26" s="409">
        <v>25.19</v>
      </c>
    </row>
    <row r="27" spans="1:11" s="9" customFormat="1" x14ac:dyDescent="0.25">
      <c r="A27" s="9" t="s">
        <v>11</v>
      </c>
      <c r="B27" s="470"/>
      <c r="C27" s="470"/>
      <c r="D27">
        <v>0.02</v>
      </c>
      <c r="E27">
        <v>0.05</v>
      </c>
      <c r="F27">
        <v>0.17</v>
      </c>
      <c r="G27" s="409">
        <v>0.37</v>
      </c>
      <c r="H27" s="409">
        <v>0.45</v>
      </c>
      <c r="I27" s="409">
        <v>0.21</v>
      </c>
      <c r="J27" s="409">
        <v>1.64</v>
      </c>
      <c r="K27" s="409">
        <v>10.66</v>
      </c>
    </row>
    <row r="28" spans="1:11" s="9" customFormat="1" x14ac:dyDescent="0.25">
      <c r="A28" s="9" t="s">
        <v>12</v>
      </c>
      <c r="B28" s="470">
        <v>1.25</v>
      </c>
      <c r="C28" s="470">
        <v>0.04</v>
      </c>
      <c r="D28">
        <v>2.54</v>
      </c>
      <c r="E28">
        <v>4.21</v>
      </c>
      <c r="F28">
        <v>4.53</v>
      </c>
      <c r="G28" s="409">
        <v>9.16</v>
      </c>
      <c r="H28" s="409">
        <v>28.99</v>
      </c>
      <c r="I28" s="409">
        <v>68.290000000000006</v>
      </c>
      <c r="J28" s="409">
        <v>170.54</v>
      </c>
      <c r="K28" s="409">
        <v>265.97000000000003</v>
      </c>
    </row>
    <row r="29" spans="1:11" s="9" customFormat="1" x14ac:dyDescent="0.25">
      <c r="A29" s="9" t="s">
        <v>13</v>
      </c>
      <c r="B29" s="470"/>
      <c r="C29" s="470"/>
      <c r="D29">
        <v>0.45</v>
      </c>
      <c r="E29">
        <v>0.7</v>
      </c>
      <c r="F29">
        <v>0.55000000000000004</v>
      </c>
      <c r="G29" s="409">
        <v>1.73</v>
      </c>
      <c r="H29" s="409">
        <v>5.9</v>
      </c>
      <c r="I29" s="409">
        <v>15.05</v>
      </c>
      <c r="J29" s="409">
        <v>41.36</v>
      </c>
      <c r="K29" s="409">
        <v>60.55</v>
      </c>
    </row>
    <row r="30" spans="1:11" s="9" customFormat="1" x14ac:dyDescent="0.25">
      <c r="A30" s="9" t="s">
        <v>14</v>
      </c>
      <c r="B30" s="470">
        <v>1.25</v>
      </c>
      <c r="C30" s="470">
        <v>0.04</v>
      </c>
      <c r="D30">
        <v>2.09</v>
      </c>
      <c r="E30">
        <v>3.5</v>
      </c>
      <c r="F30">
        <v>3.97</v>
      </c>
      <c r="G30" s="409">
        <v>6.08</v>
      </c>
      <c r="H30" s="409">
        <v>18.98</v>
      </c>
      <c r="I30" s="409">
        <v>39.590000000000003</v>
      </c>
      <c r="J30" s="409">
        <v>104.47</v>
      </c>
      <c r="K30" s="409">
        <v>171.62</v>
      </c>
    </row>
    <row r="31" spans="1:11" s="9" customFormat="1" x14ac:dyDescent="0.25">
      <c r="A31" s="9" t="s">
        <v>71</v>
      </c>
      <c r="B31"/>
      <c r="C31"/>
      <c r="D31"/>
      <c r="E31"/>
      <c r="F31"/>
      <c r="G31" s="409"/>
      <c r="H31" s="409"/>
      <c r="I31" s="409"/>
      <c r="J31" s="409">
        <v>3.05</v>
      </c>
      <c r="K31" s="409"/>
    </row>
    <row r="32" spans="1:11"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1" t="s">
        <v>39</v>
      </c>
    </row>
    <row r="41" spans="1:11" s="24" customFormat="1" x14ac:dyDescent="0.25">
      <c r="A41" s="23" t="s">
        <v>38</v>
      </c>
      <c r="B41" s="16">
        <v>42460</v>
      </c>
      <c r="C41" s="16">
        <v>42551</v>
      </c>
      <c r="D41" s="16">
        <v>42643</v>
      </c>
      <c r="E41" s="16">
        <v>42735</v>
      </c>
      <c r="F41" s="16">
        <v>42825</v>
      </c>
      <c r="G41" s="16">
        <v>42916</v>
      </c>
      <c r="H41" s="16">
        <v>43008</v>
      </c>
      <c r="I41" s="16">
        <v>43100</v>
      </c>
      <c r="J41" s="16">
        <v>43190</v>
      </c>
      <c r="K41" s="16">
        <v>43281</v>
      </c>
    </row>
    <row r="42" spans="1:11" s="9" customFormat="1" x14ac:dyDescent="0.25">
      <c r="A42" s="9" t="s">
        <v>6</v>
      </c>
      <c r="B42">
        <v>86.23</v>
      </c>
      <c r="C42">
        <v>103.87</v>
      </c>
      <c r="D42">
        <v>122.18</v>
      </c>
      <c r="E42">
        <v>141.72999999999999</v>
      </c>
      <c r="F42">
        <v>166.6</v>
      </c>
      <c r="G42">
        <v>195.42</v>
      </c>
      <c r="H42">
        <v>210.62</v>
      </c>
      <c r="I42">
        <v>223.88</v>
      </c>
      <c r="J42">
        <v>227.19</v>
      </c>
      <c r="K42">
        <v>240.22</v>
      </c>
    </row>
    <row r="43" spans="1:11" s="9" customFormat="1" x14ac:dyDescent="0.25">
      <c r="A43" s="9" t="s">
        <v>7</v>
      </c>
      <c r="B43">
        <v>60.02</v>
      </c>
      <c r="C43">
        <v>67.12</v>
      </c>
      <c r="D43">
        <v>79.790000000000006</v>
      </c>
      <c r="E43">
        <v>92.97</v>
      </c>
      <c r="F43">
        <v>108.31</v>
      </c>
      <c r="G43">
        <v>131.80000000000001</v>
      </c>
      <c r="H43">
        <v>140.57</v>
      </c>
      <c r="I43">
        <v>147.13</v>
      </c>
      <c r="J43">
        <v>146.04</v>
      </c>
      <c r="K43">
        <v>156.52000000000001</v>
      </c>
    </row>
    <row r="44" spans="1:11" s="9" customFormat="1" x14ac:dyDescent="0.25">
      <c r="A44" s="9" t="s">
        <v>9</v>
      </c>
      <c r="B44">
        <v>0.13</v>
      </c>
      <c r="C44">
        <v>0.03</v>
      </c>
      <c r="D44">
        <v>0.04</v>
      </c>
      <c r="E44">
        <v>0.04</v>
      </c>
      <c r="F44">
        <v>0.05</v>
      </c>
      <c r="G44">
        <v>0.36</v>
      </c>
      <c r="H44">
        <v>0.5</v>
      </c>
      <c r="I44">
        <v>0.59</v>
      </c>
      <c r="J44">
        <v>1.43</v>
      </c>
      <c r="K44">
        <v>4.8600000000000003</v>
      </c>
    </row>
    <row r="45" spans="1:11" s="9" customFormat="1" x14ac:dyDescent="0.25">
      <c r="A45" s="9" t="s">
        <v>10</v>
      </c>
      <c r="B45">
        <v>5.44</v>
      </c>
      <c r="C45">
        <v>5.58</v>
      </c>
      <c r="D45">
        <v>4.54</v>
      </c>
      <c r="E45">
        <v>4.9800000000000004</v>
      </c>
      <c r="F45">
        <v>4.59</v>
      </c>
      <c r="G45">
        <v>5.7</v>
      </c>
      <c r="H45">
        <v>7.07</v>
      </c>
      <c r="I45">
        <v>8.61</v>
      </c>
      <c r="J45">
        <v>4.3899999999999997</v>
      </c>
      <c r="K45">
        <v>11.76</v>
      </c>
    </row>
    <row r="46" spans="1:11" s="9" customFormat="1" x14ac:dyDescent="0.25">
      <c r="A46" s="9" t="s">
        <v>11</v>
      </c>
      <c r="B46">
        <v>0.11</v>
      </c>
      <c r="C46">
        <v>0.08</v>
      </c>
      <c r="D46">
        <v>0.09</v>
      </c>
      <c r="E46">
        <v>0.31</v>
      </c>
      <c r="F46">
        <v>1.46</v>
      </c>
      <c r="G46">
        <v>1.25</v>
      </c>
      <c r="H46">
        <v>1.77</v>
      </c>
      <c r="I46">
        <v>2.0699999999999998</v>
      </c>
      <c r="J46">
        <v>4.62</v>
      </c>
      <c r="K46">
        <v>2.08</v>
      </c>
    </row>
    <row r="47" spans="1:11" s="9" customFormat="1" x14ac:dyDescent="0.25">
      <c r="A47" s="9" t="s">
        <v>12</v>
      </c>
      <c r="B47">
        <v>20.79</v>
      </c>
      <c r="C47">
        <v>31.12</v>
      </c>
      <c r="D47">
        <v>37.799999999999997</v>
      </c>
      <c r="E47">
        <v>43.51</v>
      </c>
      <c r="F47">
        <v>52.28</v>
      </c>
      <c r="G47">
        <v>57.02</v>
      </c>
      <c r="H47">
        <v>61.71</v>
      </c>
      <c r="I47">
        <v>66.64</v>
      </c>
      <c r="J47">
        <v>73.569999999999993</v>
      </c>
      <c r="K47">
        <v>74.72</v>
      </c>
    </row>
    <row r="48" spans="1:11" s="9" customFormat="1" x14ac:dyDescent="0.25">
      <c r="A48" s="9" t="s">
        <v>13</v>
      </c>
      <c r="B48">
        <v>4.43</v>
      </c>
      <c r="C48">
        <v>6.96</v>
      </c>
      <c r="D48">
        <v>9.1300000000000008</v>
      </c>
      <c r="E48">
        <v>10.91</v>
      </c>
      <c r="F48">
        <v>12.11</v>
      </c>
      <c r="G48">
        <v>12.87</v>
      </c>
      <c r="H48">
        <v>14</v>
      </c>
      <c r="I48">
        <v>15.14</v>
      </c>
      <c r="J48">
        <v>17.850000000000001</v>
      </c>
      <c r="K48">
        <v>16.22</v>
      </c>
    </row>
    <row r="49" spans="1:11" s="9" customFormat="1" x14ac:dyDescent="0.25">
      <c r="A49" s="9" t="s">
        <v>14</v>
      </c>
      <c r="B49">
        <v>16.36</v>
      </c>
      <c r="C49">
        <v>24.15</v>
      </c>
      <c r="D49">
        <v>28.67</v>
      </c>
      <c r="E49">
        <v>32.6</v>
      </c>
      <c r="F49">
        <v>40.18</v>
      </c>
      <c r="G49">
        <v>44.15</v>
      </c>
      <c r="H49">
        <v>47.71</v>
      </c>
      <c r="I49">
        <v>51.5</v>
      </c>
      <c r="J49">
        <v>55.73</v>
      </c>
      <c r="K49">
        <v>58.5</v>
      </c>
    </row>
    <row r="50" spans="1:11" x14ac:dyDescent="0.25">
      <c r="A50" s="9" t="s">
        <v>8</v>
      </c>
      <c r="B50">
        <v>26.21</v>
      </c>
      <c r="C50">
        <v>36.75</v>
      </c>
      <c r="D50">
        <v>42.39</v>
      </c>
      <c r="E50">
        <v>48.76</v>
      </c>
      <c r="F50">
        <v>58.29</v>
      </c>
      <c r="G50">
        <v>63.62</v>
      </c>
      <c r="H50">
        <v>70.05</v>
      </c>
      <c r="I50">
        <v>76.75</v>
      </c>
      <c r="J50">
        <v>81.150000000000006</v>
      </c>
      <c r="K50">
        <v>83.7</v>
      </c>
    </row>
    <row r="51" spans="1:11" x14ac:dyDescent="0.25">
      <c r="A51" s="9"/>
    </row>
    <row r="52" spans="1:11" x14ac:dyDescent="0.25">
      <c r="A52" s="9"/>
    </row>
    <row r="53" spans="1:11" x14ac:dyDescent="0.25">
      <c r="A53" s="9"/>
    </row>
    <row r="54" spans="1:11" x14ac:dyDescent="0.25">
      <c r="A54" s="9"/>
    </row>
    <row r="55" spans="1:11" x14ac:dyDescent="0.25">
      <c r="A55" s="1" t="s">
        <v>40</v>
      </c>
    </row>
    <row r="56" spans="1:11" s="24" customFormat="1" x14ac:dyDescent="0.25">
      <c r="A56" s="23" t="s">
        <v>38</v>
      </c>
      <c r="B56" s="16">
        <v>39903</v>
      </c>
      <c r="C56" s="16">
        <v>40268</v>
      </c>
      <c r="D56" s="16">
        <v>40633</v>
      </c>
      <c r="E56" s="16">
        <v>40999</v>
      </c>
      <c r="F56" s="16">
        <v>41364</v>
      </c>
      <c r="G56" s="16">
        <v>41729</v>
      </c>
      <c r="H56" s="16">
        <v>42094</v>
      </c>
      <c r="I56" s="16">
        <v>42460</v>
      </c>
      <c r="J56" s="16">
        <v>42825</v>
      </c>
      <c r="K56" s="16">
        <v>43190</v>
      </c>
    </row>
    <row r="57" spans="1:11" x14ac:dyDescent="0.25">
      <c r="A57" s="9" t="s">
        <v>24</v>
      </c>
      <c r="B57" s="471">
        <v>1.56</v>
      </c>
      <c r="C57" s="471">
        <v>1.56</v>
      </c>
      <c r="D57">
        <v>5.55</v>
      </c>
      <c r="E57">
        <v>5.55</v>
      </c>
      <c r="F57">
        <v>10.039999999999999</v>
      </c>
      <c r="G57" s="410">
        <v>10.039999999999999</v>
      </c>
      <c r="H57" s="410">
        <v>10.34</v>
      </c>
      <c r="I57" s="410">
        <v>10.89</v>
      </c>
      <c r="J57" s="410">
        <v>15.26</v>
      </c>
      <c r="K57" s="410">
        <v>15.26</v>
      </c>
    </row>
    <row r="58" spans="1:11" x14ac:dyDescent="0.25">
      <c r="A58" s="9" t="s">
        <v>25</v>
      </c>
      <c r="B58" s="471">
        <v>4.88</v>
      </c>
      <c r="C58" s="471">
        <v>4.92</v>
      </c>
      <c r="D58">
        <v>15.14</v>
      </c>
      <c r="E58">
        <v>19.96</v>
      </c>
      <c r="F58">
        <v>17.55</v>
      </c>
      <c r="G58" s="410">
        <v>51.96</v>
      </c>
      <c r="H58" s="410">
        <v>89.44</v>
      </c>
      <c r="I58" s="410">
        <v>193.56</v>
      </c>
      <c r="J58" s="410">
        <v>304.69</v>
      </c>
      <c r="K58" s="410">
        <v>475.84</v>
      </c>
    </row>
    <row r="59" spans="1:11" x14ac:dyDescent="0.25">
      <c r="A59" s="9" t="s">
        <v>72</v>
      </c>
      <c r="B59" s="471">
        <v>1.31</v>
      </c>
      <c r="C59" s="471"/>
      <c r="D59">
        <v>1.07</v>
      </c>
      <c r="E59">
        <v>2.93</v>
      </c>
      <c r="F59">
        <v>2.11</v>
      </c>
      <c r="G59" s="410">
        <v>3.78</v>
      </c>
      <c r="H59" s="410">
        <v>7.0000000000000007E-2</v>
      </c>
      <c r="I59" s="410">
        <v>2.72</v>
      </c>
      <c r="J59" s="410">
        <v>40.79</v>
      </c>
      <c r="K59" s="410">
        <v>86.48</v>
      </c>
    </row>
    <row r="60" spans="1:11" x14ac:dyDescent="0.25">
      <c r="A60" s="9" t="s">
        <v>73</v>
      </c>
      <c r="B60" s="471">
        <v>0.16</v>
      </c>
      <c r="C60" s="471">
        <v>0.15</v>
      </c>
      <c r="D60">
        <v>13.57</v>
      </c>
      <c r="E60">
        <v>15.97</v>
      </c>
      <c r="F60">
        <v>15.06</v>
      </c>
      <c r="G60" s="410">
        <v>33.78</v>
      </c>
      <c r="H60" s="410">
        <v>52</v>
      </c>
      <c r="I60" s="410">
        <v>106.94</v>
      </c>
      <c r="J60" s="410">
        <v>150.77000000000001</v>
      </c>
      <c r="K60" s="410">
        <v>243.64</v>
      </c>
    </row>
    <row r="61" spans="1:11" s="1" customFormat="1" x14ac:dyDescent="0.25">
      <c r="A61" s="1" t="s">
        <v>26</v>
      </c>
      <c r="B61" s="471">
        <v>7.91</v>
      </c>
      <c r="C61" s="471">
        <v>6.63</v>
      </c>
      <c r="D61">
        <v>35.33</v>
      </c>
      <c r="E61">
        <v>44.41</v>
      </c>
      <c r="F61">
        <v>44.76</v>
      </c>
      <c r="G61" s="410">
        <v>99.56</v>
      </c>
      <c r="H61" s="410">
        <v>151.85</v>
      </c>
      <c r="I61" s="410">
        <v>314.11</v>
      </c>
      <c r="J61" s="410">
        <v>511.51</v>
      </c>
      <c r="K61" s="410">
        <v>821.22</v>
      </c>
    </row>
    <row r="62" spans="1:11" x14ac:dyDescent="0.25">
      <c r="A62" s="9" t="s">
        <v>27</v>
      </c>
      <c r="B62" s="471">
        <v>0.11</v>
      </c>
      <c r="C62" s="471">
        <v>0.09</v>
      </c>
      <c r="D62">
        <v>6.05</v>
      </c>
      <c r="E62">
        <v>5.98</v>
      </c>
      <c r="F62">
        <v>0.73</v>
      </c>
      <c r="G62" s="410">
        <v>52.25</v>
      </c>
      <c r="H62" s="410">
        <v>79.12</v>
      </c>
      <c r="I62" s="410">
        <v>146.37</v>
      </c>
      <c r="J62" s="410">
        <v>187.4</v>
      </c>
      <c r="K62" s="410">
        <v>358.34</v>
      </c>
    </row>
    <row r="63" spans="1:11" x14ac:dyDescent="0.25">
      <c r="A63" s="9" t="s">
        <v>28</v>
      </c>
      <c r="B63" s="471"/>
      <c r="C63" s="471"/>
      <c r="D63">
        <v>12.59</v>
      </c>
      <c r="E63">
        <v>16.43</v>
      </c>
      <c r="F63">
        <v>17.48</v>
      </c>
      <c r="G63" s="410">
        <v>19.579999999999998</v>
      </c>
      <c r="H63" s="410">
        <v>19.899999999999999</v>
      </c>
      <c r="I63" s="410">
        <v>18.13</v>
      </c>
      <c r="J63" s="410">
        <v>20.72</v>
      </c>
      <c r="K63" s="410">
        <v>28.06</v>
      </c>
    </row>
    <row r="64" spans="1:11" x14ac:dyDescent="0.25">
      <c r="A64" s="9" t="s">
        <v>29</v>
      </c>
      <c r="B64" s="471">
        <v>0.71</v>
      </c>
      <c r="C64" s="471"/>
      <c r="D64"/>
      <c r="E64"/>
      <c r="F64"/>
      <c r="G64" s="410"/>
      <c r="H64" s="410"/>
      <c r="I64" s="410"/>
      <c r="J64" s="410"/>
      <c r="K64" s="410"/>
    </row>
    <row r="65" spans="1:11" x14ac:dyDescent="0.25">
      <c r="A65" s="9" t="s">
        <v>74</v>
      </c>
      <c r="B65" s="471">
        <v>7.09</v>
      </c>
      <c r="C65" s="471">
        <v>6.54</v>
      </c>
      <c r="D65">
        <v>16.690000000000001</v>
      </c>
      <c r="E65">
        <v>22</v>
      </c>
      <c r="F65">
        <v>26.55</v>
      </c>
      <c r="G65" s="410">
        <v>27.73</v>
      </c>
      <c r="H65" s="410">
        <v>52.83</v>
      </c>
      <c r="I65" s="410">
        <v>149.61000000000001</v>
      </c>
      <c r="J65" s="410">
        <v>303.39</v>
      </c>
      <c r="K65" s="410">
        <v>434.82</v>
      </c>
    </row>
    <row r="66" spans="1:11" s="1" customFormat="1" x14ac:dyDescent="0.25">
      <c r="A66" s="1" t="s">
        <v>26</v>
      </c>
      <c r="B66" s="471">
        <v>7.91</v>
      </c>
      <c r="C66" s="471">
        <v>6.63</v>
      </c>
      <c r="D66">
        <v>35.33</v>
      </c>
      <c r="E66">
        <v>44.41</v>
      </c>
      <c r="F66">
        <v>44.76</v>
      </c>
      <c r="G66" s="410">
        <v>99.56</v>
      </c>
      <c r="H66" s="410">
        <v>151.85</v>
      </c>
      <c r="I66" s="410">
        <v>314.11</v>
      </c>
      <c r="J66" s="410">
        <v>511.51</v>
      </c>
      <c r="K66" s="410">
        <v>821.22</v>
      </c>
    </row>
    <row r="67" spans="1:11" s="9" customFormat="1" x14ac:dyDescent="0.25">
      <c r="A67" s="9" t="s">
        <v>79</v>
      </c>
      <c r="B67" s="471">
        <v>2.76</v>
      </c>
      <c r="C67" s="471">
        <v>2.76</v>
      </c>
      <c r="D67">
        <v>10.96</v>
      </c>
      <c r="E67">
        <v>12.95</v>
      </c>
      <c r="F67">
        <v>13.83</v>
      </c>
      <c r="G67" s="410">
        <v>13.42</v>
      </c>
      <c r="H67" s="410">
        <v>28.14</v>
      </c>
      <c r="I67" s="410">
        <v>80.209999999999994</v>
      </c>
      <c r="J67" s="410">
        <v>129.47999999999999</v>
      </c>
      <c r="K67" s="410">
        <v>252.52</v>
      </c>
    </row>
    <row r="68" spans="1:11" x14ac:dyDescent="0.25">
      <c r="A68" s="9" t="s">
        <v>45</v>
      </c>
      <c r="B68" s="471"/>
      <c r="C68" s="471"/>
      <c r="D68"/>
      <c r="E68"/>
      <c r="F68"/>
      <c r="G68" s="410"/>
      <c r="H68" s="410"/>
      <c r="I68" s="410"/>
      <c r="J68" s="410"/>
      <c r="K68" s="410"/>
    </row>
    <row r="69" spans="1:11" x14ac:dyDescent="0.25">
      <c r="A69" s="5" t="s">
        <v>88</v>
      </c>
      <c r="B69" s="471"/>
      <c r="C69" s="471">
        <v>0.01</v>
      </c>
      <c r="D69">
        <v>0.44</v>
      </c>
      <c r="E69">
        <v>2.97</v>
      </c>
      <c r="F69">
        <v>1.45</v>
      </c>
      <c r="G69" s="410">
        <v>4.83</v>
      </c>
      <c r="H69" s="410">
        <v>14.78</v>
      </c>
      <c r="I69" s="410">
        <v>28.56</v>
      </c>
      <c r="J69" s="410">
        <v>89.79</v>
      </c>
      <c r="K69" s="410">
        <v>10.99</v>
      </c>
    </row>
    <row r="70" spans="1:11" x14ac:dyDescent="0.25">
      <c r="A70" s="5" t="s">
        <v>75</v>
      </c>
      <c r="B70" s="471">
        <v>1560000</v>
      </c>
      <c r="C70" s="471">
        <v>1560000</v>
      </c>
      <c r="D70">
        <v>5554161</v>
      </c>
      <c r="E70">
        <v>5554161</v>
      </c>
      <c r="F70">
        <v>10044102</v>
      </c>
      <c r="G70" s="410">
        <v>10044102</v>
      </c>
      <c r="H70" s="410">
        <v>10344102</v>
      </c>
      <c r="I70" s="410">
        <v>10894102</v>
      </c>
      <c r="J70" s="410">
        <v>30517605</v>
      </c>
      <c r="K70" s="410">
        <v>30517605</v>
      </c>
    </row>
    <row r="71" spans="1:11" x14ac:dyDescent="0.25">
      <c r="A71" s="5" t="s">
        <v>76</v>
      </c>
      <c r="B71" s="471"/>
      <c r="C71" s="471"/>
      <c r="D71"/>
      <c r="F71">
        <v>4017641</v>
      </c>
      <c r="G71" s="410"/>
      <c r="H71" s="410"/>
      <c r="I71" s="410"/>
      <c r="J71" s="410">
        <v>7629401</v>
      </c>
      <c r="K71" s="410"/>
    </row>
    <row r="72" spans="1:11" x14ac:dyDescent="0.25">
      <c r="A72" s="5" t="s">
        <v>89</v>
      </c>
      <c r="B72" s="471">
        <v>10</v>
      </c>
      <c r="C72" s="471">
        <v>10</v>
      </c>
      <c r="D72">
        <v>10</v>
      </c>
      <c r="E72">
        <v>10</v>
      </c>
      <c r="F72">
        <v>10</v>
      </c>
      <c r="G72" s="410">
        <v>10</v>
      </c>
      <c r="H72" s="410">
        <v>10</v>
      </c>
      <c r="I72" s="410">
        <v>10</v>
      </c>
      <c r="J72" s="410">
        <v>5</v>
      </c>
      <c r="K72" s="410">
        <v>5</v>
      </c>
    </row>
    <row r="74" spans="1:11" x14ac:dyDescent="0.25">
      <c r="A74" s="9"/>
    </row>
    <row r="75" spans="1:11" x14ac:dyDescent="0.25">
      <c r="A75" s="9"/>
    </row>
    <row r="76" spans="1:11" x14ac:dyDescent="0.25">
      <c r="A76" s="9"/>
    </row>
    <row r="77" spans="1:11" x14ac:dyDescent="0.25">
      <c r="A77" s="9"/>
    </row>
    <row r="78" spans="1:11" x14ac:dyDescent="0.25">
      <c r="A78" s="9"/>
    </row>
    <row r="79" spans="1:11" x14ac:dyDescent="0.25">
      <c r="A79" s="9"/>
    </row>
    <row r="80" spans="1:11" x14ac:dyDescent="0.25">
      <c r="A80" s="1" t="s">
        <v>41</v>
      </c>
    </row>
    <row r="81" spans="1:11" s="24" customFormat="1" x14ac:dyDescent="0.25">
      <c r="A81" s="23" t="s">
        <v>38</v>
      </c>
      <c r="B81" s="16">
        <v>39903</v>
      </c>
      <c r="C81" s="16">
        <v>40268</v>
      </c>
      <c r="D81" s="16">
        <v>40633</v>
      </c>
      <c r="E81" s="16">
        <v>40999</v>
      </c>
      <c r="F81" s="16">
        <v>41364</v>
      </c>
      <c r="G81" s="16">
        <v>41729</v>
      </c>
      <c r="H81" s="16">
        <v>42094</v>
      </c>
      <c r="I81" s="16">
        <v>42460</v>
      </c>
      <c r="J81" s="16">
        <v>42825</v>
      </c>
      <c r="K81" s="16">
        <v>43190</v>
      </c>
    </row>
    <row r="82" spans="1:11" s="1" customFormat="1" x14ac:dyDescent="0.25">
      <c r="A82" s="9" t="s">
        <v>32</v>
      </c>
      <c r="B82" s="473"/>
      <c r="C82" s="473"/>
      <c r="D82">
        <v>11.4</v>
      </c>
      <c r="E82">
        <v>-3.35</v>
      </c>
      <c r="F82">
        <v>-7.42</v>
      </c>
      <c r="G82" s="411">
        <v>12.16</v>
      </c>
      <c r="H82" s="411">
        <v>26.08</v>
      </c>
      <c r="I82" s="411">
        <v>18.89</v>
      </c>
      <c r="J82" s="411">
        <v>71.73</v>
      </c>
      <c r="K82" s="412">
        <v>125.1</v>
      </c>
    </row>
    <row r="83" spans="1:11" s="9" customFormat="1" x14ac:dyDescent="0.25">
      <c r="A83" s="9" t="s">
        <v>33</v>
      </c>
      <c r="B83" s="473"/>
      <c r="C83" s="473"/>
      <c r="D83">
        <v>-18.8</v>
      </c>
      <c r="E83">
        <v>-3.77</v>
      </c>
      <c r="F83">
        <v>-2.0699999999999998</v>
      </c>
      <c r="G83" s="411">
        <v>-57.5</v>
      </c>
      <c r="H83" s="411">
        <v>-36.65</v>
      </c>
      <c r="I83" s="411">
        <v>-85.71</v>
      </c>
      <c r="J83" s="411">
        <v>-56.67</v>
      </c>
      <c r="K83" s="412">
        <v>-238.07</v>
      </c>
    </row>
    <row r="84" spans="1:11" s="9" customFormat="1" x14ac:dyDescent="0.25">
      <c r="A84" s="9" t="s">
        <v>34</v>
      </c>
      <c r="B84" s="473"/>
      <c r="C84" s="473"/>
      <c r="D84">
        <v>7.84</v>
      </c>
      <c r="E84">
        <v>9.65</v>
      </c>
      <c r="F84">
        <v>7.96</v>
      </c>
      <c r="G84" s="411">
        <v>48.73</v>
      </c>
      <c r="H84" s="411">
        <v>20.52</v>
      </c>
      <c r="I84" s="411">
        <v>80.59</v>
      </c>
      <c r="J84" s="411">
        <v>45.49</v>
      </c>
      <c r="K84" s="412">
        <v>34.369999999999997</v>
      </c>
    </row>
    <row r="85" spans="1:11" s="1" customFormat="1" x14ac:dyDescent="0.25">
      <c r="A85" s="9" t="s">
        <v>35</v>
      </c>
      <c r="B85" s="473"/>
      <c r="C85" s="473"/>
      <c r="D85">
        <v>0.44</v>
      </c>
      <c r="E85">
        <v>2.5299999999999998</v>
      </c>
      <c r="F85">
        <v>-1.53</v>
      </c>
      <c r="G85" s="411">
        <v>3.39</v>
      </c>
      <c r="H85" s="411">
        <v>9.9499999999999993</v>
      </c>
      <c r="I85" s="411">
        <v>13.77</v>
      </c>
      <c r="J85" s="411">
        <v>60.54</v>
      </c>
      <c r="K85" s="412">
        <v>-78.599999999999994</v>
      </c>
    </row>
    <row r="86" spans="1:11" x14ac:dyDescent="0.25">
      <c r="A86" s="9"/>
      <c r="B86" s="473"/>
      <c r="C86" s="473"/>
    </row>
    <row r="87" spans="1:11" x14ac:dyDescent="0.25">
      <c r="A87" s="9"/>
      <c r="B87" s="473"/>
      <c r="C87" s="473"/>
    </row>
    <row r="88" spans="1:11" x14ac:dyDescent="0.25">
      <c r="A88" s="9"/>
      <c r="B88" s="473"/>
      <c r="C88" s="473"/>
    </row>
    <row r="89" spans="1:11" x14ac:dyDescent="0.25">
      <c r="A89" s="9"/>
      <c r="B89" s="473"/>
      <c r="C89" s="473"/>
    </row>
    <row r="90" spans="1:11" s="1" customFormat="1" x14ac:dyDescent="0.25">
      <c r="A90" s="1" t="s">
        <v>78</v>
      </c>
      <c r="B90" s="473"/>
      <c r="C90" s="473"/>
      <c r="D90">
        <v>11.087142999999999</v>
      </c>
      <c r="E90">
        <v>12.092000000000001</v>
      </c>
      <c r="F90">
        <v>19.812000000000001</v>
      </c>
      <c r="G90" s="413">
        <v>40.534210999999999</v>
      </c>
      <c r="H90" s="413">
        <v>275.565</v>
      </c>
      <c r="I90" s="413">
        <v>744.72578899999996</v>
      </c>
      <c r="J90" s="413">
        <v>581.47894699999995</v>
      </c>
      <c r="K90" s="413">
        <v>749.45476199999996</v>
      </c>
    </row>
    <row r="91" spans="1:11" x14ac:dyDescent="0.25">
      <c r="B91" s="472"/>
      <c r="C91" s="472"/>
    </row>
    <row r="92" spans="1:11" s="1" customFormat="1" x14ac:dyDescent="0.25">
      <c r="A92" s="1" t="s">
        <v>77</v>
      </c>
      <c r="B92" s="474"/>
      <c r="C92" s="474"/>
    </row>
    <row r="93" spans="1:11" x14ac:dyDescent="0.25">
      <c r="A93" s="5" t="s">
        <v>90</v>
      </c>
      <c r="B93" s="475">
        <v>2.2396443000000001</v>
      </c>
      <c r="C93" s="475">
        <v>2.2396443000000001</v>
      </c>
      <c r="D93" s="31">
        <f>IF($B7&gt;0,(D70*D72/$B7)+SUM(E71:$K71),0)/10000000</f>
        <v>2.2755364</v>
      </c>
      <c r="E93" s="31">
        <f>IF($B7&gt;0,(E70*E72/$B7)+SUM(F71:$K71),0)/10000000</f>
        <v>2.2755364</v>
      </c>
      <c r="F93" s="31">
        <f>IF($B7&gt;0,(F70*F72/$B7)+SUM(G71:$K71),0)/10000000</f>
        <v>2.7717605000000001</v>
      </c>
      <c r="G93" s="31">
        <f>IF($B7&gt;0,(G70*G72/$B7)+SUM(H71:$K71),0)/10000000</f>
        <v>2.7717605000000001</v>
      </c>
      <c r="H93" s="31">
        <f>IF($B7&gt;0,(H70*H72/$B7)+SUM(I71:$K71),0)/10000000</f>
        <v>2.8317605000000001</v>
      </c>
      <c r="I93" s="31">
        <f>IF($B7&gt;0,(I70*I72/$B7)+SUM(J71:$K71),0)/10000000</f>
        <v>2.9417605</v>
      </c>
      <c r="J93" s="31">
        <f>IF($B7&gt;0,(J70*J72/$B7)+SUM(K71:$K71),0)/10000000</f>
        <v>3.0517604999999999</v>
      </c>
      <c r="K93" s="31">
        <f>IF($B7&gt;0,(K70*K72/$B7),0)/10000000</f>
        <v>3.0517604999999999</v>
      </c>
    </row>
  </sheetData>
  <mergeCells count="2">
    <mergeCell ref="E1:K1"/>
    <mergeCell ref="E2:K2"/>
  </mergeCells>
  <conditionalFormatting sqref="E1:K1">
    <cfRule type="cellIs" dxfId="108"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3"/>
  <sheetViews>
    <sheetView zoomScaleNormal="100" workbookViewId="0">
      <selection activeCell="L109" sqref="L109"/>
    </sheetView>
  </sheetViews>
  <sheetFormatPr defaultRowHeight="15" x14ac:dyDescent="0.25"/>
  <cols>
    <col min="1" max="1" width="39.5703125" bestFit="1" customWidth="1"/>
    <col min="2" max="2" width="12.140625" bestFit="1" customWidth="1"/>
    <col min="3" max="3" width="9" customWidth="1"/>
    <col min="4" max="7" width="11" bestFit="1" customWidth="1"/>
    <col min="8" max="8" width="10.28515625" customWidth="1"/>
    <col min="9" max="11" width="11" bestFit="1" customWidth="1"/>
  </cols>
  <sheetData>
    <row r="2" spans="1:13" x14ac:dyDescent="0.25">
      <c r="A2" s="393" t="s">
        <v>948</v>
      </c>
      <c r="B2" s="16">
        <f>'Data Sheet'!B56</f>
        <v>39903</v>
      </c>
      <c r="C2" s="16">
        <f>'Data Sheet'!C56</f>
        <v>40268</v>
      </c>
      <c r="D2" s="16">
        <f>'Data Sheet'!D56</f>
        <v>40633</v>
      </c>
      <c r="E2" s="16">
        <f>'Data Sheet'!E56</f>
        <v>40999</v>
      </c>
      <c r="F2" s="16">
        <f>'Data Sheet'!F56</f>
        <v>41364</v>
      </c>
      <c r="G2" s="16">
        <f>'Data Sheet'!G56</f>
        <v>41729</v>
      </c>
      <c r="H2" s="16">
        <f>'Data Sheet'!H56</f>
        <v>42094</v>
      </c>
      <c r="I2" s="16">
        <f>'Data Sheet'!I56</f>
        <v>42460</v>
      </c>
      <c r="J2" s="16">
        <f>'Data Sheet'!J56</f>
        <v>42825</v>
      </c>
      <c r="K2" s="16">
        <f>'Data Sheet'!K56</f>
        <v>43190</v>
      </c>
    </row>
    <row r="3" spans="1:13" x14ac:dyDescent="0.25">
      <c r="A3" s="286" t="s">
        <v>902</v>
      </c>
      <c r="B3">
        <f>SUM('Data Sheet'!B57:B58)</f>
        <v>6.4399999999999995</v>
      </c>
      <c r="C3">
        <f>SUM('Data Sheet'!C57:C58)</f>
        <v>6.48</v>
      </c>
      <c r="D3">
        <f>SUM('Data Sheet'!D57:D58)</f>
        <v>20.69</v>
      </c>
      <c r="E3">
        <f>SUM('Data Sheet'!E57:E58)</f>
        <v>25.51</v>
      </c>
      <c r="F3">
        <f>SUM('Data Sheet'!F57:F58)</f>
        <v>27.59</v>
      </c>
      <c r="G3">
        <f>SUM('Data Sheet'!G57:G58)</f>
        <v>62</v>
      </c>
      <c r="H3">
        <f>SUM('Data Sheet'!H57:H58)</f>
        <v>99.78</v>
      </c>
      <c r="I3">
        <f>SUM('Data Sheet'!I57:I58)</f>
        <v>204.45</v>
      </c>
      <c r="J3">
        <f>SUM('Data Sheet'!J57:J58)</f>
        <v>319.95</v>
      </c>
      <c r="K3">
        <f>SUM('Data Sheet'!K57:K58)</f>
        <v>491.09999999999997</v>
      </c>
    </row>
    <row r="4" spans="1:13" x14ac:dyDescent="0.25">
      <c r="A4" s="286" t="s">
        <v>903</v>
      </c>
      <c r="B4">
        <f>'Data Sheet'!B30</f>
        <v>1.25</v>
      </c>
      <c r="C4">
        <f>'Data Sheet'!C30</f>
        <v>0.04</v>
      </c>
      <c r="D4">
        <f>'Data Sheet'!D30</f>
        <v>2.09</v>
      </c>
      <c r="E4">
        <f>'Data Sheet'!E30</f>
        <v>3.5</v>
      </c>
      <c r="F4">
        <f>'Data Sheet'!F30</f>
        <v>3.97</v>
      </c>
      <c r="G4">
        <f>'Data Sheet'!G30</f>
        <v>6.08</v>
      </c>
      <c r="H4">
        <f>'Data Sheet'!H30</f>
        <v>18.98</v>
      </c>
      <c r="I4">
        <f>'Data Sheet'!I30</f>
        <v>39.590000000000003</v>
      </c>
      <c r="J4">
        <f>'Data Sheet'!J30</f>
        <v>104.47</v>
      </c>
      <c r="K4">
        <f>'Data Sheet'!K30</f>
        <v>171.62</v>
      </c>
      <c r="M4" s="379"/>
    </row>
    <row r="5" spans="1:13" x14ac:dyDescent="0.25">
      <c r="A5" s="286" t="s">
        <v>904</v>
      </c>
      <c r="C5" s="380">
        <f>C4/((C3+B3)/2)</f>
        <v>6.1919504643962852E-3</v>
      </c>
      <c r="D5" s="380">
        <f t="shared" ref="D5:K5" si="0">D4/((D3+C3)/2)</f>
        <v>0.15384615384615383</v>
      </c>
      <c r="E5" s="380">
        <f t="shared" si="0"/>
        <v>0.15151515151515152</v>
      </c>
      <c r="F5" s="380">
        <f t="shared" si="0"/>
        <v>0.1495291902071563</v>
      </c>
      <c r="G5" s="380">
        <f t="shared" si="0"/>
        <v>0.13572943408862595</v>
      </c>
      <c r="H5" s="380">
        <f t="shared" si="0"/>
        <v>0.23463963407096056</v>
      </c>
      <c r="I5" s="380">
        <f t="shared" si="0"/>
        <v>0.26026361634289846</v>
      </c>
      <c r="J5" s="380">
        <f t="shared" si="0"/>
        <v>0.39843630816170861</v>
      </c>
      <c r="K5" s="380">
        <f t="shared" si="0"/>
        <v>0.42320448800937061</v>
      </c>
    </row>
    <row r="6" spans="1:13" x14ac:dyDescent="0.25">
      <c r="A6" s="393" t="s">
        <v>947</v>
      </c>
    </row>
    <row r="7" spans="1:13" ht="24.75" x14ac:dyDescent="0.25">
      <c r="A7" s="286" t="s">
        <v>905</v>
      </c>
      <c r="B7">
        <f>'Data Sheet'!B17-'Data Sheet'!B18+'Data Sheet'!B19</f>
        <v>0</v>
      </c>
      <c r="C7">
        <f>'Data Sheet'!C17-'Data Sheet'!C18+'Data Sheet'!C19</f>
        <v>0</v>
      </c>
      <c r="D7">
        <f>'Data Sheet'!D17-'Data Sheet'!D18+'Data Sheet'!D19</f>
        <v>16.32</v>
      </c>
      <c r="E7">
        <f>'Data Sheet'!E17-'Data Sheet'!E18+'Data Sheet'!E19</f>
        <v>21.06</v>
      </c>
      <c r="F7">
        <f>'Data Sheet'!F17-'Data Sheet'!F18+'Data Sheet'!F19</f>
        <v>26.21</v>
      </c>
      <c r="G7">
        <f>'Data Sheet'!G17-'Data Sheet'!G18+'Data Sheet'!G19</f>
        <v>44.06</v>
      </c>
      <c r="H7">
        <f>'Data Sheet'!H17-'Data Sheet'!H18+'Data Sheet'!H19</f>
        <v>124.85</v>
      </c>
      <c r="I7">
        <f>'Data Sheet'!I17-'Data Sheet'!I18+'Data Sheet'!I19</f>
        <v>271.93</v>
      </c>
      <c r="J7">
        <f>'Data Sheet'!J17-'Data Sheet'!J18+'Data Sheet'!J19</f>
        <v>528.34</v>
      </c>
      <c r="K7">
        <f>'Data Sheet'!K17-'Data Sheet'!K18+'Data Sheet'!K19</f>
        <v>849.24</v>
      </c>
    </row>
    <row r="8" spans="1:13" x14ac:dyDescent="0.25">
      <c r="A8" s="286" t="s">
        <v>260</v>
      </c>
      <c r="B8" s="64" t="e">
        <f>B7/'Data Sheet'!B17</f>
        <v>#DIV/0!</v>
      </c>
      <c r="C8" s="64" t="e">
        <f>C7/'Data Sheet'!C17</f>
        <v>#DIV/0!</v>
      </c>
      <c r="D8" s="64">
        <f>D7/'Data Sheet'!D17</f>
        <v>1</v>
      </c>
      <c r="E8" s="64">
        <f>E7/'Data Sheet'!E17</f>
        <v>1</v>
      </c>
      <c r="F8" s="64">
        <f>F7/'Data Sheet'!F17</f>
        <v>1</v>
      </c>
      <c r="G8" s="64">
        <f>G7/'Data Sheet'!G17</f>
        <v>1</v>
      </c>
      <c r="H8" s="64">
        <f>H7/'Data Sheet'!H17</f>
        <v>1</v>
      </c>
      <c r="I8" s="64">
        <f>I7/'Data Sheet'!I17</f>
        <v>1</v>
      </c>
      <c r="J8" s="64">
        <f>J7/'Data Sheet'!J17</f>
        <v>1</v>
      </c>
      <c r="K8" s="64">
        <f>K7/'Data Sheet'!K17</f>
        <v>1</v>
      </c>
    </row>
    <row r="9" spans="1:13" x14ac:dyDescent="0.25">
      <c r="A9" s="393" t="s">
        <v>946</v>
      </c>
    </row>
    <row r="10" spans="1:13" x14ac:dyDescent="0.25">
      <c r="A10" s="286" t="s">
        <v>72</v>
      </c>
      <c r="B10" s="286">
        <f>'Data Sheet'!B59</f>
        <v>1.31</v>
      </c>
      <c r="C10" s="286">
        <f>'Data Sheet'!C59</f>
        <v>0</v>
      </c>
      <c r="D10" s="286">
        <f>'Data Sheet'!D59</f>
        <v>1.07</v>
      </c>
      <c r="E10" s="286">
        <f>'Data Sheet'!E59</f>
        <v>2.93</v>
      </c>
      <c r="F10" s="286">
        <f>'Data Sheet'!F59</f>
        <v>2.11</v>
      </c>
      <c r="G10" s="286">
        <f>'Data Sheet'!G59</f>
        <v>3.78</v>
      </c>
      <c r="H10" s="286">
        <f>'Data Sheet'!H59</f>
        <v>7.0000000000000007E-2</v>
      </c>
      <c r="I10" s="286">
        <f>'Data Sheet'!I59</f>
        <v>2.72</v>
      </c>
      <c r="J10" s="286">
        <f>'Data Sheet'!J59</f>
        <v>40.79</v>
      </c>
      <c r="K10" s="286">
        <f>'Data Sheet'!K59</f>
        <v>86.48</v>
      </c>
    </row>
    <row r="11" spans="1:13" ht="24.75" x14ac:dyDescent="0.25">
      <c r="A11" s="286" t="s">
        <v>982</v>
      </c>
      <c r="B11" s="286"/>
      <c r="C11" s="286">
        <f>C10-B10</f>
        <v>-1.31</v>
      </c>
      <c r="D11" s="286">
        <f t="shared" ref="D11:K11" si="1">D10-C10</f>
        <v>1.07</v>
      </c>
      <c r="E11" s="286">
        <f t="shared" si="1"/>
        <v>1.86</v>
      </c>
      <c r="F11" s="286">
        <f t="shared" si="1"/>
        <v>-0.82000000000000028</v>
      </c>
      <c r="G11" s="286">
        <f t="shared" si="1"/>
        <v>1.67</v>
      </c>
      <c r="H11" s="286">
        <f t="shared" si="1"/>
        <v>-3.71</v>
      </c>
      <c r="I11" s="286">
        <f t="shared" si="1"/>
        <v>2.6500000000000004</v>
      </c>
      <c r="J11" s="286">
        <f t="shared" si="1"/>
        <v>38.07</v>
      </c>
      <c r="K11" s="286">
        <f t="shared" si="1"/>
        <v>45.690000000000005</v>
      </c>
    </row>
    <row r="12" spans="1:13" x14ac:dyDescent="0.25">
      <c r="A12" s="286" t="s">
        <v>906</v>
      </c>
      <c r="B12" s="286">
        <f>'Data Sheet'!B31</f>
        <v>0</v>
      </c>
      <c r="C12" s="286">
        <f>'Data Sheet'!C31</f>
        <v>0</v>
      </c>
      <c r="D12" s="286">
        <f>'Data Sheet'!D31</f>
        <v>0</v>
      </c>
      <c r="E12" s="286">
        <f>'Data Sheet'!E31</f>
        <v>0</v>
      </c>
      <c r="F12" s="286">
        <f>'Data Sheet'!F31</f>
        <v>0</v>
      </c>
      <c r="G12" s="286">
        <f>'Data Sheet'!G31</f>
        <v>0</v>
      </c>
      <c r="H12" s="286">
        <f>'Data Sheet'!H31</f>
        <v>0</v>
      </c>
      <c r="I12" s="286">
        <f>'Data Sheet'!I31</f>
        <v>0</v>
      </c>
      <c r="J12" s="286">
        <f>'Data Sheet'!J31</f>
        <v>3.05</v>
      </c>
      <c r="K12" s="286">
        <f>'Data Sheet'!K31</f>
        <v>0</v>
      </c>
    </row>
    <row r="13" spans="1:13" x14ac:dyDescent="0.25">
      <c r="A13" s="286" t="s">
        <v>907</v>
      </c>
      <c r="B13" s="286"/>
      <c r="C13" s="286"/>
      <c r="D13" s="286"/>
      <c r="E13" s="286"/>
      <c r="F13" s="286"/>
      <c r="G13" s="286"/>
      <c r="H13" s="286"/>
      <c r="I13" s="286"/>
      <c r="J13" s="286"/>
      <c r="K13" s="286"/>
    </row>
    <row r="14" spans="1:13" x14ac:dyDescent="0.25">
      <c r="A14" s="286" t="s">
        <v>906</v>
      </c>
      <c r="B14">
        <f>B12</f>
        <v>0</v>
      </c>
      <c r="C14">
        <f t="shared" ref="C14:K14" si="2">C12</f>
        <v>0</v>
      </c>
      <c r="D14">
        <f t="shared" si="2"/>
        <v>0</v>
      </c>
      <c r="E14">
        <f t="shared" si="2"/>
        <v>0</v>
      </c>
      <c r="F14">
        <f t="shared" si="2"/>
        <v>0</v>
      </c>
      <c r="G14">
        <f t="shared" si="2"/>
        <v>0</v>
      </c>
      <c r="H14">
        <f t="shared" si="2"/>
        <v>0</v>
      </c>
      <c r="I14">
        <f t="shared" si="2"/>
        <v>0</v>
      </c>
      <c r="J14">
        <f>J12</f>
        <v>3.05</v>
      </c>
      <c r="K14">
        <f t="shared" si="2"/>
        <v>0</v>
      </c>
    </row>
    <row r="15" spans="1:13" x14ac:dyDescent="0.25">
      <c r="A15" s="286" t="s">
        <v>908</v>
      </c>
      <c r="C15">
        <f>'Data Sheet'!C57-'Data Sheet'!B57</f>
        <v>0</v>
      </c>
      <c r="D15">
        <f>'Data Sheet'!D57-'Data Sheet'!C57</f>
        <v>3.9899999999999998</v>
      </c>
      <c r="E15">
        <f>'Data Sheet'!E57-'Data Sheet'!D57</f>
        <v>0</v>
      </c>
      <c r="F15">
        <f>'Data Sheet'!F57-'Data Sheet'!E57</f>
        <v>4.4899999999999993</v>
      </c>
      <c r="G15">
        <f>'Data Sheet'!G57-'Data Sheet'!F57</f>
        <v>0</v>
      </c>
      <c r="H15">
        <f>'Data Sheet'!H57-'Data Sheet'!G57</f>
        <v>0.30000000000000071</v>
      </c>
      <c r="I15">
        <f>'Data Sheet'!I57-'Data Sheet'!H57</f>
        <v>0.55000000000000071</v>
      </c>
      <c r="J15">
        <f>'Data Sheet'!J57-'Data Sheet'!I57</f>
        <v>4.3699999999999992</v>
      </c>
      <c r="K15">
        <f>'Data Sheet'!K57-'Data Sheet'!J57</f>
        <v>0</v>
      </c>
    </row>
    <row r="16" spans="1:13" x14ac:dyDescent="0.25">
      <c r="A16" s="286" t="s">
        <v>909</v>
      </c>
      <c r="C16">
        <f t="shared" ref="C16:K16" si="3">C11</f>
        <v>-1.31</v>
      </c>
      <c r="D16">
        <f t="shared" si="3"/>
        <v>1.07</v>
      </c>
      <c r="E16">
        <f t="shared" si="3"/>
        <v>1.86</v>
      </c>
      <c r="F16">
        <f t="shared" si="3"/>
        <v>-0.82000000000000028</v>
      </c>
      <c r="G16">
        <f t="shared" si="3"/>
        <v>1.67</v>
      </c>
      <c r="H16">
        <f t="shared" si="3"/>
        <v>-3.71</v>
      </c>
      <c r="I16">
        <f t="shared" si="3"/>
        <v>2.6500000000000004</v>
      </c>
      <c r="J16">
        <f t="shared" si="3"/>
        <v>38.07</v>
      </c>
      <c r="K16">
        <f t="shared" si="3"/>
        <v>45.690000000000005</v>
      </c>
    </row>
    <row r="17" spans="1:11" x14ac:dyDescent="0.25">
      <c r="A17" s="286" t="s">
        <v>928</v>
      </c>
      <c r="C17">
        <f>C15+C11-C14</f>
        <v>-1.31</v>
      </c>
      <c r="D17">
        <f t="shared" ref="D17:K17" si="4">D15+D11-D14</f>
        <v>5.0599999999999996</v>
      </c>
      <c r="E17">
        <f t="shared" si="4"/>
        <v>1.86</v>
      </c>
      <c r="F17">
        <f t="shared" si="4"/>
        <v>3.669999999999999</v>
      </c>
      <c r="G17">
        <f t="shared" si="4"/>
        <v>1.67</v>
      </c>
      <c r="H17">
        <f t="shared" si="4"/>
        <v>-3.4099999999999993</v>
      </c>
      <c r="I17">
        <f t="shared" si="4"/>
        <v>3.2000000000000011</v>
      </c>
      <c r="J17">
        <f t="shared" si="4"/>
        <v>39.39</v>
      </c>
      <c r="K17">
        <f t="shared" si="4"/>
        <v>45.690000000000005</v>
      </c>
    </row>
    <row r="18" spans="1:11" x14ac:dyDescent="0.25">
      <c r="A18" s="286" t="s">
        <v>910</v>
      </c>
      <c r="B18">
        <f>-1*'Data Sheet'!B27</f>
        <v>0</v>
      </c>
      <c r="C18">
        <f>-1*'Data Sheet'!C27</f>
        <v>0</v>
      </c>
      <c r="D18">
        <f>-1*'Data Sheet'!D27</f>
        <v>-0.02</v>
      </c>
      <c r="E18">
        <f>-1*'Data Sheet'!E27</f>
        <v>-0.05</v>
      </c>
      <c r="F18">
        <f>-1*'Data Sheet'!F27</f>
        <v>-0.17</v>
      </c>
      <c r="G18">
        <f>-1*'Data Sheet'!G27</f>
        <v>-0.37</v>
      </c>
      <c r="H18">
        <f>-1*'Data Sheet'!H27</f>
        <v>-0.45</v>
      </c>
      <c r="I18">
        <f>-1*'Data Sheet'!I27</f>
        <v>-0.21</v>
      </c>
      <c r="J18">
        <f>-1*'Data Sheet'!J27</f>
        <v>-1.64</v>
      </c>
      <c r="K18">
        <f>-1*'Data Sheet'!K27</f>
        <v>-10.66</v>
      </c>
    </row>
    <row r="19" spans="1:11" x14ac:dyDescent="0.25">
      <c r="A19" s="286" t="s">
        <v>978</v>
      </c>
      <c r="B19">
        <f>'Data Sheet'!B82+Others!B18</f>
        <v>0</v>
      </c>
      <c r="C19">
        <f>'Data Sheet'!C82+Others!C18</f>
        <v>0</v>
      </c>
      <c r="D19">
        <f>'Data Sheet'!D82+Others!D18</f>
        <v>11.38</v>
      </c>
      <c r="E19">
        <f>'Data Sheet'!E82+Others!E18</f>
        <v>-3.4</v>
      </c>
      <c r="F19">
        <f>'Data Sheet'!F82+Others!F18</f>
        <v>-7.59</v>
      </c>
      <c r="G19">
        <f>'Data Sheet'!G82+Others!G18</f>
        <v>11.790000000000001</v>
      </c>
      <c r="H19">
        <f>'Data Sheet'!H82+Others!H18</f>
        <v>25.63</v>
      </c>
      <c r="I19">
        <f>'Data Sheet'!I82+Others!I18</f>
        <v>18.68</v>
      </c>
      <c r="J19">
        <f>'Data Sheet'!J82+Others!J18</f>
        <v>70.09</v>
      </c>
      <c r="K19">
        <f>'Data Sheet'!K82+Others!K18</f>
        <v>114.44</v>
      </c>
    </row>
    <row r="20" spans="1:11" x14ac:dyDescent="0.25">
      <c r="A20" s="286"/>
    </row>
    <row r="21" spans="1:11" x14ac:dyDescent="0.25">
      <c r="A21" s="286" t="s">
        <v>971</v>
      </c>
      <c r="B21">
        <v>0</v>
      </c>
      <c r="C21">
        <f>('Data Sheet'!C62-'Data Sheet'!B62)+('Data Sheet'!C63-'Data Sheet'!B63)+'Data Sheet'!C26</f>
        <v>-2.0000000000000004E-2</v>
      </c>
      <c r="D21">
        <f>('Data Sheet'!D62-'Data Sheet'!C62)+('Data Sheet'!D63-'Data Sheet'!C63)+'Data Sheet'!D26</f>
        <v>19.240000000000002</v>
      </c>
      <c r="E21">
        <f>('Data Sheet'!E62-'Data Sheet'!D62)+('Data Sheet'!E63-'Data Sheet'!D63)+'Data Sheet'!E26</f>
        <v>4.57</v>
      </c>
      <c r="F21">
        <f>('Data Sheet'!F62-'Data Sheet'!E62)+('Data Sheet'!F63-'Data Sheet'!E63)+'Data Sheet'!F26</f>
        <v>-3.3899999999999992</v>
      </c>
      <c r="G21">
        <f>('Data Sheet'!G62-'Data Sheet'!F62)+('Data Sheet'!G63-'Data Sheet'!F63)+'Data Sheet'!G26</f>
        <v>57.930000000000007</v>
      </c>
      <c r="H21">
        <f>('Data Sheet'!H62-'Data Sheet'!G62)+('Data Sheet'!H63-'Data Sheet'!G63)+'Data Sheet'!H26</f>
        <v>36.31</v>
      </c>
      <c r="I21">
        <f>('Data Sheet'!I62-'Data Sheet'!H62)+('Data Sheet'!I63-'Data Sheet'!H63)+'Data Sheet'!I26</f>
        <v>85.710000000000008</v>
      </c>
      <c r="J21">
        <f>('Data Sheet'!J62-'Data Sheet'!I62)+('Data Sheet'!J63-'Data Sheet'!I63)+'Data Sheet'!J26</f>
        <v>57.14</v>
      </c>
      <c r="K21">
        <f>('Data Sheet'!K62-'Data Sheet'!J62)+('Data Sheet'!K63-'Data Sheet'!J63)+'Data Sheet'!K26</f>
        <v>203.46999999999997</v>
      </c>
    </row>
    <row r="22" spans="1:11" x14ac:dyDescent="0.25">
      <c r="A22" s="286" t="s">
        <v>972</v>
      </c>
      <c r="B22">
        <v>0</v>
      </c>
      <c r="C22">
        <f>'Data Sheet'!C82-C21</f>
        <v>2.0000000000000004E-2</v>
      </c>
      <c r="D22">
        <f>'Data Sheet'!D82-D21</f>
        <v>-7.8400000000000016</v>
      </c>
      <c r="E22">
        <f>'Data Sheet'!E82-E21</f>
        <v>-7.92</v>
      </c>
      <c r="F22">
        <f>'Data Sheet'!F82-F21</f>
        <v>-4.0300000000000011</v>
      </c>
      <c r="G22">
        <f>'Data Sheet'!G82-G21</f>
        <v>-45.77000000000001</v>
      </c>
      <c r="H22">
        <f>'Data Sheet'!H82-H21</f>
        <v>-10.230000000000004</v>
      </c>
      <c r="I22">
        <f>'Data Sheet'!I82-I21</f>
        <v>-66.820000000000007</v>
      </c>
      <c r="J22">
        <f>'Data Sheet'!J82-J21</f>
        <v>14.590000000000003</v>
      </c>
      <c r="K22">
        <f>'Data Sheet'!K82-K21</f>
        <v>-78.369999999999976</v>
      </c>
    </row>
    <row r="23" spans="1:11" x14ac:dyDescent="0.25">
      <c r="A23" s="286" t="s">
        <v>973</v>
      </c>
      <c r="B23">
        <v>0</v>
      </c>
      <c r="C23">
        <f>C19-C21</f>
        <v>2.0000000000000004E-2</v>
      </c>
      <c r="D23">
        <f t="shared" ref="D23:K23" si="5">D19-D21</f>
        <v>-7.8600000000000012</v>
      </c>
      <c r="E23">
        <f t="shared" si="5"/>
        <v>-7.9700000000000006</v>
      </c>
      <c r="F23">
        <f t="shared" si="5"/>
        <v>-4.2000000000000011</v>
      </c>
      <c r="G23">
        <f t="shared" si="5"/>
        <v>-46.140000000000008</v>
      </c>
      <c r="H23">
        <f t="shared" si="5"/>
        <v>-10.680000000000003</v>
      </c>
      <c r="I23">
        <f t="shared" si="5"/>
        <v>-67.03</v>
      </c>
      <c r="J23">
        <f t="shared" si="5"/>
        <v>12.950000000000003</v>
      </c>
      <c r="K23">
        <f t="shared" si="5"/>
        <v>-89.029999999999973</v>
      </c>
    </row>
    <row r="24" spans="1:11" x14ac:dyDescent="0.25">
      <c r="A24" s="286"/>
    </row>
    <row r="25" spans="1:11" x14ac:dyDescent="0.25">
      <c r="A25" s="394" t="s">
        <v>949</v>
      </c>
    </row>
    <row r="26" spans="1:11" x14ac:dyDescent="0.25">
      <c r="A26" s="286" t="s">
        <v>929</v>
      </c>
      <c r="B26">
        <f>'Data Sheet'!B27</f>
        <v>0</v>
      </c>
      <c r="C26">
        <f>'Data Sheet'!C27</f>
        <v>0</v>
      </c>
      <c r="D26">
        <f>'Data Sheet'!D27</f>
        <v>0.02</v>
      </c>
      <c r="E26">
        <f>'Data Sheet'!E27</f>
        <v>0.05</v>
      </c>
      <c r="F26">
        <f>'Data Sheet'!F27</f>
        <v>0.17</v>
      </c>
      <c r="G26">
        <f>'Data Sheet'!G27</f>
        <v>0.37</v>
      </c>
      <c r="H26">
        <f>'Data Sheet'!H27</f>
        <v>0.45</v>
      </c>
      <c r="I26">
        <f>'Data Sheet'!I27</f>
        <v>0.21</v>
      </c>
      <c r="J26">
        <f>'Data Sheet'!J27</f>
        <v>1.64</v>
      </c>
      <c r="K26">
        <f>'Data Sheet'!K27</f>
        <v>10.66</v>
      </c>
    </row>
    <row r="27" spans="1:11" ht="15" customHeight="1" x14ac:dyDescent="0.25">
      <c r="A27" s="392" t="s">
        <v>945</v>
      </c>
      <c r="B27" s="380">
        <f>B26*(1-B43)/B50</f>
        <v>0</v>
      </c>
      <c r="C27" s="380">
        <f t="shared" ref="C27:K27" si="6">C26*(1-C43)/C50</f>
        <v>0</v>
      </c>
      <c r="D27" s="380">
        <f t="shared" si="6"/>
        <v>1.1240910459962997E-3</v>
      </c>
      <c r="E27" s="380">
        <f t="shared" si="6"/>
        <v>2.2056328469630131E-3</v>
      </c>
      <c r="F27" s="380">
        <f t="shared" si="6"/>
        <v>8.6988831333464477E-3</v>
      </c>
      <c r="G27" s="380">
        <f t="shared" si="6"/>
        <v>7.9904176607093862E-3</v>
      </c>
      <c r="H27" s="380">
        <f t="shared" si="6"/>
        <v>6.8833626927638008E-3</v>
      </c>
      <c r="I27" s="380">
        <f t="shared" si="6"/>
        <v>1.4929731154005299E-3</v>
      </c>
      <c r="J27" s="380">
        <f t="shared" si="6"/>
        <v>6.4849710436696928E-3</v>
      </c>
      <c r="K27" s="380">
        <f t="shared" si="6"/>
        <v>2.4939942039873243E-2</v>
      </c>
    </row>
    <row r="28" spans="1:11" x14ac:dyDescent="0.25">
      <c r="A28" s="286"/>
      <c r="B28" s="256"/>
      <c r="C28" s="256"/>
      <c r="D28" s="256"/>
      <c r="E28" s="256"/>
      <c r="F28" s="256"/>
      <c r="G28" s="256"/>
      <c r="H28" s="256"/>
      <c r="I28" s="256"/>
      <c r="J28" s="256"/>
      <c r="K28" s="256"/>
    </row>
    <row r="29" spans="1:11" x14ac:dyDescent="0.25">
      <c r="A29" s="286" t="s">
        <v>938</v>
      </c>
      <c r="B29" s="64">
        <f>'CAPM-EquityReqRet'!J11</f>
        <v>7.5625000000000012E-2</v>
      </c>
      <c r="C29" s="64">
        <f>'CAPM-EquityReqRet'!K11</f>
        <v>7.2632499999999989E-2</v>
      </c>
      <c r="D29" s="64">
        <f>'CAPM-EquityReqRet'!L11</f>
        <v>8.8401715077518331E-2</v>
      </c>
      <c r="E29" s="64">
        <f>'CAPM-EquityReqRet'!M11</f>
        <v>8.4446666666666684E-2</v>
      </c>
      <c r="F29" s="64">
        <f>'CAPM-EquityReqRet'!N11</f>
        <v>7.8415115534079163E-2</v>
      </c>
      <c r="G29" s="64">
        <f>'CAPM-EquityReqRet'!O11</f>
        <v>0.104425784396002</v>
      </c>
      <c r="H29" s="64">
        <f>'CAPM-EquityReqRet'!P11</f>
        <v>0.26058483602395999</v>
      </c>
      <c r="I29" s="64">
        <f>'CAPM-EquityReqRet'!Q11</f>
        <v>7.7274166666666672E-2</v>
      </c>
      <c r="J29" s="64">
        <f>'CAPM-EquityReqRet'!R11</f>
        <v>0.20674104391561332</v>
      </c>
      <c r="K29" s="64">
        <f>'CAPM-EquityReqRet'!S11</f>
        <v>8.1944045834985324E-2</v>
      </c>
    </row>
    <row r="30" spans="1:11" x14ac:dyDescent="0.25">
      <c r="A30" s="286" t="s">
        <v>939</v>
      </c>
      <c r="B30" s="64">
        <f>B3/B10</f>
        <v>4.9160305343511448</v>
      </c>
      <c r="C30" s="64" t="e">
        <f t="shared" ref="C30:K30" si="7">C3/C10</f>
        <v>#DIV/0!</v>
      </c>
      <c r="D30" s="64">
        <f t="shared" si="7"/>
        <v>19.33644859813084</v>
      </c>
      <c r="E30" s="64">
        <f t="shared" si="7"/>
        <v>8.7064846416382249</v>
      </c>
      <c r="F30" s="64">
        <f t="shared" si="7"/>
        <v>13.075829383886257</v>
      </c>
      <c r="G30" s="64">
        <f t="shared" si="7"/>
        <v>16.402116402116402</v>
      </c>
      <c r="H30" s="64">
        <f t="shared" si="7"/>
        <v>1425.4285714285713</v>
      </c>
      <c r="I30" s="64">
        <f t="shared" si="7"/>
        <v>75.16544117647058</v>
      </c>
      <c r="J30" s="64">
        <f t="shared" si="7"/>
        <v>7.843834273106153</v>
      </c>
      <c r="K30" s="64">
        <f t="shared" si="7"/>
        <v>5.6787696577243283</v>
      </c>
    </row>
    <row r="31" spans="1:11" x14ac:dyDescent="0.25">
      <c r="A31" s="286" t="s">
        <v>940</v>
      </c>
      <c r="B31" s="64">
        <f>1-B30</f>
        <v>-3.9160305343511448</v>
      </c>
      <c r="C31" s="64" t="e">
        <f>1-C30</f>
        <v>#DIV/0!</v>
      </c>
      <c r="D31" s="64">
        <f t="shared" ref="D31:K31" si="8">1-D30</f>
        <v>-18.33644859813084</v>
      </c>
      <c r="E31" s="64">
        <f t="shared" si="8"/>
        <v>-7.7064846416382249</v>
      </c>
      <c r="F31" s="64">
        <f t="shared" si="8"/>
        <v>-12.075829383886257</v>
      </c>
      <c r="G31" s="64">
        <f t="shared" si="8"/>
        <v>-15.402116402116402</v>
      </c>
      <c r="H31" s="64">
        <f t="shared" si="8"/>
        <v>-1424.4285714285713</v>
      </c>
      <c r="I31" s="64">
        <f t="shared" si="8"/>
        <v>-74.16544117647058</v>
      </c>
      <c r="J31" s="64">
        <f t="shared" si="8"/>
        <v>-6.843834273106153</v>
      </c>
      <c r="K31" s="64">
        <f t="shared" si="8"/>
        <v>-4.6787696577243283</v>
      </c>
    </row>
    <row r="32" spans="1:11" x14ac:dyDescent="0.25">
      <c r="A32" s="286"/>
      <c r="C32" s="64"/>
      <c r="D32" s="64"/>
      <c r="E32" s="64"/>
      <c r="F32" s="64"/>
      <c r="G32" s="64"/>
      <c r="H32" s="64"/>
      <c r="I32" s="64"/>
      <c r="J32" s="64"/>
      <c r="K32" s="64"/>
    </row>
    <row r="33" spans="1:11" x14ac:dyDescent="0.25">
      <c r="A33" s="286" t="s">
        <v>339</v>
      </c>
      <c r="B33" s="85">
        <f>(B31*B27)+(B30*B29)</f>
        <v>0.37177480916030536</v>
      </c>
      <c r="C33" s="85" t="e">
        <f>(C31*C27)+(C30*C29)</f>
        <v>#DIV/0!</v>
      </c>
      <c r="D33" s="85">
        <f t="shared" ref="D33:K33" si="9">(D31*D27)+(D30*D29)</f>
        <v>1.6887633818985108</v>
      </c>
      <c r="E33" s="85">
        <f t="shared" si="9"/>
        <v>0.71823593071066283</v>
      </c>
      <c r="F33" s="85">
        <f t="shared" si="9"/>
        <v>0.92029644329269056</v>
      </c>
      <c r="G33" s="85">
        <f t="shared" si="9"/>
        <v>1.5897345281337629</v>
      </c>
      <c r="H33" s="85">
        <f t="shared" si="9"/>
        <v>361.64021206250351</v>
      </c>
      <c r="I33" s="85">
        <f t="shared" si="9"/>
        <v>5.6976198192758272</v>
      </c>
      <c r="J33" s="85">
        <f t="shared" si="9"/>
        <v>1.5772604188342645</v>
      </c>
      <c r="K33" s="85">
        <f t="shared" si="9"/>
        <v>0.34865311703732399</v>
      </c>
    </row>
    <row r="34" spans="1:11" x14ac:dyDescent="0.25">
      <c r="A34" s="286" t="s">
        <v>527</v>
      </c>
      <c r="B34" s="64">
        <f>Trend!B110</f>
        <v>0.16129032258064516</v>
      </c>
      <c r="C34" s="64">
        <f>Trend!C110</f>
        <v>6.1728395061728392E-3</v>
      </c>
      <c r="D34" s="64">
        <f>Trend!D110</f>
        <v>0.11764705882352941</v>
      </c>
      <c r="E34" s="64">
        <f>Trend!E110</f>
        <v>0.14978902953586495</v>
      </c>
      <c r="F34" s="64">
        <f>Trend!F110</f>
        <v>0.15824915824915825</v>
      </c>
      <c r="G34" s="64">
        <f>Trend!G110</f>
        <v>0.1448768622681666</v>
      </c>
      <c r="H34" s="64">
        <f>Trend!H110</f>
        <v>0.29484226339509262</v>
      </c>
      <c r="I34" s="64">
        <f>Trend!I110</f>
        <v>0.33064632910170394</v>
      </c>
      <c r="J34" s="64">
        <f>Trend!J110</f>
        <v>0.47729666796030373</v>
      </c>
      <c r="K34" s="64">
        <f>Trend!K110</f>
        <v>0.47894663942657312</v>
      </c>
    </row>
    <row r="35" spans="1:11" x14ac:dyDescent="0.25">
      <c r="A35" s="286" t="s">
        <v>941</v>
      </c>
      <c r="B35" s="85">
        <f>B34-B33</f>
        <v>-0.21048448657966021</v>
      </c>
      <c r="C35" s="85" t="e">
        <f t="shared" ref="C35:K35" si="10">C34-C33</f>
        <v>#DIV/0!</v>
      </c>
      <c r="D35" s="85">
        <f t="shared" si="10"/>
        <v>-1.5711163230749814</v>
      </c>
      <c r="E35" s="85">
        <f t="shared" si="10"/>
        <v>-0.5684469011747979</v>
      </c>
      <c r="F35" s="85">
        <f t="shared" si="10"/>
        <v>-0.76204728504353225</v>
      </c>
      <c r="G35" s="85">
        <f t="shared" si="10"/>
        <v>-1.4448576658655963</v>
      </c>
      <c r="H35" s="85">
        <f t="shared" si="10"/>
        <v>-361.34536979910843</v>
      </c>
      <c r="I35" s="85">
        <f t="shared" si="10"/>
        <v>-5.3669734901741233</v>
      </c>
      <c r="J35" s="85">
        <f t="shared" si="10"/>
        <v>-1.0999637508739608</v>
      </c>
      <c r="K35" s="85">
        <f t="shared" si="10"/>
        <v>0.13029352238924913</v>
      </c>
    </row>
    <row r="36" spans="1:11" x14ac:dyDescent="0.25">
      <c r="A36" s="286"/>
    </row>
    <row r="37" spans="1:11" x14ac:dyDescent="0.25">
      <c r="A37" s="286" t="s">
        <v>312</v>
      </c>
      <c r="B37" s="47">
        <f>IF('Profit &amp; Loss'!B4&gt;0,'Balance Sheet'!B18/('Profit &amp; Loss'!B4/365),0)</f>
        <v>0</v>
      </c>
      <c r="C37" s="47">
        <f>IF('Profit &amp; Loss'!C4&gt;0,'Balance Sheet'!C18/('Profit &amp; Loss'!C4/365),0)</f>
        <v>0</v>
      </c>
      <c r="D37" s="47">
        <f>IF('Profit &amp; Loss'!D4&gt;0,'Balance Sheet'!D18/('Profit &amp; Loss'!D4/365),0)</f>
        <v>0</v>
      </c>
      <c r="E37" s="47">
        <f>IF('Profit &amp; Loss'!E4&gt;0,'Balance Sheet'!E18/('Profit &amp; Loss'!E4/365),0)</f>
        <v>0</v>
      </c>
      <c r="F37" s="47">
        <f>IF('Profit &amp; Loss'!F4&gt;0,'Balance Sheet'!F18/('Profit &amp; Loss'!F4/365),0)</f>
        <v>0</v>
      </c>
      <c r="G37" s="47">
        <f>IF('Profit &amp; Loss'!G4&gt;0,'Balance Sheet'!G18/('Profit &amp; Loss'!G4/365),0)</f>
        <v>0</v>
      </c>
      <c r="H37" s="47">
        <f>IF('Profit &amp; Loss'!H4&gt;0,'Balance Sheet'!H18/('Profit &amp; Loss'!H4/365),0)</f>
        <v>0</v>
      </c>
      <c r="I37" s="47">
        <f>IF('Profit &amp; Loss'!I4&gt;0,'Balance Sheet'!I18/('Profit &amp; Loss'!I4/365),0)</f>
        <v>0</v>
      </c>
      <c r="J37" s="47">
        <f>IF('Profit &amp; Loss'!J4&gt;0,'Balance Sheet'!J18/('Profit &amp; Loss'!J4/365),0)</f>
        <v>0</v>
      </c>
      <c r="K37" s="47">
        <f>IF('Profit &amp; Loss'!K4&gt;0,'Balance Sheet'!K18/('Profit &amp; Loss'!K4/365),0)</f>
        <v>0</v>
      </c>
    </row>
    <row r="38" spans="1:11" x14ac:dyDescent="0.25">
      <c r="A38" s="394" t="s">
        <v>951</v>
      </c>
    </row>
    <row r="39" spans="1:11" x14ac:dyDescent="0.25">
      <c r="A39" s="286" t="s">
        <v>142</v>
      </c>
      <c r="B39" s="47">
        <f>'Data Sheet'!B17</f>
        <v>0</v>
      </c>
      <c r="C39" s="47">
        <f>'Data Sheet'!C17</f>
        <v>0</v>
      </c>
      <c r="D39" s="47">
        <f>'Data Sheet'!D17</f>
        <v>16.32</v>
      </c>
      <c r="E39" s="47">
        <f>'Data Sheet'!E17</f>
        <v>21.06</v>
      </c>
      <c r="F39" s="47">
        <f>'Data Sheet'!F17</f>
        <v>26.21</v>
      </c>
      <c r="G39" s="47">
        <f>'Data Sheet'!G17</f>
        <v>44.06</v>
      </c>
      <c r="H39" s="47">
        <f>'Data Sheet'!H17</f>
        <v>124.85</v>
      </c>
      <c r="I39" s="47">
        <f>'Data Sheet'!I17</f>
        <v>271.93</v>
      </c>
      <c r="J39" s="47">
        <f>'Data Sheet'!J17</f>
        <v>528.34</v>
      </c>
      <c r="K39" s="47">
        <f>'Data Sheet'!K17</f>
        <v>849.24</v>
      </c>
    </row>
    <row r="40" spans="1:11" x14ac:dyDescent="0.25">
      <c r="A40" s="286" t="s">
        <v>911</v>
      </c>
      <c r="B40" s="47">
        <f>Trend!B11</f>
        <v>1.25</v>
      </c>
      <c r="C40" s="47">
        <f>Trend!C11</f>
        <v>0.04</v>
      </c>
      <c r="D40" s="47">
        <f>Trend!D11</f>
        <v>2.09</v>
      </c>
      <c r="E40" s="47">
        <f>Trend!E11</f>
        <v>3.5</v>
      </c>
      <c r="F40" s="47">
        <f>Trend!F11</f>
        <v>3.97</v>
      </c>
      <c r="G40" s="47">
        <f>Trend!G11</f>
        <v>6.08</v>
      </c>
      <c r="H40" s="47">
        <f>Trend!H11</f>
        <v>18.98</v>
      </c>
      <c r="I40" s="47">
        <f>Trend!I11</f>
        <v>39.590000000000003</v>
      </c>
      <c r="J40" s="47">
        <f>Trend!J11</f>
        <v>104.47</v>
      </c>
      <c r="K40" s="47">
        <f>Trend!K11</f>
        <v>171.62</v>
      </c>
    </row>
    <row r="41" spans="1:11" x14ac:dyDescent="0.25">
      <c r="A41" s="286" t="s">
        <v>912</v>
      </c>
      <c r="B41">
        <f>Trend!B5</f>
        <v>1.35</v>
      </c>
      <c r="C41">
        <f>Trend!C5</f>
        <v>0.09</v>
      </c>
      <c r="D41">
        <f>Trend!D5</f>
        <v>0.02</v>
      </c>
      <c r="E41">
        <f>Trend!E5</f>
        <v>0.06</v>
      </c>
      <c r="F41">
        <f>Trend!F5</f>
        <v>7.0000000000000007E-2</v>
      </c>
      <c r="G41">
        <f>Trend!G5</f>
        <v>0.05</v>
      </c>
      <c r="H41">
        <f>Trend!H5</f>
        <v>0.28999999999999998</v>
      </c>
      <c r="I41">
        <f>Trend!I5</f>
        <v>0.21</v>
      </c>
      <c r="J41">
        <f>Trend!J5</f>
        <v>0.9</v>
      </c>
      <c r="K41">
        <f>Trend!K5</f>
        <v>8.4499999999999993</v>
      </c>
    </row>
    <row r="42" spans="1:11" x14ac:dyDescent="0.25">
      <c r="A42" s="286" t="s">
        <v>913</v>
      </c>
      <c r="B42">
        <f>Trend!B7</f>
        <v>0.04</v>
      </c>
      <c r="C42">
        <f>Trend!C7</f>
        <v>0</v>
      </c>
      <c r="D42">
        <f>Trend!D7</f>
        <v>0.02</v>
      </c>
      <c r="E42">
        <f>Trend!E7</f>
        <v>2.38</v>
      </c>
      <c r="F42">
        <f>Trend!F7</f>
        <v>4.8600000000000003</v>
      </c>
      <c r="G42">
        <f>Trend!G7</f>
        <v>0.18</v>
      </c>
      <c r="H42">
        <f>Trend!H7</f>
        <v>0</v>
      </c>
      <c r="I42">
        <f>Trend!I7</f>
        <v>0</v>
      </c>
      <c r="J42">
        <f>Trend!J7</f>
        <v>13.07</v>
      </c>
      <c r="K42">
        <f>Trend!K7</f>
        <v>23.05</v>
      </c>
    </row>
    <row r="43" spans="1:11" x14ac:dyDescent="0.25">
      <c r="A43" s="286" t="s">
        <v>914</v>
      </c>
      <c r="B43" s="85">
        <f>Trend!B22</f>
        <v>0</v>
      </c>
      <c r="C43" s="85">
        <f>Trend!C22</f>
        <v>0</v>
      </c>
      <c r="D43" s="85">
        <f>Trend!D22</f>
        <v>0.17716535433070865</v>
      </c>
      <c r="E43" s="85">
        <f>Trend!E22</f>
        <v>0.166270783847981</v>
      </c>
      <c r="F43" s="85">
        <f>Trend!F22</f>
        <v>0.12141280353200884</v>
      </c>
      <c r="G43" s="85">
        <f>Trend!G22</f>
        <v>0.18886462882096069</v>
      </c>
      <c r="H43" s="85">
        <f>Trend!H22</f>
        <v>0.20351845463953089</v>
      </c>
      <c r="I43" s="85">
        <f>Trend!I22</f>
        <v>0.22038365792941864</v>
      </c>
      <c r="J43" s="85">
        <f>Trend!J22</f>
        <v>0.24252374809428873</v>
      </c>
      <c r="K43" s="85">
        <f>Trend!K22</f>
        <v>0.2276572545775839</v>
      </c>
    </row>
    <row r="44" spans="1:11" x14ac:dyDescent="0.25">
      <c r="A44" s="286" t="s">
        <v>915</v>
      </c>
      <c r="B44" s="38" t="e">
        <f>B40/B$39%</f>
        <v>#DIV/0!</v>
      </c>
      <c r="C44" s="38" t="e">
        <f t="shared" ref="C44:K44" si="11">C40/C$39%</f>
        <v>#DIV/0!</v>
      </c>
      <c r="D44" s="38">
        <f t="shared" si="11"/>
        <v>12.806372549019606</v>
      </c>
      <c r="E44" s="38">
        <f t="shared" si="11"/>
        <v>16.619183285849953</v>
      </c>
      <c r="F44" s="38">
        <f t="shared" si="11"/>
        <v>15.146890499809233</v>
      </c>
      <c r="G44" s="38">
        <f t="shared" si="11"/>
        <v>13.799364502950521</v>
      </c>
      <c r="H44" s="38">
        <f t="shared" si="11"/>
        <v>15.202242691229477</v>
      </c>
      <c r="I44" s="38">
        <f t="shared" si="11"/>
        <v>14.558893832971721</v>
      </c>
      <c r="J44" s="38">
        <f t="shared" si="11"/>
        <v>19.773252072529051</v>
      </c>
      <c r="K44" s="38">
        <f t="shared" si="11"/>
        <v>20.208657152277333</v>
      </c>
    </row>
    <row r="45" spans="1:11" x14ac:dyDescent="0.25">
      <c r="A45" s="286" t="s">
        <v>916</v>
      </c>
      <c r="B45" s="47">
        <f>B40-B41*(1-B43)</f>
        <v>-0.10000000000000009</v>
      </c>
      <c r="C45" s="47">
        <f t="shared" ref="C45:K45" si="12">C40-C41*(1-C43)</f>
        <v>-4.9999999999999996E-2</v>
      </c>
      <c r="D45" s="47">
        <f t="shared" si="12"/>
        <v>2.0735433070866138</v>
      </c>
      <c r="E45" s="47">
        <f t="shared" si="12"/>
        <v>3.4499762470308788</v>
      </c>
      <c r="F45" s="47">
        <f t="shared" si="12"/>
        <v>3.9084988962472407</v>
      </c>
      <c r="G45" s="47">
        <f t="shared" si="12"/>
        <v>6.039443231441048</v>
      </c>
      <c r="H45" s="47">
        <f t="shared" si="12"/>
        <v>18.749020351845463</v>
      </c>
      <c r="I45" s="47">
        <f t="shared" si="12"/>
        <v>39.426280568165183</v>
      </c>
      <c r="J45" s="47">
        <f t="shared" si="12"/>
        <v>103.78827137328486</v>
      </c>
      <c r="K45" s="47">
        <f t="shared" si="12"/>
        <v>165.0937038011806</v>
      </c>
    </row>
    <row r="46" spans="1:11" x14ac:dyDescent="0.25">
      <c r="A46" s="286" t="s">
        <v>917</v>
      </c>
      <c r="B46" s="38" t="e">
        <f>B45/B$39%</f>
        <v>#DIV/0!</v>
      </c>
      <c r="C46" s="38" t="e">
        <f t="shared" ref="C46:K46" si="13">C45/C$39%</f>
        <v>#DIV/0!</v>
      </c>
      <c r="D46" s="38">
        <f t="shared" si="13"/>
        <v>12.705534969893467</v>
      </c>
      <c r="E46" s="38">
        <f t="shared" si="13"/>
        <v>16.381653594638554</v>
      </c>
      <c r="F46" s="38">
        <f t="shared" si="13"/>
        <v>14.912243022690731</v>
      </c>
      <c r="G46" s="38">
        <f t="shared" si="13"/>
        <v>13.707315550252037</v>
      </c>
      <c r="H46" s="38">
        <f t="shared" si="13"/>
        <v>15.017236965835373</v>
      </c>
      <c r="I46" s="38">
        <f t="shared" si="13"/>
        <v>14.498687371075343</v>
      </c>
      <c r="J46" s="38">
        <f t="shared" si="13"/>
        <v>19.64421989122248</v>
      </c>
      <c r="K46" s="38">
        <f t="shared" si="13"/>
        <v>19.440170481981607</v>
      </c>
    </row>
    <row r="48" spans="1:11" x14ac:dyDescent="0.25">
      <c r="A48" s="286" t="s">
        <v>918</v>
      </c>
      <c r="B48" s="47">
        <f>B$40-B41*(1-B43) + B42*(1-B43)</f>
        <v>-6.0000000000000088E-2</v>
      </c>
      <c r="C48" s="47">
        <f t="shared" ref="C48:K48" si="14">C$40-C41*(1-C43) + C42*(1-C43)</f>
        <v>-4.9999999999999996E-2</v>
      </c>
      <c r="D48" s="47">
        <f t="shared" si="14"/>
        <v>2.09</v>
      </c>
      <c r="E48" s="47">
        <f t="shared" si="14"/>
        <v>5.4342517814726836</v>
      </c>
      <c r="F48" s="47">
        <f t="shared" si="14"/>
        <v>8.1784326710816782</v>
      </c>
      <c r="G48" s="47">
        <f t="shared" si="14"/>
        <v>6.1854475982532753</v>
      </c>
      <c r="H48" s="47">
        <f t="shared" si="14"/>
        <v>18.749020351845463</v>
      </c>
      <c r="I48" s="47">
        <f t="shared" si="14"/>
        <v>39.426280568165183</v>
      </c>
      <c r="J48" s="47">
        <f t="shared" si="14"/>
        <v>113.68848598569251</v>
      </c>
      <c r="K48" s="47">
        <f t="shared" si="14"/>
        <v>182.89620408316728</v>
      </c>
    </row>
    <row r="49" spans="1:11" x14ac:dyDescent="0.25">
      <c r="A49" s="394" t="s">
        <v>950</v>
      </c>
    </row>
    <row r="50" spans="1:11" x14ac:dyDescent="0.25">
      <c r="A50" s="286" t="s">
        <v>919</v>
      </c>
      <c r="B50">
        <f>'Balance Sheet'!B6+'Balance Sheet'!B7</f>
        <v>1.47</v>
      </c>
      <c r="C50">
        <f>'Balance Sheet'!C6+'Balance Sheet'!C7</f>
        <v>0.15</v>
      </c>
      <c r="D50">
        <f>'Balance Sheet'!D6+'Balance Sheet'!D7</f>
        <v>14.64</v>
      </c>
      <c r="E50">
        <f>'Balance Sheet'!E6+'Balance Sheet'!E7</f>
        <v>18.900000000000002</v>
      </c>
      <c r="F50">
        <f>'Balance Sheet'!F6+'Balance Sheet'!F7</f>
        <v>17.170000000000002</v>
      </c>
      <c r="G50">
        <f>'Balance Sheet'!G6+'Balance Sheet'!G7</f>
        <v>37.56</v>
      </c>
      <c r="H50">
        <f>'Balance Sheet'!H6+'Balance Sheet'!H7</f>
        <v>52.07</v>
      </c>
      <c r="I50">
        <f>'Balance Sheet'!I6+'Balance Sheet'!I7</f>
        <v>109.66</v>
      </c>
      <c r="J50">
        <f>'Balance Sheet'!J6+'Balance Sheet'!J7</f>
        <v>191.56</v>
      </c>
      <c r="K50">
        <f>'Balance Sheet'!K6+'Balance Sheet'!K7</f>
        <v>330.12</v>
      </c>
    </row>
    <row r="51" spans="1:11" x14ac:dyDescent="0.25">
      <c r="A51" s="286" t="s">
        <v>920</v>
      </c>
      <c r="B51">
        <f>'Balance Sheet'!B6+'Balance Sheet'!B7+'Balance Sheet'!B17</f>
        <v>4.2299999999999995</v>
      </c>
      <c r="C51">
        <f>'Balance Sheet'!C6+'Balance Sheet'!C7+'Balance Sheet'!C17</f>
        <v>2.9099999999999997</v>
      </c>
      <c r="D51">
        <f>'Balance Sheet'!D6+'Balance Sheet'!D7+'Balance Sheet'!D17</f>
        <v>25.6</v>
      </c>
      <c r="E51">
        <f>'Balance Sheet'!E6+'Balance Sheet'!E7+'Balance Sheet'!E17</f>
        <v>31.85</v>
      </c>
      <c r="F51">
        <f>'Balance Sheet'!F6+'Balance Sheet'!F7+'Balance Sheet'!F17</f>
        <v>31</v>
      </c>
      <c r="G51">
        <f>'Balance Sheet'!G6+'Balance Sheet'!G7+'Balance Sheet'!G17</f>
        <v>50.980000000000004</v>
      </c>
      <c r="H51">
        <f>'Balance Sheet'!H6+'Balance Sheet'!H7+'Balance Sheet'!H17</f>
        <v>80.210000000000008</v>
      </c>
      <c r="I51">
        <f>'Balance Sheet'!I6+'Balance Sheet'!I7+'Balance Sheet'!I17</f>
        <v>189.87</v>
      </c>
      <c r="J51">
        <f>'Balance Sheet'!J6+'Balance Sheet'!J7+'Balance Sheet'!J17</f>
        <v>321.03999999999996</v>
      </c>
      <c r="K51">
        <f>'Balance Sheet'!K6+'Balance Sheet'!K7+'Balance Sheet'!K17</f>
        <v>582.64</v>
      </c>
    </row>
    <row r="53" spans="1:11" x14ac:dyDescent="0.25">
      <c r="A53" s="286" t="s">
        <v>921</v>
      </c>
      <c r="B53" s="38">
        <f t="shared" ref="B53:K53" si="15">B50/B3</f>
        <v>0.22826086956521741</v>
      </c>
      <c r="C53" s="38">
        <f t="shared" si="15"/>
        <v>2.3148148148148147E-2</v>
      </c>
      <c r="D53" s="38">
        <f t="shared" si="15"/>
        <v>0.70758820686321888</v>
      </c>
      <c r="E53" s="38">
        <f t="shared" si="15"/>
        <v>0.74088592708741674</v>
      </c>
      <c r="F53" s="38">
        <f t="shared" si="15"/>
        <v>0.62232693004711859</v>
      </c>
      <c r="G53" s="38">
        <f t="shared" si="15"/>
        <v>0.60580645161290325</v>
      </c>
      <c r="H53" s="38">
        <f t="shared" si="15"/>
        <v>0.52184806574463816</v>
      </c>
      <c r="I53" s="38">
        <f t="shared" si="15"/>
        <v>0.53636585962337979</v>
      </c>
      <c r="J53" s="38">
        <f t="shared" si="15"/>
        <v>0.59871854977340211</v>
      </c>
      <c r="K53" s="38">
        <f t="shared" si="15"/>
        <v>0.67220525351252292</v>
      </c>
    </row>
    <row r="54" spans="1:11" x14ac:dyDescent="0.25">
      <c r="A54" t="s">
        <v>922</v>
      </c>
      <c r="B54" s="38">
        <f t="shared" ref="B54:K54" si="16">B51/B3</f>
        <v>0.6568322981366459</v>
      </c>
      <c r="C54" s="38">
        <f t="shared" si="16"/>
        <v>0.44907407407407401</v>
      </c>
      <c r="D54" s="38">
        <f t="shared" si="16"/>
        <v>1.237312711454809</v>
      </c>
      <c r="E54" s="38">
        <f t="shared" si="16"/>
        <v>1.2485299882399059</v>
      </c>
      <c r="F54" s="38">
        <f t="shared" si="16"/>
        <v>1.1235955056179776</v>
      </c>
      <c r="G54" s="38">
        <f t="shared" si="16"/>
        <v>0.82225806451612915</v>
      </c>
      <c r="H54" s="38">
        <f t="shared" si="16"/>
        <v>0.803868510723592</v>
      </c>
      <c r="I54" s="38">
        <f t="shared" si="16"/>
        <v>0.92868672046955258</v>
      </c>
      <c r="J54" s="38">
        <f t="shared" si="16"/>
        <v>1.0034067823097359</v>
      </c>
      <c r="K54" s="38">
        <f t="shared" si="16"/>
        <v>1.1863978823050296</v>
      </c>
    </row>
    <row r="55" spans="1:11" x14ac:dyDescent="0.25">
      <c r="A55" s="394" t="s">
        <v>952</v>
      </c>
    </row>
    <row r="56" spans="1:11" x14ac:dyDescent="0.25">
      <c r="A56" t="s">
        <v>197</v>
      </c>
      <c r="B56">
        <f>Other_input_data!C37</f>
        <v>1.25</v>
      </c>
      <c r="C56">
        <f>Other_input_data!D37</f>
        <v>3.9999999999999994E-2</v>
      </c>
      <c r="D56">
        <f>Other_input_data!E37</f>
        <v>2.56</v>
      </c>
      <c r="E56">
        <f>Other_input_data!F37</f>
        <v>4.259999999999998</v>
      </c>
      <c r="F56">
        <f>Other_input_data!G37</f>
        <v>4.7000000000000011</v>
      </c>
      <c r="G56">
        <f>Other_input_data!H37</f>
        <v>9.5500000000000078</v>
      </c>
      <c r="H56">
        <f>Other_input_data!I37</f>
        <v>29.439999999999991</v>
      </c>
      <c r="I56">
        <f>Other_input_data!J37</f>
        <v>68.490000000000009</v>
      </c>
      <c r="J56">
        <f>Other_input_data!K37</f>
        <v>172.18000000000006</v>
      </c>
      <c r="K56">
        <f>Other_input_data!L37</f>
        <v>276.62999999999994</v>
      </c>
    </row>
    <row r="57" spans="1:11" x14ac:dyDescent="0.25">
      <c r="A57" t="s">
        <v>11</v>
      </c>
      <c r="B57">
        <f>B26</f>
        <v>0</v>
      </c>
      <c r="C57">
        <f t="shared" ref="C57:K57" si="17">C26</f>
        <v>0</v>
      </c>
      <c r="D57">
        <f t="shared" si="17"/>
        <v>0.02</v>
      </c>
      <c r="E57">
        <f t="shared" si="17"/>
        <v>0.05</v>
      </c>
      <c r="F57">
        <f t="shared" si="17"/>
        <v>0.17</v>
      </c>
      <c r="G57">
        <f t="shared" si="17"/>
        <v>0.37</v>
      </c>
      <c r="H57">
        <f t="shared" si="17"/>
        <v>0.45</v>
      </c>
      <c r="I57">
        <f t="shared" si="17"/>
        <v>0.21</v>
      </c>
      <c r="J57">
        <f t="shared" si="17"/>
        <v>1.64</v>
      </c>
      <c r="K57">
        <f t="shared" si="17"/>
        <v>10.66</v>
      </c>
    </row>
    <row r="58" spans="1:11" x14ac:dyDescent="0.25">
      <c r="A58" t="s">
        <v>9</v>
      </c>
      <c r="B58">
        <f>B41</f>
        <v>1.35</v>
      </c>
      <c r="C58">
        <f t="shared" ref="C58:K58" si="18">C41</f>
        <v>0.09</v>
      </c>
      <c r="D58">
        <f t="shared" si="18"/>
        <v>0.02</v>
      </c>
      <c r="E58">
        <f t="shared" si="18"/>
        <v>0.06</v>
      </c>
      <c r="F58">
        <f t="shared" si="18"/>
        <v>7.0000000000000007E-2</v>
      </c>
      <c r="G58">
        <f t="shared" si="18"/>
        <v>0.05</v>
      </c>
      <c r="H58">
        <f t="shared" si="18"/>
        <v>0.28999999999999998</v>
      </c>
      <c r="I58">
        <f t="shared" si="18"/>
        <v>0.21</v>
      </c>
      <c r="J58">
        <f t="shared" si="18"/>
        <v>0.9</v>
      </c>
      <c r="K58">
        <f t="shared" si="18"/>
        <v>8.4499999999999993</v>
      </c>
    </row>
    <row r="59" spans="1:11" x14ac:dyDescent="0.25">
      <c r="A59" t="s">
        <v>942</v>
      </c>
      <c r="B59">
        <f>B56+(B57-B58)*(1-B43)</f>
        <v>-0.10000000000000009</v>
      </c>
      <c r="C59">
        <f t="shared" ref="C59:K59" si="19">C56+(C57-C58)*(1-C43)</f>
        <v>-0.05</v>
      </c>
      <c r="D59">
        <f t="shared" si="19"/>
        <v>2.56</v>
      </c>
      <c r="E59">
        <f t="shared" si="19"/>
        <v>4.2516627078384781</v>
      </c>
      <c r="F59">
        <f t="shared" si="19"/>
        <v>4.7878587196467999</v>
      </c>
      <c r="G59">
        <f t="shared" si="19"/>
        <v>9.8095633187773004</v>
      </c>
      <c r="H59">
        <f t="shared" si="19"/>
        <v>29.567437047257666</v>
      </c>
      <c r="I59">
        <f t="shared" si="19"/>
        <v>68.490000000000009</v>
      </c>
      <c r="J59">
        <f t="shared" si="19"/>
        <v>172.74053242641028</v>
      </c>
      <c r="K59">
        <f t="shared" si="19"/>
        <v>278.33687746738349</v>
      </c>
    </row>
    <row r="60" spans="1:11" ht="30" x14ac:dyDescent="0.25">
      <c r="A60" s="378" t="s">
        <v>943</v>
      </c>
      <c r="B60">
        <f>'Balance Sheet'!B8-'Data Sheet'!B69</f>
        <v>7.91</v>
      </c>
      <c r="C60">
        <f>'Balance Sheet'!C8</f>
        <v>6.63</v>
      </c>
      <c r="D60">
        <f>'Balance Sheet'!D8</f>
        <v>35.33</v>
      </c>
      <c r="E60">
        <f>'Balance Sheet'!E8</f>
        <v>44.41</v>
      </c>
      <c r="F60">
        <f>'Balance Sheet'!F8</f>
        <v>44.76</v>
      </c>
      <c r="G60">
        <f>'Balance Sheet'!G8</f>
        <v>99.56</v>
      </c>
      <c r="H60">
        <f>'Balance Sheet'!H8</f>
        <v>151.85</v>
      </c>
      <c r="I60">
        <f>'Balance Sheet'!I8</f>
        <v>314.11</v>
      </c>
      <c r="J60">
        <f>'Balance Sheet'!J8</f>
        <v>511.51</v>
      </c>
      <c r="K60">
        <f>'Balance Sheet'!K8</f>
        <v>821.22</v>
      </c>
    </row>
    <row r="61" spans="1:11" x14ac:dyDescent="0.25">
      <c r="A61" t="s">
        <v>244</v>
      </c>
      <c r="B61" s="401">
        <f>B59/B60</f>
        <v>-1.2642225031605574E-2</v>
      </c>
      <c r="C61" s="401">
        <f t="shared" ref="C61:K61" si="20">C59/C60</f>
        <v>-7.5414781297134248E-3</v>
      </c>
      <c r="D61" s="401">
        <f t="shared" si="20"/>
        <v>7.2459666006227011E-2</v>
      </c>
      <c r="E61" s="401">
        <f t="shared" si="20"/>
        <v>9.573660679663315E-2</v>
      </c>
      <c r="F61" s="401">
        <f t="shared" si="20"/>
        <v>0.10696735298585344</v>
      </c>
      <c r="G61" s="401">
        <f t="shared" si="20"/>
        <v>9.8529161498365811E-2</v>
      </c>
      <c r="H61" s="401">
        <f t="shared" si="20"/>
        <v>0.19471476488151246</v>
      </c>
      <c r="I61" s="401">
        <f t="shared" si="20"/>
        <v>0.21804463404539812</v>
      </c>
      <c r="J61" s="401">
        <f t="shared" si="20"/>
        <v>0.33770704859418249</v>
      </c>
      <c r="K61" s="401">
        <f t="shared" si="20"/>
        <v>0.33893095329799988</v>
      </c>
    </row>
    <row r="62" spans="1:11" x14ac:dyDescent="0.25">
      <c r="A62" t="s">
        <v>944</v>
      </c>
      <c r="C62" s="100" t="e">
        <f>C61-C33</f>
        <v>#DIV/0!</v>
      </c>
      <c r="D62" s="100">
        <f t="shared" ref="D62:K62" si="21">D61-D33</f>
        <v>-1.6163037158922837</v>
      </c>
      <c r="E62" s="100">
        <f t="shared" si="21"/>
        <v>-0.62249932391402973</v>
      </c>
      <c r="F62" s="100">
        <f t="shared" si="21"/>
        <v>-0.81332909030683709</v>
      </c>
      <c r="G62" s="100">
        <f t="shared" si="21"/>
        <v>-1.491205366635397</v>
      </c>
      <c r="H62" s="100">
        <f t="shared" si="21"/>
        <v>-361.44549729762201</v>
      </c>
      <c r="I62" s="100">
        <f t="shared" si="21"/>
        <v>-5.4795751852304289</v>
      </c>
      <c r="J62" s="100">
        <f t="shared" si="21"/>
        <v>-1.2395533702400821</v>
      </c>
      <c r="K62" s="100">
        <f t="shared" si="21"/>
        <v>-9.7221637393241078E-3</v>
      </c>
    </row>
    <row r="63" spans="1:11" x14ac:dyDescent="0.25">
      <c r="C63" s="100"/>
      <c r="D63" s="100"/>
      <c r="E63" s="100"/>
      <c r="F63" s="100"/>
      <c r="G63" s="100"/>
      <c r="H63" s="100"/>
      <c r="I63" s="100"/>
      <c r="J63" s="100"/>
      <c r="K63" s="100"/>
    </row>
    <row r="64" spans="1:11" x14ac:dyDescent="0.25">
      <c r="A64" t="s">
        <v>994</v>
      </c>
      <c r="C64" s="100" t="e">
        <f>('Data Sheet'!C17-'Data Sheet'!B17)/'Data Sheet'!B17</f>
        <v>#DIV/0!</v>
      </c>
      <c r="D64" s="100" t="e">
        <f>('Data Sheet'!D17-'Data Sheet'!C17)/'Data Sheet'!C17</f>
        <v>#DIV/0!</v>
      </c>
      <c r="E64" s="100">
        <f>('Data Sheet'!E17-'Data Sheet'!D17)/'Data Sheet'!D17</f>
        <v>0.29044117647058815</v>
      </c>
      <c r="F64" s="100">
        <f>('Data Sheet'!F17-'Data Sheet'!E17)/'Data Sheet'!E17</f>
        <v>0.244539411206078</v>
      </c>
      <c r="G64" s="100">
        <f>('Data Sheet'!G17-'Data Sheet'!F17)/'Data Sheet'!F17</f>
        <v>0.68103777184280812</v>
      </c>
      <c r="H64" s="100">
        <f>('Data Sheet'!H17-'Data Sheet'!G17)/'Data Sheet'!G17</f>
        <v>1.8336359509759417</v>
      </c>
      <c r="I64" s="100">
        <f>('Data Sheet'!I17-'Data Sheet'!H17)/'Data Sheet'!H17</f>
        <v>1.178053664397277</v>
      </c>
      <c r="J64" s="100">
        <f>('Data Sheet'!J17-'Data Sheet'!I17)/'Data Sheet'!I17</f>
        <v>0.94292648843452365</v>
      </c>
      <c r="K64" s="100">
        <f>('Data Sheet'!K17-'Data Sheet'!J17)/'Data Sheet'!J17</f>
        <v>0.60737403944429713</v>
      </c>
    </row>
    <row r="65" spans="1:11" x14ac:dyDescent="0.25">
      <c r="A65" t="s">
        <v>995</v>
      </c>
      <c r="C65" s="100">
        <f>(C50-B50)/B50</f>
        <v>-0.8979591836734695</v>
      </c>
      <c r="D65" s="100">
        <f t="shared" ref="D65:K65" si="22">(D50-C50)/C50</f>
        <v>96.600000000000009</v>
      </c>
      <c r="E65" s="100">
        <f t="shared" si="22"/>
        <v>0.29098360655737715</v>
      </c>
      <c r="F65" s="100">
        <f t="shared" si="22"/>
        <v>-9.1534391534391552E-2</v>
      </c>
      <c r="G65" s="100">
        <f t="shared" si="22"/>
        <v>1.1875364006988933</v>
      </c>
      <c r="H65" s="100">
        <f t="shared" si="22"/>
        <v>0.38631522896698606</v>
      </c>
      <c r="I65" s="100">
        <f t="shared" si="22"/>
        <v>1.1060111388515459</v>
      </c>
      <c r="J65" s="100">
        <f t="shared" si="22"/>
        <v>0.74685391209192054</v>
      </c>
      <c r="K65" s="100">
        <f t="shared" si="22"/>
        <v>0.72332428481937772</v>
      </c>
    </row>
    <row r="66" spans="1:11" x14ac:dyDescent="0.25">
      <c r="A66" t="s">
        <v>996</v>
      </c>
      <c r="C66" s="100">
        <f>('Balance Sheet'!C17-'Balance Sheet'!B17)/'Balance Sheet'!B17</f>
        <v>0</v>
      </c>
      <c r="D66" s="100">
        <f>('Balance Sheet'!D17-'Balance Sheet'!C17)/'Balance Sheet'!C17</f>
        <v>2.9710144927536239</v>
      </c>
      <c r="E66" s="100">
        <f>('Balance Sheet'!E17-'Balance Sheet'!D17)/'Balance Sheet'!D17</f>
        <v>0.18156934306569328</v>
      </c>
      <c r="F66" s="100">
        <f>('Balance Sheet'!F17-'Balance Sheet'!E17)/'Balance Sheet'!E17</f>
        <v>6.7953667953668015E-2</v>
      </c>
      <c r="G66" s="100">
        <f>('Balance Sheet'!G17-'Balance Sheet'!F17)/'Balance Sheet'!F17</f>
        <v>-2.9645697758496032E-2</v>
      </c>
      <c r="H66" s="100">
        <f>('Balance Sheet'!H17-'Balance Sheet'!G17)/'Balance Sheet'!G17</f>
        <v>1.0968703427719821</v>
      </c>
      <c r="I66" s="100">
        <f>('Balance Sheet'!I17-'Balance Sheet'!H17)/'Balance Sheet'!H17</f>
        <v>1.8503909026297083</v>
      </c>
      <c r="J66" s="100">
        <f>('Balance Sheet'!J17-'Balance Sheet'!I17)/'Balance Sheet'!I17</f>
        <v>0.61426256077795782</v>
      </c>
      <c r="K66" s="100">
        <f>('Balance Sheet'!K17-'Balance Sheet'!J17)/'Balance Sheet'!J17</f>
        <v>0.95026258881680592</v>
      </c>
    </row>
    <row r="67" spans="1:11" x14ac:dyDescent="0.25">
      <c r="C67" s="100"/>
      <c r="D67" s="100"/>
      <c r="E67" s="100"/>
      <c r="F67" s="100"/>
      <c r="G67" s="100"/>
      <c r="H67" s="100"/>
      <c r="I67" s="100"/>
      <c r="J67" s="100"/>
      <c r="K67" s="100"/>
    </row>
    <row r="68" spans="1:11" x14ac:dyDescent="0.25">
      <c r="A68" s="381" t="s">
        <v>923</v>
      </c>
      <c r="B68" s="16">
        <f>'Data Sheet'!B41</f>
        <v>42460</v>
      </c>
      <c r="C68" s="16">
        <f>'Data Sheet'!C41</f>
        <v>42551</v>
      </c>
      <c r="D68" s="16">
        <f>'Data Sheet'!D41</f>
        <v>42643</v>
      </c>
      <c r="E68" s="16">
        <f>'Data Sheet'!E41</f>
        <v>42735</v>
      </c>
      <c r="F68" s="16">
        <f>'Data Sheet'!F41</f>
        <v>42825</v>
      </c>
      <c r="G68" s="16">
        <f>'Data Sheet'!G41</f>
        <v>42916</v>
      </c>
      <c r="H68" s="16">
        <f>'Data Sheet'!H41</f>
        <v>43008</v>
      </c>
      <c r="I68" s="16">
        <f>'Data Sheet'!I41</f>
        <v>43100</v>
      </c>
      <c r="J68" s="16">
        <f>'Data Sheet'!J41</f>
        <v>43190</v>
      </c>
      <c r="K68" s="16">
        <f>'Data Sheet'!K41</f>
        <v>43281</v>
      </c>
    </row>
    <row r="69" spans="1:11" x14ac:dyDescent="0.25">
      <c r="A69" s="378" t="s">
        <v>924</v>
      </c>
      <c r="B69">
        <f>Quarters!B12</f>
        <v>16.36</v>
      </c>
      <c r="C69">
        <f>Quarters!C12</f>
        <v>24.15</v>
      </c>
      <c r="D69">
        <f>Quarters!D12</f>
        <v>28.67</v>
      </c>
      <c r="E69">
        <f>Quarters!E12</f>
        <v>32.6</v>
      </c>
      <c r="F69">
        <f>Quarters!F12</f>
        <v>40.18</v>
      </c>
      <c r="G69">
        <f>Quarters!G12</f>
        <v>44.15</v>
      </c>
      <c r="H69">
        <f>Quarters!H12</f>
        <v>47.71</v>
      </c>
      <c r="I69">
        <f>Quarters!I12</f>
        <v>51.5</v>
      </c>
      <c r="J69">
        <f>Quarters!J12</f>
        <v>55.73</v>
      </c>
      <c r="K69">
        <f>Quarters!K12</f>
        <v>58.5</v>
      </c>
    </row>
    <row r="70" spans="1:11" x14ac:dyDescent="0.25">
      <c r="A70" t="s">
        <v>912</v>
      </c>
      <c r="B70">
        <f>Quarters!B7</f>
        <v>0.13</v>
      </c>
      <c r="C70">
        <f>Quarters!C7</f>
        <v>0.03</v>
      </c>
      <c r="D70">
        <f>Quarters!D7</f>
        <v>0.04</v>
      </c>
      <c r="E70">
        <f>Quarters!E7</f>
        <v>0.04</v>
      </c>
      <c r="F70">
        <f>Quarters!F7</f>
        <v>0.05</v>
      </c>
      <c r="G70">
        <f>Quarters!G7</f>
        <v>0.36</v>
      </c>
      <c r="H70">
        <f>Quarters!H7</f>
        <v>0.5</v>
      </c>
      <c r="I70">
        <f>Quarters!I7</f>
        <v>0.59</v>
      </c>
      <c r="J70">
        <f>Quarters!J7</f>
        <v>1.43</v>
      </c>
      <c r="K70">
        <f>Quarters!K7</f>
        <v>4.8600000000000003</v>
      </c>
    </row>
    <row r="71" spans="1:11" x14ac:dyDescent="0.25">
      <c r="A71" t="s">
        <v>927</v>
      </c>
      <c r="B71" s="64">
        <f>Quarters!B11/Quarters!B10</f>
        <v>0.21308321308321307</v>
      </c>
      <c r="C71" s="64">
        <f>Quarters!C11/Quarters!C10</f>
        <v>0.2236503856041131</v>
      </c>
      <c r="D71" s="64">
        <f>Quarters!D11/Quarters!D10</f>
        <v>0.24153439153439157</v>
      </c>
      <c r="E71" s="64">
        <f>Quarters!E11/Quarters!E10</f>
        <v>0.2507469547230522</v>
      </c>
      <c r="F71" s="64">
        <f>Quarters!F11/Quarters!F10</f>
        <v>0.231637337413925</v>
      </c>
      <c r="G71" s="64">
        <f>Quarters!G11/Quarters!G10</f>
        <v>0.22571027709575586</v>
      </c>
      <c r="H71" s="64">
        <f>Quarters!H11/Quarters!H10</f>
        <v>0.22686760654675092</v>
      </c>
      <c r="I71" s="64">
        <f>Quarters!I11/Quarters!I10</f>
        <v>0.22719087635054022</v>
      </c>
      <c r="J71" s="64">
        <f>Quarters!J11/Quarters!J10</f>
        <v>0.2426260704091342</v>
      </c>
      <c r="K71" s="64">
        <f>Quarters!K11/Quarters!K10</f>
        <v>0.21707708779443255</v>
      </c>
    </row>
    <row r="72" spans="1:11" x14ac:dyDescent="0.25">
      <c r="A72" t="s">
        <v>926</v>
      </c>
      <c r="B72" s="47">
        <f>B69-B70*(1-B71)</f>
        <v>16.257700817700819</v>
      </c>
      <c r="C72" s="47">
        <f t="shared" ref="C72:K72" si="23">C69-C70*(1-C71)</f>
        <v>24.126709511568123</v>
      </c>
      <c r="D72" s="47">
        <f t="shared" si="23"/>
        <v>28.639661375661376</v>
      </c>
      <c r="E72" s="47">
        <f t="shared" si="23"/>
        <v>32.570029878188926</v>
      </c>
      <c r="F72" s="47">
        <f t="shared" si="23"/>
        <v>40.141581866870695</v>
      </c>
      <c r="G72" s="47">
        <f t="shared" si="23"/>
        <v>43.871255699754471</v>
      </c>
      <c r="H72" s="47">
        <f t="shared" si="23"/>
        <v>47.323433803273375</v>
      </c>
      <c r="I72" s="47">
        <f t="shared" si="23"/>
        <v>51.04404261704682</v>
      </c>
      <c r="J72" s="47">
        <f t="shared" si="23"/>
        <v>54.646955280685056</v>
      </c>
      <c r="K72" s="47">
        <f t="shared" si="23"/>
        <v>54.694994646680939</v>
      </c>
    </row>
    <row r="73" spans="1:11" x14ac:dyDescent="0.25">
      <c r="A73" t="s">
        <v>925</v>
      </c>
      <c r="D73" s="382"/>
      <c r="E73" s="382"/>
      <c r="F73" s="382"/>
      <c r="G73" s="382"/>
      <c r="K73" s="382"/>
    </row>
    <row r="75" spans="1:11" x14ac:dyDescent="0.25">
      <c r="A75" t="s">
        <v>600</v>
      </c>
      <c r="B75" s="47">
        <f>Quarters!B4-Quarters!B5+Quarters!B7</f>
        <v>26.34</v>
      </c>
      <c r="C75" s="47">
        <f>Quarters!C4-Quarters!C5+Quarters!C7</f>
        <v>36.78</v>
      </c>
      <c r="D75" s="47">
        <f>Quarters!D4-Quarters!D5+Quarters!D7</f>
        <v>42.43</v>
      </c>
      <c r="E75" s="47">
        <f>Quarters!E4-Quarters!E5+Quarters!E7</f>
        <v>48.79999999999999</v>
      </c>
      <c r="F75" s="47">
        <f>Quarters!F4-Quarters!F5+Quarters!F7</f>
        <v>58.339999999999989</v>
      </c>
      <c r="G75" s="47">
        <f>Quarters!G4-Quarters!G5+Quarters!G7</f>
        <v>63.979999999999976</v>
      </c>
      <c r="H75" s="47">
        <f>Quarters!H4-Quarters!H5+Quarters!H7</f>
        <v>70.550000000000011</v>
      </c>
      <c r="I75" s="47">
        <f>Quarters!I4-Quarters!I5+Quarters!I7</f>
        <v>77.34</v>
      </c>
      <c r="J75" s="47">
        <f>Quarters!J4-Quarters!J5+Quarters!J7</f>
        <v>82.580000000000013</v>
      </c>
      <c r="K75" s="47">
        <f>Quarters!K4-Quarters!K5+Quarters!K7</f>
        <v>88.559999999999988</v>
      </c>
    </row>
    <row r="77" spans="1:11" x14ac:dyDescent="0.25">
      <c r="A77" s="393" t="s">
        <v>1037</v>
      </c>
      <c r="B77" s="415">
        <f>B2</f>
        <v>39903</v>
      </c>
      <c r="C77" s="415">
        <f t="shared" ref="C77:K77" si="24">C2</f>
        <v>40268</v>
      </c>
      <c r="D77" s="415">
        <f t="shared" si="24"/>
        <v>40633</v>
      </c>
      <c r="E77" s="415">
        <f t="shared" si="24"/>
        <v>40999</v>
      </c>
      <c r="F77" s="415">
        <f t="shared" si="24"/>
        <v>41364</v>
      </c>
      <c r="G77" s="415">
        <f t="shared" si="24"/>
        <v>41729</v>
      </c>
      <c r="H77" s="415">
        <f t="shared" si="24"/>
        <v>42094</v>
      </c>
      <c r="I77" s="415">
        <f t="shared" si="24"/>
        <v>42460</v>
      </c>
      <c r="J77" s="415">
        <f t="shared" si="24"/>
        <v>42825</v>
      </c>
      <c r="K77" s="415">
        <f t="shared" si="24"/>
        <v>43190</v>
      </c>
    </row>
    <row r="78" spans="1:11" x14ac:dyDescent="0.25">
      <c r="A78" t="s">
        <v>1040</v>
      </c>
      <c r="B78">
        <f>'Data Sheet'!B26</f>
        <v>0</v>
      </c>
      <c r="C78" s="413">
        <f>'Data Sheet'!C26</f>
        <v>0</v>
      </c>
      <c r="D78" s="413">
        <f>'Data Sheet'!D26</f>
        <v>0.69</v>
      </c>
      <c r="E78" s="413">
        <f>'Data Sheet'!E26</f>
        <v>0.8</v>
      </c>
      <c r="F78" s="413">
        <f>'Data Sheet'!F26</f>
        <v>0.81</v>
      </c>
      <c r="G78" s="413">
        <f>'Data Sheet'!G26</f>
        <v>4.3099999999999996</v>
      </c>
      <c r="H78" s="413">
        <f>'Data Sheet'!H26</f>
        <v>9.1199999999999992</v>
      </c>
      <c r="I78" s="413">
        <f>'Data Sheet'!I26</f>
        <v>20.23</v>
      </c>
      <c r="J78" s="413">
        <f>'Data Sheet'!J26</f>
        <v>13.52</v>
      </c>
      <c r="K78" s="413">
        <f>'Data Sheet'!K26</f>
        <v>25.19</v>
      </c>
    </row>
    <row r="79" spans="1:11" x14ac:dyDescent="0.25">
      <c r="A79" t="s">
        <v>1038</v>
      </c>
      <c r="B79">
        <f>'Data Sheet'!B62</f>
        <v>0.11</v>
      </c>
      <c r="C79" s="413">
        <f>'Data Sheet'!C62</f>
        <v>0.09</v>
      </c>
      <c r="D79" s="413">
        <f>'Data Sheet'!D62</f>
        <v>6.05</v>
      </c>
      <c r="E79" s="413">
        <f>'Data Sheet'!E62</f>
        <v>5.98</v>
      </c>
      <c r="F79" s="413">
        <f>'Data Sheet'!F62</f>
        <v>0.73</v>
      </c>
      <c r="G79" s="413">
        <f>'Data Sheet'!G62</f>
        <v>52.25</v>
      </c>
      <c r="H79" s="413">
        <f>'Data Sheet'!H62</f>
        <v>79.12</v>
      </c>
      <c r="I79" s="413">
        <f>'Data Sheet'!I62</f>
        <v>146.37</v>
      </c>
      <c r="J79" s="413">
        <f>'Data Sheet'!J62</f>
        <v>187.4</v>
      </c>
      <c r="K79" s="413">
        <f>'Data Sheet'!K62</f>
        <v>358.34</v>
      </c>
    </row>
    <row r="80" spans="1:11" x14ac:dyDescent="0.25">
      <c r="A80" t="s">
        <v>1039</v>
      </c>
      <c r="B80">
        <f>B78+B79</f>
        <v>0.11</v>
      </c>
      <c r="C80" s="413">
        <f t="shared" ref="C80:K80" si="25">C78+C79</f>
        <v>0.09</v>
      </c>
      <c r="D80" s="413">
        <f t="shared" si="25"/>
        <v>6.74</v>
      </c>
      <c r="E80" s="413">
        <f t="shared" si="25"/>
        <v>6.78</v>
      </c>
      <c r="F80" s="413">
        <f t="shared" si="25"/>
        <v>1.54</v>
      </c>
      <c r="G80" s="413">
        <f t="shared" si="25"/>
        <v>56.56</v>
      </c>
      <c r="H80" s="413">
        <f t="shared" si="25"/>
        <v>88.240000000000009</v>
      </c>
      <c r="I80" s="413">
        <f t="shared" si="25"/>
        <v>166.6</v>
      </c>
      <c r="J80" s="413">
        <f t="shared" si="25"/>
        <v>200.92000000000002</v>
      </c>
      <c r="K80" s="413">
        <f t="shared" si="25"/>
        <v>383.53</v>
      </c>
    </row>
    <row r="81" spans="1:12" x14ac:dyDescent="0.25">
      <c r="A81" s="396" t="s">
        <v>1041</v>
      </c>
      <c r="B81" s="417">
        <f>B78/B80</f>
        <v>0</v>
      </c>
      <c r="C81" s="417">
        <f t="shared" ref="C81:K81" si="26">C78/C80</f>
        <v>0</v>
      </c>
      <c r="D81" s="417">
        <f t="shared" si="26"/>
        <v>0.10237388724035607</v>
      </c>
      <c r="E81" s="417">
        <f t="shared" si="26"/>
        <v>0.11799410029498525</v>
      </c>
      <c r="F81" s="417">
        <f t="shared" si="26"/>
        <v>0.52597402597402598</v>
      </c>
      <c r="G81" s="417">
        <f t="shared" si="26"/>
        <v>7.6202263083451197E-2</v>
      </c>
      <c r="H81" s="417">
        <f t="shared" si="26"/>
        <v>0.10335448776065274</v>
      </c>
      <c r="I81" s="417">
        <f t="shared" si="26"/>
        <v>0.12142857142857144</v>
      </c>
      <c r="J81" s="417">
        <f t="shared" si="26"/>
        <v>6.72904638662154E-2</v>
      </c>
      <c r="K81" s="417">
        <f t="shared" si="26"/>
        <v>6.5679347117565776E-2</v>
      </c>
      <c r="L81" s="413"/>
    </row>
    <row r="82" spans="1:12" x14ac:dyDescent="0.25">
      <c r="A82" s="396" t="s">
        <v>1042</v>
      </c>
      <c r="B82" s="417">
        <f>B78/B79</f>
        <v>0</v>
      </c>
      <c r="C82" s="417">
        <f t="shared" ref="C82:K82" si="27">C78/C79</f>
        <v>0</v>
      </c>
      <c r="D82" s="417">
        <f t="shared" si="27"/>
        <v>0.1140495867768595</v>
      </c>
      <c r="E82" s="417">
        <f t="shared" si="27"/>
        <v>0.13377926421404682</v>
      </c>
      <c r="F82" s="417">
        <f t="shared" si="27"/>
        <v>1.1095890410958904</v>
      </c>
      <c r="G82" s="417">
        <f t="shared" si="27"/>
        <v>8.2488038277511957E-2</v>
      </c>
      <c r="H82" s="417">
        <f t="shared" si="27"/>
        <v>0.115267947421638</v>
      </c>
      <c r="I82" s="417">
        <f t="shared" si="27"/>
        <v>0.13821138211382114</v>
      </c>
      <c r="J82" s="417">
        <f t="shared" si="27"/>
        <v>7.2145144076840972E-2</v>
      </c>
      <c r="K82" s="417">
        <f t="shared" si="27"/>
        <v>7.0296366579226444E-2</v>
      </c>
      <c r="L82" s="413"/>
    </row>
    <row r="83" spans="1:12" x14ac:dyDescent="0.25">
      <c r="A83" t="s">
        <v>598</v>
      </c>
      <c r="B83">
        <f>B21</f>
        <v>0</v>
      </c>
      <c r="C83" s="413">
        <f t="shared" ref="C83:K83" si="28">C21</f>
        <v>-2.0000000000000004E-2</v>
      </c>
      <c r="D83" s="413">
        <f t="shared" si="28"/>
        <v>19.240000000000002</v>
      </c>
      <c r="E83" s="413">
        <f t="shared" si="28"/>
        <v>4.57</v>
      </c>
      <c r="F83" s="413">
        <f t="shared" si="28"/>
        <v>-3.3899999999999992</v>
      </c>
      <c r="G83" s="413">
        <f t="shared" si="28"/>
        <v>57.930000000000007</v>
      </c>
      <c r="H83" s="413">
        <f t="shared" si="28"/>
        <v>36.31</v>
      </c>
      <c r="I83" s="413">
        <f t="shared" si="28"/>
        <v>85.710000000000008</v>
      </c>
      <c r="J83" s="413">
        <f t="shared" si="28"/>
        <v>57.14</v>
      </c>
      <c r="K83" s="413">
        <f t="shared" si="28"/>
        <v>203.46999999999997</v>
      </c>
    </row>
    <row r="84" spans="1:12" x14ac:dyDescent="0.25">
      <c r="A84" s="396" t="s">
        <v>1043</v>
      </c>
      <c r="B84">
        <v>0</v>
      </c>
      <c r="C84" s="417">
        <f>C83/C80</f>
        <v>-0.22222222222222227</v>
      </c>
      <c r="D84" s="417">
        <f t="shared" ref="D84:K84" si="29">D83/D80</f>
        <v>2.8545994065281901</v>
      </c>
      <c r="E84" s="417">
        <f t="shared" si="29"/>
        <v>0.67404129793510326</v>
      </c>
      <c r="F84" s="417">
        <f t="shared" si="29"/>
        <v>-2.2012987012987009</v>
      </c>
      <c r="G84" s="417">
        <f t="shared" si="29"/>
        <v>1.0242220650636493</v>
      </c>
      <c r="H84" s="417">
        <f t="shared" si="29"/>
        <v>0.4114913871260199</v>
      </c>
      <c r="I84" s="417">
        <f t="shared" si="29"/>
        <v>0.51446578631452589</v>
      </c>
      <c r="J84" s="417">
        <f t="shared" si="29"/>
        <v>0.28439179773043993</v>
      </c>
      <c r="K84" s="417">
        <f t="shared" si="29"/>
        <v>0.53051912497066722</v>
      </c>
      <c r="L84" s="413"/>
    </row>
    <row r="85" spans="1:12" x14ac:dyDescent="0.25">
      <c r="A85" s="396" t="s">
        <v>1044</v>
      </c>
      <c r="B85">
        <v>0</v>
      </c>
      <c r="C85" s="417">
        <f>C83/C79</f>
        <v>-0.22222222222222227</v>
      </c>
      <c r="D85" s="417">
        <f t="shared" ref="D85:K85" si="30">D83/D79</f>
        <v>3.1801652892561987</v>
      </c>
      <c r="E85" s="417">
        <f t="shared" si="30"/>
        <v>0.76421404682274252</v>
      </c>
      <c r="F85" s="417">
        <f t="shared" si="30"/>
        <v>-4.6438356164383556</v>
      </c>
      <c r="G85" s="417">
        <f t="shared" si="30"/>
        <v>1.1087081339712921</v>
      </c>
      <c r="H85" s="417">
        <f t="shared" si="30"/>
        <v>0.45892315470171891</v>
      </c>
      <c r="I85" s="417">
        <f t="shared" si="30"/>
        <v>0.58557081369133024</v>
      </c>
      <c r="J85" s="417">
        <f t="shared" si="30"/>
        <v>0.30490928495197439</v>
      </c>
      <c r="K85" s="417">
        <f t="shared" si="30"/>
        <v>0.56781269185689565</v>
      </c>
      <c r="L85" s="413"/>
    </row>
    <row r="86" spans="1:12" x14ac:dyDescent="0.25">
      <c r="A86" t="s">
        <v>1045</v>
      </c>
      <c r="B86">
        <f>B78</f>
        <v>0</v>
      </c>
      <c r="C86">
        <f>B86+C78</f>
        <v>0</v>
      </c>
      <c r="D86" s="413">
        <f t="shared" ref="D86:K86" si="31">C86+D78</f>
        <v>0.69</v>
      </c>
      <c r="E86" s="413">
        <f t="shared" si="31"/>
        <v>1.49</v>
      </c>
      <c r="F86" s="413">
        <f t="shared" si="31"/>
        <v>2.2999999999999998</v>
      </c>
      <c r="G86" s="413">
        <f t="shared" si="31"/>
        <v>6.6099999999999994</v>
      </c>
      <c r="H86" s="413">
        <f t="shared" si="31"/>
        <v>15.729999999999999</v>
      </c>
      <c r="I86" s="413">
        <f t="shared" si="31"/>
        <v>35.96</v>
      </c>
      <c r="J86" s="413">
        <f t="shared" si="31"/>
        <v>49.480000000000004</v>
      </c>
      <c r="K86" s="413">
        <f t="shared" si="31"/>
        <v>74.67</v>
      </c>
    </row>
    <row r="87" spans="1:12" x14ac:dyDescent="0.25">
      <c r="A87" s="396" t="s">
        <v>1046</v>
      </c>
      <c r="B87" s="417">
        <f>B86/B80</f>
        <v>0</v>
      </c>
      <c r="C87" s="417">
        <f t="shared" ref="C87:K87" si="32">C86/C80</f>
        <v>0</v>
      </c>
      <c r="D87" s="417">
        <f t="shared" si="32"/>
        <v>0.10237388724035607</v>
      </c>
      <c r="E87" s="417">
        <f t="shared" si="32"/>
        <v>0.21976401179941002</v>
      </c>
      <c r="F87" s="417">
        <f t="shared" si="32"/>
        <v>1.4935064935064934</v>
      </c>
      <c r="G87" s="417">
        <f t="shared" si="32"/>
        <v>0.11686704384724185</v>
      </c>
      <c r="H87" s="417">
        <f t="shared" si="32"/>
        <v>0.17826382592928375</v>
      </c>
      <c r="I87" s="417">
        <f t="shared" si="32"/>
        <v>0.21584633853541418</v>
      </c>
      <c r="J87" s="417">
        <f t="shared" si="32"/>
        <v>0.24626717101333864</v>
      </c>
      <c r="K87" s="417">
        <f t="shared" si="32"/>
        <v>0.19469141918493993</v>
      </c>
      <c r="L87" s="413"/>
    </row>
    <row r="88" spans="1:12" x14ac:dyDescent="0.25">
      <c r="A88" s="396" t="s">
        <v>1047</v>
      </c>
      <c r="B88" s="417">
        <f>B86/B79</f>
        <v>0</v>
      </c>
      <c r="C88" s="417">
        <f t="shared" ref="C88:K88" si="33">C86/C79</f>
        <v>0</v>
      </c>
      <c r="D88" s="417">
        <f t="shared" si="33"/>
        <v>0.1140495867768595</v>
      </c>
      <c r="E88" s="417">
        <f t="shared" si="33"/>
        <v>0.24916387959866218</v>
      </c>
      <c r="F88" s="417">
        <f t="shared" si="33"/>
        <v>3.150684931506849</v>
      </c>
      <c r="G88" s="417">
        <f t="shared" si="33"/>
        <v>0.12650717703349282</v>
      </c>
      <c r="H88" s="417">
        <f t="shared" si="33"/>
        <v>0.19881193124368046</v>
      </c>
      <c r="I88" s="417">
        <f t="shared" si="33"/>
        <v>0.24567875930860147</v>
      </c>
      <c r="J88" s="417">
        <f t="shared" si="33"/>
        <v>0.26403415154749199</v>
      </c>
      <c r="K88" s="417">
        <f t="shared" si="33"/>
        <v>0.20837751855779429</v>
      </c>
      <c r="L88" s="413"/>
    </row>
    <row r="90" spans="1:12" x14ac:dyDescent="0.25">
      <c r="A90" s="477" t="s">
        <v>1048</v>
      </c>
    </row>
    <row r="91" spans="1:12" x14ac:dyDescent="0.25">
      <c r="A91" t="s">
        <v>1049</v>
      </c>
      <c r="B91">
        <f>DrVM!B57</f>
        <v>0</v>
      </c>
      <c r="C91" s="473">
        <f>DrVM!C57</f>
        <v>2.0000000000000004E-2</v>
      </c>
      <c r="D91" s="473">
        <f>DrVM!D57</f>
        <v>-7.8400000000000016</v>
      </c>
      <c r="E91" s="473">
        <f>DrVM!E57</f>
        <v>-7.92</v>
      </c>
      <c r="F91" s="473">
        <f>DrVM!F57</f>
        <v>-4.0300000000000011</v>
      </c>
      <c r="G91" s="473">
        <f>DrVM!G57</f>
        <v>-45.77000000000001</v>
      </c>
      <c r="H91" s="473">
        <f>DrVM!H57</f>
        <v>-10.230000000000004</v>
      </c>
      <c r="I91" s="473">
        <f>DrVM!I57</f>
        <v>-66.820000000000007</v>
      </c>
      <c r="J91" s="473">
        <f>DrVM!J57</f>
        <v>14.590000000000003</v>
      </c>
      <c r="K91" s="473">
        <f>DrVM!K57</f>
        <v>-78.369999999999976</v>
      </c>
    </row>
    <row r="92" spans="1:12" x14ac:dyDescent="0.25">
      <c r="A92" t="s">
        <v>540</v>
      </c>
      <c r="B92">
        <f>B60</f>
        <v>7.91</v>
      </c>
      <c r="C92" s="473">
        <f t="shared" ref="C92:K92" si="34">C60</f>
        <v>6.63</v>
      </c>
      <c r="D92" s="473">
        <f t="shared" si="34"/>
        <v>35.33</v>
      </c>
      <c r="E92" s="473">
        <f t="shared" si="34"/>
        <v>44.41</v>
      </c>
      <c r="F92" s="473">
        <f t="shared" si="34"/>
        <v>44.76</v>
      </c>
      <c r="G92" s="473">
        <f t="shared" si="34"/>
        <v>99.56</v>
      </c>
      <c r="H92" s="473">
        <f t="shared" si="34"/>
        <v>151.85</v>
      </c>
      <c r="I92" s="473">
        <f t="shared" si="34"/>
        <v>314.11</v>
      </c>
      <c r="J92" s="473">
        <f t="shared" si="34"/>
        <v>511.51</v>
      </c>
      <c r="K92" s="473">
        <f t="shared" si="34"/>
        <v>821.22</v>
      </c>
    </row>
    <row r="93" spans="1:12" x14ac:dyDescent="0.25">
      <c r="A93" t="s">
        <v>1050</v>
      </c>
      <c r="B93" s="476">
        <f>B91/B92</f>
        <v>0</v>
      </c>
      <c r="C93" s="476">
        <f t="shared" ref="C93:K93" si="35">C91/C92</f>
        <v>3.0165912518853701E-3</v>
      </c>
      <c r="D93" s="476">
        <f t="shared" si="35"/>
        <v>-0.22190772714407025</v>
      </c>
      <c r="E93" s="476">
        <f t="shared" si="35"/>
        <v>-0.17833821211438866</v>
      </c>
      <c r="F93" s="476">
        <f t="shared" si="35"/>
        <v>-9.0035746201966069E-2</v>
      </c>
      <c r="G93" s="476">
        <f t="shared" si="35"/>
        <v>-0.45972278023302543</v>
      </c>
      <c r="H93" s="476">
        <f t="shared" si="35"/>
        <v>-6.7369114257490967E-2</v>
      </c>
      <c r="I93" s="476">
        <f t="shared" si="35"/>
        <v>-0.21272802521409698</v>
      </c>
      <c r="J93" s="476">
        <f t="shared" si="35"/>
        <v>2.8523391527047377E-2</v>
      </c>
      <c r="K93" s="476">
        <f t="shared" si="35"/>
        <v>-9.5431187745062193E-2</v>
      </c>
    </row>
  </sheetData>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high="1" low="1" first="1" last="1" negative="1">
          <x14:colorSeries rgb="FF92D050"/>
          <x14:colorNegative rgb="FFFF0000"/>
          <x14:colorAxis rgb="FF000000"/>
          <x14:colorMarkers theme="6" tint="0.79998168889431442"/>
          <x14:colorFirst theme="6" tint="-0.249977111117893"/>
          <x14:colorLast theme="6" tint="-0.249977111117893"/>
          <x14:colorHigh theme="6" tint="-0.499984740745262"/>
          <x14:colorLow theme="6" tint="-0.499984740745262"/>
          <x14:sparklines>
            <x14:sparkline>
              <xm:f>Others!B81:K81</xm:f>
              <xm:sqref>L81</xm:sqref>
            </x14:sparkline>
          </x14:sparklines>
        </x14:sparklineGroup>
        <x14:sparklineGroup displayEmptyCellsAs="gap" high="1" low="1" first="1" last="1" negative="1">
          <x14:colorSeries rgb="FF92D050"/>
          <x14:colorNegative rgb="FFFF0000"/>
          <x14:colorAxis rgb="FF000000"/>
          <x14:colorMarkers theme="6" tint="0.79998168889431442"/>
          <x14:colorFirst theme="6" tint="-0.249977111117893"/>
          <x14:colorLast theme="6" tint="-0.249977111117893"/>
          <x14:colorHigh theme="6" tint="-0.499984740745262"/>
          <x14:colorLow theme="6" tint="-0.499984740745262"/>
          <x14:sparklines>
            <x14:sparkline>
              <xm:f>Others!B85:K85</xm:f>
              <xm:sqref>L85</xm:sqref>
            </x14:sparkline>
          </x14:sparklines>
        </x14:sparklineGroup>
        <x14:sparklineGroup displayEmptyCellsAs="gap" high="1" low="1" first="1" last="1" negative="1">
          <x14:colorSeries rgb="FF92D050"/>
          <x14:colorNegative rgb="FFFF0000"/>
          <x14:colorAxis rgb="FF000000"/>
          <x14:colorMarkers theme="6" tint="0.79998168889431442"/>
          <x14:colorFirst theme="6" tint="-0.249977111117893"/>
          <x14:colorLast theme="6" tint="-0.249977111117893"/>
          <x14:colorHigh theme="6" tint="-0.499984740745262"/>
          <x14:colorLow theme="6" tint="-0.499984740745262"/>
          <x14:sparklines>
            <x14:sparkline>
              <xm:f>Others!B84:K84</xm:f>
              <xm:sqref>L84</xm:sqref>
            </x14:sparkline>
          </x14:sparklines>
        </x14:sparklineGroup>
        <x14:sparklineGroup displayEmptyCellsAs="gap" high="1" low="1" first="1" last="1" negative="1">
          <x14:colorSeries rgb="FF92D050"/>
          <x14:colorNegative rgb="FFFF0000"/>
          <x14:colorAxis rgb="FF000000"/>
          <x14:colorMarkers theme="6" tint="0.79998168889431442"/>
          <x14:colorFirst theme="6" tint="-0.249977111117893"/>
          <x14:colorLast theme="6" tint="-0.249977111117893"/>
          <x14:colorHigh theme="6" tint="-0.499984740745262"/>
          <x14:colorLow theme="6" tint="-0.499984740745262"/>
          <x14:sparklines>
            <x14:sparkline>
              <xm:f>Others!B82:K82</xm:f>
              <xm:sqref>L82</xm:sqref>
            </x14:sparkline>
          </x14:sparklines>
        </x14:sparklineGroup>
        <x14:sparklineGroup displayEmptyCellsAs="gap" high="1" low="1" first="1" last="1" negative="1">
          <x14:colorSeries rgb="FF92D050"/>
          <x14:colorNegative rgb="FFFF0000"/>
          <x14:colorAxis rgb="FF000000"/>
          <x14:colorMarkers theme="6" tint="0.79998168889431442"/>
          <x14:colorFirst theme="6" tint="-0.249977111117893"/>
          <x14:colorLast theme="6" tint="-0.249977111117893"/>
          <x14:colorHigh theme="6" tint="-0.499984740745262"/>
          <x14:colorLow theme="6" tint="-0.499984740745262"/>
          <x14:sparklines>
            <x14:sparkline>
              <xm:f>Others!B87:K87</xm:f>
              <xm:sqref>L87</xm:sqref>
            </x14:sparkline>
          </x14:sparklines>
        </x14:sparklineGroup>
        <x14:sparklineGroup displayEmptyCellsAs="gap" high="1" low="1" first="1" last="1" negative="1">
          <x14:colorSeries rgb="FF92D050"/>
          <x14:colorNegative rgb="FFFF0000"/>
          <x14:colorAxis rgb="FF000000"/>
          <x14:colorMarkers theme="6" tint="0.79998168889431442"/>
          <x14:colorFirst theme="6" tint="-0.249977111117893"/>
          <x14:colorLast theme="6" tint="-0.249977111117893"/>
          <x14:colorHigh theme="6" tint="-0.499984740745262"/>
          <x14:colorLow theme="6" tint="-0.499984740745262"/>
          <x14:sparklines>
            <x14:sparkline>
              <xm:f>Others!B88:K88</xm:f>
              <xm:sqref>L88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3"/>
  <sheetViews>
    <sheetView showGridLines="0" topLeftCell="A46" workbookViewId="0">
      <selection activeCell="F9" sqref="F9"/>
    </sheetView>
  </sheetViews>
  <sheetFormatPr defaultRowHeight="15" x14ac:dyDescent="0.25"/>
  <cols>
    <col min="1" max="1" width="34.7109375" style="246" bestFit="1" customWidth="1"/>
    <col min="2" max="9" width="11" customWidth="1"/>
    <col min="10" max="11" width="12" customWidth="1"/>
    <col min="12" max="12" width="13.140625" bestFit="1" customWidth="1"/>
    <col min="13" max="13" width="11.5703125" customWidth="1"/>
  </cols>
  <sheetData>
    <row r="2" spans="1:19" x14ac:dyDescent="0.25">
      <c r="B2" s="469" t="s">
        <v>1031</v>
      </c>
      <c r="C2" s="469"/>
      <c r="D2" s="469" t="s">
        <v>1032</v>
      </c>
      <c r="E2" s="469"/>
      <c r="F2" s="469"/>
      <c r="G2" s="469"/>
      <c r="H2" s="469"/>
      <c r="I2" s="469"/>
      <c r="J2" s="469"/>
      <c r="K2" s="469"/>
    </row>
    <row r="3" spans="1:19" x14ac:dyDescent="0.25">
      <c r="A3" s="419" t="s">
        <v>2</v>
      </c>
      <c r="B3" s="419">
        <f>'Data Sheet'!B81</f>
        <v>39903</v>
      </c>
      <c r="C3" s="419">
        <f>'Data Sheet'!C81</f>
        <v>40268</v>
      </c>
      <c r="D3" s="419">
        <f>'Data Sheet'!D81</f>
        <v>40633</v>
      </c>
      <c r="E3" s="419">
        <f>'Data Sheet'!E81</f>
        <v>40999</v>
      </c>
      <c r="F3" s="419">
        <f>'Data Sheet'!F81</f>
        <v>41364</v>
      </c>
      <c r="G3" s="419">
        <f>'Data Sheet'!G81</f>
        <v>41729</v>
      </c>
      <c r="H3" s="419">
        <f>'Data Sheet'!H81</f>
        <v>42094</v>
      </c>
      <c r="I3" s="419">
        <f>'Data Sheet'!I81</f>
        <v>42460</v>
      </c>
      <c r="J3" s="419">
        <f>'Data Sheet'!J81</f>
        <v>42825</v>
      </c>
      <c r="K3" s="419">
        <f>'Data Sheet'!K81</f>
        <v>43190</v>
      </c>
      <c r="L3" s="419" t="s">
        <v>1027</v>
      </c>
    </row>
    <row r="4" spans="1:19" ht="15" customHeight="1" x14ac:dyDescent="0.25">
      <c r="A4" s="420" t="s">
        <v>6</v>
      </c>
      <c r="B4" s="421">
        <f>'Data Sheet'!B17</f>
        <v>0</v>
      </c>
      <c r="C4" s="421">
        <f>'Data Sheet'!C17</f>
        <v>0</v>
      </c>
      <c r="D4" s="421">
        <f>'Data Sheet'!D17</f>
        <v>16.32</v>
      </c>
      <c r="E4" s="421">
        <f>'Data Sheet'!E17</f>
        <v>21.06</v>
      </c>
      <c r="F4" s="421">
        <f>'Data Sheet'!F17</f>
        <v>26.21</v>
      </c>
      <c r="G4" s="421">
        <f>'Data Sheet'!G17</f>
        <v>44.06</v>
      </c>
      <c r="H4" s="421">
        <f>'Data Sheet'!H17</f>
        <v>124.85</v>
      </c>
      <c r="I4" s="421">
        <f>'Data Sheet'!I17</f>
        <v>271.93</v>
      </c>
      <c r="J4" s="421">
        <f>'Data Sheet'!J17</f>
        <v>528.34</v>
      </c>
      <c r="K4" s="421">
        <f>'Data Sheet'!K17</f>
        <v>849.24</v>
      </c>
      <c r="L4" s="422"/>
      <c r="N4" s="438" t="s">
        <v>986</v>
      </c>
      <c r="O4" s="438"/>
      <c r="P4" s="438"/>
      <c r="Q4" s="438"/>
      <c r="R4" s="438"/>
      <c r="S4" s="438"/>
    </row>
    <row r="5" spans="1:19" x14ac:dyDescent="0.25">
      <c r="A5" s="420" t="s">
        <v>8</v>
      </c>
      <c r="B5" s="421">
        <f>'Profit &amp; Loss'!B6</f>
        <v>-0.1</v>
      </c>
      <c r="C5" s="421">
        <f>'Profit &amp; Loss'!C6</f>
        <v>-0.05</v>
      </c>
      <c r="D5" s="421">
        <f>'Profit &amp; Loss'!D6</f>
        <v>3.2300000000000004</v>
      </c>
      <c r="E5" s="421">
        <f>'Profit &amp; Loss'!E6</f>
        <v>4.9999999999999964</v>
      </c>
      <c r="F5" s="421">
        <f>'Profit &amp; Loss'!F6</f>
        <v>5.4400000000000013</v>
      </c>
      <c r="G5" s="421">
        <f>'Profit &amp; Loss'!G6</f>
        <v>13.810000000000002</v>
      </c>
      <c r="H5" s="421">
        <f>'Profit &amp; Loss'!H6</f>
        <v>38.269999999999996</v>
      </c>
      <c r="I5" s="421">
        <f>'Profit &amp; Loss'!I6</f>
        <v>88.509999999999991</v>
      </c>
      <c r="J5" s="421">
        <f>'Profit &amp; Loss'!J6</f>
        <v>184.8</v>
      </c>
      <c r="K5" s="421">
        <f>'Profit &amp; Loss'!K6</f>
        <v>293.37</v>
      </c>
      <c r="L5" s="422"/>
      <c r="N5" s="438"/>
      <c r="O5" s="438"/>
      <c r="P5" s="438"/>
      <c r="Q5" s="438"/>
      <c r="R5" s="438"/>
      <c r="S5" s="438"/>
    </row>
    <row r="6" spans="1:19" x14ac:dyDescent="0.25">
      <c r="A6" s="423" t="s">
        <v>1034</v>
      </c>
      <c r="B6" s="424">
        <f>'Profit &amp; Loss'!B19</f>
        <v>0</v>
      </c>
      <c r="C6" s="424">
        <f>'Profit &amp; Loss'!C19</f>
        <v>0</v>
      </c>
      <c r="D6" s="424">
        <f>'Profit &amp; Loss'!D19</f>
        <v>0.19791666666666669</v>
      </c>
      <c r="E6" s="424">
        <f>'Profit &amp; Loss'!E19</f>
        <v>0.23741690408357061</v>
      </c>
      <c r="F6" s="424">
        <f>'Profit &amp; Loss'!F19</f>
        <v>0.20755436856161774</v>
      </c>
      <c r="G6" s="424">
        <f>'Profit &amp; Loss'!G19</f>
        <v>0.31343622333182031</v>
      </c>
      <c r="H6" s="424">
        <f>'Profit &amp; Loss'!H19</f>
        <v>0.30652783340008005</v>
      </c>
      <c r="I6" s="424">
        <f>'Profit &amp; Loss'!I19</f>
        <v>0.32548817710440181</v>
      </c>
      <c r="J6" s="424">
        <f>'Profit &amp; Loss'!J19</f>
        <v>0.34977476624900633</v>
      </c>
      <c r="K6" s="424">
        <f>'Profit &amp; Loss'!K19</f>
        <v>0.34545004945598418</v>
      </c>
      <c r="L6" s="422"/>
      <c r="N6" s="438"/>
      <c r="O6" s="438"/>
      <c r="P6" s="438"/>
      <c r="Q6" s="438"/>
      <c r="R6" s="438"/>
      <c r="S6" s="438"/>
    </row>
    <row r="7" spans="1:19" x14ac:dyDescent="0.25">
      <c r="A7" s="420" t="s">
        <v>9</v>
      </c>
      <c r="B7" s="421">
        <f>Annual[[#This Row],[Column2]]</f>
        <v>1.35</v>
      </c>
      <c r="C7" s="421">
        <f>Annual[[#This Row],[Column3]]</f>
        <v>0.09</v>
      </c>
      <c r="D7" s="421">
        <f>Annual[[#This Row],[Column4]]</f>
        <v>0.02</v>
      </c>
      <c r="E7" s="421">
        <f>Annual[[#This Row],[Column5]]</f>
        <v>0.06</v>
      </c>
      <c r="F7" s="421">
        <f>Annual[[#This Row],[Column6]]</f>
        <v>7.0000000000000007E-2</v>
      </c>
      <c r="G7" s="421">
        <f>Annual[[#This Row],[Column7]]</f>
        <v>0.05</v>
      </c>
      <c r="H7" s="421">
        <f>Annual[[#This Row],[Column8]]</f>
        <v>0.28999999999999998</v>
      </c>
      <c r="I7" s="421">
        <f>Annual[[#This Row],[Column9]]</f>
        <v>0.21</v>
      </c>
      <c r="J7" s="421">
        <f>Annual[[#This Row],[Column10]]</f>
        <v>0.9</v>
      </c>
      <c r="K7" s="421">
        <f>Annual[[#This Row],[Column11]]</f>
        <v>8.4499999999999993</v>
      </c>
      <c r="L7" s="425">
        <f>SUM(B7:K7)</f>
        <v>11.49</v>
      </c>
      <c r="N7" s="438"/>
      <c r="O7" s="438"/>
      <c r="P7" s="438"/>
      <c r="Q7" s="438"/>
      <c r="R7" s="438"/>
      <c r="S7" s="438"/>
    </row>
    <row r="8" spans="1:19" x14ac:dyDescent="0.25">
      <c r="A8" s="420" t="s">
        <v>11</v>
      </c>
      <c r="B8" s="421">
        <f>'Profit &amp; Loss'!B9</f>
        <v>0</v>
      </c>
      <c r="C8" s="421">
        <f>'Profit &amp; Loss'!C9</f>
        <v>0</v>
      </c>
      <c r="D8" s="421">
        <f>'Profit &amp; Loss'!D9</f>
        <v>0.02</v>
      </c>
      <c r="E8" s="421">
        <f>'Profit &amp; Loss'!E9</f>
        <v>0.05</v>
      </c>
      <c r="F8" s="421">
        <f>'Profit &amp; Loss'!F9</f>
        <v>0.17</v>
      </c>
      <c r="G8" s="421">
        <f>'Profit &amp; Loss'!G9</f>
        <v>0.37</v>
      </c>
      <c r="H8" s="421">
        <f>'Profit &amp; Loss'!H9</f>
        <v>0.45</v>
      </c>
      <c r="I8" s="421">
        <f>'Profit &amp; Loss'!I9</f>
        <v>0.21</v>
      </c>
      <c r="J8" s="421">
        <f>'Profit &amp; Loss'!J9</f>
        <v>1.64</v>
      </c>
      <c r="K8" s="421">
        <f>'Profit &amp; Loss'!K9</f>
        <v>10.66</v>
      </c>
      <c r="L8" s="425">
        <f>SUM(B8:K8)</f>
        <v>13.57</v>
      </c>
      <c r="N8" s="438"/>
      <c r="O8" s="438"/>
      <c r="P8" s="438"/>
      <c r="Q8" s="438"/>
      <c r="R8" s="438"/>
      <c r="S8" s="438"/>
    </row>
    <row r="9" spans="1:19" x14ac:dyDescent="0.25">
      <c r="A9" s="420" t="s">
        <v>10</v>
      </c>
      <c r="B9" s="421">
        <f>'Profit &amp; Loss'!B8</f>
        <v>0</v>
      </c>
      <c r="C9" s="421">
        <f>'Profit &amp; Loss'!C8</f>
        <v>0</v>
      </c>
      <c r="D9" s="421">
        <f>'Profit &amp; Loss'!D8</f>
        <v>0.69</v>
      </c>
      <c r="E9" s="421">
        <f>'Profit &amp; Loss'!E8</f>
        <v>0.8</v>
      </c>
      <c r="F9" s="421">
        <f>'Profit &amp; Loss'!F8</f>
        <v>0.81</v>
      </c>
      <c r="G9" s="421">
        <f>'Profit &amp; Loss'!G8</f>
        <v>4.3099999999999996</v>
      </c>
      <c r="H9" s="421">
        <f>'Profit &amp; Loss'!H8</f>
        <v>9.1199999999999992</v>
      </c>
      <c r="I9" s="421">
        <f>'Profit &amp; Loss'!I8</f>
        <v>20.23</v>
      </c>
      <c r="J9" s="421">
        <f>'Profit &amp; Loss'!J8</f>
        <v>13.52</v>
      </c>
      <c r="K9" s="421">
        <f>'Profit &amp; Loss'!K8</f>
        <v>25.19</v>
      </c>
      <c r="L9" s="425">
        <f>SUM(B9:K9)</f>
        <v>74.67</v>
      </c>
      <c r="N9" s="438"/>
      <c r="O9" s="438"/>
      <c r="P9" s="438"/>
      <c r="Q9" s="438"/>
      <c r="R9" s="438"/>
      <c r="S9" s="438"/>
    </row>
    <row r="10" spans="1:19" x14ac:dyDescent="0.25">
      <c r="A10" s="420" t="s">
        <v>998</v>
      </c>
      <c r="B10" s="421">
        <f>Annual[[#This Row],[Column2]]</f>
        <v>1.25</v>
      </c>
      <c r="C10" s="421">
        <f>Annual[[#This Row],[Column3]]</f>
        <v>0.04</v>
      </c>
      <c r="D10" s="421">
        <f>Annual[[#This Row],[Column4]]</f>
        <v>2.54</v>
      </c>
      <c r="E10" s="421">
        <f>Annual[[#This Row],[Column5]]</f>
        <v>4.21</v>
      </c>
      <c r="F10" s="421">
        <f>Annual[[#This Row],[Column6]]</f>
        <v>4.53</v>
      </c>
      <c r="G10" s="421">
        <f>Annual[[#This Row],[Column7]]</f>
        <v>9.16</v>
      </c>
      <c r="H10" s="421">
        <f>Annual[[#This Row],[Column8]]</f>
        <v>28.99</v>
      </c>
      <c r="I10" s="421">
        <f>Annual[[#This Row],[Column9]]</f>
        <v>68.290000000000006</v>
      </c>
      <c r="J10" s="421">
        <f>Annual[[#This Row],[Column10]]</f>
        <v>170.54</v>
      </c>
      <c r="K10" s="421">
        <f>Annual[[#This Row],[Column11]]</f>
        <v>265.97000000000003</v>
      </c>
      <c r="L10" s="422"/>
      <c r="N10" s="438"/>
      <c r="O10" s="438"/>
      <c r="P10" s="438"/>
      <c r="Q10" s="438"/>
      <c r="R10" s="438"/>
      <c r="S10" s="438"/>
    </row>
    <row r="11" spans="1:19" x14ac:dyDescent="0.25">
      <c r="A11" s="420" t="s">
        <v>999</v>
      </c>
      <c r="B11" s="426">
        <f>Annual[[#This Row],[Column2]]/DrVM!B10</f>
        <v>0</v>
      </c>
      <c r="C11" s="426">
        <f>Annual[[#This Row],[Column3]]/DrVM!C10</f>
        <v>0</v>
      </c>
      <c r="D11" s="426">
        <f>Annual[[#This Row],[Column4]]/DrVM!D10</f>
        <v>0.17716535433070865</v>
      </c>
      <c r="E11" s="426">
        <f>Annual[[#This Row],[Column5]]/DrVM!E10</f>
        <v>0.166270783847981</v>
      </c>
      <c r="F11" s="426">
        <f>Annual[[#This Row],[Column6]]/DrVM!F10</f>
        <v>0.12141280353200884</v>
      </c>
      <c r="G11" s="426">
        <f>Annual[[#This Row],[Column7]]/DrVM!G10</f>
        <v>0.18886462882096069</v>
      </c>
      <c r="H11" s="426">
        <f>Annual[[#This Row],[Column8]]/DrVM!H10</f>
        <v>0.20351845463953089</v>
      </c>
      <c r="I11" s="426">
        <f>Annual[[#This Row],[Column9]]/DrVM!I10</f>
        <v>0.22038365792941864</v>
      </c>
      <c r="J11" s="426">
        <f>Annual[[#This Row],[Column10]]/DrVM!J10</f>
        <v>0.24252374809428873</v>
      </c>
      <c r="K11" s="426">
        <f>Annual[[#This Row],[Column11]]/DrVM!K10</f>
        <v>0.2276572545775839</v>
      </c>
      <c r="L11" s="422"/>
      <c r="N11" s="438"/>
      <c r="O11" s="438"/>
      <c r="P11" s="438"/>
      <c r="Q11" s="438"/>
      <c r="R11" s="438"/>
      <c r="S11" s="438"/>
    </row>
    <row r="12" spans="1:19" x14ac:dyDescent="0.25">
      <c r="A12" s="420" t="s">
        <v>1000</v>
      </c>
      <c r="B12" s="421">
        <f>Annual[[#This Row],[Column2]]</f>
        <v>1.25</v>
      </c>
      <c r="C12" s="421">
        <f>Annual[[#This Row],[Column3]]</f>
        <v>0.04</v>
      </c>
      <c r="D12" s="421">
        <f>Annual[[#This Row],[Column4]]</f>
        <v>2.09</v>
      </c>
      <c r="E12" s="421">
        <f>Annual[[#This Row],[Column5]]</f>
        <v>3.5</v>
      </c>
      <c r="F12" s="421">
        <f>Annual[[#This Row],[Column6]]</f>
        <v>3.97</v>
      </c>
      <c r="G12" s="421">
        <f>Annual[[#This Row],[Column7]]</f>
        <v>6.08</v>
      </c>
      <c r="H12" s="421">
        <f>Annual[[#This Row],[Column8]]</f>
        <v>18.98</v>
      </c>
      <c r="I12" s="421">
        <f>Annual[[#This Row],[Column9]]</f>
        <v>39.590000000000003</v>
      </c>
      <c r="J12" s="421">
        <f>Annual[[#This Row],[Column10]]</f>
        <v>104.47</v>
      </c>
      <c r="K12" s="421">
        <f>Annual[[#This Row],[Column11]]</f>
        <v>171.62</v>
      </c>
      <c r="L12" s="425">
        <f>SUM(B12:K12)</f>
        <v>351.59000000000003</v>
      </c>
      <c r="N12" s="438"/>
      <c r="O12" s="438"/>
      <c r="P12" s="438"/>
      <c r="Q12" s="438"/>
      <c r="R12" s="438"/>
      <c r="S12" s="438"/>
    </row>
    <row r="13" spans="1:19" x14ac:dyDescent="0.25">
      <c r="A13" s="423" t="s">
        <v>1001</v>
      </c>
      <c r="B13" s="426" t="e">
        <f>B12/B4</f>
        <v>#DIV/0!</v>
      </c>
      <c r="C13" s="426" t="e">
        <f t="shared" ref="C13:K13" si="0">C12/C4</f>
        <v>#DIV/0!</v>
      </c>
      <c r="D13" s="426">
        <f t="shared" si="0"/>
        <v>0.12806372549019607</v>
      </c>
      <c r="E13" s="426">
        <f t="shared" si="0"/>
        <v>0.16619183285849953</v>
      </c>
      <c r="F13" s="426">
        <f t="shared" si="0"/>
        <v>0.15146890499809235</v>
      </c>
      <c r="G13" s="426">
        <f t="shared" si="0"/>
        <v>0.1379936450295052</v>
      </c>
      <c r="H13" s="426">
        <f t="shared" si="0"/>
        <v>0.15202242691229476</v>
      </c>
      <c r="I13" s="426">
        <f t="shared" si="0"/>
        <v>0.14558893832971723</v>
      </c>
      <c r="J13" s="426">
        <f t="shared" si="0"/>
        <v>0.19773252072529052</v>
      </c>
      <c r="K13" s="426">
        <f t="shared" si="0"/>
        <v>0.20208657152277332</v>
      </c>
      <c r="L13" s="422"/>
      <c r="N13" s="438"/>
      <c r="O13" s="438"/>
      <c r="P13" s="438"/>
      <c r="Q13" s="438"/>
      <c r="R13" s="438"/>
      <c r="S13" s="438"/>
    </row>
    <row r="14" spans="1:19" x14ac:dyDescent="0.25">
      <c r="A14" s="420" t="s">
        <v>1002</v>
      </c>
      <c r="B14" s="421">
        <f>'Data Sheet'!B82</f>
        <v>0</v>
      </c>
      <c r="C14" s="421">
        <f>'Data Sheet'!C82</f>
        <v>0</v>
      </c>
      <c r="D14" s="421">
        <f>'Data Sheet'!D82</f>
        <v>11.4</v>
      </c>
      <c r="E14" s="421">
        <f>'Data Sheet'!E82</f>
        <v>-3.35</v>
      </c>
      <c r="F14" s="421">
        <f>'Data Sheet'!F82</f>
        <v>-7.42</v>
      </c>
      <c r="G14" s="421">
        <f>'Data Sheet'!G82</f>
        <v>12.16</v>
      </c>
      <c r="H14" s="421">
        <f>'Data Sheet'!H82</f>
        <v>26.08</v>
      </c>
      <c r="I14" s="421">
        <f>'Data Sheet'!I82</f>
        <v>18.89</v>
      </c>
      <c r="J14" s="421">
        <f>'Data Sheet'!J82</f>
        <v>71.73</v>
      </c>
      <c r="K14" s="421">
        <f>'Data Sheet'!K82</f>
        <v>125.1</v>
      </c>
      <c r="L14" s="425">
        <f>SUM(B14:K14)</f>
        <v>254.59</v>
      </c>
      <c r="N14" s="406"/>
      <c r="O14" s="406"/>
      <c r="P14" s="406"/>
      <c r="Q14" s="406"/>
      <c r="R14" s="406"/>
      <c r="S14" s="406"/>
    </row>
    <row r="15" spans="1:19" x14ac:dyDescent="0.25">
      <c r="A15" s="423" t="s">
        <v>1003</v>
      </c>
      <c r="B15" s="422"/>
      <c r="C15" s="421">
        <f>Others!C21</f>
        <v>-2.0000000000000004E-2</v>
      </c>
      <c r="D15" s="421">
        <f>Others!D21</f>
        <v>19.240000000000002</v>
      </c>
      <c r="E15" s="421">
        <f>Others!E21</f>
        <v>4.57</v>
      </c>
      <c r="F15" s="421">
        <f>Others!F21</f>
        <v>-3.3899999999999992</v>
      </c>
      <c r="G15" s="421">
        <f>Others!G21</f>
        <v>57.930000000000007</v>
      </c>
      <c r="H15" s="421">
        <f>Others!H21</f>
        <v>36.31</v>
      </c>
      <c r="I15" s="421">
        <f>Others!I21</f>
        <v>85.710000000000008</v>
      </c>
      <c r="J15" s="421">
        <f>Others!J21</f>
        <v>57.14</v>
      </c>
      <c r="K15" s="421">
        <f>Others!K21</f>
        <v>203.46999999999997</v>
      </c>
      <c r="L15" s="427">
        <f>SUM(B15:K15)</f>
        <v>460.96</v>
      </c>
    </row>
    <row r="16" spans="1:19" x14ac:dyDescent="0.25">
      <c r="J16" s="440" t="s">
        <v>181</v>
      </c>
      <c r="K16" s="441"/>
      <c r="L16" s="434">
        <f>L14-L15</f>
        <v>-206.36999999999998</v>
      </c>
    </row>
    <row r="17" spans="1:19" x14ac:dyDescent="0.25">
      <c r="J17" s="440" t="s">
        <v>1033</v>
      </c>
      <c r="K17" s="441"/>
      <c r="L17" s="433">
        <f>L16-L8</f>
        <v>-219.93999999999997</v>
      </c>
      <c r="N17" s="439" t="s">
        <v>989</v>
      </c>
      <c r="O17" s="439"/>
      <c r="P17" s="439"/>
      <c r="Q17" s="439"/>
      <c r="R17" s="439"/>
      <c r="S17" s="439"/>
    </row>
    <row r="18" spans="1:19" x14ac:dyDescent="0.25">
      <c r="N18" s="439"/>
      <c r="O18" s="439"/>
      <c r="P18" s="439"/>
      <c r="Q18" s="439"/>
      <c r="R18" s="439"/>
      <c r="S18" s="439"/>
    </row>
    <row r="19" spans="1:19" x14ac:dyDescent="0.25">
      <c r="A19" s="423" t="s">
        <v>1029</v>
      </c>
      <c r="B19" s="428"/>
      <c r="C19" s="428"/>
      <c r="D19" s="428"/>
      <c r="E19" s="435" t="e">
        <f>((1-AVERAGE(C52:E52))+(AVERAGE(C21:E21)*AVERAGE(C13:E13)*(1-AVERAGE(C30:E30))))-1</f>
        <v>#DIV/0!</v>
      </c>
      <c r="F19" s="435">
        <f t="shared" ref="F19:K19" si="1">((1-AVERAGE(D52:F52))+(AVERAGE(D21:F21)*AVERAGE(D13:F13)*(1-AVERAGE(D30:F30))))-1</f>
        <v>0.37109881730925731</v>
      </c>
      <c r="G19" s="435">
        <f t="shared" si="1"/>
        <v>0.215037542211717</v>
      </c>
      <c r="H19" s="435">
        <f t="shared" si="1"/>
        <v>0.12226652429933105</v>
      </c>
      <c r="I19" s="435">
        <f t="shared" si="1"/>
        <v>0.17724827224904027</v>
      </c>
      <c r="J19" s="435">
        <f t="shared" si="1"/>
        <v>0.29905802964580408</v>
      </c>
      <c r="K19" s="435">
        <f t="shared" si="1"/>
        <v>0.4279486997967572</v>
      </c>
      <c r="N19" s="439"/>
      <c r="O19" s="439"/>
      <c r="P19" s="439"/>
      <c r="Q19" s="439"/>
      <c r="R19" s="439"/>
      <c r="S19" s="439"/>
    </row>
    <row r="20" spans="1:19" x14ac:dyDescent="0.25">
      <c r="N20" s="439"/>
      <c r="O20" s="439"/>
      <c r="P20" s="439"/>
      <c r="Q20" s="439"/>
      <c r="R20" s="439"/>
      <c r="S20" s="439"/>
    </row>
    <row r="21" spans="1:19" x14ac:dyDescent="0.25">
      <c r="A21" s="420" t="s">
        <v>1004</v>
      </c>
      <c r="B21" s="422"/>
      <c r="C21" s="429">
        <f>C4/AVERAGE(B25:C25)</f>
        <v>0</v>
      </c>
      <c r="D21" s="429">
        <f t="shared" ref="D21:K21" si="2">D4/AVERAGE(C25:D25)</f>
        <v>5.3159609120521178</v>
      </c>
      <c r="E21" s="429">
        <f t="shared" si="2"/>
        <v>3.501246882793017</v>
      </c>
      <c r="F21" s="429">
        <f t="shared" si="2"/>
        <v>7.8122205663189259</v>
      </c>
      <c r="G21" s="429">
        <f t="shared" si="2"/>
        <v>1.6632691581728956</v>
      </c>
      <c r="H21" s="429">
        <f t="shared" si="2"/>
        <v>1.9007383725355864</v>
      </c>
      <c r="I21" s="429">
        <f t="shared" si="2"/>
        <v>2.411902966872145</v>
      </c>
      <c r="J21" s="429">
        <f t="shared" si="2"/>
        <v>3.1658926805884295</v>
      </c>
      <c r="K21" s="429">
        <f t="shared" si="2"/>
        <v>3.1122512551764578</v>
      </c>
    </row>
    <row r="22" spans="1:19" x14ac:dyDescent="0.25">
      <c r="A22" s="420" t="s">
        <v>1005</v>
      </c>
      <c r="B22" s="421"/>
      <c r="C22" s="421">
        <f>IF('Profit &amp; Loss'!C4&gt;0,AVERAGE('Balance Sheet'!B17:C17)/('Profit &amp; Loss'!C4/365),0)</f>
        <v>0</v>
      </c>
      <c r="D22" s="421">
        <f>IF('Profit &amp; Loss'!D4&gt;0,AVERAGE('Balance Sheet'!C17:D17)/('Profit &amp; Loss'!D4/365),0)</f>
        <v>153.4252450980392</v>
      </c>
      <c r="E22" s="421">
        <f>IF('Profit &amp; Loss'!E4&gt;0,AVERAGE('Balance Sheet'!D17:E17)/('Profit &amp; Loss'!E4/365),0)</f>
        <v>207.19729344729345</v>
      </c>
      <c r="F22" s="421">
        <f>IF('Profit &amp; Loss'!F4&gt;0,AVERAGE('Balance Sheet'!E17:F17)/('Profit &amp; Loss'!F4/365),0)</f>
        <v>186.46890499809234</v>
      </c>
      <c r="G22" s="421">
        <f>IF('Profit &amp; Loss'!G4&gt;0,AVERAGE('Balance Sheet'!F17:G17)/('Profit &amp; Loss'!G4/365),0)</f>
        <v>112.87165229232865</v>
      </c>
      <c r="H22" s="421">
        <f>IF('Profit &amp; Loss'!H4&gt;0,AVERAGE('Balance Sheet'!G17:H17)/('Profit &amp; Loss'!H4/365),0)</f>
        <v>60.750500600720869</v>
      </c>
      <c r="I22" s="421">
        <f>IF('Profit &amp; Loss'!I4&gt;0,AVERAGE('Balance Sheet'!H17:I17)/('Profit &amp; Loss'!I4/365),0)</f>
        <v>72.71678373110727</v>
      </c>
      <c r="J22" s="421">
        <f>IF('Profit &amp; Loss'!J4&gt;0,AVERAGE('Balance Sheet'!I17:J17)/('Profit &amp; Loss'!J4/365),0)</f>
        <v>72.431436196388674</v>
      </c>
      <c r="K22" s="421">
        <f>IF('Profit &amp; Loss'!K4&gt;0,AVERAGE('Balance Sheet'!J17:K17)/('Profit &amp; Loss'!K4/365),0)</f>
        <v>82.091046111817633</v>
      </c>
    </row>
    <row r="23" spans="1:19" x14ac:dyDescent="0.25">
      <c r="A23" s="420" t="s">
        <v>1006</v>
      </c>
      <c r="B23" s="422"/>
      <c r="C23" s="430" t="e">
        <f>'Profit &amp; Loss'!C4/AVERAGE('Balance Sheet'!B18:C18)</f>
        <v>#DIV/0!</v>
      </c>
      <c r="D23" s="430" t="e">
        <f>'Profit &amp; Loss'!D4/AVERAGE('Balance Sheet'!C18:D18)</f>
        <v>#DIV/0!</v>
      </c>
      <c r="E23" s="430" t="e">
        <f>'Profit &amp; Loss'!E4/AVERAGE('Balance Sheet'!D18:E18)</f>
        <v>#DIV/0!</v>
      </c>
      <c r="F23" s="430" t="e">
        <f>'Profit &amp; Loss'!F4/AVERAGE('Balance Sheet'!E18:F18)</f>
        <v>#DIV/0!</v>
      </c>
      <c r="G23" s="430" t="e">
        <f>'Profit &amp; Loss'!G4/AVERAGE('Balance Sheet'!F18:G18)</f>
        <v>#DIV/0!</v>
      </c>
      <c r="H23" s="430" t="e">
        <f>'Profit &amp; Loss'!H4/AVERAGE('Balance Sheet'!G18:H18)</f>
        <v>#DIV/0!</v>
      </c>
      <c r="I23" s="430" t="e">
        <f>'Profit &amp; Loss'!I4/AVERAGE('Balance Sheet'!H18:I18)</f>
        <v>#DIV/0!</v>
      </c>
      <c r="J23" s="430" t="e">
        <f>'Profit &amp; Loss'!J4/AVERAGE('Balance Sheet'!I18:J18)</f>
        <v>#DIV/0!</v>
      </c>
      <c r="K23" s="430" t="e">
        <f>'Profit &amp; Loss'!K4/AVERAGE('Balance Sheet'!J18:K18)</f>
        <v>#DIV/0!</v>
      </c>
    </row>
    <row r="24" spans="1:19" x14ac:dyDescent="0.25">
      <c r="D24" s="413"/>
      <c r="E24" s="413"/>
      <c r="F24" s="413"/>
      <c r="G24" s="413"/>
      <c r="H24" s="413"/>
      <c r="I24" s="413"/>
      <c r="J24" s="413"/>
      <c r="K24" s="413"/>
    </row>
    <row r="25" spans="1:19" x14ac:dyDescent="0.25">
      <c r="A25" s="420" t="s">
        <v>1007</v>
      </c>
      <c r="B25" s="421">
        <f>Other_input_data!C56</f>
        <v>0.11</v>
      </c>
      <c r="C25" s="421">
        <f>Other_input_data!D56</f>
        <v>0.09</v>
      </c>
      <c r="D25" s="421">
        <f>Other_input_data!E56</f>
        <v>6.05</v>
      </c>
      <c r="E25" s="421">
        <f>Other_input_data!F56</f>
        <v>5.98</v>
      </c>
      <c r="F25" s="421">
        <f>Other_input_data!G56</f>
        <v>0.73</v>
      </c>
      <c r="G25" s="421">
        <f>Other_input_data!H56</f>
        <v>52.25</v>
      </c>
      <c r="H25" s="421">
        <f>Other_input_data!I56</f>
        <v>79.12</v>
      </c>
      <c r="I25" s="421">
        <f>Other_input_data!J56</f>
        <v>146.37</v>
      </c>
      <c r="J25" s="421">
        <f>Other_input_data!K56</f>
        <v>187.4</v>
      </c>
      <c r="K25" s="421">
        <f>Other_input_data!L56</f>
        <v>358.34</v>
      </c>
    </row>
    <row r="26" spans="1:19" x14ac:dyDescent="0.25">
      <c r="A26" s="420" t="s">
        <v>1008</v>
      </c>
      <c r="B26" s="421">
        <f>'Balance Sheet'!B11</f>
        <v>0</v>
      </c>
      <c r="C26" s="421">
        <f>'Balance Sheet'!C11</f>
        <v>0</v>
      </c>
      <c r="D26" s="421">
        <f>'Balance Sheet'!D11</f>
        <v>12.59</v>
      </c>
      <c r="E26" s="421">
        <f>'Balance Sheet'!E11</f>
        <v>16.43</v>
      </c>
      <c r="F26" s="421">
        <f>'Balance Sheet'!F11</f>
        <v>17.48</v>
      </c>
      <c r="G26" s="421">
        <f>'Balance Sheet'!G11</f>
        <v>19.579999999999998</v>
      </c>
      <c r="H26" s="421">
        <f>'Balance Sheet'!H11</f>
        <v>19.899999999999999</v>
      </c>
      <c r="I26" s="421">
        <f>'Balance Sheet'!I11</f>
        <v>18.13</v>
      </c>
      <c r="J26" s="421">
        <f>'Balance Sheet'!J11</f>
        <v>20.72</v>
      </c>
      <c r="K26" s="421">
        <f>'Balance Sheet'!K11</f>
        <v>28.06</v>
      </c>
    </row>
    <row r="27" spans="1:19" x14ac:dyDescent="0.25">
      <c r="A27" s="420" t="s">
        <v>1009</v>
      </c>
      <c r="B27" s="421">
        <f>'Data Sheet'!B57</f>
        <v>1.56</v>
      </c>
      <c r="C27" s="421">
        <f>'Data Sheet'!C57</f>
        <v>1.56</v>
      </c>
      <c r="D27" s="421">
        <f>'Data Sheet'!D57</f>
        <v>5.55</v>
      </c>
      <c r="E27" s="421">
        <f>'Data Sheet'!E57</f>
        <v>5.55</v>
      </c>
      <c r="F27" s="421">
        <f>'Data Sheet'!F57</f>
        <v>10.039999999999999</v>
      </c>
      <c r="G27" s="421">
        <f>'Data Sheet'!G57</f>
        <v>10.039999999999999</v>
      </c>
      <c r="H27" s="421">
        <f>'Data Sheet'!H57</f>
        <v>10.34</v>
      </c>
      <c r="I27" s="421">
        <f>'Data Sheet'!I57</f>
        <v>10.89</v>
      </c>
      <c r="J27" s="421">
        <f>'Data Sheet'!J57</f>
        <v>15.26</v>
      </c>
      <c r="K27" s="421">
        <f>'Data Sheet'!K57</f>
        <v>15.26</v>
      </c>
    </row>
    <row r="29" spans="1:19" x14ac:dyDescent="0.25">
      <c r="A29" s="420" t="s">
        <v>1010</v>
      </c>
      <c r="B29" s="421">
        <f>'Data Sheet'!B31</f>
        <v>0</v>
      </c>
      <c r="C29" s="421">
        <f>'Data Sheet'!C31</f>
        <v>0</v>
      </c>
      <c r="D29" s="421">
        <f>'Data Sheet'!D31</f>
        <v>0</v>
      </c>
      <c r="E29" s="421">
        <f>'Data Sheet'!E31</f>
        <v>0</v>
      </c>
      <c r="F29" s="421">
        <f>'Data Sheet'!F31</f>
        <v>0</v>
      </c>
      <c r="G29" s="421">
        <f>'Data Sheet'!G31</f>
        <v>0</v>
      </c>
      <c r="H29" s="421">
        <f>'Data Sheet'!H31</f>
        <v>0</v>
      </c>
      <c r="I29" s="421">
        <f>'Data Sheet'!I31</f>
        <v>0</v>
      </c>
      <c r="J29" s="421">
        <f>'Data Sheet'!J31</f>
        <v>3.05</v>
      </c>
      <c r="K29" s="421">
        <f>'Data Sheet'!K31</f>
        <v>0</v>
      </c>
    </row>
    <row r="30" spans="1:19" x14ac:dyDescent="0.25">
      <c r="A30" s="420" t="s">
        <v>1011</v>
      </c>
      <c r="B30" s="426">
        <f>B29/B12</f>
        <v>0</v>
      </c>
      <c r="C30" s="426">
        <f t="shared" ref="C30:K30" si="3">C29/C12</f>
        <v>0</v>
      </c>
      <c r="D30" s="426">
        <f t="shared" si="3"/>
        <v>0</v>
      </c>
      <c r="E30" s="426">
        <f t="shared" si="3"/>
        <v>0</v>
      </c>
      <c r="F30" s="426">
        <f t="shared" si="3"/>
        <v>0</v>
      </c>
      <c r="G30" s="426">
        <f t="shared" si="3"/>
        <v>0</v>
      </c>
      <c r="H30" s="426">
        <f t="shared" si="3"/>
        <v>0</v>
      </c>
      <c r="I30" s="426">
        <f t="shared" si="3"/>
        <v>0</v>
      </c>
      <c r="J30" s="426">
        <f t="shared" si="3"/>
        <v>2.9194984205992151E-2</v>
      </c>
      <c r="K30" s="426">
        <f t="shared" si="3"/>
        <v>0</v>
      </c>
    </row>
    <row r="31" spans="1:19" x14ac:dyDescent="0.25">
      <c r="A31" s="420" t="s">
        <v>1012</v>
      </c>
      <c r="B31" s="421">
        <f>B12-B29</f>
        <v>1.25</v>
      </c>
      <c r="C31" s="421">
        <f t="shared" ref="C31:K31" si="4">C12-C29</f>
        <v>0.04</v>
      </c>
      <c r="D31" s="421">
        <f t="shared" si="4"/>
        <v>2.09</v>
      </c>
      <c r="E31" s="421">
        <f t="shared" si="4"/>
        <v>3.5</v>
      </c>
      <c r="F31" s="421">
        <f t="shared" si="4"/>
        <v>3.97</v>
      </c>
      <c r="G31" s="421">
        <f t="shared" si="4"/>
        <v>6.08</v>
      </c>
      <c r="H31" s="421">
        <f t="shared" si="4"/>
        <v>18.98</v>
      </c>
      <c r="I31" s="421">
        <f t="shared" si="4"/>
        <v>39.590000000000003</v>
      </c>
      <c r="J31" s="421">
        <f t="shared" si="4"/>
        <v>101.42</v>
      </c>
      <c r="K31" s="421">
        <f t="shared" si="4"/>
        <v>171.62</v>
      </c>
    </row>
    <row r="32" spans="1:19" x14ac:dyDescent="0.25">
      <c r="A32" s="420" t="s">
        <v>1013</v>
      </c>
      <c r="B32" s="421">
        <f>'Data Sheet'!B69+'Data Sheet'!B64</f>
        <v>0.71</v>
      </c>
      <c r="C32" s="421">
        <f>'Data Sheet'!C69+'Data Sheet'!C64</f>
        <v>0.01</v>
      </c>
      <c r="D32" s="421">
        <f>'Data Sheet'!D69+'Data Sheet'!D64</f>
        <v>0.44</v>
      </c>
      <c r="E32" s="421">
        <f>'Data Sheet'!E69+'Data Sheet'!E64</f>
        <v>2.97</v>
      </c>
      <c r="F32" s="421">
        <f>'Data Sheet'!F69+'Data Sheet'!F64</f>
        <v>1.45</v>
      </c>
      <c r="G32" s="421">
        <f>'Data Sheet'!G69+'Data Sheet'!G64</f>
        <v>4.83</v>
      </c>
      <c r="H32" s="421">
        <f>'Data Sheet'!H69+'Data Sheet'!H64</f>
        <v>14.78</v>
      </c>
      <c r="I32" s="421">
        <f>'Data Sheet'!I69+'Data Sheet'!I64</f>
        <v>28.56</v>
      </c>
      <c r="J32" s="421">
        <f>'Data Sheet'!J69+'Data Sheet'!J64</f>
        <v>89.79</v>
      </c>
      <c r="K32" s="421">
        <f>'Data Sheet'!K69+'Data Sheet'!K64</f>
        <v>10.99</v>
      </c>
    </row>
    <row r="34" spans="1:17" x14ac:dyDescent="0.25">
      <c r="A34" s="423" t="s">
        <v>1014</v>
      </c>
      <c r="B34" s="425">
        <f>'Data Sheet'!B59</f>
        <v>1.31</v>
      </c>
      <c r="C34" s="431">
        <f>'Data Sheet'!C59</f>
        <v>0</v>
      </c>
      <c r="D34" s="431">
        <f>'Data Sheet'!D59</f>
        <v>1.07</v>
      </c>
      <c r="E34" s="431">
        <f>'Data Sheet'!E59</f>
        <v>2.93</v>
      </c>
      <c r="F34" s="431">
        <f>'Data Sheet'!F59</f>
        <v>2.11</v>
      </c>
      <c r="G34" s="431">
        <f>'Data Sheet'!G59</f>
        <v>3.78</v>
      </c>
      <c r="H34" s="431">
        <f>'Data Sheet'!H59</f>
        <v>7.0000000000000007E-2</v>
      </c>
      <c r="I34" s="431">
        <f>'Data Sheet'!I59</f>
        <v>2.72</v>
      </c>
      <c r="J34" s="431">
        <f>'Data Sheet'!J59</f>
        <v>40.79</v>
      </c>
      <c r="K34" s="431">
        <f>'Data Sheet'!K59</f>
        <v>86.48</v>
      </c>
      <c r="L34" s="408"/>
    </row>
    <row r="35" spans="1:17" x14ac:dyDescent="0.25">
      <c r="A35" s="423" t="s">
        <v>1015</v>
      </c>
      <c r="B35" s="421">
        <f>'Data Sheet'!B57+'Data Sheet'!B58</f>
        <v>6.4399999999999995</v>
      </c>
      <c r="C35" s="421">
        <f>'Data Sheet'!C57+'Data Sheet'!C58</f>
        <v>6.48</v>
      </c>
      <c r="D35" s="421">
        <f>'Data Sheet'!D57+'Data Sheet'!D58</f>
        <v>20.69</v>
      </c>
      <c r="E35" s="421">
        <f>'Data Sheet'!E57+'Data Sheet'!E58</f>
        <v>25.51</v>
      </c>
      <c r="F35" s="421">
        <f>'Data Sheet'!F57+'Data Sheet'!F58</f>
        <v>27.59</v>
      </c>
      <c r="G35" s="421">
        <f>'Data Sheet'!G57+'Data Sheet'!G58</f>
        <v>62</v>
      </c>
      <c r="H35" s="421">
        <f>'Data Sheet'!H57+'Data Sheet'!H58</f>
        <v>99.78</v>
      </c>
      <c r="I35" s="421">
        <f>'Data Sheet'!I57+'Data Sheet'!I58</f>
        <v>204.45</v>
      </c>
      <c r="J35" s="421">
        <f>'Data Sheet'!J57+'Data Sheet'!J58</f>
        <v>319.95</v>
      </c>
      <c r="K35" s="421">
        <f>'Data Sheet'!K57+'Data Sheet'!K58</f>
        <v>491.09999999999997</v>
      </c>
    </row>
    <row r="36" spans="1:17" x14ac:dyDescent="0.25">
      <c r="A36" s="423" t="s">
        <v>1016</v>
      </c>
      <c r="B36" s="430">
        <f>B34/B35</f>
        <v>0.203416149068323</v>
      </c>
      <c r="C36" s="430">
        <f t="shared" ref="C36:K36" si="5">C34/C35</f>
        <v>0</v>
      </c>
      <c r="D36" s="430">
        <f t="shared" si="5"/>
        <v>5.1715804736587725E-2</v>
      </c>
      <c r="E36" s="430">
        <f t="shared" si="5"/>
        <v>0.11485691885535085</v>
      </c>
      <c r="F36" s="430">
        <f t="shared" si="5"/>
        <v>7.6476984414642984E-2</v>
      </c>
      <c r="G36" s="430">
        <f t="shared" si="5"/>
        <v>6.096774193548387E-2</v>
      </c>
      <c r="H36" s="430">
        <f t="shared" si="5"/>
        <v>7.0154339547003411E-4</v>
      </c>
      <c r="I36" s="430">
        <f t="shared" si="5"/>
        <v>1.3303986304719982E-2</v>
      </c>
      <c r="J36" s="430">
        <f t="shared" si="5"/>
        <v>0.12748867010470386</v>
      </c>
      <c r="K36" s="430">
        <f t="shared" si="5"/>
        <v>0.1760944817756058</v>
      </c>
    </row>
    <row r="37" spans="1:17" x14ac:dyDescent="0.25">
      <c r="A37" s="423" t="s">
        <v>1017</v>
      </c>
      <c r="B37" s="424">
        <v>0.12</v>
      </c>
      <c r="C37" s="422"/>
      <c r="D37" s="422"/>
      <c r="E37" s="422"/>
      <c r="F37" s="422"/>
      <c r="G37" s="422"/>
      <c r="H37" s="422"/>
      <c r="I37" s="422"/>
      <c r="J37" s="422"/>
      <c r="K37" s="422"/>
    </row>
    <row r="38" spans="1:17" x14ac:dyDescent="0.25">
      <c r="A38" s="420" t="s">
        <v>1018</v>
      </c>
      <c r="B38" s="422"/>
      <c r="C38" s="421">
        <f>AVERAGE(B34:C34)*$B$37</f>
        <v>7.8600000000000003E-2</v>
      </c>
      <c r="D38" s="421">
        <f t="shared" ref="D38:K38" si="6">AVERAGE(C34:D34)*$B$37</f>
        <v>6.4200000000000007E-2</v>
      </c>
      <c r="E38" s="421">
        <f t="shared" si="6"/>
        <v>0.24</v>
      </c>
      <c r="F38" s="421">
        <f t="shared" si="6"/>
        <v>0.3024</v>
      </c>
      <c r="G38" s="421">
        <f t="shared" si="6"/>
        <v>0.35339999999999999</v>
      </c>
      <c r="H38" s="421">
        <f t="shared" si="6"/>
        <v>0.23099999999999998</v>
      </c>
      <c r="I38" s="421">
        <f t="shared" si="6"/>
        <v>0.16739999999999999</v>
      </c>
      <c r="J38" s="421">
        <f t="shared" si="6"/>
        <v>2.6105999999999998</v>
      </c>
      <c r="K38" s="421">
        <f t="shared" si="6"/>
        <v>7.6362000000000005</v>
      </c>
    </row>
    <row r="39" spans="1:17" x14ac:dyDescent="0.25">
      <c r="A39" s="420" t="s">
        <v>1019</v>
      </c>
      <c r="B39" s="422"/>
      <c r="C39" s="421">
        <f>IF(C38&gt;0,C5/C38,0)</f>
        <v>-0.63613231552162852</v>
      </c>
      <c r="D39" s="432">
        <f t="shared" ref="D39" si="7">IF(D38&gt;0,D5/D38,0)</f>
        <v>50.311526479750782</v>
      </c>
      <c r="E39" s="432">
        <f t="shared" ref="E39" si="8">IF(E38&gt;0,E5/E38,0)</f>
        <v>20.833333333333318</v>
      </c>
      <c r="F39" s="432">
        <f t="shared" ref="F39" si="9">IF(F38&gt;0,F5/F38,0)</f>
        <v>17.989417989417994</v>
      </c>
      <c r="G39" s="432">
        <f t="shared" ref="G39" si="10">IF(G38&gt;0,G5/G38,0)</f>
        <v>39.077532541030003</v>
      </c>
      <c r="H39" s="432">
        <f t="shared" ref="H39" si="11">IF(H38&gt;0,H5/H38,0)</f>
        <v>165.67099567099567</v>
      </c>
      <c r="I39" s="432">
        <f t="shared" ref="I39" si="12">IF(I38&gt;0,I5/I38,0)</f>
        <v>528.73357228195937</v>
      </c>
      <c r="J39" s="432">
        <f t="shared" ref="J39" si="13">IF(J38&gt;0,J5/J38,0)</f>
        <v>70.788324523098154</v>
      </c>
      <c r="K39" s="432">
        <f t="shared" ref="K39" si="14">IF(K38&gt;0,K5/K38,0)</f>
        <v>38.418323249783924</v>
      </c>
    </row>
    <row r="41" spans="1:17" x14ac:dyDescent="0.25">
      <c r="B41" s="16">
        <f>B3</f>
        <v>39903</v>
      </c>
      <c r="C41" s="16">
        <f t="shared" ref="C41:K41" si="15">C3</f>
        <v>40268</v>
      </c>
      <c r="D41" s="16">
        <f t="shared" si="15"/>
        <v>40633</v>
      </c>
      <c r="E41" s="16">
        <f t="shared" si="15"/>
        <v>40999</v>
      </c>
      <c r="F41" s="16">
        <f t="shared" si="15"/>
        <v>41364</v>
      </c>
      <c r="G41" s="16">
        <f t="shared" si="15"/>
        <v>41729</v>
      </c>
      <c r="H41" s="16">
        <f t="shared" si="15"/>
        <v>42094</v>
      </c>
      <c r="I41" s="16">
        <f t="shared" si="15"/>
        <v>42460</v>
      </c>
      <c r="J41" s="16">
        <f t="shared" si="15"/>
        <v>42825</v>
      </c>
      <c r="K41" s="16">
        <f t="shared" si="15"/>
        <v>43190</v>
      </c>
      <c r="L41" s="415" t="s">
        <v>1030</v>
      </c>
    </row>
    <row r="42" spans="1:17" x14ac:dyDescent="0.25">
      <c r="A42" s="423" t="s">
        <v>1002</v>
      </c>
      <c r="B42" s="433">
        <f>'Data Sheet'!B82</f>
        <v>0</v>
      </c>
      <c r="C42" s="433">
        <f>'Data Sheet'!C82</f>
        <v>0</v>
      </c>
      <c r="D42" s="433">
        <f>'Data Sheet'!D82</f>
        <v>11.4</v>
      </c>
      <c r="E42" s="433">
        <f>'Data Sheet'!E82</f>
        <v>-3.35</v>
      </c>
      <c r="F42" s="433">
        <f>'Data Sheet'!F82</f>
        <v>-7.42</v>
      </c>
      <c r="G42" s="433">
        <f>'Data Sheet'!G82</f>
        <v>12.16</v>
      </c>
      <c r="H42" s="433">
        <f>'Data Sheet'!H82</f>
        <v>26.08</v>
      </c>
      <c r="I42" s="433">
        <f>'Data Sheet'!I82</f>
        <v>18.89</v>
      </c>
      <c r="J42" s="433">
        <f>'Data Sheet'!J82</f>
        <v>71.73</v>
      </c>
      <c r="K42" s="433">
        <f>'Data Sheet'!K82</f>
        <v>125.1</v>
      </c>
      <c r="L42" s="425">
        <f>SUM(B42:K42)</f>
        <v>254.59</v>
      </c>
    </row>
    <row r="43" spans="1:17" x14ac:dyDescent="0.25">
      <c r="A43" s="420" t="s">
        <v>1020</v>
      </c>
      <c r="B43" s="433">
        <f>'Data Sheet'!B83</f>
        <v>0</v>
      </c>
      <c r="C43" s="433">
        <f>'Data Sheet'!C83</f>
        <v>0</v>
      </c>
      <c r="D43" s="433">
        <f>'Data Sheet'!D83</f>
        <v>-18.8</v>
      </c>
      <c r="E43" s="433">
        <f>'Data Sheet'!E83</f>
        <v>-3.77</v>
      </c>
      <c r="F43" s="433">
        <f>'Data Sheet'!F83</f>
        <v>-2.0699999999999998</v>
      </c>
      <c r="G43" s="433">
        <f>'Data Sheet'!G83</f>
        <v>-57.5</v>
      </c>
      <c r="H43" s="433">
        <f>'Data Sheet'!H83</f>
        <v>-36.65</v>
      </c>
      <c r="I43" s="433">
        <f>'Data Sheet'!I83</f>
        <v>-85.71</v>
      </c>
      <c r="J43" s="433">
        <f>'Data Sheet'!J83</f>
        <v>-56.67</v>
      </c>
      <c r="K43" s="433">
        <f>'Data Sheet'!K83</f>
        <v>-238.07</v>
      </c>
      <c r="L43" s="433">
        <f t="shared" ref="L43:L44" si="16">SUM(B43:K43)</f>
        <v>-499.24</v>
      </c>
    </row>
    <row r="44" spans="1:17" x14ac:dyDescent="0.25">
      <c r="A44" s="420" t="s">
        <v>1021</v>
      </c>
      <c r="B44" s="433">
        <f>'Data Sheet'!B84</f>
        <v>0</v>
      </c>
      <c r="C44" s="433">
        <f>'Data Sheet'!C84</f>
        <v>0</v>
      </c>
      <c r="D44" s="433">
        <f>'Data Sheet'!D84</f>
        <v>7.84</v>
      </c>
      <c r="E44" s="433">
        <f>'Data Sheet'!E84</f>
        <v>9.65</v>
      </c>
      <c r="F44" s="433">
        <f>'Data Sheet'!F84</f>
        <v>7.96</v>
      </c>
      <c r="G44" s="433">
        <f>'Data Sheet'!G84</f>
        <v>48.73</v>
      </c>
      <c r="H44" s="433">
        <f>'Data Sheet'!H84</f>
        <v>20.52</v>
      </c>
      <c r="I44" s="433">
        <f>'Data Sheet'!I84</f>
        <v>80.59</v>
      </c>
      <c r="J44" s="433">
        <f>'Data Sheet'!J84</f>
        <v>45.49</v>
      </c>
      <c r="K44" s="433">
        <f>'Data Sheet'!K84</f>
        <v>34.369999999999997</v>
      </c>
      <c r="L44" s="433">
        <f t="shared" si="16"/>
        <v>255.15000000000003</v>
      </c>
    </row>
    <row r="45" spans="1:17" x14ac:dyDescent="0.25">
      <c r="A45" s="423" t="s">
        <v>1022</v>
      </c>
      <c r="B45" s="433">
        <f>'Data Sheet'!B85</f>
        <v>0</v>
      </c>
      <c r="C45" s="433">
        <f>'Data Sheet'!C85</f>
        <v>0</v>
      </c>
      <c r="D45" s="433">
        <f>'Data Sheet'!D85</f>
        <v>0.44</v>
      </c>
      <c r="E45" s="433">
        <f>'Data Sheet'!E85</f>
        <v>2.5299999999999998</v>
      </c>
      <c r="F45" s="433">
        <f>'Data Sheet'!F85</f>
        <v>-1.53</v>
      </c>
      <c r="G45" s="433">
        <f>'Data Sheet'!G85</f>
        <v>3.39</v>
      </c>
      <c r="H45" s="433">
        <f>'Data Sheet'!H85</f>
        <v>9.9499999999999993</v>
      </c>
      <c r="I45" s="433">
        <f>'Data Sheet'!I85</f>
        <v>13.77</v>
      </c>
      <c r="J45" s="433">
        <f>'Data Sheet'!J85</f>
        <v>60.54</v>
      </c>
      <c r="K45" s="433">
        <f>'Data Sheet'!K85</f>
        <v>-78.599999999999994</v>
      </c>
      <c r="L45" s="433">
        <f t="shared" ref="L45" si="17">SUM(B45:K45)</f>
        <v>10.490000000000009</v>
      </c>
      <c r="Q45" s="413"/>
    </row>
    <row r="46" spans="1:17" x14ac:dyDescent="0.25">
      <c r="A46" s="420" t="s">
        <v>1023</v>
      </c>
      <c r="B46" s="421">
        <f>'Data Sheet'!B69</f>
        <v>0</v>
      </c>
      <c r="C46" s="421">
        <f>'Data Sheet'!C69</f>
        <v>0.01</v>
      </c>
      <c r="D46" s="421">
        <f>'Data Sheet'!D69</f>
        <v>0.44</v>
      </c>
      <c r="E46" s="421">
        <f>'Data Sheet'!E69</f>
        <v>2.97</v>
      </c>
      <c r="F46" s="421">
        <f>'Data Sheet'!F69</f>
        <v>1.45</v>
      </c>
      <c r="G46" s="421">
        <f>'Data Sheet'!G69</f>
        <v>4.83</v>
      </c>
      <c r="H46" s="421">
        <f>'Data Sheet'!H69</f>
        <v>14.78</v>
      </c>
      <c r="I46" s="421">
        <f>'Data Sheet'!I69</f>
        <v>28.56</v>
      </c>
      <c r="J46" s="421">
        <f>'Data Sheet'!J69</f>
        <v>89.79</v>
      </c>
      <c r="K46" s="421">
        <f>'Data Sheet'!K69</f>
        <v>10.99</v>
      </c>
      <c r="L46" s="422"/>
      <c r="O46" s="418"/>
    </row>
    <row r="47" spans="1:17" x14ac:dyDescent="0.25">
      <c r="P47" s="416"/>
      <c r="Q47" s="416"/>
    </row>
    <row r="48" spans="1:17" x14ac:dyDescent="0.25">
      <c r="A48" s="420" t="s">
        <v>1024</v>
      </c>
      <c r="B48" s="421">
        <f>SUM(B31:K31)</f>
        <v>348.54</v>
      </c>
    </row>
    <row r="49" spans="1:11" x14ac:dyDescent="0.25">
      <c r="A49" s="420" t="s">
        <v>1025</v>
      </c>
      <c r="B49" s="422"/>
    </row>
    <row r="50" spans="1:11" x14ac:dyDescent="0.25">
      <c r="A50" s="423" t="s">
        <v>1026</v>
      </c>
      <c r="B50" s="422"/>
    </row>
    <row r="52" spans="1:11" x14ac:dyDescent="0.25">
      <c r="A52" s="246" t="s">
        <v>1028</v>
      </c>
      <c r="B52" s="417">
        <f>B9/B25</f>
        <v>0</v>
      </c>
      <c r="C52" s="417">
        <f t="shared" ref="C52:K52" si="18">C9/C25</f>
        <v>0</v>
      </c>
      <c r="D52" s="417">
        <f t="shared" si="18"/>
        <v>0.1140495867768595</v>
      </c>
      <c r="E52" s="417">
        <f t="shared" si="18"/>
        <v>0.13377926421404682</v>
      </c>
      <c r="F52" s="417">
        <f t="shared" si="18"/>
        <v>1.1095890410958904</v>
      </c>
      <c r="G52" s="417">
        <f t="shared" si="18"/>
        <v>8.2488038277511957E-2</v>
      </c>
      <c r="H52" s="417">
        <f t="shared" si="18"/>
        <v>0.115267947421638</v>
      </c>
      <c r="I52" s="417">
        <f t="shared" si="18"/>
        <v>0.13821138211382114</v>
      </c>
      <c r="J52" s="417">
        <f t="shared" si="18"/>
        <v>7.2145144076840972E-2</v>
      </c>
      <c r="K52" s="417">
        <f t="shared" si="18"/>
        <v>7.0296366579226444E-2</v>
      </c>
    </row>
    <row r="53" spans="1:11" x14ac:dyDescent="0.25">
      <c r="A53" s="246" t="s">
        <v>1035</v>
      </c>
      <c r="C53" s="418" t="e">
        <f>((1-C52)+(C21*C13*(1-C30)))-1</f>
        <v>#DIV/0!</v>
      </c>
      <c r="D53" s="418">
        <f t="shared" ref="D53:K53" si="19">((1-D52)+(D21*D13*(1-D30)))-1</f>
        <v>0.56673217218079519</v>
      </c>
      <c r="E53" s="418">
        <f t="shared" si="19"/>
        <v>0.4480993725274327</v>
      </c>
      <c r="F53" s="418">
        <f t="shared" si="19"/>
        <v>7.3719453688014136E-2</v>
      </c>
      <c r="G53" s="418">
        <f t="shared" si="19"/>
        <v>0.14703253552392259</v>
      </c>
      <c r="H53" s="418">
        <f t="shared" si="19"/>
        <v>0.17368691289654725</v>
      </c>
      <c r="I53" s="418">
        <f t="shared" si="19"/>
        <v>0.21293501018738969</v>
      </c>
      <c r="J53" s="418">
        <f t="shared" si="19"/>
        <v>0.53557873763811248</v>
      </c>
      <c r="K53" s="418">
        <f t="shared" si="19"/>
        <v>0.55864781929683183</v>
      </c>
    </row>
    <row r="57" spans="1:11" x14ac:dyDescent="0.25">
      <c r="A57" s="246" t="s">
        <v>1036</v>
      </c>
      <c r="C57" s="416">
        <f>C14-C15</f>
        <v>2.0000000000000004E-2</v>
      </c>
      <c r="D57" s="416">
        <f t="shared" ref="D57:K57" si="20">D14-D15</f>
        <v>-7.8400000000000016</v>
      </c>
      <c r="E57" s="416">
        <f t="shared" si="20"/>
        <v>-7.92</v>
      </c>
      <c r="F57" s="416">
        <f t="shared" si="20"/>
        <v>-4.0300000000000011</v>
      </c>
      <c r="G57" s="416">
        <f t="shared" si="20"/>
        <v>-45.77000000000001</v>
      </c>
      <c r="H57" s="416">
        <f t="shared" si="20"/>
        <v>-10.230000000000004</v>
      </c>
      <c r="I57" s="416">
        <f t="shared" si="20"/>
        <v>-66.820000000000007</v>
      </c>
      <c r="J57" s="416">
        <f t="shared" si="20"/>
        <v>14.590000000000003</v>
      </c>
      <c r="K57" s="416">
        <f t="shared" si="20"/>
        <v>-78.369999999999976</v>
      </c>
    </row>
    <row r="64" spans="1:11" x14ac:dyDescent="0.25">
      <c r="A64" s="246" t="s">
        <v>192</v>
      </c>
      <c r="D64" s="85">
        <f>'Financial Analysis'!D61</f>
        <v>23.108172635445364</v>
      </c>
      <c r="E64" s="85">
        <f>'Financial Analysis'!E61</f>
        <v>0.44473313248016799</v>
      </c>
      <c r="F64" s="85">
        <f>'Financial Analysis'!F61</f>
        <v>-0.44570944243368305</v>
      </c>
      <c r="G64" s="85">
        <f>'Financial Analysis'!G61</f>
        <v>8.2462790850101584</v>
      </c>
      <c r="H64" s="85">
        <f>'Financial Analysis'!H61</f>
        <v>0.24798564109510846</v>
      </c>
      <c r="I64" s="85">
        <f>'Financial Analysis'!I61</f>
        <v>0.3621677887658552</v>
      </c>
      <c r="J64" s="85">
        <f>'Financial Analysis'!J61</f>
        <v>0.62075640678740696</v>
      </c>
      <c r="K64" s="85">
        <f>'Financial Analysis'!K61</f>
        <v>0.84549872413582161</v>
      </c>
    </row>
    <row r="65" spans="1:12" x14ac:dyDescent="0.25">
      <c r="A65" s="246" t="s">
        <v>979</v>
      </c>
      <c r="B65" s="85">
        <f>'Profit &amp; Loss'!B19</f>
        <v>0</v>
      </c>
      <c r="C65" s="85" t="str">
        <f>'Financial Analysis'!C28</f>
        <v>NA</v>
      </c>
      <c r="D65" s="85">
        <f>'Financial Analysis'!D28</f>
        <v>0.19791666666666674</v>
      </c>
      <c r="E65" s="85">
        <f>'Financial Analysis'!E28</f>
        <v>0.23741690408357063</v>
      </c>
      <c r="F65" s="85">
        <f>'Financial Analysis'!F28</f>
        <v>0.2075543685616178</v>
      </c>
      <c r="G65" s="85">
        <f>'Financial Analysis'!G28</f>
        <v>0.31343622333182031</v>
      </c>
      <c r="H65" s="85">
        <f>'Financial Analysis'!H28</f>
        <v>0.30652783340008005</v>
      </c>
      <c r="I65" s="85">
        <f>'Financial Analysis'!I28</f>
        <v>0.32548817710440181</v>
      </c>
      <c r="J65" s="85">
        <f>'Financial Analysis'!J28</f>
        <v>0.34977476624900627</v>
      </c>
      <c r="K65" s="85">
        <f>'Financial Analysis'!K28</f>
        <v>0.34545004945598412</v>
      </c>
    </row>
    <row r="66" spans="1:12" x14ac:dyDescent="0.25">
      <c r="A66" s="246" t="s">
        <v>992</v>
      </c>
      <c r="C66" s="64"/>
      <c r="D66" s="64"/>
      <c r="E66" s="64" t="e">
        <f>'Financial Analysis'!E62</f>
        <v>#DIV/0!</v>
      </c>
      <c r="F66" s="64">
        <f>'Financial Analysis'!F62</f>
        <v>8.9175107960573499</v>
      </c>
      <c r="G66" s="64">
        <f>'Financial Analysis'!G62</f>
        <v>3.0119131332564333</v>
      </c>
      <c r="H66" s="64">
        <f>'Financial Analysis'!H62</f>
        <v>2.8571361164243472</v>
      </c>
      <c r="I66" s="64">
        <f>'Financial Analysis'!I62</f>
        <v>3.09128407569687</v>
      </c>
      <c r="J66" s="64">
        <f>'Financial Analysis'!J62</f>
        <v>0.40574633685759609</v>
      </c>
      <c r="K66" s="64">
        <f>'Financial Analysis'!K62</f>
        <v>0.60127293078431954</v>
      </c>
    </row>
    <row r="67" spans="1:12" x14ac:dyDescent="0.25">
      <c r="A67" s="246" t="s">
        <v>993</v>
      </c>
      <c r="C67" s="64"/>
      <c r="D67" s="64">
        <f>AVERAGE(B65:D65)</f>
        <v>9.895833333333337E-2</v>
      </c>
      <c r="E67" s="64">
        <f t="shared" ref="E67:K67" si="21">AVERAGE(C65:E65)</f>
        <v>0.21766678537511869</v>
      </c>
      <c r="F67" s="64">
        <f t="shared" si="21"/>
        <v>0.2142959797706184</v>
      </c>
      <c r="G67" s="64">
        <f t="shared" si="21"/>
        <v>0.25280249865900289</v>
      </c>
      <c r="H67" s="64">
        <f t="shared" si="21"/>
        <v>0.2758394750978394</v>
      </c>
      <c r="I67" s="64">
        <f t="shared" si="21"/>
        <v>0.31515074461210074</v>
      </c>
      <c r="J67" s="64">
        <f t="shared" si="21"/>
        <v>0.32726359225116269</v>
      </c>
      <c r="K67" s="64">
        <f t="shared" si="21"/>
        <v>0.34023766426979735</v>
      </c>
    </row>
    <row r="69" spans="1:12" x14ac:dyDescent="0.25">
      <c r="A69" s="246" t="s">
        <v>980</v>
      </c>
      <c r="C69">
        <f>Others!C10</f>
        <v>0</v>
      </c>
      <c r="D69">
        <f>Others!D10</f>
        <v>1.07</v>
      </c>
      <c r="E69">
        <f>Others!E10</f>
        <v>2.93</v>
      </c>
      <c r="F69">
        <f>Others!F10</f>
        <v>2.11</v>
      </c>
      <c r="G69">
        <f>Others!G10</f>
        <v>3.78</v>
      </c>
      <c r="H69">
        <f>Others!H10</f>
        <v>7.0000000000000007E-2</v>
      </c>
      <c r="I69">
        <f>Others!I10</f>
        <v>2.72</v>
      </c>
      <c r="J69">
        <f>Others!J10</f>
        <v>40.79</v>
      </c>
      <c r="K69">
        <f>Others!K10</f>
        <v>86.48</v>
      </c>
    </row>
    <row r="70" spans="1:12" ht="24.75" x14ac:dyDescent="0.25">
      <c r="A70" s="283" t="s">
        <v>983</v>
      </c>
      <c r="C70">
        <f>Others!C11</f>
        <v>-1.31</v>
      </c>
      <c r="D70">
        <f>Others!D11</f>
        <v>1.07</v>
      </c>
      <c r="E70">
        <f>Others!E11</f>
        <v>1.86</v>
      </c>
      <c r="F70">
        <f>Others!F11</f>
        <v>-0.82000000000000028</v>
      </c>
      <c r="G70">
        <f>Others!G11</f>
        <v>1.67</v>
      </c>
      <c r="H70">
        <f>Others!H11</f>
        <v>-3.71</v>
      </c>
      <c r="I70">
        <f>Others!I11</f>
        <v>2.6500000000000004</v>
      </c>
      <c r="J70">
        <f>Others!J11</f>
        <v>38.07</v>
      </c>
      <c r="K70">
        <f>Others!K11</f>
        <v>45.690000000000005</v>
      </c>
    </row>
    <row r="71" spans="1:12" x14ac:dyDescent="0.25">
      <c r="A71" s="246" t="s">
        <v>981</v>
      </c>
      <c r="C71" s="64">
        <f>IFERROR(('Data Sheet'!C59-'Data Sheet'!B59)/'Data Sheet'!B59,"NA")</f>
        <v>-1</v>
      </c>
      <c r="D71" s="64" t="str">
        <f>IFERROR(('Data Sheet'!D59-'Data Sheet'!C59)/'Data Sheet'!C59,"NA")</f>
        <v>NA</v>
      </c>
      <c r="E71" s="64">
        <f>IFERROR(('Data Sheet'!E59-'Data Sheet'!D59)/'Data Sheet'!D59,"NA")</f>
        <v>1.7383177570093458</v>
      </c>
      <c r="F71" s="64">
        <f>IFERROR(('Data Sheet'!F59-'Data Sheet'!E59)/'Data Sheet'!E59,"NA")</f>
        <v>-0.279863481228669</v>
      </c>
      <c r="G71" s="64">
        <f>IFERROR(('Data Sheet'!G59-'Data Sheet'!F59)/'Data Sheet'!F59,"NA")</f>
        <v>0.79146919431279628</v>
      </c>
      <c r="H71" s="64">
        <f>IFERROR(('Data Sheet'!H59-'Data Sheet'!G59)/'Data Sheet'!G59,"NA")</f>
        <v>-0.98148148148148151</v>
      </c>
      <c r="I71" s="64">
        <f>IFERROR(('Data Sheet'!I59-'Data Sheet'!H59)/'Data Sheet'!H59,"NA")</f>
        <v>37.857142857142861</v>
      </c>
      <c r="J71" s="64">
        <f>IFERROR(('Data Sheet'!J59-'Data Sheet'!I59)/'Data Sheet'!I59,"NA")</f>
        <v>13.996323529411764</v>
      </c>
      <c r="K71" s="64">
        <f>IFERROR(('Data Sheet'!K59-'Data Sheet'!J59)/'Data Sheet'!J59,"NA")</f>
        <v>1.1201274822260359</v>
      </c>
    </row>
    <row r="72" spans="1:12" x14ac:dyDescent="0.25">
      <c r="C72" s="64"/>
      <c r="D72" s="64"/>
      <c r="E72" s="64"/>
      <c r="F72" s="64"/>
      <c r="G72" s="64"/>
      <c r="H72" s="64"/>
      <c r="I72" s="64"/>
      <c r="J72" s="64"/>
      <c r="K72" s="64"/>
    </row>
    <row r="73" spans="1:12" x14ac:dyDescent="0.25">
      <c r="A73" s="246" t="s">
        <v>73</v>
      </c>
      <c r="C73">
        <f>'Data Sheet'!C60</f>
        <v>0.15</v>
      </c>
      <c r="D73">
        <f>'Data Sheet'!D60</f>
        <v>13.57</v>
      </c>
      <c r="E73">
        <f>'Data Sheet'!E60</f>
        <v>15.97</v>
      </c>
      <c r="F73">
        <f>'Data Sheet'!F60</f>
        <v>15.06</v>
      </c>
      <c r="G73">
        <f>'Data Sheet'!G60</f>
        <v>33.78</v>
      </c>
      <c r="H73">
        <f>'Data Sheet'!H60</f>
        <v>52</v>
      </c>
      <c r="I73">
        <f>'Data Sheet'!I60</f>
        <v>106.94</v>
      </c>
      <c r="J73">
        <f>'Data Sheet'!J60</f>
        <v>150.77000000000001</v>
      </c>
      <c r="K73">
        <f>'Data Sheet'!K60</f>
        <v>243.64</v>
      </c>
    </row>
    <row r="74" spans="1:12" ht="24.75" x14ac:dyDescent="0.25">
      <c r="A74" s="283" t="s">
        <v>984</v>
      </c>
      <c r="C74">
        <f>'Data Sheet'!C60-'Data Sheet'!B60</f>
        <v>-1.0000000000000009E-2</v>
      </c>
      <c r="D74">
        <f>'Data Sheet'!D60-'Data Sheet'!C60</f>
        <v>13.42</v>
      </c>
      <c r="E74">
        <f>'Data Sheet'!E60-'Data Sheet'!D60</f>
        <v>2.4000000000000004</v>
      </c>
      <c r="F74">
        <f>'Data Sheet'!F60-'Data Sheet'!E60</f>
        <v>-0.91000000000000014</v>
      </c>
      <c r="G74">
        <f>'Data Sheet'!G60-'Data Sheet'!F60</f>
        <v>18.72</v>
      </c>
      <c r="H74">
        <f>'Data Sheet'!H60-'Data Sheet'!G60</f>
        <v>18.22</v>
      </c>
      <c r="I74">
        <f>'Data Sheet'!I60-'Data Sheet'!H60</f>
        <v>54.94</v>
      </c>
      <c r="J74">
        <f>'Data Sheet'!J60-'Data Sheet'!I60</f>
        <v>43.830000000000013</v>
      </c>
      <c r="K74">
        <f>'Data Sheet'!K60-'Data Sheet'!J60</f>
        <v>92.869999999999976</v>
      </c>
    </row>
    <row r="75" spans="1:12" x14ac:dyDescent="0.25">
      <c r="A75" s="246" t="s">
        <v>985</v>
      </c>
      <c r="C75" s="64">
        <f>IFERROR(('Data Sheet'!C60-'Data Sheet'!B60)/'Data Sheet'!B60,"NA")</f>
        <v>-6.2500000000000056E-2</v>
      </c>
      <c r="D75" s="64">
        <f>IFERROR(('Data Sheet'!D60-'Data Sheet'!C60)/'Data Sheet'!C60,"NA")</f>
        <v>89.466666666666669</v>
      </c>
      <c r="E75" s="64">
        <f>IFERROR(('Data Sheet'!E60-'Data Sheet'!D60)/'Data Sheet'!D60,"NA")</f>
        <v>0.17686072218128226</v>
      </c>
      <c r="F75" s="64">
        <f>IFERROR(('Data Sheet'!F60-'Data Sheet'!E60)/'Data Sheet'!E60,"NA")</f>
        <v>-5.6981840951784601E-2</v>
      </c>
      <c r="G75" s="64">
        <f>IFERROR(('Data Sheet'!G60-'Data Sheet'!F60)/'Data Sheet'!F60,"NA")</f>
        <v>1.2430278884462149</v>
      </c>
      <c r="H75" s="64">
        <f>IFERROR(('Data Sheet'!H60-'Data Sheet'!G60)/'Data Sheet'!G60,"NA")</f>
        <v>0.53937240970988742</v>
      </c>
      <c r="I75" s="64">
        <f>IFERROR(('Data Sheet'!I60-'Data Sheet'!H60)/'Data Sheet'!H60,"NA")</f>
        <v>1.0565384615384614</v>
      </c>
      <c r="J75" s="64">
        <f>IFERROR(('Data Sheet'!J60-'Data Sheet'!I60)/'Data Sheet'!I60,"NA")</f>
        <v>0.40985599401533584</v>
      </c>
      <c r="K75" s="64">
        <f>IFERROR(('Data Sheet'!K60-'Data Sheet'!J60)/'Data Sheet'!J60,"NA")</f>
        <v>0.61597134708496371</v>
      </c>
    </row>
    <row r="77" spans="1:12" x14ac:dyDescent="0.25">
      <c r="L77" s="383" t="s">
        <v>987</v>
      </c>
    </row>
    <row r="78" spans="1:12" x14ac:dyDescent="0.25">
      <c r="A78" s="246" t="s">
        <v>146</v>
      </c>
      <c r="B78">
        <f>'Data Sheet'!B82</f>
        <v>0</v>
      </c>
      <c r="C78">
        <f>'Data Sheet'!C82</f>
        <v>0</v>
      </c>
      <c r="D78">
        <f>'Data Sheet'!D82</f>
        <v>11.4</v>
      </c>
      <c r="E78">
        <f>'Data Sheet'!E82</f>
        <v>-3.35</v>
      </c>
      <c r="F78">
        <f>'Data Sheet'!F82</f>
        <v>-7.42</v>
      </c>
      <c r="G78">
        <f>'Data Sheet'!G82</f>
        <v>12.16</v>
      </c>
      <c r="H78">
        <f>'Data Sheet'!H82</f>
        <v>26.08</v>
      </c>
      <c r="I78">
        <f>'Data Sheet'!I82</f>
        <v>18.89</v>
      </c>
      <c r="J78">
        <f>'Data Sheet'!J82</f>
        <v>71.73</v>
      </c>
      <c r="K78">
        <f>'Data Sheet'!K82</f>
        <v>125.1</v>
      </c>
      <c r="L78">
        <f>SUM(Table74[[#This Row],[Column2]:[Column11]])</f>
        <v>254.59</v>
      </c>
    </row>
    <row r="79" spans="1:12" x14ac:dyDescent="0.25">
      <c r="A79" s="246" t="s">
        <v>988</v>
      </c>
      <c r="B79">
        <f>'Data Sheet'!B27</f>
        <v>0</v>
      </c>
      <c r="C79">
        <f>'Data Sheet'!C27</f>
        <v>0</v>
      </c>
      <c r="D79">
        <f>'Data Sheet'!D27</f>
        <v>0.02</v>
      </c>
      <c r="E79">
        <f>'Data Sheet'!E27</f>
        <v>0.05</v>
      </c>
      <c r="F79">
        <f>'Data Sheet'!F27</f>
        <v>0.17</v>
      </c>
      <c r="G79">
        <f>'Data Sheet'!G27</f>
        <v>0.37</v>
      </c>
      <c r="H79">
        <f>'Data Sheet'!H27</f>
        <v>0.45</v>
      </c>
      <c r="I79">
        <f>'Data Sheet'!I27</f>
        <v>0.21</v>
      </c>
      <c r="J79">
        <f>'Data Sheet'!J27</f>
        <v>1.64</v>
      </c>
      <c r="K79">
        <f>'Data Sheet'!K27</f>
        <v>10.66</v>
      </c>
      <c r="L79">
        <f>SUM(Table74[[#This Row],[Column2]:[Column11]])</f>
        <v>13.57</v>
      </c>
    </row>
    <row r="80" spans="1:12" x14ac:dyDescent="0.25">
      <c r="A80" s="286" t="s">
        <v>971</v>
      </c>
      <c r="B80">
        <f>Others!B21</f>
        <v>0</v>
      </c>
      <c r="C80">
        <f>Others!C21</f>
        <v>-2.0000000000000004E-2</v>
      </c>
      <c r="D80">
        <f>Others!D21</f>
        <v>19.240000000000002</v>
      </c>
      <c r="E80">
        <f>Others!E21</f>
        <v>4.57</v>
      </c>
      <c r="F80">
        <f>Others!F21</f>
        <v>-3.3899999999999992</v>
      </c>
      <c r="G80">
        <f>Others!G21</f>
        <v>57.930000000000007</v>
      </c>
      <c r="H80">
        <f>Others!H21</f>
        <v>36.31</v>
      </c>
      <c r="I80">
        <f>Others!I21</f>
        <v>85.710000000000008</v>
      </c>
      <c r="J80">
        <f>Others!J21</f>
        <v>57.14</v>
      </c>
      <c r="K80">
        <f>Others!K21</f>
        <v>203.46999999999997</v>
      </c>
      <c r="L80">
        <f>SUM(Table74[[#This Row],[Column2]:[Column11]])</f>
        <v>460.96</v>
      </c>
    </row>
    <row r="81" spans="1:12" x14ac:dyDescent="0.25">
      <c r="A81" t="s">
        <v>26</v>
      </c>
      <c r="L81">
        <f>L78-L79-L80</f>
        <v>-219.93999999999997</v>
      </c>
    </row>
    <row r="83" spans="1:12" x14ac:dyDescent="0.25">
      <c r="A83" s="407" t="s">
        <v>990</v>
      </c>
      <c r="B83" s="407"/>
      <c r="C83" s="407"/>
      <c r="D83" s="407"/>
      <c r="E83" s="407"/>
      <c r="F83" s="407"/>
      <c r="G83" s="407"/>
      <c r="H83" s="407"/>
    </row>
  </sheetData>
  <mergeCells count="6">
    <mergeCell ref="N4:S13"/>
    <mergeCell ref="N17:S20"/>
    <mergeCell ref="J16:K16"/>
    <mergeCell ref="J17:K17"/>
    <mergeCell ref="B2:C2"/>
    <mergeCell ref="D2:K2"/>
  </mergeCells>
  <pageMargins left="0.7" right="0.7" top="0.75" bottom="0.75" header="0.3" footer="0.3"/>
  <pageSetup orientation="portrait" horizontalDpi="300" verticalDpi="300" r:id="rId1"/>
  <ignoredErrors>
    <ignoredError sqref="B11:D11 J11:K11 H11:I11 F11:G11 E11" formula="1"/>
  </ignoredErrors>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topLeftCell="A10" workbookViewId="0">
      <selection activeCell="D51" sqref="D51"/>
    </sheetView>
  </sheetViews>
  <sheetFormatPr defaultRowHeight="12" x14ac:dyDescent="0.2"/>
  <cols>
    <col min="1" max="1" width="45.28515625" style="246" bestFit="1" customWidth="1"/>
    <col min="2" max="2" width="6.85546875" style="246" bestFit="1" customWidth="1"/>
    <col min="3" max="4" width="6.7109375" style="246" bestFit="1" customWidth="1"/>
    <col min="5" max="5" width="6.28515625" style="246" bestFit="1" customWidth="1"/>
    <col min="6" max="6" width="6.7109375" style="246" bestFit="1" customWidth="1"/>
    <col min="7" max="9" width="6.28515625" style="246" bestFit="1" customWidth="1"/>
    <col min="10" max="10" width="6.42578125" style="246" bestFit="1" customWidth="1"/>
    <col min="11" max="11" width="6.28515625" style="246" bestFit="1" customWidth="1"/>
    <col min="12" max="12" width="6.28515625" style="246" customWidth="1"/>
    <col min="13" max="14" width="16.42578125" style="246" bestFit="1" customWidth="1"/>
    <col min="15" max="15" width="17.42578125" style="246" bestFit="1" customWidth="1"/>
    <col min="16" max="17" width="10.28515625" style="246" bestFit="1" customWidth="1"/>
    <col min="18" max="18" width="11" style="246" bestFit="1" customWidth="1"/>
    <col min="19" max="16384" width="9.140625" style="246"/>
  </cols>
  <sheetData>
    <row r="1" spans="1:18" x14ac:dyDescent="0.2">
      <c r="B1" s="257">
        <f>'Data Sheet'!B16</f>
        <v>39903</v>
      </c>
      <c r="C1" s="257">
        <f>'Data Sheet'!C16</f>
        <v>40268</v>
      </c>
      <c r="D1" s="257">
        <f>'Data Sheet'!D16</f>
        <v>40633</v>
      </c>
      <c r="E1" s="257">
        <f>'Data Sheet'!E16</f>
        <v>40999</v>
      </c>
      <c r="F1" s="257">
        <f>'Data Sheet'!F16</f>
        <v>41364</v>
      </c>
      <c r="G1" s="257">
        <f>'Data Sheet'!G16</f>
        <v>41729</v>
      </c>
      <c r="H1" s="257">
        <f>'Data Sheet'!H16</f>
        <v>42094</v>
      </c>
      <c r="I1" s="257">
        <f>'Data Sheet'!I16</f>
        <v>42460</v>
      </c>
      <c r="J1" s="257">
        <f>'Data Sheet'!J16</f>
        <v>42825</v>
      </c>
      <c r="K1" s="257">
        <f>'Data Sheet'!K16</f>
        <v>43190</v>
      </c>
      <c r="L1" s="257">
        <v>42842</v>
      </c>
      <c r="M1" s="246" t="s">
        <v>556</v>
      </c>
      <c r="N1" s="246" t="s">
        <v>557</v>
      </c>
      <c r="O1" s="246" t="s">
        <v>558</v>
      </c>
      <c r="P1" s="246" t="s">
        <v>559</v>
      </c>
      <c r="Q1" s="246" t="s">
        <v>560</v>
      </c>
      <c r="R1" s="246" t="s">
        <v>561</v>
      </c>
    </row>
    <row r="2" spans="1:18" ht="15" x14ac:dyDescent="0.25">
      <c r="A2" s="1" t="s">
        <v>78</v>
      </c>
      <c r="B2" s="258">
        <f>'Data Sheet'!B90</f>
        <v>0</v>
      </c>
      <c r="C2" s="258">
        <f>'Data Sheet'!C90</f>
        <v>0</v>
      </c>
      <c r="D2" s="258">
        <f>'Data Sheet'!D90</f>
        <v>11.087142999999999</v>
      </c>
      <c r="E2" s="258">
        <f>'Data Sheet'!E90</f>
        <v>12.092000000000001</v>
      </c>
      <c r="F2" s="258">
        <f>'Data Sheet'!F90</f>
        <v>19.812000000000001</v>
      </c>
      <c r="G2" s="258">
        <f>'Data Sheet'!G90</f>
        <v>40.534210999999999</v>
      </c>
      <c r="H2" s="258">
        <f>'Data Sheet'!H90</f>
        <v>275.565</v>
      </c>
      <c r="I2" s="258">
        <f>'Data Sheet'!I90</f>
        <v>744.72578899999996</v>
      </c>
      <c r="J2" s="258">
        <f>'Data Sheet'!J90</f>
        <v>581.47894699999995</v>
      </c>
      <c r="K2" s="258">
        <f>'Data Sheet'!K90</f>
        <v>749.45476199999996</v>
      </c>
      <c r="L2" s="257"/>
    </row>
    <row r="3" spans="1:18" ht="15" x14ac:dyDescent="0.25">
      <c r="A3" s="5" t="s">
        <v>90</v>
      </c>
      <c r="B3" s="258">
        <f>'Data Sheet'!B93</f>
        <v>2.2396443000000001</v>
      </c>
      <c r="C3" s="258">
        <f>'Data Sheet'!C93</f>
        <v>2.2396443000000001</v>
      </c>
      <c r="D3" s="258">
        <f>'Data Sheet'!D93</f>
        <v>2.2755364</v>
      </c>
      <c r="E3" s="258">
        <f>'Data Sheet'!E93</f>
        <v>2.2755364</v>
      </c>
      <c r="F3" s="258">
        <f>'Data Sheet'!F93</f>
        <v>2.7717605000000001</v>
      </c>
      <c r="G3" s="258">
        <f>'Data Sheet'!G93</f>
        <v>2.7717605000000001</v>
      </c>
      <c r="H3" s="258">
        <f>'Data Sheet'!H93</f>
        <v>2.8317605000000001</v>
      </c>
      <c r="I3" s="258">
        <f>'Data Sheet'!I93</f>
        <v>2.9417605</v>
      </c>
      <c r="J3" s="258">
        <f>'Data Sheet'!J93</f>
        <v>3.0517604999999999</v>
      </c>
      <c r="K3" s="258">
        <f>'Data Sheet'!K93</f>
        <v>3.0517604999999999</v>
      </c>
      <c r="L3" s="257"/>
    </row>
    <row r="4" spans="1:18" x14ac:dyDescent="0.2">
      <c r="A4" s="246" t="s">
        <v>142</v>
      </c>
      <c r="B4" s="259">
        <f>'Data Sheet'!B17</f>
        <v>0</v>
      </c>
      <c r="C4" s="259">
        <f>'Data Sheet'!C17</f>
        <v>0</v>
      </c>
      <c r="D4" s="259">
        <f>'Data Sheet'!D17</f>
        <v>16.32</v>
      </c>
      <c r="E4" s="259">
        <f>'Data Sheet'!E17</f>
        <v>21.06</v>
      </c>
      <c r="F4" s="259">
        <f>'Data Sheet'!F17</f>
        <v>26.21</v>
      </c>
      <c r="G4" s="259">
        <f>'Data Sheet'!G17</f>
        <v>44.06</v>
      </c>
      <c r="H4" s="259">
        <f>'Data Sheet'!H17</f>
        <v>124.85</v>
      </c>
      <c r="I4" s="259">
        <f>'Data Sheet'!I17</f>
        <v>271.93</v>
      </c>
      <c r="J4" s="259">
        <f>'Data Sheet'!J17</f>
        <v>528.34</v>
      </c>
      <c r="K4" s="259">
        <f>'Data Sheet'!K17</f>
        <v>849.24</v>
      </c>
      <c r="L4" s="259"/>
      <c r="M4" s="259">
        <f t="shared" ref="M4:M9" si="0">SUM(I4:K4)</f>
        <v>1649.51</v>
      </c>
      <c r="N4" s="259">
        <f t="shared" ref="N4:N9" si="1">SUM(G4:K4)</f>
        <v>1818.42</v>
      </c>
      <c r="O4" s="259">
        <f t="shared" ref="O4:O9" si="2">SUM(C4:K4)</f>
        <v>1882.01</v>
      </c>
    </row>
    <row r="5" spans="1:18" x14ac:dyDescent="0.2">
      <c r="A5" s="246" t="s">
        <v>9</v>
      </c>
      <c r="B5" s="260">
        <f>'Data Sheet'!B25</f>
        <v>1.35</v>
      </c>
      <c r="C5" s="260">
        <f>'Data Sheet'!C25</f>
        <v>0.09</v>
      </c>
      <c r="D5" s="260">
        <f>'Data Sheet'!D25</f>
        <v>0.02</v>
      </c>
      <c r="E5" s="260">
        <f>'Data Sheet'!E25</f>
        <v>0.06</v>
      </c>
      <c r="F5" s="260">
        <f>'Data Sheet'!F25</f>
        <v>7.0000000000000007E-2</v>
      </c>
      <c r="G5" s="260">
        <f>'Data Sheet'!G25</f>
        <v>0.05</v>
      </c>
      <c r="H5" s="260">
        <f>'Data Sheet'!H25</f>
        <v>0.28999999999999998</v>
      </c>
      <c r="I5" s="260">
        <f>'Data Sheet'!I25</f>
        <v>0.21</v>
      </c>
      <c r="J5" s="260">
        <f>'Data Sheet'!J25</f>
        <v>0.9</v>
      </c>
      <c r="K5" s="260">
        <f>'Data Sheet'!K25</f>
        <v>8.4499999999999993</v>
      </c>
      <c r="L5" s="260"/>
      <c r="M5" s="259">
        <f t="shared" si="0"/>
        <v>9.5599999999999987</v>
      </c>
      <c r="N5" s="259">
        <f t="shared" si="1"/>
        <v>9.8999999999999986</v>
      </c>
      <c r="O5" s="259">
        <f t="shared" si="2"/>
        <v>10.139999999999999</v>
      </c>
    </row>
    <row r="6" spans="1:18" x14ac:dyDescent="0.2">
      <c r="A6" s="246" t="s">
        <v>562</v>
      </c>
      <c r="B6" s="259">
        <f>SUM('Data Sheet'!B18:B24)</f>
        <v>0.1</v>
      </c>
      <c r="C6" s="259">
        <f>SUM('Data Sheet'!C18:C24)</f>
        <v>0.05</v>
      </c>
      <c r="D6" s="259">
        <f>SUM('Data Sheet'!D18:D24)</f>
        <v>13.09</v>
      </c>
      <c r="E6" s="259">
        <f>SUM('Data Sheet'!E18:E24)</f>
        <v>16.060000000000002</v>
      </c>
      <c r="F6" s="259">
        <f>SUM('Data Sheet'!F18:F24)</f>
        <v>20.77</v>
      </c>
      <c r="G6" s="259">
        <f>SUM('Data Sheet'!G18:G24)</f>
        <v>30.25</v>
      </c>
      <c r="H6" s="259">
        <f>SUM('Data Sheet'!H18:H24)</f>
        <v>86.58</v>
      </c>
      <c r="I6" s="259">
        <f>SUM('Data Sheet'!I18:I24)</f>
        <v>183.42000000000002</v>
      </c>
      <c r="J6" s="259">
        <f>SUM('Data Sheet'!J18:J24)</f>
        <v>343.54</v>
      </c>
      <c r="K6" s="259">
        <f>SUM('Data Sheet'!K18:K24)</f>
        <v>555.87</v>
      </c>
      <c r="L6" s="259"/>
      <c r="M6" s="259">
        <f t="shared" si="0"/>
        <v>1082.83</v>
      </c>
      <c r="N6" s="259">
        <f t="shared" si="1"/>
        <v>1199.6599999999999</v>
      </c>
      <c r="O6" s="259">
        <f t="shared" si="2"/>
        <v>1249.6300000000001</v>
      </c>
    </row>
    <row r="7" spans="1:18" x14ac:dyDescent="0.2">
      <c r="A7" s="246" t="s">
        <v>563</v>
      </c>
      <c r="B7" s="260">
        <f>'Data Sheet'!B24</f>
        <v>0.04</v>
      </c>
      <c r="C7" s="260">
        <f>'Data Sheet'!C24</f>
        <v>0</v>
      </c>
      <c r="D7" s="260">
        <f>'Data Sheet'!D24</f>
        <v>0.02</v>
      </c>
      <c r="E7" s="260">
        <f>'Data Sheet'!E24</f>
        <v>2.38</v>
      </c>
      <c r="F7" s="260">
        <f>'Data Sheet'!F24</f>
        <v>4.8600000000000003</v>
      </c>
      <c r="G7" s="260">
        <f>'Data Sheet'!G24</f>
        <v>0.18</v>
      </c>
      <c r="H7" s="260">
        <f>'Data Sheet'!H24</f>
        <v>0</v>
      </c>
      <c r="I7" s="260">
        <f>'Data Sheet'!I24</f>
        <v>0</v>
      </c>
      <c r="J7" s="260">
        <f>'Data Sheet'!J24</f>
        <v>13.07</v>
      </c>
      <c r="K7" s="260">
        <f>'Data Sheet'!K24</f>
        <v>23.05</v>
      </c>
      <c r="L7" s="260"/>
      <c r="M7" s="259">
        <f t="shared" si="0"/>
        <v>36.120000000000005</v>
      </c>
      <c r="N7" s="259">
        <f t="shared" si="1"/>
        <v>36.299999999999997</v>
      </c>
      <c r="O7" s="259">
        <f t="shared" si="2"/>
        <v>43.56</v>
      </c>
    </row>
    <row r="8" spans="1:18" x14ac:dyDescent="0.2">
      <c r="A8" s="246" t="s">
        <v>79</v>
      </c>
      <c r="B8" s="260">
        <f>'Data Sheet'!B67</f>
        <v>2.76</v>
      </c>
      <c r="C8" s="260">
        <f>'Data Sheet'!C67</f>
        <v>2.76</v>
      </c>
      <c r="D8" s="260">
        <f>'Data Sheet'!D67</f>
        <v>10.96</v>
      </c>
      <c r="E8" s="260">
        <f>'Data Sheet'!E67</f>
        <v>12.95</v>
      </c>
      <c r="F8" s="260">
        <f>'Data Sheet'!F67</f>
        <v>13.83</v>
      </c>
      <c r="G8" s="260">
        <f>'Data Sheet'!G67</f>
        <v>13.42</v>
      </c>
      <c r="H8" s="260">
        <f>'Data Sheet'!H67</f>
        <v>28.14</v>
      </c>
      <c r="I8" s="260">
        <f>'Data Sheet'!I67</f>
        <v>80.209999999999994</v>
      </c>
      <c r="J8" s="260">
        <f>'Data Sheet'!J67</f>
        <v>129.47999999999999</v>
      </c>
      <c r="K8" s="260">
        <f>'Data Sheet'!K67</f>
        <v>252.52</v>
      </c>
      <c r="L8" s="260"/>
      <c r="M8" s="259">
        <f t="shared" si="0"/>
        <v>462.21000000000004</v>
      </c>
      <c r="N8" s="259">
        <f t="shared" si="1"/>
        <v>503.77</v>
      </c>
      <c r="O8" s="259">
        <f t="shared" si="2"/>
        <v>544.27</v>
      </c>
    </row>
    <row r="9" spans="1:18" x14ac:dyDescent="0.2">
      <c r="A9" s="246" t="s">
        <v>45</v>
      </c>
      <c r="B9" s="260">
        <f>'Data Sheet'!B68</f>
        <v>0</v>
      </c>
      <c r="C9" s="260">
        <f>'Data Sheet'!C68</f>
        <v>0</v>
      </c>
      <c r="D9" s="260">
        <f>'Data Sheet'!D68</f>
        <v>0</v>
      </c>
      <c r="E9" s="260">
        <f>'Data Sheet'!E68</f>
        <v>0</v>
      </c>
      <c r="F9" s="260">
        <f>'Data Sheet'!F68</f>
        <v>0</v>
      </c>
      <c r="G9" s="260">
        <f>'Data Sheet'!G68</f>
        <v>0</v>
      </c>
      <c r="H9" s="260">
        <f>'Data Sheet'!H68</f>
        <v>0</v>
      </c>
      <c r="I9" s="260">
        <f>'Data Sheet'!I68</f>
        <v>0</v>
      </c>
      <c r="J9" s="260">
        <f>'Data Sheet'!J68</f>
        <v>0</v>
      </c>
      <c r="K9" s="260">
        <f>'Data Sheet'!K68</f>
        <v>0</v>
      </c>
      <c r="L9" s="260"/>
      <c r="M9" s="259">
        <f t="shared" si="0"/>
        <v>0</v>
      </c>
      <c r="N9" s="259">
        <f t="shared" si="1"/>
        <v>0</v>
      </c>
      <c r="O9" s="259">
        <f t="shared" si="2"/>
        <v>0</v>
      </c>
    </row>
    <row r="10" spans="1:18" x14ac:dyDescent="0.2">
      <c r="A10" s="246" t="s">
        <v>540</v>
      </c>
      <c r="B10" s="259">
        <f>'Data Sheet'!B57+'Data Sheet'!B58+'Data Sheet'!B59</f>
        <v>7.75</v>
      </c>
      <c r="C10" s="259">
        <f>'Data Sheet'!C57+'Data Sheet'!C58+'Data Sheet'!C59</f>
        <v>6.48</v>
      </c>
      <c r="D10" s="259">
        <f>'Data Sheet'!D57+'Data Sheet'!D58+'Data Sheet'!D59</f>
        <v>21.76</v>
      </c>
      <c r="E10" s="259">
        <f>'Data Sheet'!E57+'Data Sheet'!E58+'Data Sheet'!E59</f>
        <v>28.44</v>
      </c>
      <c r="F10" s="259">
        <f>'Data Sheet'!F57+'Data Sheet'!F58+'Data Sheet'!F59</f>
        <v>29.7</v>
      </c>
      <c r="G10" s="259">
        <f>'Data Sheet'!G57+'Data Sheet'!G58+'Data Sheet'!G59</f>
        <v>65.78</v>
      </c>
      <c r="H10" s="259">
        <f>'Data Sheet'!H57+'Data Sheet'!H58+'Data Sheet'!H59</f>
        <v>99.85</v>
      </c>
      <c r="I10" s="259">
        <f>'Data Sheet'!I57+'Data Sheet'!I58+'Data Sheet'!I59</f>
        <v>207.17</v>
      </c>
      <c r="J10" s="259">
        <f>'Data Sheet'!J57+'Data Sheet'!J58+'Data Sheet'!J59</f>
        <v>360.74</v>
      </c>
      <c r="K10" s="259">
        <f>'Data Sheet'!K57+'Data Sheet'!K58+'Data Sheet'!K59</f>
        <v>577.57999999999993</v>
      </c>
      <c r="L10" s="259"/>
      <c r="M10" s="259"/>
      <c r="N10" s="259"/>
      <c r="O10" s="259"/>
    </row>
    <row r="11" spans="1:18" x14ac:dyDescent="0.2">
      <c r="A11" s="246" t="s">
        <v>145</v>
      </c>
      <c r="B11" s="260">
        <f>'Data Sheet'!B30</f>
        <v>1.25</v>
      </c>
      <c r="C11" s="260">
        <f>'Data Sheet'!C30</f>
        <v>0.04</v>
      </c>
      <c r="D11" s="260">
        <f>'Data Sheet'!D30</f>
        <v>2.09</v>
      </c>
      <c r="E11" s="260">
        <f>'Data Sheet'!E30</f>
        <v>3.5</v>
      </c>
      <c r="F11" s="260">
        <f>'Data Sheet'!F30</f>
        <v>3.97</v>
      </c>
      <c r="G11" s="260">
        <f>'Data Sheet'!G30</f>
        <v>6.08</v>
      </c>
      <c r="H11" s="260">
        <f>'Data Sheet'!H30</f>
        <v>18.98</v>
      </c>
      <c r="I11" s="260">
        <f>'Data Sheet'!I30</f>
        <v>39.590000000000003</v>
      </c>
      <c r="J11" s="260">
        <f>'Data Sheet'!J30</f>
        <v>104.47</v>
      </c>
      <c r="K11" s="260">
        <f>'Data Sheet'!K30</f>
        <v>171.62</v>
      </c>
      <c r="L11" s="260"/>
      <c r="M11" s="259">
        <f>SUM(I11:K11)</f>
        <v>315.68</v>
      </c>
      <c r="N11" s="259">
        <f>SUM(G11:K11)</f>
        <v>340.74</v>
      </c>
      <c r="O11" s="259">
        <f>SUM(C11:K11)</f>
        <v>350.34000000000003</v>
      </c>
    </row>
    <row r="12" spans="1:18" x14ac:dyDescent="0.2">
      <c r="A12" s="246" t="s">
        <v>146</v>
      </c>
      <c r="B12" s="260">
        <f>'Data Sheet'!B82</f>
        <v>0</v>
      </c>
      <c r="C12" s="260">
        <f>'Data Sheet'!C82</f>
        <v>0</v>
      </c>
      <c r="D12" s="260">
        <f>'Data Sheet'!D82</f>
        <v>11.4</v>
      </c>
      <c r="E12" s="260">
        <f>'Data Sheet'!E82</f>
        <v>-3.35</v>
      </c>
      <c r="F12" s="260">
        <f>'Data Sheet'!F82</f>
        <v>-7.42</v>
      </c>
      <c r="G12" s="260">
        <f>'Data Sheet'!G82</f>
        <v>12.16</v>
      </c>
      <c r="H12" s="260">
        <f>'Data Sheet'!H82</f>
        <v>26.08</v>
      </c>
      <c r="I12" s="260">
        <f>'Data Sheet'!I82</f>
        <v>18.89</v>
      </c>
      <c r="J12" s="260">
        <f>'Data Sheet'!J82</f>
        <v>71.73</v>
      </c>
      <c r="K12" s="260">
        <f>'Data Sheet'!K82</f>
        <v>125.1</v>
      </c>
      <c r="L12" s="260"/>
      <c r="M12" s="259">
        <f>SUM(I12:K12)</f>
        <v>215.72</v>
      </c>
      <c r="N12" s="259">
        <f>SUM(G12:K12)</f>
        <v>253.96</v>
      </c>
      <c r="O12" s="259">
        <f>SUM(C12:K12)</f>
        <v>254.59</v>
      </c>
    </row>
    <row r="13" spans="1:18" x14ac:dyDescent="0.2">
      <c r="A13" s="246" t="s">
        <v>157</v>
      </c>
      <c r="C13" s="260">
        <f>('Data Sheet'!C62-'Data Sheet'!B62)+('Data Sheet'!C63-'Data Sheet'!B63)+'Data Sheet'!C26</f>
        <v>-2.0000000000000004E-2</v>
      </c>
      <c r="D13" s="260">
        <f>('Data Sheet'!D62-'Data Sheet'!C62)+('Data Sheet'!D63-'Data Sheet'!C63)+'Data Sheet'!D26</f>
        <v>19.240000000000002</v>
      </c>
      <c r="E13" s="260">
        <f>('Data Sheet'!E62-'Data Sheet'!D62)+('Data Sheet'!E63-'Data Sheet'!D63)+'Data Sheet'!E26</f>
        <v>4.57</v>
      </c>
      <c r="F13" s="260">
        <f>('Data Sheet'!F62-'Data Sheet'!E62)+('Data Sheet'!F63-'Data Sheet'!E63)+'Data Sheet'!F26</f>
        <v>-3.3899999999999992</v>
      </c>
      <c r="G13" s="260">
        <f>('Data Sheet'!G62-'Data Sheet'!F62)+('Data Sheet'!G63-'Data Sheet'!F63)+'Data Sheet'!G26</f>
        <v>57.930000000000007</v>
      </c>
      <c r="H13" s="260">
        <f>('Data Sheet'!H62-'Data Sheet'!G62)+('Data Sheet'!H63-'Data Sheet'!G63)+'Data Sheet'!H26</f>
        <v>36.31</v>
      </c>
      <c r="I13" s="260">
        <f>('Data Sheet'!I62-'Data Sheet'!H62)+('Data Sheet'!I63-'Data Sheet'!H63)+'Data Sheet'!I26</f>
        <v>85.710000000000008</v>
      </c>
      <c r="J13" s="260">
        <f>('Data Sheet'!J62-'Data Sheet'!I62)+('Data Sheet'!J63-'Data Sheet'!I63)+'Data Sheet'!J26</f>
        <v>57.14</v>
      </c>
      <c r="K13" s="260">
        <f>('Data Sheet'!K62-'Data Sheet'!J62)+('Data Sheet'!K63-'Data Sheet'!J63)+'Data Sheet'!K26</f>
        <v>203.46999999999997</v>
      </c>
      <c r="L13" s="260"/>
      <c r="M13" s="259">
        <f>SUM(I13:K13)</f>
        <v>346.32</v>
      </c>
      <c r="N13" s="259">
        <f>SUM(G13:K13)</f>
        <v>440.56</v>
      </c>
      <c r="O13" s="259">
        <f>SUM(C13:K13)</f>
        <v>460.96</v>
      </c>
    </row>
    <row r="14" spans="1:18" x14ac:dyDescent="0.2">
      <c r="A14" s="246" t="s">
        <v>162</v>
      </c>
      <c r="B14" s="260">
        <f>'Data Sheet'!B31</f>
        <v>0</v>
      </c>
      <c r="C14" s="260">
        <f>'Data Sheet'!C31</f>
        <v>0</v>
      </c>
      <c r="D14" s="260">
        <f>'Data Sheet'!D31</f>
        <v>0</v>
      </c>
      <c r="E14" s="260">
        <f>'Data Sheet'!E31</f>
        <v>0</v>
      </c>
      <c r="F14" s="260">
        <f>'Data Sheet'!F31</f>
        <v>0</v>
      </c>
      <c r="G14" s="260">
        <f>'Data Sheet'!G31</f>
        <v>0</v>
      </c>
      <c r="H14" s="260">
        <f>'Data Sheet'!H31</f>
        <v>0</v>
      </c>
      <c r="I14" s="260">
        <f>'Data Sheet'!I31</f>
        <v>0</v>
      </c>
      <c r="J14" s="260">
        <f>'Data Sheet'!J31</f>
        <v>3.05</v>
      </c>
      <c r="K14" s="260">
        <f>'Data Sheet'!K31</f>
        <v>0</v>
      </c>
      <c r="L14" s="260"/>
      <c r="M14" s="259">
        <f>SUM(I14:K14)</f>
        <v>3.05</v>
      </c>
      <c r="N14" s="259">
        <f>SUM(G14:K14)</f>
        <v>3.05</v>
      </c>
      <c r="O14" s="259">
        <f>SUM(C14:K14)</f>
        <v>3.05</v>
      </c>
    </row>
    <row r="15" spans="1:18" x14ac:dyDescent="0.2">
      <c r="A15" s="246" t="s">
        <v>541</v>
      </c>
      <c r="C15" s="260">
        <f>C12-C13</f>
        <v>2.0000000000000004E-2</v>
      </c>
      <c r="D15" s="260">
        <f t="shared" ref="D15:K15" si="3">D12-D13</f>
        <v>-7.8400000000000016</v>
      </c>
      <c r="E15" s="260">
        <f t="shared" si="3"/>
        <v>-7.92</v>
      </c>
      <c r="F15" s="260">
        <f t="shared" si="3"/>
        <v>-4.0300000000000011</v>
      </c>
      <c r="G15" s="260">
        <f t="shared" si="3"/>
        <v>-45.77000000000001</v>
      </c>
      <c r="H15" s="260">
        <f t="shared" si="3"/>
        <v>-10.230000000000004</v>
      </c>
      <c r="I15" s="260">
        <f t="shared" si="3"/>
        <v>-66.820000000000007</v>
      </c>
      <c r="J15" s="260">
        <f t="shared" si="3"/>
        <v>14.590000000000003</v>
      </c>
      <c r="K15" s="260">
        <f t="shared" si="3"/>
        <v>-78.369999999999976</v>
      </c>
      <c r="L15" s="260"/>
      <c r="M15" s="259">
        <f>SUM(I15:K15)</f>
        <v>-130.59999999999997</v>
      </c>
      <c r="N15" s="259">
        <f>SUM(G15:K15)</f>
        <v>-186.6</v>
      </c>
      <c r="O15" s="259">
        <f>SUM(C15:K15)</f>
        <v>-206.37</v>
      </c>
    </row>
    <row r="16" spans="1:18" x14ac:dyDescent="0.2">
      <c r="A16" s="246" t="s">
        <v>191</v>
      </c>
      <c r="B16" s="259">
        <f>Other_input_data!C43+Other_input_data!C51-Other_input_data!C8</f>
        <v>1.31</v>
      </c>
      <c r="C16" s="259">
        <f>Other_input_data!D43+Other_input_data!D51-Other_input_data!D8</f>
        <v>-0.01</v>
      </c>
      <c r="D16" s="259">
        <f>Other_input_data!E43+Other_input_data!E51-Other_input_data!E8</f>
        <v>25.859197468505197</v>
      </c>
      <c r="E16" s="259">
        <f>Other_input_data!F43+Other_input_data!F51-Other_input_data!F8</f>
        <v>27.475786148800001</v>
      </c>
      <c r="F16" s="259">
        <f>Other_input_data!G43+Other_input_data!G51-Other_input_data!G8</f>
        <v>55.574119025999998</v>
      </c>
      <c r="G16" s="259">
        <f>Other_input_data!H43+Other_input_data!H51-Other_input_data!H8</f>
        <v>111.3011249484655</v>
      </c>
      <c r="H16" s="259">
        <f>Other_input_data!I43+Other_input_data!I51-Other_input_data!I8</f>
        <v>765.62408218250016</v>
      </c>
      <c r="I16" s="259">
        <f>Other_input_data!J43+Other_input_data!J51-Other_input_data!J8</f>
        <v>2164.9649094115343</v>
      </c>
      <c r="J16" s="259">
        <f>Other_input_data!K43+Other_input_data!K51-Other_input_data!K8</f>
        <v>1725.5344820361934</v>
      </c>
      <c r="K16" s="259">
        <f>Other_input_data!L43+Other_input_data!L51-Other_input_data!L8</f>
        <v>2362.6464392085009</v>
      </c>
      <c r="L16" s="259"/>
    </row>
    <row r="17" spans="1:18" x14ac:dyDescent="0.2">
      <c r="A17" s="246" t="s">
        <v>483</v>
      </c>
      <c r="C17" s="261" t="str">
        <f>IFERROR(('Profit &amp; Loss'!C4-'Profit &amp; Loss'!B4)/'Profit &amp; Loss'!B4,"NA")</f>
        <v>NA</v>
      </c>
      <c r="D17" s="261" t="str">
        <f>IFERROR(('Profit &amp; Loss'!D4-'Profit &amp; Loss'!C4)/'Profit &amp; Loss'!C4,"NA")</f>
        <v>NA</v>
      </c>
      <c r="E17" s="261">
        <f>IFERROR(('Profit &amp; Loss'!E4-'Profit &amp; Loss'!D4)/'Profit &amp; Loss'!D4,"NA")</f>
        <v>0.29044117647058815</v>
      </c>
      <c r="F17" s="261">
        <f>IFERROR(('Profit &amp; Loss'!F4-'Profit &amp; Loss'!E4)/'Profit &amp; Loss'!E4,"NA")</f>
        <v>0.244539411206078</v>
      </c>
      <c r="G17" s="261">
        <f>IFERROR(('Profit &amp; Loss'!G4-'Profit &amp; Loss'!F4)/'Profit &amp; Loss'!F4,"NA")</f>
        <v>0.68103777184280812</v>
      </c>
      <c r="H17" s="261">
        <f>IFERROR(('Profit &amp; Loss'!H4-'Profit &amp; Loss'!G4)/'Profit &amp; Loss'!G4,"NA")</f>
        <v>1.8336359509759417</v>
      </c>
      <c r="I17" s="261">
        <f>IFERROR(('Profit &amp; Loss'!I4-'Profit &amp; Loss'!H4)/'Profit &amp; Loss'!H4,"NA")</f>
        <v>1.178053664397277</v>
      </c>
      <c r="J17" s="262">
        <f>IFERROR(('Profit &amp; Loss'!J4-'Profit &amp; Loss'!I4)/'Profit &amp; Loss'!I4,"NA")</f>
        <v>0.94292648843452365</v>
      </c>
      <c r="K17" s="262">
        <f>IFERROR(('Profit &amp; Loss'!K4-'Profit &amp; Loss'!J4)/'Profit &amp; Loss'!J4,"NA")</f>
        <v>0.60737403944429713</v>
      </c>
      <c r="L17" s="262"/>
      <c r="N17" s="263"/>
      <c r="P17" s="263">
        <f>('Profit &amp; Loss'!K4/'Profit &amp; Loss'!H4)^(1/(3-1))-1</f>
        <v>1.6080802324696224</v>
      </c>
      <c r="Q17" s="263">
        <f>('Profit &amp; Loss'!K4/'Profit &amp; Loss'!F4)^(1/(5-1))-1</f>
        <v>1.3858374711188577</v>
      </c>
      <c r="R17" s="263" t="e">
        <f>('Profit &amp; Loss'!K4/'Profit &amp; Loss'!B4)^(1/(9-1))-1</f>
        <v>#DIV/0!</v>
      </c>
    </row>
    <row r="18" spans="1:18" x14ac:dyDescent="0.2">
      <c r="A18" s="246" t="s">
        <v>484</v>
      </c>
      <c r="C18" s="261">
        <f>IFERROR(('Profit &amp; Loss'!C12-'Profit &amp; Loss'!B12)/ABS('Profit &amp; Loss'!B12),"NA")</f>
        <v>-0.96799999999999997</v>
      </c>
      <c r="D18" s="261">
        <f>IFERROR(('Profit &amp; Loss'!D12-'Profit &amp; Loss'!C12)/ABS('Profit &amp; Loss'!C12),"NA")</f>
        <v>51.249999999999993</v>
      </c>
      <c r="E18" s="261">
        <f>IFERROR(('Profit &amp; Loss'!E12-'Profit &amp; Loss'!D12)/ABS('Profit &amp; Loss'!D12),"NA")</f>
        <v>0.67464114832535893</v>
      </c>
      <c r="F18" s="261">
        <f>IFERROR(('Profit &amp; Loss'!F12-'Profit &amp; Loss'!E12)/ABS('Profit &amp; Loss'!E12),"NA")</f>
        <v>0.13428571428571434</v>
      </c>
      <c r="G18" s="261">
        <f>IFERROR(('Profit &amp; Loss'!G12-'Profit &amp; Loss'!F12)/ABS('Profit &amp; Loss'!F12),"NA")</f>
        <v>0.53148614609571787</v>
      </c>
      <c r="H18" s="261">
        <f>IFERROR(('Profit &amp; Loss'!H12-'Profit &amp; Loss'!G12)/ABS('Profit &amp; Loss'!G12),"NA")</f>
        <v>2.1217105263157894</v>
      </c>
      <c r="I18" s="261">
        <f>IFERROR(('Profit &amp; Loss'!I12-'Profit &amp; Loss'!H12)/ABS('Profit &amp; Loss'!H12),"NA")</f>
        <v>1.0858798735511066</v>
      </c>
      <c r="J18" s="264">
        <f>IFERROR(('Profit &amp; Loss'!J12-'Profit &amp; Loss'!I12)/ABS('Profit &amp; Loss'!I12),"NA")</f>
        <v>1.6387976761808536</v>
      </c>
      <c r="K18" s="264">
        <f>IFERROR(('Profit &amp; Loss'!K12-'Profit &amp; Loss'!J12)/ABS('Profit &amp; Loss'!J12),"NA")</f>
        <v>0.64276825883028632</v>
      </c>
      <c r="L18" s="264"/>
      <c r="P18" s="263">
        <f>('Profit &amp; Loss'!K12/'Profit &amp; Loss'!H12)^(1/(3-1))-1</f>
        <v>2.0070167327753143</v>
      </c>
      <c r="Q18" s="263">
        <f>('Profit &amp; Loss'!K12/'Profit &amp; Loss'!F12)^(1/(5-1))-1</f>
        <v>1.5641554340361497</v>
      </c>
      <c r="R18" s="263">
        <f>('Profit &amp; Loss'!K12/'Profit &amp; Loss'!B12)^(1/(9-1))-1</f>
        <v>0.85015125902505062</v>
      </c>
    </row>
    <row r="19" spans="1:18" x14ac:dyDescent="0.2">
      <c r="A19" s="246" t="s">
        <v>485</v>
      </c>
      <c r="B19" s="261" t="e">
        <f t="shared" ref="B19:K19" si="4">B8/B4</f>
        <v>#DIV/0!</v>
      </c>
      <c r="C19" s="261" t="e">
        <f t="shared" si="4"/>
        <v>#DIV/0!</v>
      </c>
      <c r="D19" s="261">
        <f t="shared" si="4"/>
        <v>0.67156862745098045</v>
      </c>
      <c r="E19" s="261">
        <f t="shared" si="4"/>
        <v>0.61490978157644827</v>
      </c>
      <c r="F19" s="261">
        <f t="shared" si="4"/>
        <v>0.5276611980160244</v>
      </c>
      <c r="G19" s="261">
        <f t="shared" si="4"/>
        <v>0.30458465728551976</v>
      </c>
      <c r="H19" s="261">
        <f t="shared" si="4"/>
        <v>0.22539046856227474</v>
      </c>
      <c r="I19" s="261">
        <f t="shared" si="4"/>
        <v>0.29496561615121536</v>
      </c>
      <c r="J19" s="261">
        <f t="shared" si="4"/>
        <v>0.24506946284589465</v>
      </c>
      <c r="K19" s="261">
        <f t="shared" si="4"/>
        <v>0.29734821722952287</v>
      </c>
      <c r="L19" s="261"/>
      <c r="M19" s="261">
        <f>SUM(I8:K8)/SUM(I4:K4)</f>
        <v>0.28021048675061083</v>
      </c>
      <c r="N19" s="261">
        <f>SUM(F8:I8)/SUM(F4:I4)</f>
        <v>0.2903329407986297</v>
      </c>
      <c r="O19" s="261">
        <f>SUM(B8:I8)/SUM(B4:I4)</f>
        <v>0.32716135043514455</v>
      </c>
    </row>
    <row r="20" spans="1:18" x14ac:dyDescent="0.2">
      <c r="A20" s="246" t="s">
        <v>264</v>
      </c>
      <c r="B20" s="261" t="e">
        <f t="shared" ref="B20:K20" si="5">B9/B4</f>
        <v>#DIV/0!</v>
      </c>
      <c r="C20" s="261" t="e">
        <f t="shared" si="5"/>
        <v>#DIV/0!</v>
      </c>
      <c r="D20" s="261">
        <f t="shared" si="5"/>
        <v>0</v>
      </c>
      <c r="E20" s="261">
        <f t="shared" si="5"/>
        <v>0</v>
      </c>
      <c r="F20" s="261">
        <f t="shared" si="5"/>
        <v>0</v>
      </c>
      <c r="G20" s="261">
        <f t="shared" si="5"/>
        <v>0</v>
      </c>
      <c r="H20" s="261">
        <f t="shared" si="5"/>
        <v>0</v>
      </c>
      <c r="I20" s="265">
        <f t="shared" si="5"/>
        <v>0</v>
      </c>
      <c r="J20" s="265">
        <f t="shared" si="5"/>
        <v>0</v>
      </c>
      <c r="K20" s="265">
        <f t="shared" si="5"/>
        <v>0</v>
      </c>
      <c r="L20" s="265"/>
      <c r="M20" s="261">
        <f>SUM(I9:K9)/SUM(I4:K4)</f>
        <v>0</v>
      </c>
      <c r="N20" s="261">
        <f>SUM(F9:I9)/SUM(F4:I4)</f>
        <v>0</v>
      </c>
      <c r="O20" s="261">
        <f>SUM(B9:I9)/SUM(B4:I4)</f>
        <v>0</v>
      </c>
    </row>
    <row r="21" spans="1:18" x14ac:dyDescent="0.2">
      <c r="A21" s="246" t="s">
        <v>143</v>
      </c>
      <c r="B21" s="266" t="e">
        <f t="shared" ref="B21:K21" si="6">B11/B4</f>
        <v>#DIV/0!</v>
      </c>
      <c r="C21" s="266" t="e">
        <f t="shared" si="6"/>
        <v>#DIV/0!</v>
      </c>
      <c r="D21" s="266">
        <f t="shared" si="6"/>
        <v>0.12806372549019607</v>
      </c>
      <c r="E21" s="266">
        <f t="shared" si="6"/>
        <v>0.16619183285849953</v>
      </c>
      <c r="F21" s="266">
        <f t="shared" si="6"/>
        <v>0.15146890499809235</v>
      </c>
      <c r="G21" s="266">
        <f t="shared" si="6"/>
        <v>0.1379936450295052</v>
      </c>
      <c r="H21" s="266">
        <f t="shared" si="6"/>
        <v>0.15202242691229476</v>
      </c>
      <c r="I21" s="267">
        <f t="shared" si="6"/>
        <v>0.14558893832971723</v>
      </c>
      <c r="J21" s="267">
        <f t="shared" si="6"/>
        <v>0.19773252072529052</v>
      </c>
      <c r="K21" s="267">
        <f t="shared" si="6"/>
        <v>0.20208657152277332</v>
      </c>
      <c r="L21" s="267"/>
      <c r="M21" s="261">
        <f>SUM(I11:K11)/SUM(I4:K4)</f>
        <v>0.19137804560142102</v>
      </c>
      <c r="N21" s="261">
        <f>SUM(F11:I11)/SUM(F4:I4)</f>
        <v>0.14692217107376085</v>
      </c>
      <c r="O21" s="261">
        <f>SUM(B11:I11)/SUM(B4:I4)</f>
        <v>0.14967388934044368</v>
      </c>
    </row>
    <row r="22" spans="1:18" x14ac:dyDescent="0.2">
      <c r="A22" s="246" t="s">
        <v>262</v>
      </c>
      <c r="B22" s="261">
        <f>'Data Sheet'!B29/'Data Sheet'!B28</f>
        <v>0</v>
      </c>
      <c r="C22" s="261">
        <f>'Data Sheet'!C29/'Data Sheet'!C28</f>
        <v>0</v>
      </c>
      <c r="D22" s="261">
        <f>'Data Sheet'!D29/'Data Sheet'!D28</f>
        <v>0.17716535433070865</v>
      </c>
      <c r="E22" s="265">
        <f>'Data Sheet'!E29/'Data Sheet'!E28</f>
        <v>0.166270783847981</v>
      </c>
      <c r="F22" s="265">
        <f>'Data Sheet'!F29/'Data Sheet'!F28</f>
        <v>0.12141280353200884</v>
      </c>
      <c r="G22" s="261">
        <f>'Data Sheet'!G29/'Data Sheet'!G28</f>
        <v>0.18886462882096069</v>
      </c>
      <c r="H22" s="261">
        <f>'Data Sheet'!H29/'Data Sheet'!H28</f>
        <v>0.20351845463953089</v>
      </c>
      <c r="I22" s="261">
        <f>'Data Sheet'!I29/'Data Sheet'!I28</f>
        <v>0.22038365792941864</v>
      </c>
      <c r="J22" s="265">
        <f>'Data Sheet'!J29/'Data Sheet'!J28</f>
        <v>0.24252374809428873</v>
      </c>
      <c r="K22" s="261">
        <f>'Data Sheet'!K29/'Data Sheet'!K28</f>
        <v>0.2276572545775839</v>
      </c>
      <c r="L22" s="261"/>
      <c r="M22" s="261">
        <f>SUM('Data Sheet'!I29:K29)/SUM('Data Sheet'!I30:K30)</f>
        <v>0.37050177394830203</v>
      </c>
      <c r="N22" s="261">
        <f>SUM('Data Sheet'!F29:I29)/SUM('Data Sheet'!F30:I30)</f>
        <v>0.33853104051296995</v>
      </c>
      <c r="O22" s="261">
        <f>SUM('Data Sheet'!B29:I29)/SUM('Data Sheet'!B30:I30)</f>
        <v>0.32291390728476826</v>
      </c>
    </row>
    <row r="23" spans="1:18" x14ac:dyDescent="0.2">
      <c r="A23" s="246" t="s">
        <v>486</v>
      </c>
      <c r="B23" s="260">
        <f t="shared" ref="B23:K23" si="7">B12-B11</f>
        <v>-1.25</v>
      </c>
      <c r="C23" s="260">
        <f t="shared" si="7"/>
        <v>-0.04</v>
      </c>
      <c r="D23" s="260">
        <f t="shared" si="7"/>
        <v>9.31</v>
      </c>
      <c r="E23" s="260">
        <f t="shared" si="7"/>
        <v>-6.85</v>
      </c>
      <c r="F23" s="260">
        <f t="shared" si="7"/>
        <v>-11.39</v>
      </c>
      <c r="G23" s="260">
        <f t="shared" si="7"/>
        <v>6.08</v>
      </c>
      <c r="H23" s="260">
        <f t="shared" si="7"/>
        <v>7.0999999999999979</v>
      </c>
      <c r="I23" s="260">
        <f t="shared" si="7"/>
        <v>-20.700000000000003</v>
      </c>
      <c r="J23" s="260">
        <f t="shared" si="7"/>
        <v>-32.739999999999995</v>
      </c>
      <c r="K23" s="260">
        <f t="shared" si="7"/>
        <v>-46.52000000000001</v>
      </c>
      <c r="L23" s="260"/>
      <c r="M23" s="260">
        <f>M12-M11</f>
        <v>-99.960000000000008</v>
      </c>
      <c r="N23" s="260">
        <f>N12-N11</f>
        <v>-86.78</v>
      </c>
      <c r="O23" s="260">
        <f>O12-O11</f>
        <v>-95.750000000000028</v>
      </c>
    </row>
    <row r="24" spans="1:18" x14ac:dyDescent="0.2">
      <c r="A24" s="247" t="s">
        <v>487</v>
      </c>
      <c r="B24" s="260"/>
      <c r="C24" s="260"/>
      <c r="D24" s="260"/>
      <c r="E24" s="260"/>
      <c r="F24" s="260"/>
      <c r="G24" s="260"/>
      <c r="H24" s="260"/>
      <c r="I24" s="260"/>
      <c r="J24" s="260"/>
      <c r="K24" s="260"/>
      <c r="L24" s="260"/>
    </row>
    <row r="25" spans="1:18" x14ac:dyDescent="0.2">
      <c r="A25" s="252" t="s">
        <v>488</v>
      </c>
      <c r="B25" s="261" t="e">
        <f>'Data Sheet'!B18/'Data Sheet'!B$17</f>
        <v>#DIV/0!</v>
      </c>
      <c r="C25" s="261" t="e">
        <f>'Data Sheet'!C18/'Data Sheet'!C$17</f>
        <v>#DIV/0!</v>
      </c>
      <c r="D25" s="261">
        <f>'Data Sheet'!D18/'Data Sheet'!D$17</f>
        <v>0</v>
      </c>
      <c r="E25" s="261">
        <f>'Data Sheet'!E18/'Data Sheet'!E$17</f>
        <v>0</v>
      </c>
      <c r="F25" s="261">
        <f>'Data Sheet'!F18/'Data Sheet'!F$17</f>
        <v>0</v>
      </c>
      <c r="G25" s="261">
        <f>'Data Sheet'!G18/'Data Sheet'!G$17</f>
        <v>0</v>
      </c>
      <c r="H25" s="261">
        <f>'Data Sheet'!H18/'Data Sheet'!H$17</f>
        <v>0</v>
      </c>
      <c r="I25" s="264">
        <f>'Data Sheet'!I18/'Data Sheet'!I$17</f>
        <v>0</v>
      </c>
      <c r="J25" s="264">
        <f>'Data Sheet'!J18/'Data Sheet'!J$17</f>
        <v>0</v>
      </c>
      <c r="K25" s="264">
        <f>'Data Sheet'!K18/'Data Sheet'!K$17</f>
        <v>0</v>
      </c>
      <c r="L25" s="264"/>
      <c r="M25" s="261">
        <f>SUM('Data Sheet'!I18:K18)/SUM('Data Sheet'!$I$17:$K$17)</f>
        <v>0</v>
      </c>
      <c r="N25" s="261">
        <f>SUM('Data Sheet'!F18:I18)/SUM('Data Sheet'!$F$17:$I$17)</f>
        <v>0</v>
      </c>
      <c r="O25" s="261">
        <f>SUM('Data Sheet'!B18:I18)/SUM('Data Sheet'!$B$17:$I$17)</f>
        <v>0</v>
      </c>
    </row>
    <row r="26" spans="1:18" x14ac:dyDescent="0.2">
      <c r="A26" s="253" t="s">
        <v>489</v>
      </c>
      <c r="B26" s="261" t="e">
        <f>'Data Sheet'!B19/'Data Sheet'!B$17</f>
        <v>#DIV/0!</v>
      </c>
      <c r="C26" s="261" t="e">
        <f>'Data Sheet'!C19/'Data Sheet'!C$17</f>
        <v>#DIV/0!</v>
      </c>
      <c r="D26" s="261">
        <f>'Data Sheet'!D19/'Data Sheet'!D$17</f>
        <v>0</v>
      </c>
      <c r="E26" s="261">
        <f>'Data Sheet'!E19/'Data Sheet'!E$17</f>
        <v>0</v>
      </c>
      <c r="F26" s="261">
        <f>'Data Sheet'!F19/'Data Sheet'!F$17</f>
        <v>0</v>
      </c>
      <c r="G26" s="261">
        <f>'Data Sheet'!G19/'Data Sheet'!G$17</f>
        <v>0</v>
      </c>
      <c r="H26" s="261">
        <f>'Data Sheet'!H19/'Data Sheet'!H$17</f>
        <v>0</v>
      </c>
      <c r="I26" s="261">
        <f>'Data Sheet'!I19/'Data Sheet'!I$17</f>
        <v>0</v>
      </c>
      <c r="J26" s="261">
        <f>'Data Sheet'!J19/'Data Sheet'!J$17</f>
        <v>0</v>
      </c>
      <c r="K26" s="265">
        <f>'Data Sheet'!K19/'Data Sheet'!K$17</f>
        <v>0</v>
      </c>
      <c r="L26" s="265"/>
      <c r="M26" s="261">
        <f>SUM('Data Sheet'!I19:K19)/SUM('Data Sheet'!$I$17:$K$17)</f>
        <v>0</v>
      </c>
      <c r="N26" s="261">
        <f>SUM('Data Sheet'!F19:I19)/SUM('Data Sheet'!$F$17:$I$17)</f>
        <v>0</v>
      </c>
      <c r="O26" s="261">
        <f>SUM('Data Sheet'!B19:I19)/SUM('Data Sheet'!$B$17:$I$17)</f>
        <v>0</v>
      </c>
    </row>
    <row r="27" spans="1:18" x14ac:dyDescent="0.2">
      <c r="A27" s="253" t="s">
        <v>490</v>
      </c>
      <c r="B27" s="261" t="e">
        <f>'Data Sheet'!B20/'Data Sheet'!B$17</f>
        <v>#DIV/0!</v>
      </c>
      <c r="C27" s="261" t="e">
        <f>'Data Sheet'!C20/'Data Sheet'!C$17</f>
        <v>#DIV/0!</v>
      </c>
      <c r="D27" s="261">
        <f>'Data Sheet'!D20/'Data Sheet'!D$17</f>
        <v>0</v>
      </c>
      <c r="E27" s="261">
        <f>'Data Sheet'!E20/'Data Sheet'!E$17</f>
        <v>0</v>
      </c>
      <c r="F27" s="261">
        <f>'Data Sheet'!F20/'Data Sheet'!F$17</f>
        <v>0</v>
      </c>
      <c r="G27" s="261">
        <f>'Data Sheet'!G20/'Data Sheet'!G$17</f>
        <v>1.1348161597821154E-3</v>
      </c>
      <c r="H27" s="261">
        <f>'Data Sheet'!H20/'Data Sheet'!H$17</f>
        <v>0</v>
      </c>
      <c r="I27" s="261">
        <f>'Data Sheet'!I20/'Data Sheet'!I$17</f>
        <v>0</v>
      </c>
      <c r="J27" s="261">
        <f>'Data Sheet'!J20/'Data Sheet'!J$17</f>
        <v>5.2996176704394899E-4</v>
      </c>
      <c r="K27" s="261">
        <f>'Data Sheet'!K20/'Data Sheet'!K$17</f>
        <v>3.5325702981489328E-4</v>
      </c>
      <c r="L27" s="261"/>
      <c r="M27" s="261">
        <f>SUM('Data Sheet'!I20:K20)/SUM('Data Sheet'!$I$17:$K$17)</f>
        <v>3.5161957187285924E-4</v>
      </c>
      <c r="N27" s="261">
        <f>SUM('Data Sheet'!F20:I20)/SUM('Data Sheet'!$F$17:$I$17)</f>
        <v>1.0705491917353603E-4</v>
      </c>
      <c r="O27" s="261">
        <f>SUM('Data Sheet'!B20:I20)/SUM('Data Sheet'!$B$17:$I$17)</f>
        <v>1.1894613722419365E-4</v>
      </c>
    </row>
    <row r="28" spans="1:18" x14ac:dyDescent="0.2">
      <c r="A28" s="253" t="s">
        <v>491</v>
      </c>
      <c r="B28" s="261" t="e">
        <f>'Data Sheet'!B21/'Data Sheet'!B$17</f>
        <v>#DIV/0!</v>
      </c>
      <c r="C28" s="261" t="e">
        <f>'Data Sheet'!C21/'Data Sheet'!C$17</f>
        <v>#DIV/0!</v>
      </c>
      <c r="D28" s="261">
        <f>'Data Sheet'!D21/'Data Sheet'!D$17</f>
        <v>0</v>
      </c>
      <c r="E28" s="261">
        <f>'Data Sheet'!E21/'Data Sheet'!E$17</f>
        <v>0</v>
      </c>
      <c r="F28" s="261">
        <f>'Data Sheet'!F21/'Data Sheet'!F$17</f>
        <v>0</v>
      </c>
      <c r="G28" s="261">
        <f>'Data Sheet'!G21/'Data Sheet'!G$17</f>
        <v>2.2696323195642307E-4</v>
      </c>
      <c r="H28" s="261">
        <f>'Data Sheet'!H21/'Data Sheet'!H$17</f>
        <v>0</v>
      </c>
      <c r="I28" s="261">
        <f>'Data Sheet'!I21/'Data Sheet'!I$17</f>
        <v>0</v>
      </c>
      <c r="J28" s="261">
        <f>'Data Sheet'!J21/'Data Sheet'!J$17</f>
        <v>4.0314948707271831E-3</v>
      </c>
      <c r="K28" s="261">
        <f>'Data Sheet'!K21/'Data Sheet'!K$17</f>
        <v>1.7309594460929772E-3</v>
      </c>
      <c r="L28" s="261"/>
      <c r="M28" s="261">
        <f>SUM('Data Sheet'!I21:K21)/SUM('Data Sheet'!$I$17:$K$17)</f>
        <v>2.1824663081763673E-3</v>
      </c>
      <c r="N28" s="261">
        <f>SUM('Data Sheet'!F21:I21)/SUM('Data Sheet'!$F$17:$I$17)</f>
        <v>2.1410983834707204E-5</v>
      </c>
      <c r="O28" s="261">
        <f>SUM('Data Sheet'!B21:I21)/SUM('Data Sheet'!$B$17:$I$17)</f>
        <v>1.9824356204032276E-5</v>
      </c>
    </row>
    <row r="29" spans="1:18" x14ac:dyDescent="0.2">
      <c r="A29" s="253" t="s">
        <v>492</v>
      </c>
      <c r="B29" s="261" t="e">
        <f>'Data Sheet'!B22/'Data Sheet'!B$17</f>
        <v>#DIV/0!</v>
      </c>
      <c r="C29" s="261" t="e">
        <f>'Data Sheet'!C22/'Data Sheet'!C$17</f>
        <v>#DIV/0!</v>
      </c>
      <c r="D29" s="261">
        <f>'Data Sheet'!D22/'Data Sheet'!D$17</f>
        <v>0.6470588235294118</v>
      </c>
      <c r="E29" s="261">
        <f>'Data Sheet'!E22/'Data Sheet'!E$17</f>
        <v>0.62345679012345689</v>
      </c>
      <c r="F29" s="261">
        <f>'Data Sheet'!F22/'Data Sheet'!F$17</f>
        <v>0.59786341091186568</v>
      </c>
      <c r="G29" s="261">
        <f>'Data Sheet'!G22/'Data Sheet'!G$17</f>
        <v>0.5301861098502042</v>
      </c>
      <c r="H29" s="261">
        <f>'Data Sheet'!H22/'Data Sheet'!H$17</f>
        <v>0.45374449339207051</v>
      </c>
      <c r="I29" s="261">
        <f>'Data Sheet'!I22/'Data Sheet'!I$17</f>
        <v>0.4682455043577391</v>
      </c>
      <c r="J29" s="261">
        <f>'Data Sheet'!J22/'Data Sheet'!J$17</f>
        <v>0.33380020441382446</v>
      </c>
      <c r="K29" s="265">
        <f>'Data Sheet'!K22/'Data Sheet'!K$17</f>
        <v>0.27740097027930855</v>
      </c>
      <c r="L29" s="265"/>
      <c r="M29" s="261">
        <f>SUM('Data Sheet'!I22:K22)/SUM('Data Sheet'!$I$17:$K$17)</f>
        <v>0.32692739055840825</v>
      </c>
      <c r="N29" s="261">
        <f>SUM('Data Sheet'!F22:I22)/SUM('Data Sheet'!$F$17:$I$17)</f>
        <v>0.47748635049780536</v>
      </c>
      <c r="O29" s="261">
        <f>SUM('Data Sheet'!B22:I22)/SUM('Data Sheet'!$B$17:$I$17)</f>
        <v>0.48914616497829233</v>
      </c>
    </row>
    <row r="30" spans="1:18" x14ac:dyDescent="0.2">
      <c r="A30" s="253" t="s">
        <v>493</v>
      </c>
      <c r="B30" s="261" t="e">
        <f>'Data Sheet'!B23/'Data Sheet'!B$17</f>
        <v>#DIV/0!</v>
      </c>
      <c r="C30" s="261" t="e">
        <f>'Data Sheet'!C23/'Data Sheet'!C$17</f>
        <v>#DIV/0!</v>
      </c>
      <c r="D30" s="261">
        <f>'Data Sheet'!D23/'Data Sheet'!D$17</f>
        <v>0.15379901960784312</v>
      </c>
      <c r="E30" s="261">
        <f>'Data Sheet'!E23/'Data Sheet'!E$17</f>
        <v>2.6115859449192785E-2</v>
      </c>
      <c r="F30" s="261">
        <f>'Data Sheet'!F23/'Data Sheet'!F$17</f>
        <v>9.1568103777184273E-3</v>
      </c>
      <c r="G30" s="261">
        <f>'Data Sheet'!G23/'Data Sheet'!G$17</f>
        <v>0.15093054925102134</v>
      </c>
      <c r="H30" s="261">
        <f>'Data Sheet'!H23/'Data Sheet'!H$17</f>
        <v>0.23972767320784943</v>
      </c>
      <c r="I30" s="261">
        <f>'Data Sheet'!I23/'Data Sheet'!I$17</f>
        <v>0.20626631853785901</v>
      </c>
      <c r="J30" s="261">
        <f>'Data Sheet'!J23/'Data Sheet'!J$17</f>
        <v>0.28712571450202518</v>
      </c>
      <c r="K30" s="261">
        <f>'Data Sheet'!K23/'Data Sheet'!K$17</f>
        <v>0.34792284866468848</v>
      </c>
      <c r="L30" s="261"/>
      <c r="M30" s="261">
        <f>SUM('Data Sheet'!I23:K23)/SUM('Data Sheet'!$I$17:$K$17)</f>
        <v>0.30509666507023298</v>
      </c>
      <c r="N30" s="261">
        <f>SUM('Data Sheet'!F23:I23)/SUM('Data Sheet'!$F$17:$I$17)</f>
        <v>0.19892945080826463</v>
      </c>
      <c r="O30" s="261">
        <f>SUM('Data Sheet'!B23:I23)/SUM('Data Sheet'!$B$17:$I$17)</f>
        <v>0.19037329262732192</v>
      </c>
    </row>
    <row r="31" spans="1:18" x14ac:dyDescent="0.2">
      <c r="A31" s="253" t="s">
        <v>494</v>
      </c>
      <c r="B31" s="261" t="e">
        <f>'Data Sheet'!B24/'Data Sheet'!B$17</f>
        <v>#DIV/0!</v>
      </c>
      <c r="C31" s="261" t="e">
        <f>'Data Sheet'!C24/'Data Sheet'!C$17</f>
        <v>#DIV/0!</v>
      </c>
      <c r="D31" s="261">
        <f>'Data Sheet'!D24/'Data Sheet'!D$17</f>
        <v>1.2254901960784314E-3</v>
      </c>
      <c r="E31" s="261">
        <f>'Data Sheet'!E24/'Data Sheet'!E$17</f>
        <v>0.11301044634377969</v>
      </c>
      <c r="F31" s="261">
        <f>'Data Sheet'!F24/'Data Sheet'!F$17</f>
        <v>0.18542541014879818</v>
      </c>
      <c r="G31" s="261">
        <f>'Data Sheet'!G24/'Data Sheet'!G$17</f>
        <v>4.0853381752156146E-3</v>
      </c>
      <c r="H31" s="261">
        <f>'Data Sheet'!H24/'Data Sheet'!H$17</f>
        <v>0</v>
      </c>
      <c r="I31" s="261">
        <f>'Data Sheet'!I24/'Data Sheet'!I$17</f>
        <v>0</v>
      </c>
      <c r="J31" s="261">
        <f>'Data Sheet'!J24/'Data Sheet'!J$17</f>
        <v>2.4737858197372904E-2</v>
      </c>
      <c r="K31" s="261">
        <f>'Data Sheet'!K24/'Data Sheet'!K$17</f>
        <v>2.7141915124110971E-2</v>
      </c>
      <c r="L31" s="261"/>
      <c r="M31" s="261">
        <f>SUM('Data Sheet'!I24:K24)/SUM('Data Sheet'!$I$17:$K$17)</f>
        <v>2.189741195870289E-2</v>
      </c>
      <c r="N31" s="261">
        <f>SUM('Data Sheet'!F24:I24)/SUM('Data Sheet'!$F$17:$I$17)</f>
        <v>1.0791135852692431E-2</v>
      </c>
      <c r="O31" s="261">
        <f>SUM('Data Sheet'!B24:I24)/SUM('Data Sheet'!$B$17:$I$17)</f>
        <v>1.4828618440616141E-2</v>
      </c>
    </row>
    <row r="32" spans="1:18" x14ac:dyDescent="0.2">
      <c r="A32" s="252" t="s">
        <v>495</v>
      </c>
      <c r="B32" s="261" t="e">
        <f>'Data Sheet'!B25/'Data Sheet'!B$17</f>
        <v>#DIV/0!</v>
      </c>
      <c r="C32" s="261" t="e">
        <f>'Data Sheet'!C25/'Data Sheet'!C$17</f>
        <v>#DIV/0!</v>
      </c>
      <c r="D32" s="261">
        <f>'Data Sheet'!D25/'Data Sheet'!D$17</f>
        <v>1.2254901960784314E-3</v>
      </c>
      <c r="E32" s="261">
        <f>'Data Sheet'!E25/'Data Sheet'!E$17</f>
        <v>2.8490028490028491E-3</v>
      </c>
      <c r="F32" s="261">
        <f>'Data Sheet'!F25/'Data Sheet'!F$17</f>
        <v>2.6707363601678751E-3</v>
      </c>
      <c r="G32" s="261">
        <f>'Data Sheet'!G25/'Data Sheet'!G$17</f>
        <v>1.1348161597821154E-3</v>
      </c>
      <c r="H32" s="261">
        <f>'Data Sheet'!H25/'Data Sheet'!H$17</f>
        <v>2.3227873448137767E-3</v>
      </c>
      <c r="I32" s="261">
        <f>'Data Sheet'!I25/'Data Sheet'!I$17</f>
        <v>7.7225756628544111E-4</v>
      </c>
      <c r="J32" s="261">
        <f>'Data Sheet'!J25/'Data Sheet'!J$17</f>
        <v>1.7034485369269788E-3</v>
      </c>
      <c r="K32" s="261">
        <f>'Data Sheet'!K25/'Data Sheet'!K$17</f>
        <v>9.9500730064528281E-3</v>
      </c>
      <c r="L32" s="261"/>
      <c r="M32" s="261">
        <f>SUM('Data Sheet'!I25:K25)/SUM('Data Sheet'!$I$17:$K$17)</f>
        <v>5.7956605294905749E-3</v>
      </c>
      <c r="N32" s="261">
        <f>SUM('Data Sheet'!F25:I25)/SUM('Data Sheet'!$F$17:$I$17)</f>
        <v>1.3274809977518467E-3</v>
      </c>
      <c r="O32" s="261">
        <f>SUM('Data Sheet'!B25:I25)/SUM('Data Sheet'!$B$17:$I$17)</f>
        <v>4.2424122276629077E-3</v>
      </c>
    </row>
    <row r="33" spans="1:15" x14ac:dyDescent="0.2">
      <c r="A33" s="253" t="s">
        <v>496</v>
      </c>
      <c r="B33" s="266" t="e">
        <f>'Data Sheet'!B26/'Data Sheet'!B$17</f>
        <v>#DIV/0!</v>
      </c>
      <c r="C33" s="266" t="e">
        <f>'Data Sheet'!C26/'Data Sheet'!C$17</f>
        <v>#DIV/0!</v>
      </c>
      <c r="D33" s="266">
        <f>'Data Sheet'!D26/'Data Sheet'!D$17</f>
        <v>4.2279411764705878E-2</v>
      </c>
      <c r="E33" s="266">
        <f>'Data Sheet'!E26/'Data Sheet'!E$17</f>
        <v>3.7986704653371325E-2</v>
      </c>
      <c r="F33" s="266">
        <f>'Data Sheet'!F26/'Data Sheet'!F$17</f>
        <v>3.0904235024799696E-2</v>
      </c>
      <c r="G33" s="266">
        <f>'Data Sheet'!G26/'Data Sheet'!G$17</f>
        <v>9.782115297321832E-2</v>
      </c>
      <c r="H33" s="266">
        <f>'Data Sheet'!H26/'Data Sheet'!H$17</f>
        <v>7.3047657188626353E-2</v>
      </c>
      <c r="I33" s="266">
        <f>'Data Sheet'!I26/'Data Sheet'!I$17</f>
        <v>7.4394145552164156E-2</v>
      </c>
      <c r="J33" s="266">
        <f>'Data Sheet'!J26/'Data Sheet'!J$17</f>
        <v>2.558958246583639E-2</v>
      </c>
      <c r="K33" s="268">
        <f>'Data Sheet'!K26/'Data Sheet'!K$17</f>
        <v>2.9661815270123876E-2</v>
      </c>
      <c r="L33" s="268"/>
      <c r="M33" s="261">
        <f>SUM('Data Sheet'!I26:K26)/SUM('Data Sheet'!$I$17:$K$17)</f>
        <v>3.5731823389976415E-2</v>
      </c>
      <c r="N33" s="261">
        <f>SUM('Data Sheet'!F26:I26)/SUM('Data Sheet'!$F$17:$I$17)</f>
        <v>7.3803661278235733E-2</v>
      </c>
      <c r="O33" s="261">
        <f>SUM('Data Sheet'!B26:I26)/SUM('Data Sheet'!$B$17:$I$17)</f>
        <v>7.1288384909700062E-2</v>
      </c>
    </row>
    <row r="34" spans="1:15" x14ac:dyDescent="0.2">
      <c r="A34" s="246" t="s">
        <v>260</v>
      </c>
      <c r="B34" s="261" t="e">
        <f>1-B25</f>
        <v>#DIV/0!</v>
      </c>
      <c r="C34" s="261" t="e">
        <f t="shared" ref="C34:O34" si="8">1-C25</f>
        <v>#DIV/0!</v>
      </c>
      <c r="D34" s="261">
        <f t="shared" si="8"/>
        <v>1</v>
      </c>
      <c r="E34" s="261">
        <f t="shared" si="8"/>
        <v>1</v>
      </c>
      <c r="F34" s="261">
        <f t="shared" si="8"/>
        <v>1</v>
      </c>
      <c r="G34" s="261">
        <f t="shared" si="8"/>
        <v>1</v>
      </c>
      <c r="H34" s="264">
        <f t="shared" si="8"/>
        <v>1</v>
      </c>
      <c r="I34" s="264">
        <f t="shared" si="8"/>
        <v>1</v>
      </c>
      <c r="J34" s="264">
        <f t="shared" si="8"/>
        <v>1</v>
      </c>
      <c r="K34" s="264">
        <f t="shared" si="8"/>
        <v>1</v>
      </c>
      <c r="L34" s="264"/>
      <c r="M34" s="264">
        <f t="shared" si="8"/>
        <v>1</v>
      </c>
      <c r="N34" s="264">
        <f t="shared" si="8"/>
        <v>1</v>
      </c>
      <c r="O34" s="264">
        <f t="shared" si="8"/>
        <v>1</v>
      </c>
    </row>
    <row r="35" spans="1:15" x14ac:dyDescent="0.2">
      <c r="A35" s="246" t="s">
        <v>497</v>
      </c>
      <c r="B35" s="261" t="e">
        <f>('Data Sheet'!B28+'Data Sheet'!B27)/'Data Sheet'!B17</f>
        <v>#DIV/0!</v>
      </c>
      <c r="C35" s="261" t="e">
        <f>('Data Sheet'!C28+'Data Sheet'!C27)/'Data Sheet'!C17</f>
        <v>#DIV/0!</v>
      </c>
      <c r="D35" s="261">
        <f>('Data Sheet'!D28+'Data Sheet'!D27)/'Data Sheet'!D17</f>
        <v>0.15686274509803921</v>
      </c>
      <c r="E35" s="261">
        <f>('Data Sheet'!E28+'Data Sheet'!E27)/'Data Sheet'!E17</f>
        <v>0.20227920227920229</v>
      </c>
      <c r="F35" s="261">
        <f>('Data Sheet'!F28+'Data Sheet'!F27)/'Data Sheet'!F17</f>
        <v>0.1793208698969859</v>
      </c>
      <c r="G35" s="261">
        <f>('Data Sheet'!G28+'Data Sheet'!G27)/'Data Sheet'!G17</f>
        <v>0.21629596005447116</v>
      </c>
      <c r="H35" s="261">
        <f>('Data Sheet'!H28+'Data Sheet'!H27)/'Data Sheet'!H17</f>
        <v>0.23580296355626751</v>
      </c>
      <c r="I35" s="261">
        <f>('Data Sheet'!I28+'Data Sheet'!I27)/'Data Sheet'!I17</f>
        <v>0.25190306328834627</v>
      </c>
      <c r="J35" s="261">
        <f>('Data Sheet'!J28+'Data Sheet'!J27)/'Data Sheet'!J17</f>
        <v>0.32588863232009685</v>
      </c>
      <c r="K35" s="261">
        <f>('Data Sheet'!K28+'Data Sheet'!K27)/'Data Sheet'!K17</f>
        <v>0.32573830719231317</v>
      </c>
      <c r="L35" s="261"/>
      <c r="M35" s="261">
        <f>(SUM('Data Sheet'!I28:K28)+SUM('Data Sheet'!I27:K27))/SUM('Data Sheet'!$I$17:$K$17)</f>
        <v>0.31361434607853245</v>
      </c>
      <c r="N35" s="261">
        <f>(SUM('Data Sheet'!F28:I28)+SUM('Data Sheet'!F27:I27))/SUM('Data Sheet'!$F$17:$I$17)</f>
        <v>0.24016700567391072</v>
      </c>
      <c r="O35" s="261">
        <f>(SUM('Data Sheet'!B28:I28)+SUM('Data Sheet'!B27:I27))/SUM('Data Sheet'!$B$17:$I$17)</f>
        <v>0.23844735642210019</v>
      </c>
    </row>
    <row r="36" spans="1:15" x14ac:dyDescent="0.2">
      <c r="A36" s="246" t="s">
        <v>143</v>
      </c>
      <c r="B36" s="266" t="e">
        <f>'Data Sheet'!B30/'Data Sheet'!B17</f>
        <v>#DIV/0!</v>
      </c>
      <c r="C36" s="266" t="e">
        <f>'Data Sheet'!C30/'Data Sheet'!C17</f>
        <v>#DIV/0!</v>
      </c>
      <c r="D36" s="266">
        <f>'Data Sheet'!D30/'Data Sheet'!D17</f>
        <v>0.12806372549019607</v>
      </c>
      <c r="E36" s="266">
        <f>'Data Sheet'!E30/'Data Sheet'!E17</f>
        <v>0.16619183285849953</v>
      </c>
      <c r="F36" s="266">
        <f>'Data Sheet'!F30/'Data Sheet'!F17</f>
        <v>0.15146890499809235</v>
      </c>
      <c r="G36" s="266">
        <f>'Data Sheet'!G30/'Data Sheet'!G17</f>
        <v>0.1379936450295052</v>
      </c>
      <c r="H36" s="266">
        <f>'Data Sheet'!H30/'Data Sheet'!H17</f>
        <v>0.15202242691229476</v>
      </c>
      <c r="I36" s="266">
        <f>'Data Sheet'!I30/'Data Sheet'!I17</f>
        <v>0.14558893832971723</v>
      </c>
      <c r="J36" s="266">
        <f>'Data Sheet'!J30/'Data Sheet'!J17</f>
        <v>0.19773252072529052</v>
      </c>
      <c r="K36" s="266">
        <f>'Data Sheet'!K30/'Data Sheet'!K17</f>
        <v>0.20208657152277332</v>
      </c>
      <c r="L36" s="266"/>
      <c r="M36" s="261">
        <f>SUM('Data Sheet'!I30:K30)/SUM('Data Sheet'!$I$17:$K$17)</f>
        <v>0.19137804560142102</v>
      </c>
      <c r="N36" s="261">
        <f>SUM('Data Sheet'!F30:I30)/SUM('Data Sheet'!$F$17:$I$17)</f>
        <v>0.14692217107376085</v>
      </c>
      <c r="O36" s="261">
        <f>SUM('Data Sheet'!B30:I30)/SUM('Data Sheet'!$B$17:$I$17)</f>
        <v>0.14967388934044368</v>
      </c>
    </row>
    <row r="37" spans="1:15" x14ac:dyDescent="0.2">
      <c r="A37" s="246" t="s">
        <v>262</v>
      </c>
      <c r="B37" s="261">
        <f>'Data Sheet'!B29/'Data Sheet'!B28</f>
        <v>0</v>
      </c>
      <c r="C37" s="261">
        <f>'Data Sheet'!C29/'Data Sheet'!C28</f>
        <v>0</v>
      </c>
      <c r="D37" s="261">
        <f>'Data Sheet'!D29/'Data Sheet'!D28</f>
        <v>0.17716535433070865</v>
      </c>
      <c r="E37" s="265">
        <f>'Data Sheet'!E29/'Data Sheet'!E28</f>
        <v>0.166270783847981</v>
      </c>
      <c r="F37" s="265">
        <f>'Data Sheet'!F29/'Data Sheet'!F28</f>
        <v>0.12141280353200884</v>
      </c>
      <c r="G37" s="261">
        <f>'Data Sheet'!G29/'Data Sheet'!G28</f>
        <v>0.18886462882096069</v>
      </c>
      <c r="H37" s="261">
        <f>'Data Sheet'!H29/'Data Sheet'!H28</f>
        <v>0.20351845463953089</v>
      </c>
      <c r="I37" s="261">
        <f>'Data Sheet'!I29/'Data Sheet'!I28</f>
        <v>0.22038365792941864</v>
      </c>
      <c r="J37" s="265">
        <f>'Data Sheet'!J29/'Data Sheet'!J28</f>
        <v>0.24252374809428873</v>
      </c>
      <c r="K37" s="261">
        <f>'Data Sheet'!K29/'Data Sheet'!K28</f>
        <v>0.2276572545775839</v>
      </c>
      <c r="L37" s="261"/>
      <c r="M37" s="261">
        <f>SUM('Data Sheet'!I29:K29)/SUM('Data Sheet'!$I$28:$K$28)</f>
        <v>0.23169572107765449</v>
      </c>
      <c r="N37" s="261">
        <f>SUM('Data Sheet'!F29:I29)/SUM('Data Sheet'!$F$28:$I$28)</f>
        <v>0.20933585653780301</v>
      </c>
      <c r="O37" s="261">
        <f>SUM('Data Sheet'!B29:I29)/SUM('Data Sheet'!$B$28:$I$28)</f>
        <v>0.20485673472817412</v>
      </c>
    </row>
    <row r="38" spans="1:15" ht="21" customHeight="1" x14ac:dyDescent="0.2">
      <c r="A38" s="247" t="s">
        <v>498</v>
      </c>
    </row>
    <row r="39" spans="1:15" x14ac:dyDescent="0.2">
      <c r="A39" s="246" t="s">
        <v>542</v>
      </c>
      <c r="B39" s="261">
        <f>('Data Sheet'!B62+'Data Sheet'!B26)/'Data Sheet'!B61</f>
        <v>1.3906447534766119E-2</v>
      </c>
      <c r="C39" s="261">
        <f>('Data Sheet'!C62+'Data Sheet'!C26)/'Data Sheet'!C61</f>
        <v>1.3574660633484163E-2</v>
      </c>
      <c r="D39" s="261">
        <f>('Data Sheet'!D62+'Data Sheet'!D26)/'Data Sheet'!D61</f>
        <v>0.19077271440701954</v>
      </c>
      <c r="E39" s="261">
        <f>('Data Sheet'!E62+'Data Sheet'!E26)/'Data Sheet'!E61</f>
        <v>0.15266831794640848</v>
      </c>
      <c r="F39" s="261">
        <f>('Data Sheet'!F62+'Data Sheet'!F26)/'Data Sheet'!F61</f>
        <v>3.4405719392314571E-2</v>
      </c>
      <c r="G39" s="261">
        <f>('Data Sheet'!G62+'Data Sheet'!G26)/'Data Sheet'!G61</f>
        <v>0.56809963840899957</v>
      </c>
      <c r="H39" s="261">
        <f>('Data Sheet'!H62+'Data Sheet'!H26)/'Data Sheet'!H61</f>
        <v>0.58109976950938436</v>
      </c>
      <c r="I39" s="261">
        <f>('Data Sheet'!I62+'Data Sheet'!I26)/'Data Sheet'!I61</f>
        <v>0.53038744388908343</v>
      </c>
      <c r="J39" s="261">
        <f>('Data Sheet'!J62+'Data Sheet'!J26)/'Data Sheet'!J61</f>
        <v>0.39279779476452076</v>
      </c>
      <c r="K39" s="261">
        <f>('Data Sheet'!K62+'Data Sheet'!K26)/'Data Sheet'!K61</f>
        <v>0.46702467061201625</v>
      </c>
      <c r="L39" s="261"/>
      <c r="M39" s="269">
        <f>AVERAGE(I39:K39)</f>
        <v>0.46340330308854011</v>
      </c>
      <c r="N39" s="269">
        <f>AVERAGE(G39:K39)</f>
        <v>0.50788186343680086</v>
      </c>
      <c r="O39" s="269">
        <f>AVERAGE(B39:K39)</f>
        <v>0.29447371770979974</v>
      </c>
    </row>
    <row r="40" spans="1:15" x14ac:dyDescent="0.2">
      <c r="A40" s="246" t="s">
        <v>543</v>
      </c>
      <c r="B40" s="261">
        <f>'Data Sheet'!B62/'Data Sheet'!B61</f>
        <v>1.3906447534766119E-2</v>
      </c>
      <c r="C40" s="261">
        <f>'Data Sheet'!C62/'Data Sheet'!C61</f>
        <v>1.3574660633484163E-2</v>
      </c>
      <c r="D40" s="261">
        <f>'Data Sheet'!D62/'Data Sheet'!D61</f>
        <v>0.17124257005377866</v>
      </c>
      <c r="E40" s="261">
        <f>'Data Sheet'!E62/'Data Sheet'!E61</f>
        <v>0.13465435712677326</v>
      </c>
      <c r="F40" s="261">
        <f>'Data Sheet'!F62/'Data Sheet'!F61</f>
        <v>1.6309204647006255E-2</v>
      </c>
      <c r="G40" s="261">
        <f>'Data Sheet'!G62/'Data Sheet'!G61</f>
        <v>0.52480916030534353</v>
      </c>
      <c r="H40" s="261">
        <f>'Data Sheet'!H62/'Data Sheet'!H61</f>
        <v>0.52104050049390849</v>
      </c>
      <c r="I40" s="261">
        <f>'Data Sheet'!I62/'Data Sheet'!I61</f>
        <v>0.46598325427398046</v>
      </c>
      <c r="J40" s="261">
        <f>'Data Sheet'!J62/'Data Sheet'!J61</f>
        <v>0.36636624894918968</v>
      </c>
      <c r="K40" s="261">
        <f>'Data Sheet'!K62/'Data Sheet'!K61</f>
        <v>0.43635079515842279</v>
      </c>
      <c r="L40" s="261"/>
      <c r="M40" s="269">
        <f t="shared" ref="M40:M52" si="9">AVERAGE(I40:K40)</f>
        <v>0.42290009946053098</v>
      </c>
      <c r="N40" s="269">
        <f t="shared" ref="N40:N52" si="10">AVERAGE(G40:K40)</f>
        <v>0.46290999183616899</v>
      </c>
      <c r="O40" s="269">
        <f t="shared" ref="O40:O52" si="11">AVERAGE(B40:K40)</f>
        <v>0.26642371991766528</v>
      </c>
    </row>
    <row r="41" spans="1:15" x14ac:dyDescent="0.2">
      <c r="A41" s="246" t="s">
        <v>499</v>
      </c>
      <c r="B41" s="261" t="e">
        <f>('Data Sheet'!B62+'Data Sheet'!B26)/'Data Sheet'!B17</f>
        <v>#DIV/0!</v>
      </c>
      <c r="C41" s="261" t="e">
        <f>('Data Sheet'!C62+'Data Sheet'!C26)/'Data Sheet'!C17</f>
        <v>#DIV/0!</v>
      </c>
      <c r="D41" s="261">
        <f>('Data Sheet'!D62+'Data Sheet'!D26)/'Data Sheet'!D17</f>
        <v>0.4129901960784314</v>
      </c>
      <c r="E41" s="261">
        <f>('Data Sheet'!E62+'Data Sheet'!E26)/'Data Sheet'!E17</f>
        <v>0.321937321937322</v>
      </c>
      <c r="F41" s="261">
        <f>('Data Sheet'!F62+'Data Sheet'!F26)/'Data Sheet'!F17</f>
        <v>5.8756199923693249E-2</v>
      </c>
      <c r="G41" s="261">
        <f>('Data Sheet'!G62+'Data Sheet'!G26)/'Data Sheet'!G17</f>
        <v>1.2837040399455288</v>
      </c>
      <c r="H41" s="261">
        <f>('Data Sheet'!H62+'Data Sheet'!H26)/'Data Sheet'!H17</f>
        <v>0.70676812174609538</v>
      </c>
      <c r="I41" s="261">
        <f>('Data Sheet'!I62+'Data Sheet'!I26)/'Data Sheet'!I17</f>
        <v>0.6126576692531166</v>
      </c>
      <c r="J41" s="261">
        <f>('Data Sheet'!J62+'Data Sheet'!J26)/'Data Sheet'!J17</f>
        <v>0.38028542226596512</v>
      </c>
      <c r="K41" s="261">
        <f>('Data Sheet'!K62+'Data Sheet'!K26)/'Data Sheet'!K17</f>
        <v>0.45161556214968673</v>
      </c>
      <c r="L41" s="261"/>
      <c r="M41" s="269">
        <f t="shared" si="9"/>
        <v>0.48151955122292284</v>
      </c>
      <c r="N41" s="269">
        <f t="shared" si="10"/>
        <v>0.68700616307207851</v>
      </c>
      <c r="O41" s="269" t="e">
        <f t="shared" si="11"/>
        <v>#DIV/0!</v>
      </c>
    </row>
    <row r="42" spans="1:15" x14ac:dyDescent="0.2">
      <c r="A42" s="246" t="s">
        <v>500</v>
      </c>
      <c r="B42" s="261" t="e">
        <f>('Data Sheet'!B62)/'Data Sheet'!B17</f>
        <v>#DIV/0!</v>
      </c>
      <c r="C42" s="261" t="e">
        <f>('Data Sheet'!C62)/'Data Sheet'!C17</f>
        <v>#DIV/0!</v>
      </c>
      <c r="D42" s="261">
        <f>('Data Sheet'!D62)/'Data Sheet'!D17</f>
        <v>0.37071078431372545</v>
      </c>
      <c r="E42" s="261">
        <f>('Data Sheet'!E62)/'Data Sheet'!E17</f>
        <v>0.28395061728395066</v>
      </c>
      <c r="F42" s="261">
        <f>('Data Sheet'!F62)/'Data Sheet'!F17</f>
        <v>2.785196489889355E-2</v>
      </c>
      <c r="G42" s="261">
        <f>('Data Sheet'!G62)/'Data Sheet'!G17</f>
        <v>1.1858828869723104</v>
      </c>
      <c r="H42" s="261">
        <f>('Data Sheet'!H62)/'Data Sheet'!H17</f>
        <v>0.633720464557469</v>
      </c>
      <c r="I42" s="261">
        <f>('Data Sheet'!I62)/'Data Sheet'!I17</f>
        <v>0.53826352370095243</v>
      </c>
      <c r="J42" s="261">
        <f>('Data Sheet'!J62)/'Data Sheet'!J17</f>
        <v>0.3546958398001287</v>
      </c>
      <c r="K42" s="261">
        <f>('Data Sheet'!K62)/'Data Sheet'!K17</f>
        <v>0.42195374687956289</v>
      </c>
      <c r="L42" s="261"/>
      <c r="M42" s="269">
        <f t="shared" si="9"/>
        <v>0.43830437012688134</v>
      </c>
      <c r="N42" s="269">
        <f t="shared" si="10"/>
        <v>0.62690329238208464</v>
      </c>
      <c r="O42" s="269" t="e">
        <f t="shared" si="11"/>
        <v>#DIV/0!</v>
      </c>
    </row>
    <row r="43" spans="1:15" x14ac:dyDescent="0.2">
      <c r="A43" s="246" t="s">
        <v>544</v>
      </c>
      <c r="C43" s="261">
        <f>C13/'Data Sheet'!C61</f>
        <v>-3.0165912518853701E-3</v>
      </c>
      <c r="D43" s="261">
        <f>D13/'Data Sheet'!D61</f>
        <v>0.5445796773280499</v>
      </c>
      <c r="E43" s="261">
        <f>E13/'Data Sheet'!E61</f>
        <v>0.10290475118216619</v>
      </c>
      <c r="F43" s="261">
        <f>F13/'Data Sheet'!F61</f>
        <v>-7.5737265415549579E-2</v>
      </c>
      <c r="G43" s="261">
        <f>G13/'Data Sheet'!G61</f>
        <v>0.58186018481317803</v>
      </c>
      <c r="H43" s="261">
        <f>H13/'Data Sheet'!H61</f>
        <v>0.23911755021402703</v>
      </c>
      <c r="I43" s="261">
        <f>I13/'Data Sheet'!I61</f>
        <v>0.27286619337174878</v>
      </c>
      <c r="J43" s="261">
        <f>J13/'Data Sheet'!J61</f>
        <v>0.11170847099763445</v>
      </c>
      <c r="K43" s="261">
        <f>K13/'Data Sheet'!K61</f>
        <v>0.24776551959280091</v>
      </c>
      <c r="L43" s="261"/>
      <c r="M43" s="269">
        <f t="shared" si="9"/>
        <v>0.21078006132072805</v>
      </c>
      <c r="N43" s="269">
        <f t="shared" si="10"/>
        <v>0.29066358379787782</v>
      </c>
      <c r="O43" s="269">
        <f t="shared" si="11"/>
        <v>0.22467205453690781</v>
      </c>
    </row>
    <row r="44" spans="1:15" x14ac:dyDescent="0.2">
      <c r="A44" s="252" t="s">
        <v>501</v>
      </c>
      <c r="C44" s="261">
        <f>C13/('Data Sheet'!C62+'Data Sheet'!C26)</f>
        <v>-0.22222222222222227</v>
      </c>
      <c r="D44" s="261">
        <f>D13/('Data Sheet'!D62+'Data Sheet'!D26)</f>
        <v>2.8545994065281901</v>
      </c>
      <c r="E44" s="261">
        <f>E13/('Data Sheet'!E62+'Data Sheet'!E26)</f>
        <v>0.67404129793510326</v>
      </c>
      <c r="F44" s="261">
        <f>F13/('Data Sheet'!F62+'Data Sheet'!F26)</f>
        <v>-2.2012987012987009</v>
      </c>
      <c r="G44" s="261">
        <f>G13/('Data Sheet'!G62+'Data Sheet'!G26)</f>
        <v>1.0242220650636493</v>
      </c>
      <c r="H44" s="261">
        <f>H13/('Data Sheet'!H62+'Data Sheet'!H26)</f>
        <v>0.4114913871260199</v>
      </c>
      <c r="I44" s="261">
        <f>I13/('Data Sheet'!I62+'Data Sheet'!I26)</f>
        <v>0.51446578631452589</v>
      </c>
      <c r="J44" s="261">
        <f>J13/('Data Sheet'!J62+'Data Sheet'!J26)</f>
        <v>0.28439179773043993</v>
      </c>
      <c r="K44" s="261">
        <f>K13/('Data Sheet'!K62+'Data Sheet'!K26)</f>
        <v>0.53051912497066722</v>
      </c>
      <c r="L44" s="261"/>
      <c r="M44" s="269">
        <f t="shared" si="9"/>
        <v>0.44312556967187772</v>
      </c>
      <c r="N44" s="269">
        <f t="shared" si="10"/>
        <v>0.5530180322410605</v>
      </c>
      <c r="O44" s="269">
        <f t="shared" si="11"/>
        <v>0.43002332690529688</v>
      </c>
    </row>
    <row r="45" spans="1:15" x14ac:dyDescent="0.2">
      <c r="A45" s="252" t="s">
        <v>502</v>
      </c>
      <c r="C45" s="265">
        <f>C13/'Data Sheet'!C62</f>
        <v>-0.22222222222222227</v>
      </c>
      <c r="D45" s="261">
        <f>D13/'Data Sheet'!D62</f>
        <v>3.1801652892561987</v>
      </c>
      <c r="E45" s="261">
        <f>E13/'Data Sheet'!E62</f>
        <v>0.76421404682274252</v>
      </c>
      <c r="F45" s="261">
        <f>F13/'Data Sheet'!F62</f>
        <v>-4.6438356164383556</v>
      </c>
      <c r="G45" s="265">
        <f>G13/'Data Sheet'!G62</f>
        <v>1.1087081339712921</v>
      </c>
      <c r="H45" s="265">
        <f>H13/'Data Sheet'!H62</f>
        <v>0.45892315470171891</v>
      </c>
      <c r="I45" s="265">
        <f>I13/'Data Sheet'!I62</f>
        <v>0.58557081369133024</v>
      </c>
      <c r="J45" s="265">
        <f>J13/'Data Sheet'!J62</f>
        <v>0.30490928495197439</v>
      </c>
      <c r="K45" s="265">
        <f>K13/'Data Sheet'!K62</f>
        <v>0.56781269185689565</v>
      </c>
      <c r="L45" s="265"/>
      <c r="M45" s="269">
        <f t="shared" si="9"/>
        <v>0.48609759683340004</v>
      </c>
      <c r="N45" s="269">
        <f t="shared" si="10"/>
        <v>0.60518481583464223</v>
      </c>
      <c r="O45" s="269">
        <f t="shared" si="11"/>
        <v>0.23380506406573051</v>
      </c>
    </row>
    <row r="46" spans="1:15" x14ac:dyDescent="0.2">
      <c r="A46" s="252" t="s">
        <v>545</v>
      </c>
      <c r="B46" s="261">
        <f>('Data Sheet'!B62+'Data Sheet'!B26)/'Data Sheet'!B66</f>
        <v>1.3906447534766119E-2</v>
      </c>
      <c r="C46" s="261">
        <f>('Data Sheet'!C62+'Data Sheet'!C26)/'Data Sheet'!C66</f>
        <v>1.3574660633484163E-2</v>
      </c>
      <c r="D46" s="261">
        <f>('Data Sheet'!D62+'Data Sheet'!D26)/'Data Sheet'!D66</f>
        <v>0.19077271440701954</v>
      </c>
      <c r="E46" s="261">
        <f>('Data Sheet'!E62+'Data Sheet'!E26)/'Data Sheet'!E66</f>
        <v>0.15266831794640848</v>
      </c>
      <c r="F46" s="261">
        <f>('Data Sheet'!F62+'Data Sheet'!F26)/'Data Sheet'!F66</f>
        <v>3.4405719392314571E-2</v>
      </c>
      <c r="G46" s="261">
        <f>('Data Sheet'!G62+'Data Sheet'!G26)/'Data Sheet'!G66</f>
        <v>0.56809963840899957</v>
      </c>
      <c r="H46" s="261">
        <f>('Data Sheet'!H62+'Data Sheet'!H26)/'Data Sheet'!H66</f>
        <v>0.58109976950938436</v>
      </c>
      <c r="I46" s="261">
        <f>('Data Sheet'!I62+'Data Sheet'!I26)/'Data Sheet'!I66</f>
        <v>0.53038744388908343</v>
      </c>
      <c r="J46" s="261">
        <f>('Data Sheet'!J62+'Data Sheet'!J26)/'Data Sheet'!J66</f>
        <v>0.39279779476452076</v>
      </c>
      <c r="K46" s="261">
        <f>('Data Sheet'!K62+'Data Sheet'!K26)/'Data Sheet'!K66</f>
        <v>0.46702467061201625</v>
      </c>
      <c r="L46" s="261"/>
      <c r="M46" s="269">
        <f t="shared" si="9"/>
        <v>0.46340330308854011</v>
      </c>
      <c r="N46" s="269">
        <f t="shared" si="10"/>
        <v>0.50788186343680086</v>
      </c>
      <c r="O46" s="269">
        <f t="shared" si="11"/>
        <v>0.29447371770979974</v>
      </c>
    </row>
    <row r="47" spans="1:15" x14ac:dyDescent="0.2">
      <c r="A47" s="252" t="s">
        <v>546</v>
      </c>
      <c r="B47" s="261">
        <f>'Data Sheet'!B62/'Data Sheet'!B66</f>
        <v>1.3906447534766119E-2</v>
      </c>
      <c r="C47" s="261">
        <f>'Data Sheet'!C62/'Data Sheet'!C66</f>
        <v>1.3574660633484163E-2</v>
      </c>
      <c r="D47" s="261">
        <f>'Data Sheet'!D62/'Data Sheet'!D66</f>
        <v>0.17124257005377866</v>
      </c>
      <c r="E47" s="261">
        <f>'Data Sheet'!E62/'Data Sheet'!E66</f>
        <v>0.13465435712677326</v>
      </c>
      <c r="F47" s="261">
        <f>'Data Sheet'!F62/'Data Sheet'!F66</f>
        <v>1.6309204647006255E-2</v>
      </c>
      <c r="G47" s="261">
        <f>'Data Sheet'!G62/'Data Sheet'!G66</f>
        <v>0.52480916030534353</v>
      </c>
      <c r="H47" s="261">
        <f>'Data Sheet'!H62/'Data Sheet'!H66</f>
        <v>0.52104050049390849</v>
      </c>
      <c r="I47" s="261">
        <f>'Data Sheet'!I62/'Data Sheet'!I66</f>
        <v>0.46598325427398046</v>
      </c>
      <c r="J47" s="261">
        <f>'Data Sheet'!J62/'Data Sheet'!J66</f>
        <v>0.36636624894918968</v>
      </c>
      <c r="K47" s="261">
        <f>'Data Sheet'!K62/'Data Sheet'!K66</f>
        <v>0.43635079515842279</v>
      </c>
      <c r="L47" s="261"/>
      <c r="M47" s="269">
        <f t="shared" si="9"/>
        <v>0.42290009946053098</v>
      </c>
      <c r="N47" s="269">
        <f t="shared" si="10"/>
        <v>0.46290999183616899</v>
      </c>
      <c r="O47" s="269">
        <f t="shared" si="11"/>
        <v>0.26642371991766528</v>
      </c>
    </row>
    <row r="48" spans="1:15" x14ac:dyDescent="0.2">
      <c r="A48" s="246" t="s">
        <v>547</v>
      </c>
      <c r="B48" s="261">
        <f>'Data Sheet'!B64/'Data Sheet'!B61</f>
        <v>8.9759797724399487E-2</v>
      </c>
      <c r="C48" s="261">
        <f>'Data Sheet'!C64/'Data Sheet'!C61</f>
        <v>0</v>
      </c>
      <c r="D48" s="261">
        <f>'Data Sheet'!D64/'Data Sheet'!D61</f>
        <v>0</v>
      </c>
      <c r="E48" s="261">
        <f>'Data Sheet'!E64/'Data Sheet'!E61</f>
        <v>0</v>
      </c>
      <c r="F48" s="261">
        <f>'Data Sheet'!F64/'Data Sheet'!F61</f>
        <v>0</v>
      </c>
      <c r="G48" s="261">
        <f>'Data Sheet'!G64/'Data Sheet'!G61</f>
        <v>0</v>
      </c>
      <c r="H48" s="261">
        <f>'Data Sheet'!H64/'Data Sheet'!H61</f>
        <v>0</v>
      </c>
      <c r="I48" s="261">
        <f>'Data Sheet'!I64/'Data Sheet'!I61</f>
        <v>0</v>
      </c>
      <c r="J48" s="261">
        <f>'Data Sheet'!J64/'Data Sheet'!J61</f>
        <v>0</v>
      </c>
      <c r="K48" s="261">
        <f>'Data Sheet'!K64/'Data Sheet'!K61</f>
        <v>0</v>
      </c>
      <c r="L48" s="261"/>
      <c r="M48" s="269">
        <f t="shared" si="9"/>
        <v>0</v>
      </c>
      <c r="N48" s="269">
        <f t="shared" si="10"/>
        <v>0</v>
      </c>
      <c r="O48" s="269">
        <f t="shared" si="11"/>
        <v>8.9759797724399491E-3</v>
      </c>
    </row>
    <row r="49" spans="1:15" x14ac:dyDescent="0.2">
      <c r="A49" s="246" t="s">
        <v>548</v>
      </c>
      <c r="B49" s="261">
        <f>'Data Sheet'!B65/'Data Sheet'!B61</f>
        <v>0.89633375474083432</v>
      </c>
      <c r="C49" s="261">
        <f>'Data Sheet'!C65/'Data Sheet'!C61</f>
        <v>0.98642533936651589</v>
      </c>
      <c r="D49" s="261">
        <f>'Data Sheet'!D65/'Data Sheet'!D61</f>
        <v>0.47240305689215972</v>
      </c>
      <c r="E49" s="261">
        <f>'Data Sheet'!E65/'Data Sheet'!E61</f>
        <v>0.49538392253996849</v>
      </c>
      <c r="F49" s="261">
        <f>'Data Sheet'!F65/'Data Sheet'!F61</f>
        <v>0.59316353887399464</v>
      </c>
      <c r="G49" s="261">
        <f>'Data Sheet'!G65/'Data Sheet'!G61</f>
        <v>0.27852551225391725</v>
      </c>
      <c r="H49" s="261">
        <f>'Data Sheet'!H65/'Data Sheet'!H61</f>
        <v>0.34790912084293713</v>
      </c>
      <c r="I49" s="261">
        <f>'Data Sheet'!I65/'Data Sheet'!I61</f>
        <v>0.47629811212632517</v>
      </c>
      <c r="J49" s="261">
        <f>'Data Sheet'!J65/'Data Sheet'!J61</f>
        <v>0.59312623409122012</v>
      </c>
      <c r="K49" s="261">
        <f>'Data Sheet'!K65/'Data Sheet'!K61</f>
        <v>0.5294805289690947</v>
      </c>
      <c r="L49" s="261"/>
      <c r="M49" s="269">
        <f t="shared" si="9"/>
        <v>0.53296829172887994</v>
      </c>
      <c r="N49" s="269">
        <f t="shared" si="10"/>
        <v>0.44506790165669885</v>
      </c>
      <c r="O49" s="269">
        <f t="shared" si="11"/>
        <v>0.56690491206969673</v>
      </c>
    </row>
    <row r="50" spans="1:15" x14ac:dyDescent="0.2">
      <c r="A50" s="246" t="s">
        <v>549</v>
      </c>
      <c r="B50" s="261">
        <f>'Data Sheet'!B63/'Data Sheet'!B61</f>
        <v>0</v>
      </c>
      <c r="C50" s="261">
        <f>'Data Sheet'!C63/'Data Sheet'!C61</f>
        <v>0</v>
      </c>
      <c r="D50" s="261">
        <f>'Data Sheet'!D63/'Data Sheet'!D61</f>
        <v>0.3563543730540617</v>
      </c>
      <c r="E50" s="261">
        <f>'Data Sheet'!E63/'Data Sheet'!E61</f>
        <v>0.3699617203332583</v>
      </c>
      <c r="F50" s="261">
        <f>'Data Sheet'!F63/'Data Sheet'!F61</f>
        <v>0.39052725647899911</v>
      </c>
      <c r="G50" s="261">
        <f>'Data Sheet'!G63/'Data Sheet'!G61</f>
        <v>0.19666532744073922</v>
      </c>
      <c r="H50" s="261">
        <f>'Data Sheet'!H63/'Data Sheet'!H61</f>
        <v>0.13105037866315442</v>
      </c>
      <c r="I50" s="261">
        <f>'Data Sheet'!I63/'Data Sheet'!I61</f>
        <v>5.7718633599694369E-2</v>
      </c>
      <c r="J50" s="261">
        <f>'Data Sheet'!J63/'Data Sheet'!J61</f>
        <v>4.0507516959590234E-2</v>
      </c>
      <c r="K50" s="261">
        <f>'Data Sheet'!K63/'Data Sheet'!K61</f>
        <v>3.4168675872482401E-2</v>
      </c>
      <c r="L50" s="261"/>
      <c r="M50" s="269">
        <f t="shared" si="9"/>
        <v>4.4131608810589001E-2</v>
      </c>
      <c r="N50" s="269">
        <f t="shared" si="10"/>
        <v>9.2022106507132134E-2</v>
      </c>
      <c r="O50" s="269">
        <f t="shared" si="11"/>
        <v>0.15769538824019802</v>
      </c>
    </row>
    <row r="51" spans="1:15" x14ac:dyDescent="0.2">
      <c r="A51" s="252" t="s">
        <v>503</v>
      </c>
      <c r="B51" s="261">
        <f>'Data Sheet'!B63/('Data Sheet'!B62+'Data Sheet'!B26)</f>
        <v>0</v>
      </c>
      <c r="C51" s="261">
        <f>'Data Sheet'!C63/('Data Sheet'!C62+'Data Sheet'!C26)</f>
        <v>0</v>
      </c>
      <c r="D51" s="261">
        <f>'Data Sheet'!D63/('Data Sheet'!D62+'Data Sheet'!D26)</f>
        <v>1.8679525222551927</v>
      </c>
      <c r="E51" s="261">
        <f>'Data Sheet'!E63/('Data Sheet'!E62+'Data Sheet'!E26)</f>
        <v>2.4233038348082596</v>
      </c>
      <c r="F51" s="261">
        <f>'Data Sheet'!F63/('Data Sheet'!F62+'Data Sheet'!F26)</f>
        <v>11.35064935064935</v>
      </c>
      <c r="G51" s="261">
        <f>'Data Sheet'!G63/('Data Sheet'!G62+'Data Sheet'!G26)</f>
        <v>0.34618104667609612</v>
      </c>
      <c r="H51" s="261">
        <f>'Data Sheet'!H63/('Data Sheet'!H62+'Data Sheet'!H26)</f>
        <v>0.22552130553037167</v>
      </c>
      <c r="I51" s="261">
        <f>'Data Sheet'!I63/('Data Sheet'!I62+'Data Sheet'!I26)</f>
        <v>0.10882352941176471</v>
      </c>
      <c r="J51" s="261">
        <f>'Data Sheet'!J63/('Data Sheet'!J62+'Data Sheet'!J26)</f>
        <v>0.10312562213816442</v>
      </c>
      <c r="K51" s="261">
        <f>'Data Sheet'!K63/('Data Sheet'!K62+'Data Sheet'!K26)</f>
        <v>7.3162464474747738E-2</v>
      </c>
      <c r="L51" s="261"/>
      <c r="M51" s="269">
        <f t="shared" si="9"/>
        <v>9.5037205341558961E-2</v>
      </c>
      <c r="N51" s="269">
        <f t="shared" si="10"/>
        <v>0.17136279364622892</v>
      </c>
      <c r="O51" s="269">
        <f t="shared" si="11"/>
        <v>1.6498719675943949</v>
      </c>
    </row>
    <row r="52" spans="1:15" x14ac:dyDescent="0.2">
      <c r="A52" s="252" t="s">
        <v>504</v>
      </c>
      <c r="B52" s="265">
        <f>'Data Sheet'!B63/'Data Sheet'!B62</f>
        <v>0</v>
      </c>
      <c r="C52" s="265">
        <f>'Data Sheet'!C63/'Data Sheet'!C62</f>
        <v>0</v>
      </c>
      <c r="D52" s="261">
        <f>'Data Sheet'!D63/'Data Sheet'!D62</f>
        <v>2.0809917355371903</v>
      </c>
      <c r="E52" s="261">
        <f>'Data Sheet'!E63/'Data Sheet'!E62</f>
        <v>2.7474916387959865</v>
      </c>
      <c r="F52" s="261">
        <f>'Data Sheet'!F63/'Data Sheet'!F62</f>
        <v>23.945205479452056</v>
      </c>
      <c r="G52" s="261">
        <f>'Data Sheet'!G63/'Data Sheet'!G62</f>
        <v>0.37473684210526315</v>
      </c>
      <c r="H52" s="265">
        <f>'Data Sheet'!H63/'Data Sheet'!H62</f>
        <v>0.25151668351870571</v>
      </c>
      <c r="I52" s="265">
        <f>'Data Sheet'!I63/'Data Sheet'!I62</f>
        <v>0.12386417981826876</v>
      </c>
      <c r="J52" s="261">
        <f>'Data Sheet'!J63/'Data Sheet'!J62</f>
        <v>0.11056563500533617</v>
      </c>
      <c r="K52" s="261">
        <f>'Data Sheet'!K63/'Data Sheet'!K62</f>
        <v>7.8305519897304235E-2</v>
      </c>
      <c r="L52" s="261"/>
      <c r="M52" s="269">
        <f t="shared" si="9"/>
        <v>0.10424511157363638</v>
      </c>
      <c r="N52" s="269">
        <f t="shared" si="10"/>
        <v>0.1877977720689756</v>
      </c>
      <c r="O52" s="269">
        <f t="shared" si="11"/>
        <v>2.9712677714130113</v>
      </c>
    </row>
    <row r="53" spans="1:15" x14ac:dyDescent="0.2">
      <c r="A53" s="249" t="s">
        <v>505</v>
      </c>
    </row>
    <row r="54" spans="1:15" x14ac:dyDescent="0.2">
      <c r="A54" s="252" t="s">
        <v>506</v>
      </c>
      <c r="B54" s="260">
        <f>'Data Sheet'!B59/('Data Sheet'!B57+'Data Sheet'!B58)</f>
        <v>0.203416149068323</v>
      </c>
      <c r="C54" s="260">
        <f>'Data Sheet'!C59/('Data Sheet'!C57+'Data Sheet'!C58)</f>
        <v>0</v>
      </c>
      <c r="D54" s="260">
        <f>'Data Sheet'!D59/('Data Sheet'!D57+'Data Sheet'!D58)</f>
        <v>5.1715804736587725E-2</v>
      </c>
      <c r="E54" s="260">
        <f>'Data Sheet'!E59/('Data Sheet'!E57+'Data Sheet'!E58)</f>
        <v>0.11485691885535085</v>
      </c>
      <c r="F54" s="260">
        <f>'Data Sheet'!F59/('Data Sheet'!F57+'Data Sheet'!F58)</f>
        <v>7.6476984414642984E-2</v>
      </c>
      <c r="G54" s="260">
        <f>'Data Sheet'!G59/('Data Sheet'!G57+'Data Sheet'!G58)</f>
        <v>6.096774193548387E-2</v>
      </c>
      <c r="H54" s="260">
        <f>'Data Sheet'!H59/('Data Sheet'!H57+'Data Sheet'!H58)</f>
        <v>7.0154339547003411E-4</v>
      </c>
      <c r="I54" s="260">
        <f>'Data Sheet'!I59/('Data Sheet'!I57+'Data Sheet'!I58)</f>
        <v>1.3303986304719982E-2</v>
      </c>
      <c r="J54" s="260">
        <f>'Data Sheet'!J59/('Data Sheet'!J57+'Data Sheet'!J58)</f>
        <v>0.12748867010470386</v>
      </c>
      <c r="K54" s="270">
        <f>'Data Sheet'!K59/('Data Sheet'!K57+'Data Sheet'!K58)</f>
        <v>0.1760944817756058</v>
      </c>
      <c r="L54" s="270"/>
      <c r="M54" s="260">
        <f t="shared" ref="M54:M65" si="12">AVERAGE(I54:K54)</f>
        <v>0.10562904606167656</v>
      </c>
      <c r="N54" s="260">
        <f t="shared" ref="N54:N65" si="13">AVERAGE(G54:K54)</f>
        <v>7.5711284703196699E-2</v>
      </c>
      <c r="O54" s="260">
        <f t="shared" ref="O54:O65" si="14">AVERAGE(B54:K54)</f>
        <v>8.2502228059088814E-2</v>
      </c>
    </row>
    <row r="55" spans="1:15" x14ac:dyDescent="0.2">
      <c r="A55" s="252" t="s">
        <v>267</v>
      </c>
      <c r="B55" s="260">
        <f>'Data Sheet'!B65/'Data Sheet'!B60</f>
        <v>44.3125</v>
      </c>
      <c r="C55" s="260">
        <f>'Data Sheet'!C65/'Data Sheet'!C60</f>
        <v>43.6</v>
      </c>
      <c r="D55" s="260">
        <f>'Data Sheet'!D65/'Data Sheet'!D60</f>
        <v>1.2299189388356671</v>
      </c>
      <c r="E55" s="260">
        <f>'Data Sheet'!E65/'Data Sheet'!E60</f>
        <v>1.3775829680651221</v>
      </c>
      <c r="F55" s="260">
        <f>'Data Sheet'!F65/'Data Sheet'!F60</f>
        <v>1.7629482071713147</v>
      </c>
      <c r="G55" s="260">
        <f>'Data Sheet'!G65/'Data Sheet'!G60</f>
        <v>0.82089994079336881</v>
      </c>
      <c r="H55" s="260">
        <f>'Data Sheet'!H65/'Data Sheet'!H60</f>
        <v>1.0159615384615384</v>
      </c>
      <c r="I55" s="260">
        <f>'Data Sheet'!I65/'Data Sheet'!I60</f>
        <v>1.3990087899756876</v>
      </c>
      <c r="J55" s="260">
        <f>'Data Sheet'!J65/'Data Sheet'!J60</f>
        <v>2.012270345559461</v>
      </c>
      <c r="K55" s="270">
        <f>'Data Sheet'!K65/'Data Sheet'!K60</f>
        <v>1.7846823181743556</v>
      </c>
      <c r="L55" s="270"/>
      <c r="M55" s="260">
        <f t="shared" si="12"/>
        <v>1.7319871512365015</v>
      </c>
      <c r="N55" s="260">
        <f t="shared" si="13"/>
        <v>1.4065645865928822</v>
      </c>
      <c r="O55" s="260">
        <f t="shared" si="14"/>
        <v>9.9315773047036515</v>
      </c>
    </row>
    <row r="56" spans="1:15" x14ac:dyDescent="0.2">
      <c r="A56" s="252" t="s">
        <v>507</v>
      </c>
      <c r="B56" s="260" t="e">
        <f>('Data Sheet'!B27+'Data Sheet'!B28)/'Data Sheet'!B27</f>
        <v>#DIV/0!</v>
      </c>
      <c r="C56" s="260" t="e">
        <f>('Data Sheet'!C27+'Data Sheet'!C28)/'Data Sheet'!C27</f>
        <v>#DIV/0!</v>
      </c>
      <c r="D56" s="260">
        <f>('Data Sheet'!D27+'Data Sheet'!D28)/'Data Sheet'!D27</f>
        <v>128</v>
      </c>
      <c r="E56" s="260">
        <f>('Data Sheet'!E27+'Data Sheet'!E28)/'Data Sheet'!E27</f>
        <v>85.199999999999989</v>
      </c>
      <c r="F56" s="260">
        <f>('Data Sheet'!F27+'Data Sheet'!F28)/'Data Sheet'!F27</f>
        <v>27.647058823529409</v>
      </c>
      <c r="G56" s="260">
        <f>('Data Sheet'!G27+'Data Sheet'!G28)/'Data Sheet'!G27</f>
        <v>25.756756756756754</v>
      </c>
      <c r="H56" s="260">
        <f>('Data Sheet'!H27+'Data Sheet'!H28)/'Data Sheet'!H27</f>
        <v>65.422222222222217</v>
      </c>
      <c r="I56" s="260">
        <f>('Data Sheet'!I27+'Data Sheet'!I28)/'Data Sheet'!I27</f>
        <v>326.1904761904762</v>
      </c>
      <c r="J56" s="260">
        <f>('Data Sheet'!J27+'Data Sheet'!J28)/'Data Sheet'!J27</f>
        <v>104.98780487804878</v>
      </c>
      <c r="K56" s="270">
        <f>('Data Sheet'!K27+'Data Sheet'!K28)/'Data Sheet'!K27</f>
        <v>25.950281425891188</v>
      </c>
      <c r="L56" s="270"/>
      <c r="M56" s="260">
        <f t="shared" si="12"/>
        <v>152.37618749813873</v>
      </c>
      <c r="N56" s="260">
        <f t="shared" si="13"/>
        <v>109.66150829467901</v>
      </c>
      <c r="O56" s="260" t="e">
        <f t="shared" si="14"/>
        <v>#DIV/0!</v>
      </c>
    </row>
    <row r="57" spans="1:15" x14ac:dyDescent="0.2">
      <c r="A57" s="252" t="s">
        <v>508</v>
      </c>
      <c r="B57" s="260">
        <f>'Data Sheet'!B61/('Data Sheet'!B57+'Data Sheet'!B58)</f>
        <v>1.2282608695652175</v>
      </c>
      <c r="C57" s="260">
        <f>'Data Sheet'!C61/('Data Sheet'!C57+'Data Sheet'!C58)</f>
        <v>1.0231481481481481</v>
      </c>
      <c r="D57" s="260">
        <f>'Data Sheet'!D61/('Data Sheet'!D57+'Data Sheet'!D58)</f>
        <v>1.7075882068632187</v>
      </c>
      <c r="E57" s="260">
        <f>'Data Sheet'!E61/('Data Sheet'!E57+'Data Sheet'!E58)</f>
        <v>1.7408859270874164</v>
      </c>
      <c r="F57" s="260">
        <f>'Data Sheet'!F61/('Data Sheet'!F57+'Data Sheet'!F58)</f>
        <v>1.6223269300471184</v>
      </c>
      <c r="G57" s="260">
        <f>'Data Sheet'!G61/('Data Sheet'!G57+'Data Sheet'!G58)</f>
        <v>1.6058064516129034</v>
      </c>
      <c r="H57" s="260">
        <f>'Data Sheet'!H61/('Data Sheet'!H57+'Data Sheet'!H58)</f>
        <v>1.521848065744638</v>
      </c>
      <c r="I57" s="260">
        <f>'Data Sheet'!I61/('Data Sheet'!I57+'Data Sheet'!I58)</f>
        <v>1.53636585962338</v>
      </c>
      <c r="J57" s="260">
        <f>'Data Sheet'!J61/('Data Sheet'!J57+'Data Sheet'!J58)</f>
        <v>1.5987185497734022</v>
      </c>
      <c r="K57" s="270">
        <f>'Data Sheet'!K61/('Data Sheet'!K57+'Data Sheet'!K58)</f>
        <v>1.6722052535125231</v>
      </c>
      <c r="L57" s="270"/>
      <c r="M57" s="260">
        <f t="shared" si="12"/>
        <v>1.6024298876364351</v>
      </c>
      <c r="N57" s="260">
        <f t="shared" si="13"/>
        <v>1.5869888360533693</v>
      </c>
      <c r="O57" s="260">
        <f t="shared" si="14"/>
        <v>1.5257154261977965</v>
      </c>
    </row>
    <row r="58" spans="1:15" x14ac:dyDescent="0.2">
      <c r="A58" s="252" t="s">
        <v>509</v>
      </c>
      <c r="B58" s="260">
        <f>('Data Sheet'!B65-'Data Sheet'!B68)/'Data Sheet'!B60</f>
        <v>44.3125</v>
      </c>
      <c r="C58" s="260">
        <f>('Data Sheet'!C65-'Data Sheet'!C68)/'Data Sheet'!C60</f>
        <v>43.6</v>
      </c>
      <c r="D58" s="260">
        <f>('Data Sheet'!D65-'Data Sheet'!D68)/'Data Sheet'!D60</f>
        <v>1.2299189388356671</v>
      </c>
      <c r="E58" s="260">
        <f>('Data Sheet'!E65-'Data Sheet'!E68)/'Data Sheet'!E60</f>
        <v>1.3775829680651221</v>
      </c>
      <c r="F58" s="260">
        <f>('Data Sheet'!F65-'Data Sheet'!F68)/'Data Sheet'!F60</f>
        <v>1.7629482071713147</v>
      </c>
      <c r="G58" s="260">
        <f>('Data Sheet'!G65-'Data Sheet'!G68)/'Data Sheet'!G60</f>
        <v>0.82089994079336881</v>
      </c>
      <c r="H58" s="260">
        <f>('Data Sheet'!H65-'Data Sheet'!H68)/'Data Sheet'!H60</f>
        <v>1.0159615384615384</v>
      </c>
      <c r="I58" s="260">
        <f>('Data Sheet'!I65-'Data Sheet'!I68)/'Data Sheet'!I60</f>
        <v>1.3990087899756876</v>
      </c>
      <c r="J58" s="260">
        <f>('Data Sheet'!J65-'Data Sheet'!J68)/'Data Sheet'!J60</f>
        <v>2.012270345559461</v>
      </c>
      <c r="K58" s="270">
        <f>('Data Sheet'!K65-'Data Sheet'!K68)/'Data Sheet'!K60</f>
        <v>1.7846823181743556</v>
      </c>
      <c r="L58" s="270"/>
      <c r="M58" s="260">
        <f t="shared" si="12"/>
        <v>1.7319871512365015</v>
      </c>
      <c r="N58" s="260">
        <f t="shared" si="13"/>
        <v>1.4065645865928822</v>
      </c>
      <c r="O58" s="260">
        <f t="shared" si="14"/>
        <v>9.9315773047036515</v>
      </c>
    </row>
    <row r="59" spans="1:15" x14ac:dyDescent="0.2">
      <c r="A59" s="252" t="s">
        <v>510</v>
      </c>
      <c r="B59" s="260">
        <f>'Data Sheet'!B82/'Data Sheet'!B60</f>
        <v>0</v>
      </c>
      <c r="C59" s="260">
        <f>'Data Sheet'!C82/'Data Sheet'!C60</f>
        <v>0</v>
      </c>
      <c r="D59" s="260">
        <f>'Data Sheet'!D82/'Data Sheet'!D60</f>
        <v>0.8400884303610906</v>
      </c>
      <c r="E59" s="260">
        <f>'Data Sheet'!E82/'Data Sheet'!E60</f>
        <v>-0.20976831559173451</v>
      </c>
      <c r="F59" s="260">
        <f>'Data Sheet'!F82/'Data Sheet'!F60</f>
        <v>-0.49269588313413015</v>
      </c>
      <c r="G59" s="260">
        <f>'Data Sheet'!G82/'Data Sheet'!G60</f>
        <v>0.35997631734754293</v>
      </c>
      <c r="H59" s="260">
        <f>'Data Sheet'!H82/'Data Sheet'!H60</f>
        <v>0.50153846153846149</v>
      </c>
      <c r="I59" s="260">
        <f>'Data Sheet'!I82/'Data Sheet'!I60</f>
        <v>0.17664110716289508</v>
      </c>
      <c r="J59" s="260">
        <f>'Data Sheet'!J82/'Data Sheet'!J60</f>
        <v>0.47575777674603703</v>
      </c>
      <c r="K59" s="270">
        <f>'Data Sheet'!K82/'Data Sheet'!K60</f>
        <v>0.51346248563454278</v>
      </c>
      <c r="L59" s="270"/>
      <c r="M59" s="260">
        <f t="shared" si="12"/>
        <v>0.38862045651449167</v>
      </c>
      <c r="N59" s="260">
        <f t="shared" si="13"/>
        <v>0.40547522968589583</v>
      </c>
      <c r="O59" s="260">
        <f t="shared" si="14"/>
        <v>0.2165000380064705</v>
      </c>
    </row>
    <row r="60" spans="1:15" x14ac:dyDescent="0.2">
      <c r="A60" s="252" t="s">
        <v>550</v>
      </c>
      <c r="C60" s="261">
        <f>'Data Sheet'!B69/'Data Sheet'!B61</f>
        <v>0</v>
      </c>
      <c r="D60" s="261">
        <f>'Data Sheet'!C69/'Data Sheet'!C61</f>
        <v>1.5082956259426848E-3</v>
      </c>
      <c r="E60" s="261">
        <f>'Data Sheet'!D69/'Data Sheet'!D61</f>
        <v>1.2454005094820267E-2</v>
      </c>
      <c r="F60" s="261">
        <f>'Data Sheet'!E69/'Data Sheet'!E61</f>
        <v>6.6876829542895755E-2</v>
      </c>
      <c r="G60" s="261">
        <f>'Data Sheet'!F69/'Data Sheet'!F61</f>
        <v>3.2394995531724757E-2</v>
      </c>
      <c r="H60" s="261">
        <f>'Data Sheet'!G69/'Data Sheet'!G61</f>
        <v>4.8513459220570508E-2</v>
      </c>
      <c r="I60" s="261">
        <f>'Data Sheet'!H69/'Data Sheet'!H61</f>
        <v>9.7332894303589074E-2</v>
      </c>
      <c r="J60" s="261">
        <f>'Data Sheet'!I69/'Data Sheet'!I61</f>
        <v>9.0923561809557157E-2</v>
      </c>
      <c r="K60" s="261">
        <f>'Data Sheet'!J69/'Data Sheet'!J61</f>
        <v>0.17553909014486521</v>
      </c>
      <c r="L60" s="261"/>
      <c r="M60" s="261">
        <f t="shared" si="12"/>
        <v>0.12126518208600383</v>
      </c>
      <c r="N60" s="261">
        <f t="shared" si="13"/>
        <v>8.894080020206134E-2</v>
      </c>
      <c r="O60" s="261">
        <f t="shared" si="14"/>
        <v>5.8393681252662831E-2</v>
      </c>
    </row>
    <row r="61" spans="1:15" x14ac:dyDescent="0.2">
      <c r="A61" s="246" t="s">
        <v>551</v>
      </c>
      <c r="B61" s="261">
        <f>'Data Sheet'!B69/'Data Sheet'!B59</f>
        <v>0</v>
      </c>
      <c r="C61" s="261" t="e">
        <f>'Data Sheet'!C69/'Data Sheet'!C59</f>
        <v>#DIV/0!</v>
      </c>
      <c r="D61" s="261">
        <f>'Data Sheet'!D69/'Data Sheet'!D59</f>
        <v>0.41121495327102803</v>
      </c>
      <c r="E61" s="261">
        <f>'Data Sheet'!E69/'Data Sheet'!E59</f>
        <v>1.0136518771331058</v>
      </c>
      <c r="F61" s="261">
        <f>'Data Sheet'!F69/'Data Sheet'!F59</f>
        <v>0.6872037914691943</v>
      </c>
      <c r="G61" s="261">
        <f>'Data Sheet'!G69/'Data Sheet'!G59</f>
        <v>1.2777777777777779</v>
      </c>
      <c r="H61" s="261">
        <f>'Data Sheet'!H69/'Data Sheet'!H59</f>
        <v>211.14285714285711</v>
      </c>
      <c r="I61" s="261">
        <f>'Data Sheet'!I69/'Data Sheet'!I59</f>
        <v>10.499999999999998</v>
      </c>
      <c r="J61" s="265">
        <f>'Data Sheet'!J69/'Data Sheet'!J59</f>
        <v>2.2012748222603582</v>
      </c>
      <c r="K61" s="265">
        <f>'Data Sheet'!K69/'Data Sheet'!K59</f>
        <v>0.1270814061054579</v>
      </c>
      <c r="L61" s="265"/>
      <c r="M61" s="261">
        <f t="shared" si="12"/>
        <v>4.2761187427886043</v>
      </c>
      <c r="N61" s="261">
        <f t="shared" si="13"/>
        <v>45.049798229800139</v>
      </c>
      <c r="O61" s="261" t="e">
        <f t="shared" si="14"/>
        <v>#DIV/0!</v>
      </c>
    </row>
    <row r="62" spans="1:15" x14ac:dyDescent="0.2">
      <c r="A62" s="246" t="s">
        <v>552</v>
      </c>
      <c r="B62" s="261">
        <f>'Data Sheet'!B69/'Data Sheet'!B60</f>
        <v>0</v>
      </c>
      <c r="C62" s="261">
        <f>'Data Sheet'!C69/'Data Sheet'!C60</f>
        <v>6.6666666666666666E-2</v>
      </c>
      <c r="D62" s="261">
        <f>'Data Sheet'!D69/'Data Sheet'!D60</f>
        <v>3.2424465733235076E-2</v>
      </c>
      <c r="E62" s="261">
        <f>'Data Sheet'!E69/'Data Sheet'!E60</f>
        <v>0.18597370068879149</v>
      </c>
      <c r="F62" s="261">
        <f>'Data Sheet'!F69/'Data Sheet'!F60</f>
        <v>9.6281540504648072E-2</v>
      </c>
      <c r="G62" s="261">
        <f>'Data Sheet'!G69/'Data Sheet'!G60</f>
        <v>0.14298401420959148</v>
      </c>
      <c r="H62" s="261">
        <f>'Data Sheet'!H69/'Data Sheet'!H60</f>
        <v>0.28423076923076923</v>
      </c>
      <c r="I62" s="261">
        <f>'Data Sheet'!I69/'Data Sheet'!I60</f>
        <v>0.2670656442865158</v>
      </c>
      <c r="J62" s="261">
        <f>'Data Sheet'!J69/'Data Sheet'!J60</f>
        <v>0.59554287988326593</v>
      </c>
      <c r="K62" s="261">
        <f>'Data Sheet'!K69/'Data Sheet'!K60</f>
        <v>4.5107535708422263E-2</v>
      </c>
      <c r="L62" s="261"/>
      <c r="M62" s="261">
        <f t="shared" si="12"/>
        <v>0.30257201995940136</v>
      </c>
      <c r="N62" s="261">
        <f t="shared" si="13"/>
        <v>0.26698616866371294</v>
      </c>
      <c r="O62" s="261">
        <f t="shared" si="14"/>
        <v>0.17162772169119062</v>
      </c>
    </row>
    <row r="63" spans="1:15" x14ac:dyDescent="0.2">
      <c r="A63" s="246" t="s">
        <v>511</v>
      </c>
      <c r="B63" s="261">
        <f>'Data Sheet'!B60/'Data Sheet'!B59</f>
        <v>0.12213740458015267</v>
      </c>
      <c r="C63" s="261" t="e">
        <f>'Data Sheet'!C60/'Data Sheet'!C59</f>
        <v>#DIV/0!</v>
      </c>
      <c r="D63" s="261">
        <f>'Data Sheet'!D60/'Data Sheet'!D59</f>
        <v>12.682242990654204</v>
      </c>
      <c r="E63" s="261">
        <f>'Data Sheet'!E60/'Data Sheet'!E59</f>
        <v>5.4505119453924911</v>
      </c>
      <c r="F63" s="261">
        <f>'Data Sheet'!F60/'Data Sheet'!F59</f>
        <v>7.1374407582938399</v>
      </c>
      <c r="G63" s="261">
        <f>'Data Sheet'!G60/'Data Sheet'!G59</f>
        <v>8.9365079365079367</v>
      </c>
      <c r="H63" s="261">
        <f>'Data Sheet'!H60/'Data Sheet'!H59</f>
        <v>742.85714285714278</v>
      </c>
      <c r="I63" s="261">
        <f>'Data Sheet'!I60/'Data Sheet'!I59</f>
        <v>39.316176470588232</v>
      </c>
      <c r="J63" s="261">
        <f>'Data Sheet'!J60/'Data Sheet'!J59</f>
        <v>3.6962490806570241</v>
      </c>
      <c r="K63" s="265">
        <f>'Data Sheet'!K60/'Data Sheet'!K59</f>
        <v>2.8172987974098054</v>
      </c>
      <c r="L63" s="265"/>
      <c r="M63" s="261">
        <f t="shared" si="12"/>
        <v>15.276574782885021</v>
      </c>
      <c r="N63" s="261">
        <f t="shared" si="13"/>
        <v>159.52467502846113</v>
      </c>
      <c r="O63" s="261" t="e">
        <f t="shared" si="14"/>
        <v>#DIV/0!</v>
      </c>
    </row>
    <row r="64" spans="1:15" x14ac:dyDescent="0.2">
      <c r="A64" s="252" t="s">
        <v>512</v>
      </c>
      <c r="B64" s="261">
        <f>'Data Sheet'!B26/('Data Sheet'!B62+'Data Sheet'!B26)</f>
        <v>0</v>
      </c>
      <c r="C64" s="261">
        <f>'Data Sheet'!C26/('Data Sheet'!C62+'Data Sheet'!C26)</f>
        <v>0</v>
      </c>
      <c r="D64" s="261">
        <f>'Data Sheet'!D26/('Data Sheet'!D62+'Data Sheet'!D26)</f>
        <v>0.10237388724035607</v>
      </c>
      <c r="E64" s="261">
        <f>'Data Sheet'!E26/('Data Sheet'!E62+'Data Sheet'!E26)</f>
        <v>0.11799410029498525</v>
      </c>
      <c r="F64" s="261">
        <f>'Data Sheet'!F26/('Data Sheet'!F62+'Data Sheet'!F26)</f>
        <v>0.52597402597402598</v>
      </c>
      <c r="G64" s="261">
        <f>'Data Sheet'!G26/('Data Sheet'!G62+'Data Sheet'!G26)</f>
        <v>7.6202263083451197E-2</v>
      </c>
      <c r="H64" s="261">
        <f>'Data Sheet'!H26/('Data Sheet'!H62+'Data Sheet'!H26)</f>
        <v>0.10335448776065274</v>
      </c>
      <c r="I64" s="261">
        <f>'Data Sheet'!I26/('Data Sheet'!I62+'Data Sheet'!I26)</f>
        <v>0.12142857142857144</v>
      </c>
      <c r="J64" s="261">
        <f>'Data Sheet'!J26/('Data Sheet'!J62+'Data Sheet'!J26)</f>
        <v>6.72904638662154E-2</v>
      </c>
      <c r="K64" s="261">
        <f>'Data Sheet'!K26/('Data Sheet'!K62+'Data Sheet'!K26)</f>
        <v>6.5679347117565776E-2</v>
      </c>
      <c r="L64" s="261"/>
      <c r="M64" s="261">
        <f t="shared" si="12"/>
        <v>8.4799460804117543E-2</v>
      </c>
      <c r="N64" s="261">
        <f t="shared" si="13"/>
        <v>8.679102665129132E-2</v>
      </c>
      <c r="O64" s="261">
        <f t="shared" si="14"/>
        <v>0.11802971467658241</v>
      </c>
    </row>
    <row r="65" spans="1:15" x14ac:dyDescent="0.2">
      <c r="A65" s="252" t="s">
        <v>513</v>
      </c>
      <c r="B65" s="261">
        <f>'Data Sheet'!B26/'Data Sheet'!B62</f>
        <v>0</v>
      </c>
      <c r="C65" s="261">
        <f>'Data Sheet'!C26/'Data Sheet'!C62</f>
        <v>0</v>
      </c>
      <c r="D65" s="261">
        <f>'Data Sheet'!D26/'Data Sheet'!D62</f>
        <v>0.1140495867768595</v>
      </c>
      <c r="E65" s="261">
        <f>'Data Sheet'!E26/'Data Sheet'!E62</f>
        <v>0.13377926421404682</v>
      </c>
      <c r="F65" s="261">
        <f>'Data Sheet'!F26/'Data Sheet'!F62</f>
        <v>1.1095890410958904</v>
      </c>
      <c r="G65" s="261">
        <f>'Data Sheet'!G26/'Data Sheet'!G62</f>
        <v>8.2488038277511957E-2</v>
      </c>
      <c r="H65" s="261">
        <f>'Data Sheet'!H26/'Data Sheet'!H62</f>
        <v>0.115267947421638</v>
      </c>
      <c r="I65" s="261">
        <f>'Data Sheet'!I26/'Data Sheet'!I62</f>
        <v>0.13821138211382114</v>
      </c>
      <c r="J65" s="265">
        <f>'Data Sheet'!J26/'Data Sheet'!J62</f>
        <v>7.2145144076840972E-2</v>
      </c>
      <c r="K65" s="265">
        <f>'Data Sheet'!K26/'Data Sheet'!K62</f>
        <v>7.0296366579226444E-2</v>
      </c>
      <c r="L65" s="265"/>
      <c r="M65" s="261">
        <f t="shared" si="12"/>
        <v>9.3550964256629524E-2</v>
      </c>
      <c r="N65" s="261">
        <f t="shared" si="13"/>
        <v>9.5681775693807702E-2</v>
      </c>
      <c r="O65" s="261">
        <f t="shared" si="14"/>
        <v>0.18358267705558354</v>
      </c>
    </row>
    <row r="66" spans="1:15" x14ac:dyDescent="0.2">
      <c r="A66" s="252" t="s">
        <v>553</v>
      </c>
      <c r="B66" s="365" t="e">
        <f>'Data Sheet'!B69/('Data Sheet'!B90*'Data Sheet'!B93)</f>
        <v>#DIV/0!</v>
      </c>
      <c r="C66" s="365" t="e">
        <f>'Data Sheet'!C69/('Data Sheet'!C90*'Data Sheet'!C93)</f>
        <v>#DIV/0!</v>
      </c>
      <c r="D66" s="365">
        <f>'Data Sheet'!D69/('Data Sheet'!D90*'Data Sheet'!D93)</f>
        <v>1.7440110829893534E-2</v>
      </c>
      <c r="E66" s="365">
        <f>'Data Sheet'!E69/('Data Sheet'!E90*'Data Sheet'!E93)</f>
        <v>0.10793803905651904</v>
      </c>
      <c r="F66" s="365">
        <f>'Data Sheet'!F69/('Data Sheet'!F90*'Data Sheet'!F93)</f>
        <v>2.6404866830577276E-2</v>
      </c>
      <c r="G66" s="365">
        <f>'Data Sheet'!G69/('Data Sheet'!G90*'Data Sheet'!G93)</f>
        <v>4.2990223749121155E-2</v>
      </c>
      <c r="H66" s="365">
        <f>'Data Sheet'!H69/('Data Sheet'!H90*'Data Sheet'!H93)</f>
        <v>1.8940605488692901E-2</v>
      </c>
      <c r="I66" s="365">
        <f>'Data Sheet'!I69/('Data Sheet'!I90*'Data Sheet'!I93)</f>
        <v>1.3036304546017936E-2</v>
      </c>
      <c r="J66" s="365">
        <f>'Data Sheet'!J69/('Data Sheet'!J90*'Data Sheet'!J93)</f>
        <v>5.0599185819691868E-2</v>
      </c>
      <c r="K66" s="365">
        <f>'Data Sheet'!K69/('Data Sheet'!K90*'Data Sheet'!K93)</f>
        <v>4.8050932641071232E-3</v>
      </c>
      <c r="L66" s="263"/>
    </row>
    <row r="67" spans="1:15" x14ac:dyDescent="0.2">
      <c r="A67" s="252" t="s">
        <v>554</v>
      </c>
      <c r="B67" s="365" t="e">
        <f>'Data Sheet'!B64/('Data Sheet'!B90*'Data Sheet'!B93)</f>
        <v>#DIV/0!</v>
      </c>
      <c r="C67" s="365" t="e">
        <f>'Data Sheet'!C64/('Data Sheet'!C90*'Data Sheet'!C93)</f>
        <v>#DIV/0!</v>
      </c>
      <c r="D67" s="365">
        <f>'Data Sheet'!D64/('Data Sheet'!D90*'Data Sheet'!D93)</f>
        <v>0</v>
      </c>
      <c r="E67" s="365">
        <f>'Data Sheet'!E64/('Data Sheet'!E90*'Data Sheet'!E93)</f>
        <v>0</v>
      </c>
      <c r="F67" s="365">
        <f>'Data Sheet'!F64/('Data Sheet'!F90*'Data Sheet'!F93)</f>
        <v>0</v>
      </c>
      <c r="G67" s="365">
        <f>'Data Sheet'!G64/('Data Sheet'!G90*'Data Sheet'!G93)</f>
        <v>0</v>
      </c>
      <c r="H67" s="365">
        <f>'Data Sheet'!H64/('Data Sheet'!H90*'Data Sheet'!H93)</f>
        <v>0</v>
      </c>
      <c r="I67" s="365">
        <f>'Data Sheet'!I64/('Data Sheet'!I90*'Data Sheet'!I93)</f>
        <v>0</v>
      </c>
      <c r="J67" s="365">
        <f>'Data Sheet'!J64/('Data Sheet'!J90*'Data Sheet'!J93)</f>
        <v>0</v>
      </c>
      <c r="K67" s="365">
        <f>'Data Sheet'!K64/('Data Sheet'!K90*'Data Sheet'!K93)</f>
        <v>0</v>
      </c>
      <c r="L67" s="263"/>
    </row>
    <row r="68" spans="1:15" x14ac:dyDescent="0.2">
      <c r="A68" s="249" t="s">
        <v>514</v>
      </c>
    </row>
    <row r="69" spans="1:15" x14ac:dyDescent="0.2">
      <c r="A69" s="252" t="s">
        <v>515</v>
      </c>
      <c r="B69" s="261" t="e">
        <f>('Data Sheet'!B65-'Data Sheet'!B60)/'Data Sheet'!B17</f>
        <v>#DIV/0!</v>
      </c>
      <c r="C69" s="261" t="e">
        <f>('Data Sheet'!C65-'Data Sheet'!C60)/'Data Sheet'!C17</f>
        <v>#DIV/0!</v>
      </c>
      <c r="D69" s="261">
        <f>('Data Sheet'!D65-'Data Sheet'!D60)/'Data Sheet'!D17</f>
        <v>0.19117647058823536</v>
      </c>
      <c r="E69" s="261">
        <f>('Data Sheet'!E65-'Data Sheet'!E60)/'Data Sheet'!E17</f>
        <v>0.28632478632478631</v>
      </c>
      <c r="F69" s="261">
        <f>('Data Sheet'!F65-'Data Sheet'!F60)/'Data Sheet'!F17</f>
        <v>0.43838229683326974</v>
      </c>
      <c r="G69" s="261">
        <f>('Data Sheet'!G65-'Data Sheet'!G60)/'Data Sheet'!G17</f>
        <v>-0.13731275533363596</v>
      </c>
      <c r="H69" s="261">
        <f>('Data Sheet'!H65-'Data Sheet'!H60)/'Data Sheet'!H17</f>
        <v>6.6479775730876921E-3</v>
      </c>
      <c r="I69" s="261">
        <f>('Data Sheet'!I65-'Data Sheet'!I60)/'Data Sheet'!I17</f>
        <v>0.15691538263523708</v>
      </c>
      <c r="J69" s="261">
        <f>('Data Sheet'!J65-'Data Sheet'!J60)/'Data Sheet'!J17</f>
        <v>0.28886701745088383</v>
      </c>
      <c r="K69" s="261">
        <f>('Data Sheet'!K65-'Data Sheet'!K60)/'Data Sheet'!K17</f>
        <v>0.22511892986670434</v>
      </c>
      <c r="L69" s="261"/>
      <c r="M69" s="261">
        <f t="shared" ref="M69:M122" si="15">AVERAGE(I69:K69)</f>
        <v>0.22363377665094175</v>
      </c>
      <c r="N69" s="261">
        <f t="shared" ref="N69:N122" si="16">AVERAGE(G69:K69)</f>
        <v>0.10804731043845539</v>
      </c>
      <c r="O69" s="261" t="e">
        <f t="shared" ref="O69:O122" si="17">AVERAGE(B69:K69)</f>
        <v>#DIV/0!</v>
      </c>
    </row>
    <row r="70" spans="1:15" x14ac:dyDescent="0.2">
      <c r="A70" s="252" t="s">
        <v>46</v>
      </c>
      <c r="B70" s="259" t="str">
        <f>IFERROR(('Data Sheet'!B67/'Data Sheet'!B17)*365,"NA")</f>
        <v>NA</v>
      </c>
      <c r="C70" s="259" t="str">
        <f>IFERROR(('Data Sheet'!C67/'Data Sheet'!C17)*365,"NA")</f>
        <v>NA</v>
      </c>
      <c r="D70" s="259">
        <f>IFERROR(('Data Sheet'!D67/'Data Sheet'!D17)*365,"NA")</f>
        <v>245.12254901960787</v>
      </c>
      <c r="E70" s="259">
        <f>IFERROR(('Data Sheet'!E67/'Data Sheet'!E17)*365,"NA")</f>
        <v>224.44207027540361</v>
      </c>
      <c r="F70" s="259">
        <f>IFERROR(('Data Sheet'!F67/'Data Sheet'!F17)*365,"NA")</f>
        <v>192.5963372758489</v>
      </c>
      <c r="G70" s="259">
        <f>IFERROR(('Data Sheet'!G67/'Data Sheet'!G17)*365,"NA")</f>
        <v>111.17339990921471</v>
      </c>
      <c r="H70" s="259">
        <f>IFERROR(('Data Sheet'!H67/'Data Sheet'!H17)*365,"NA")</f>
        <v>82.26752102523028</v>
      </c>
      <c r="I70" s="259">
        <f>IFERROR(('Data Sheet'!I67/'Data Sheet'!I17)*365,"NA")</f>
        <v>107.6624498951936</v>
      </c>
      <c r="J70" s="271">
        <f>IFERROR(('Data Sheet'!J67/'Data Sheet'!J17)*365,"NA")</f>
        <v>89.450353938751547</v>
      </c>
      <c r="K70" s="271">
        <f>IFERROR(('Data Sheet'!K67/'Data Sheet'!K17)*365,"NA")</f>
        <v>108.53209928877585</v>
      </c>
      <c r="L70" s="271"/>
      <c r="M70" s="260">
        <f t="shared" si="15"/>
        <v>101.88163437424033</v>
      </c>
      <c r="N70" s="260">
        <f t="shared" si="16"/>
        <v>99.817164811433202</v>
      </c>
      <c r="O70" s="260">
        <f t="shared" si="17"/>
        <v>145.15584757850331</v>
      </c>
    </row>
    <row r="71" spans="1:15" x14ac:dyDescent="0.2">
      <c r="A71" s="252" t="s">
        <v>516</v>
      </c>
      <c r="B71" s="260" t="e">
        <f>365/B70</f>
        <v>#VALUE!</v>
      </c>
      <c r="C71" s="260" t="e">
        <f t="shared" ref="C71:K71" si="18">365/C70</f>
        <v>#VALUE!</v>
      </c>
      <c r="D71" s="260">
        <f t="shared" si="18"/>
        <v>1.4890510948905107</v>
      </c>
      <c r="E71" s="260">
        <f t="shared" si="18"/>
        <v>1.6262548262548262</v>
      </c>
      <c r="F71" s="260">
        <f t="shared" si="18"/>
        <v>1.8951554591467825</v>
      </c>
      <c r="G71" s="260">
        <f t="shared" si="18"/>
        <v>3.2831594634873325</v>
      </c>
      <c r="H71" s="260">
        <f t="shared" si="18"/>
        <v>4.4367448471926085</v>
      </c>
      <c r="I71" s="260">
        <f t="shared" si="18"/>
        <v>3.3902256576486725</v>
      </c>
      <c r="J71" s="260">
        <f t="shared" si="18"/>
        <v>4.0804757491504482</v>
      </c>
      <c r="K71" s="260">
        <f t="shared" si="18"/>
        <v>3.3630603516553141</v>
      </c>
      <c r="L71" s="260"/>
      <c r="M71" s="260">
        <f t="shared" si="15"/>
        <v>3.6112539194848114</v>
      </c>
      <c r="N71" s="260">
        <f t="shared" si="16"/>
        <v>3.7107332138268752</v>
      </c>
      <c r="O71" s="260" t="e">
        <f t="shared" si="17"/>
        <v>#VALUE!</v>
      </c>
    </row>
    <row r="72" spans="1:15" x14ac:dyDescent="0.2">
      <c r="A72" s="252" t="s">
        <v>312</v>
      </c>
      <c r="B72" s="259" t="str">
        <f>IFERROR(('Data Sheet'!B68/'Data Sheet'!B17)*365,"NA")</f>
        <v>NA</v>
      </c>
      <c r="C72" s="259" t="str">
        <f>IFERROR(('Data Sheet'!C68/'Data Sheet'!C17)*365,"NA")</f>
        <v>NA</v>
      </c>
      <c r="D72" s="259">
        <f>IFERROR(('Data Sheet'!D68/'Data Sheet'!D17)*365,"NA")</f>
        <v>0</v>
      </c>
      <c r="E72" s="259">
        <f>IFERROR(('Data Sheet'!E68/'Data Sheet'!E17)*365,"NA")</f>
        <v>0</v>
      </c>
      <c r="F72" s="259">
        <f>IFERROR(('Data Sheet'!F68/'Data Sheet'!F17)*365,"NA")</f>
        <v>0</v>
      </c>
      <c r="G72" s="259">
        <f>IFERROR(('Data Sheet'!G68/'Data Sheet'!G17)*365,"NA")</f>
        <v>0</v>
      </c>
      <c r="H72" s="259">
        <f>IFERROR(('Data Sheet'!H68/'Data Sheet'!H17)*365,"NA")</f>
        <v>0</v>
      </c>
      <c r="I72" s="272">
        <f>IFERROR(('Data Sheet'!I68/'Data Sheet'!I17)*365,"NA")</f>
        <v>0</v>
      </c>
      <c r="J72" s="272">
        <f>IFERROR(('Data Sheet'!J68/'Data Sheet'!J17)*365,"NA")</f>
        <v>0</v>
      </c>
      <c r="K72" s="272">
        <f>IFERROR(('Data Sheet'!K68/'Data Sheet'!K17)*365,"NA")</f>
        <v>0</v>
      </c>
      <c r="L72" s="272"/>
      <c r="M72" s="260">
        <f t="shared" si="15"/>
        <v>0</v>
      </c>
      <c r="N72" s="260">
        <f t="shared" si="16"/>
        <v>0</v>
      </c>
      <c r="O72" s="260">
        <f t="shared" si="17"/>
        <v>0</v>
      </c>
    </row>
    <row r="73" spans="1:15" x14ac:dyDescent="0.2">
      <c r="A73" s="252" t="s">
        <v>47</v>
      </c>
      <c r="B73" s="260" t="e">
        <f>365/B72</f>
        <v>#VALUE!</v>
      </c>
      <c r="C73" s="260" t="e">
        <f t="shared" ref="C73:K73" si="19">365/C72</f>
        <v>#VALUE!</v>
      </c>
      <c r="D73" s="260" t="e">
        <f t="shared" si="19"/>
        <v>#DIV/0!</v>
      </c>
      <c r="E73" s="260" t="e">
        <f t="shared" si="19"/>
        <v>#DIV/0!</v>
      </c>
      <c r="F73" s="260" t="e">
        <f t="shared" si="19"/>
        <v>#DIV/0!</v>
      </c>
      <c r="G73" s="260" t="e">
        <f t="shared" si="19"/>
        <v>#DIV/0!</v>
      </c>
      <c r="H73" s="260" t="e">
        <f t="shared" si="19"/>
        <v>#DIV/0!</v>
      </c>
      <c r="I73" s="260" t="e">
        <f t="shared" si="19"/>
        <v>#DIV/0!</v>
      </c>
      <c r="J73" s="260" t="e">
        <f t="shared" si="19"/>
        <v>#DIV/0!</v>
      </c>
      <c r="K73" s="260" t="e">
        <f t="shared" si="19"/>
        <v>#DIV/0!</v>
      </c>
      <c r="L73" s="260"/>
      <c r="M73" s="260" t="e">
        <f t="shared" si="15"/>
        <v>#DIV/0!</v>
      </c>
      <c r="N73" s="260" t="e">
        <f t="shared" si="16"/>
        <v>#DIV/0!</v>
      </c>
      <c r="O73" s="260" t="e">
        <f t="shared" si="17"/>
        <v>#VALUE!</v>
      </c>
    </row>
    <row r="74" spans="1:15" x14ac:dyDescent="0.2">
      <c r="A74" s="252" t="s">
        <v>517</v>
      </c>
      <c r="B74" s="266">
        <f>'Data Sheet'!B82/'Data Sheet'!B66</f>
        <v>0</v>
      </c>
      <c r="C74" s="266">
        <f>'Data Sheet'!C82/'Data Sheet'!C66</f>
        <v>0</v>
      </c>
      <c r="D74" s="266">
        <f>'Data Sheet'!D82/'Data Sheet'!D66</f>
        <v>0.32267195018397965</v>
      </c>
      <c r="E74" s="266">
        <f>'Data Sheet'!E82/'Data Sheet'!E66</f>
        <v>-7.5433460932222474E-2</v>
      </c>
      <c r="F74" s="266">
        <f>'Data Sheet'!F82/'Data Sheet'!F66</f>
        <v>-0.16577301161751565</v>
      </c>
      <c r="G74" s="266">
        <f>'Data Sheet'!G82/'Data Sheet'!G66</f>
        <v>0.12213740458015267</v>
      </c>
      <c r="H74" s="268">
        <f>'Data Sheet'!H82/'Data Sheet'!H66</f>
        <v>0.17174843595653605</v>
      </c>
      <c r="I74" s="268">
        <f>'Data Sheet'!I82/'Data Sheet'!I66</f>
        <v>6.0138168157651779E-2</v>
      </c>
      <c r="J74" s="268">
        <f>'Data Sheet'!J82/'Data Sheet'!J66</f>
        <v>0.14023186252468184</v>
      </c>
      <c r="K74" s="268">
        <f>'Data Sheet'!K82/'Data Sheet'!K66</f>
        <v>0.15233433184773873</v>
      </c>
      <c r="L74" s="268"/>
      <c r="M74" s="261">
        <f t="shared" si="15"/>
        <v>0.11756812084335744</v>
      </c>
      <c r="N74" s="261">
        <f t="shared" si="16"/>
        <v>0.12931804061335223</v>
      </c>
      <c r="O74" s="261">
        <f t="shared" si="17"/>
        <v>7.280556807010026E-2</v>
      </c>
    </row>
    <row r="75" spans="1:15" x14ac:dyDescent="0.2">
      <c r="A75" s="252"/>
      <c r="B75" s="266"/>
      <c r="C75" s="266"/>
      <c r="D75" s="266"/>
      <c r="E75" s="266"/>
      <c r="F75" s="266"/>
      <c r="G75" s="266"/>
      <c r="H75" s="268"/>
      <c r="I75" s="268"/>
      <c r="J75" s="268"/>
      <c r="K75" s="268"/>
      <c r="L75" s="268"/>
      <c r="M75" s="261"/>
      <c r="N75" s="261"/>
      <c r="O75" s="261"/>
    </row>
    <row r="76" spans="1:15" x14ac:dyDescent="0.2">
      <c r="A76" s="252" t="s">
        <v>564</v>
      </c>
      <c r="B76" s="273">
        <f>Other_input_data!C37/Other_input_data!C72</f>
        <v>0.15802781289506954</v>
      </c>
      <c r="C76" s="273">
        <f>Other_input_data!D37/Other_input_data!D72</f>
        <v>6.0331825037707384E-3</v>
      </c>
      <c r="D76" s="273">
        <f>Other_input_data!E37/Other_input_data!E72</f>
        <v>7.2459666006227011E-2</v>
      </c>
      <c r="E76" s="273">
        <f>Other_input_data!F37/Other_input_data!F72</f>
        <v>9.5924341364557492E-2</v>
      </c>
      <c r="F76" s="273">
        <f>Other_input_data!G37/Other_input_data!G72</f>
        <v>0.10500446827524579</v>
      </c>
      <c r="G76" s="273">
        <f>Other_input_data!H37/Other_input_data!H72</f>
        <v>9.5922057051024578E-2</v>
      </c>
      <c r="H76" s="273">
        <f>Other_input_data!I37/Other_input_data!I72</f>
        <v>0.19387553506750077</v>
      </c>
      <c r="I76" s="273">
        <f>Other_input_data!J37/Other_input_data!J72</f>
        <v>0.21804463404539812</v>
      </c>
      <c r="J76" s="273">
        <f>Other_input_data!K37/Other_input_data!K72</f>
        <v>0.33661120994701976</v>
      </c>
      <c r="K76" s="273">
        <f>Other_input_data!L37/Other_input_data!L72</f>
        <v>0.33685248776210996</v>
      </c>
      <c r="L76" s="268"/>
      <c r="M76" s="261"/>
      <c r="N76" s="261"/>
      <c r="O76" s="261"/>
    </row>
    <row r="77" spans="1:15" x14ac:dyDescent="0.2">
      <c r="A77" s="252" t="s">
        <v>565</v>
      </c>
      <c r="B77" s="273"/>
      <c r="C77" s="273">
        <f>Other_input_data!D37/Other_input_data!D73</f>
        <v>5.5020632737276471E-3</v>
      </c>
      <c r="D77" s="273">
        <f>Other_input_data!E37/Other_input_data!E73</f>
        <v>0.12202097235462345</v>
      </c>
      <c r="E77" s="273">
        <f>Other_input_data!F37/Other_input_data!F73</f>
        <v>0.10684725357411583</v>
      </c>
      <c r="F77" s="273">
        <f>Other_input_data!G37/Other_input_data!G73</f>
        <v>0.10541661993944156</v>
      </c>
      <c r="G77" s="273">
        <f>Other_input_data!H37/Other_input_data!H73</f>
        <v>0.1323447893569846</v>
      </c>
      <c r="H77" s="273">
        <f>Other_input_data!I37/Other_input_data!I73</f>
        <v>0.23419911698023144</v>
      </c>
      <c r="I77" s="273">
        <f>Other_input_data!J37/Other_input_data!J73</f>
        <v>0.2939737316507855</v>
      </c>
      <c r="J77" s="273">
        <f>Other_input_data!K37/Other_input_data!K73</f>
        <v>0.41709260919066898</v>
      </c>
      <c r="K77" s="273">
        <f>Other_input_data!L37/Other_input_data!L73</f>
        <v>0.41513284761354502</v>
      </c>
      <c r="L77" s="268"/>
      <c r="M77" s="261"/>
      <c r="N77" s="261"/>
      <c r="O77" s="261"/>
    </row>
    <row r="78" spans="1:15" x14ac:dyDescent="0.2">
      <c r="A78" s="252" t="s">
        <v>566</v>
      </c>
      <c r="B78" s="273">
        <f>Other_input_data!C37/Other_input_data!C74</f>
        <v>11.363636363636363</v>
      </c>
      <c r="C78" s="273">
        <f>Other_input_data!D37/Other_input_data!D74</f>
        <v>0.44444444444444442</v>
      </c>
      <c r="D78" s="273">
        <f>Other_input_data!E37/Other_input_data!E74</f>
        <v>0.13733905579399142</v>
      </c>
      <c r="E78" s="273">
        <f>Other_input_data!F37/Other_input_data!F74</f>
        <v>0.19009370816599724</v>
      </c>
      <c r="F78" s="273">
        <f>Other_input_data!G37/Other_input_data!G74</f>
        <v>0.25809994508511813</v>
      </c>
      <c r="G78" s="273">
        <f>Other_input_data!H37/Other_input_data!H74</f>
        <v>0.13295280523458175</v>
      </c>
      <c r="H78" s="273">
        <f>Other_input_data!I37/Other_input_data!I74</f>
        <v>0.29731367400525133</v>
      </c>
      <c r="I78" s="273">
        <f>Other_input_data!J37/Other_input_data!J74</f>
        <v>0.41635258358662619</v>
      </c>
      <c r="J78" s="273">
        <f>Other_input_data!K37/Other_input_data!K74</f>
        <v>0.82731116663463411</v>
      </c>
      <c r="K78" s="273">
        <f>Other_input_data!L37/Other_input_data!L74</f>
        <v>0.7159161490683229</v>
      </c>
      <c r="L78" s="268"/>
      <c r="M78" s="261"/>
      <c r="N78" s="261"/>
      <c r="O78" s="261"/>
    </row>
    <row r="79" spans="1:15" x14ac:dyDescent="0.2">
      <c r="A79" s="252" t="s">
        <v>567</v>
      </c>
      <c r="B79" s="273"/>
      <c r="C79" s="273">
        <f>Other_input_data!D37/Other_input_data!D75</f>
        <v>0.39999999999999991</v>
      </c>
      <c r="D79" s="273">
        <f>Other_input_data!E37/Other_input_data!E75</f>
        <v>0.27335824879871862</v>
      </c>
      <c r="E79" s="273">
        <f>Other_input_data!F37/Other_input_data!F75</f>
        <v>0.20755176613885498</v>
      </c>
      <c r="F79" s="273">
        <f>Other_input_data!G37/Other_input_data!G75</f>
        <v>0.23141309699655344</v>
      </c>
      <c r="G79" s="273">
        <f>Other_input_data!H37/Other_input_data!H75</f>
        <v>0.21212794313638403</v>
      </c>
      <c r="H79" s="273">
        <f>Other_input_data!I37/Other_input_data!I75</f>
        <v>0.34462979221539347</v>
      </c>
      <c r="I79" s="273">
        <f>Other_input_data!J37/Other_input_data!J75</f>
        <v>0.51980874316939896</v>
      </c>
      <c r="J79" s="273">
        <f>Other_input_data!K37/Other_input_data!K75</f>
        <v>0.92415866029735416</v>
      </c>
      <c r="K79" s="273">
        <f>Other_input_data!L37/Other_input_data!L75</f>
        <v>0.93059947520688946</v>
      </c>
      <c r="L79" s="268"/>
      <c r="M79" s="261"/>
      <c r="N79" s="261"/>
      <c r="O79" s="261"/>
    </row>
    <row r="80" spans="1:15" x14ac:dyDescent="0.2">
      <c r="A80" s="252"/>
      <c r="B80" s="273"/>
      <c r="C80" s="273"/>
      <c r="D80" s="273"/>
      <c r="E80" s="273"/>
      <c r="F80" s="273"/>
      <c r="G80" s="273"/>
      <c r="H80" s="273"/>
      <c r="I80" s="273"/>
      <c r="J80" s="273"/>
      <c r="K80" s="273"/>
      <c r="L80" s="268"/>
      <c r="M80" s="261"/>
      <c r="N80" s="261"/>
      <c r="O80" s="261"/>
    </row>
    <row r="81" spans="1:15" x14ac:dyDescent="0.2">
      <c r="A81" s="252" t="s">
        <v>568</v>
      </c>
      <c r="B81" s="266"/>
      <c r="C81" s="266"/>
      <c r="D81" s="266"/>
      <c r="E81" s="266"/>
      <c r="F81" s="266"/>
      <c r="G81" s="266"/>
      <c r="H81" s="268"/>
      <c r="I81" s="268"/>
      <c r="J81" s="268"/>
      <c r="K81" s="268"/>
      <c r="L81" s="268"/>
      <c r="M81" s="261"/>
      <c r="N81" s="261"/>
      <c r="O81" s="261"/>
    </row>
    <row r="82" spans="1:15" x14ac:dyDescent="0.2">
      <c r="A82" s="252" t="s">
        <v>569</v>
      </c>
      <c r="B82" s="266"/>
      <c r="C82" s="266"/>
      <c r="D82" s="266"/>
      <c r="E82" s="266"/>
      <c r="F82" s="266"/>
      <c r="G82" s="266"/>
      <c r="H82" s="268"/>
      <c r="I82" s="268"/>
      <c r="J82" s="268"/>
      <c r="K82" s="268"/>
      <c r="L82" s="268"/>
      <c r="M82" s="261"/>
      <c r="N82" s="261"/>
      <c r="O82" s="261"/>
    </row>
    <row r="83" spans="1:15" x14ac:dyDescent="0.2">
      <c r="A83" s="252" t="s">
        <v>570</v>
      </c>
      <c r="B83" s="266"/>
      <c r="C83" s="266"/>
      <c r="D83" s="266"/>
      <c r="E83" s="266"/>
      <c r="F83" s="266"/>
      <c r="G83" s="266"/>
      <c r="H83" s="268"/>
      <c r="I83" s="268"/>
      <c r="J83" s="268"/>
      <c r="K83" s="268"/>
      <c r="L83" s="268"/>
      <c r="M83" s="261"/>
      <c r="N83" s="261"/>
      <c r="O83" s="261"/>
    </row>
    <row r="84" spans="1:15" x14ac:dyDescent="0.2">
      <c r="A84" s="252" t="s">
        <v>571</v>
      </c>
      <c r="B84" s="266"/>
      <c r="C84" s="266"/>
      <c r="D84" s="266"/>
      <c r="E84" s="266"/>
      <c r="F84" s="266"/>
      <c r="G84" s="266"/>
      <c r="H84" s="268"/>
      <c r="I84" s="268"/>
      <c r="J84" s="268"/>
      <c r="K84" s="268"/>
      <c r="L84" s="268"/>
      <c r="M84" s="261"/>
      <c r="N84" s="261"/>
      <c r="O84" s="261"/>
    </row>
    <row r="85" spans="1:15" x14ac:dyDescent="0.2">
      <c r="A85" s="252"/>
      <c r="B85" s="266"/>
      <c r="C85" s="266"/>
      <c r="D85" s="266"/>
      <c r="E85" s="266"/>
      <c r="F85" s="266"/>
      <c r="G85" s="266"/>
      <c r="H85" s="268"/>
      <c r="I85" s="268"/>
      <c r="J85" s="268"/>
      <c r="K85" s="268"/>
      <c r="L85" s="268"/>
      <c r="M85" s="261"/>
      <c r="N85" s="261"/>
      <c r="O85" s="261"/>
    </row>
    <row r="86" spans="1:15" x14ac:dyDescent="0.2">
      <c r="A86" s="252" t="s">
        <v>572</v>
      </c>
      <c r="B86" s="266"/>
      <c r="C86" s="266"/>
      <c r="D86" s="266"/>
      <c r="E86" s="266"/>
      <c r="F86" s="266"/>
      <c r="G86" s="266"/>
      <c r="H86" s="268"/>
      <c r="I86" s="268"/>
      <c r="J86" s="268"/>
      <c r="K86" s="268"/>
      <c r="L86" s="268"/>
      <c r="M86" s="261"/>
      <c r="N86" s="261"/>
      <c r="O86" s="261"/>
    </row>
    <row r="87" spans="1:15" x14ac:dyDescent="0.2">
      <c r="A87" s="252" t="s">
        <v>573</v>
      </c>
      <c r="B87" s="266"/>
      <c r="C87" s="266"/>
      <c r="D87" s="266"/>
      <c r="E87" s="266"/>
      <c r="F87" s="266"/>
      <c r="G87" s="266"/>
      <c r="H87" s="268"/>
      <c r="I87" s="268"/>
      <c r="J87" s="268"/>
      <c r="K87" s="268"/>
      <c r="L87" s="268"/>
      <c r="M87" s="261"/>
      <c r="N87" s="261"/>
      <c r="O87" s="261"/>
    </row>
    <row r="88" spans="1:15" x14ac:dyDescent="0.2">
      <c r="A88" s="252" t="s">
        <v>574</v>
      </c>
      <c r="B88" s="266"/>
      <c r="C88" s="266"/>
      <c r="D88" s="266"/>
      <c r="E88" s="266"/>
      <c r="F88" s="266"/>
      <c r="G88" s="266"/>
      <c r="H88" s="268"/>
      <c r="I88" s="268"/>
      <c r="J88" s="268"/>
      <c r="K88" s="268"/>
      <c r="L88" s="268"/>
      <c r="M88" s="261"/>
      <c r="N88" s="261"/>
      <c r="O88" s="261"/>
    </row>
    <row r="89" spans="1:15" x14ac:dyDescent="0.2">
      <c r="A89" s="252" t="s">
        <v>575</v>
      </c>
      <c r="B89" s="266"/>
      <c r="C89" s="266"/>
      <c r="D89" s="266"/>
      <c r="E89" s="266"/>
      <c r="F89" s="266"/>
      <c r="G89" s="266"/>
      <c r="H89" s="268"/>
      <c r="I89" s="268"/>
      <c r="J89" s="268"/>
      <c r="K89" s="268"/>
      <c r="L89" s="268"/>
      <c r="M89" s="261"/>
      <c r="N89" s="261"/>
      <c r="O89" s="261"/>
    </row>
    <row r="90" spans="1:15" x14ac:dyDescent="0.2">
      <c r="A90" s="252"/>
      <c r="B90" s="266"/>
      <c r="C90" s="266"/>
      <c r="D90" s="266"/>
      <c r="E90" s="266"/>
      <c r="F90" s="266"/>
      <c r="G90" s="266"/>
      <c r="H90" s="268"/>
      <c r="I90" s="268"/>
      <c r="J90" s="268"/>
      <c r="K90" s="268"/>
      <c r="L90" s="268"/>
      <c r="M90" s="261"/>
      <c r="N90" s="261"/>
      <c r="O90" s="261"/>
    </row>
    <row r="91" spans="1:15" x14ac:dyDescent="0.2">
      <c r="A91" s="252" t="s">
        <v>576</v>
      </c>
      <c r="B91" s="266"/>
      <c r="C91" s="266"/>
      <c r="D91" s="266"/>
      <c r="E91" s="266"/>
      <c r="F91" s="266"/>
      <c r="G91" s="266"/>
      <c r="H91" s="268"/>
      <c r="I91" s="268"/>
      <c r="J91" s="268"/>
      <c r="K91" s="268"/>
      <c r="L91" s="268"/>
      <c r="M91" s="261"/>
      <c r="N91" s="261"/>
      <c r="O91" s="261"/>
    </row>
    <row r="92" spans="1:15" x14ac:dyDescent="0.2">
      <c r="A92" s="252" t="s">
        <v>577</v>
      </c>
      <c r="B92" s="266"/>
      <c r="C92" s="266"/>
      <c r="D92" s="266"/>
      <c r="E92" s="266"/>
      <c r="F92" s="266"/>
      <c r="G92" s="266"/>
      <c r="H92" s="268"/>
      <c r="I92" s="268"/>
      <c r="J92" s="268"/>
      <c r="K92" s="268"/>
      <c r="L92" s="268"/>
      <c r="M92" s="261"/>
      <c r="N92" s="261"/>
      <c r="O92" s="261"/>
    </row>
    <row r="93" spans="1:15" x14ac:dyDescent="0.2">
      <c r="A93" s="252" t="s">
        <v>578</v>
      </c>
      <c r="B93" s="266"/>
      <c r="C93" s="266"/>
      <c r="D93" s="266"/>
      <c r="E93" s="266"/>
      <c r="F93" s="266"/>
      <c r="G93" s="266"/>
      <c r="H93" s="268"/>
      <c r="I93" s="268"/>
      <c r="J93" s="268"/>
      <c r="K93" s="268"/>
      <c r="L93" s="268"/>
      <c r="M93" s="261"/>
      <c r="N93" s="261"/>
      <c r="O93" s="261"/>
    </row>
    <row r="94" spans="1:15" x14ac:dyDescent="0.2">
      <c r="A94" s="252" t="s">
        <v>579</v>
      </c>
      <c r="B94" s="266"/>
      <c r="C94" s="266"/>
      <c r="D94" s="266"/>
      <c r="E94" s="266"/>
      <c r="F94" s="266"/>
      <c r="G94" s="266"/>
      <c r="H94" s="268"/>
      <c r="I94" s="268"/>
      <c r="J94" s="268"/>
      <c r="K94" s="268"/>
      <c r="L94" s="268"/>
      <c r="M94" s="261"/>
      <c r="N94" s="261"/>
      <c r="O94" s="261"/>
    </row>
    <row r="95" spans="1:15" x14ac:dyDescent="0.2">
      <c r="A95" s="252"/>
      <c r="B95" s="266"/>
      <c r="C95" s="266"/>
      <c r="D95" s="266"/>
      <c r="E95" s="266"/>
      <c r="F95" s="266"/>
      <c r="G95" s="266"/>
      <c r="H95" s="268"/>
      <c r="I95" s="268"/>
      <c r="J95" s="268"/>
      <c r="K95" s="268"/>
      <c r="L95" s="268"/>
      <c r="M95" s="261"/>
      <c r="N95" s="261"/>
      <c r="O95" s="261"/>
    </row>
    <row r="96" spans="1:15" x14ac:dyDescent="0.2">
      <c r="A96" s="252" t="s">
        <v>518</v>
      </c>
      <c r="B96" s="266">
        <f>'Data Sheet'!B30/'Data Sheet'!B66</f>
        <v>0.15802781289506954</v>
      </c>
      <c r="C96" s="266">
        <f>'Data Sheet'!C30/'Data Sheet'!C66</f>
        <v>6.0331825037707393E-3</v>
      </c>
      <c r="D96" s="266">
        <f>'Data Sheet'!D30/'Data Sheet'!D66</f>
        <v>5.9156524200396264E-2</v>
      </c>
      <c r="E96" s="266">
        <f>'Data Sheet'!E30/'Data Sheet'!E66</f>
        <v>7.8811078585904082E-2</v>
      </c>
      <c r="F96" s="266">
        <f>'Data Sheet'!F30/'Data Sheet'!F66</f>
        <v>8.8695263628239512E-2</v>
      </c>
      <c r="G96" s="266">
        <f>'Data Sheet'!G30/'Data Sheet'!G66</f>
        <v>6.1068702290076333E-2</v>
      </c>
      <c r="H96" s="266">
        <f>'Data Sheet'!H30/'Data Sheet'!H66</f>
        <v>0.12499176819229503</v>
      </c>
      <c r="I96" s="274">
        <f>'Data Sheet'!I30/'Data Sheet'!I66</f>
        <v>0.12603864888096528</v>
      </c>
      <c r="J96" s="274">
        <f>'Data Sheet'!J30/'Data Sheet'!J66</f>
        <v>0.2042384313112158</v>
      </c>
      <c r="K96" s="274">
        <f>'Data Sheet'!K30/'Data Sheet'!K66</f>
        <v>0.20898175884659409</v>
      </c>
      <c r="L96" s="274"/>
      <c r="M96" s="261">
        <f t="shared" si="15"/>
        <v>0.17975294634625838</v>
      </c>
      <c r="N96" s="261">
        <f t="shared" si="16"/>
        <v>0.14506386190422932</v>
      </c>
      <c r="O96" s="261">
        <f t="shared" si="17"/>
        <v>0.11160431713345267</v>
      </c>
    </row>
    <row r="97" spans="1:15" x14ac:dyDescent="0.2">
      <c r="A97" s="252" t="s">
        <v>519</v>
      </c>
      <c r="B97" s="260">
        <f>'Data Sheet'!B17/'Data Sheet'!B66</f>
        <v>0</v>
      </c>
      <c r="C97" s="260">
        <f>'Data Sheet'!C17/'Data Sheet'!C66</f>
        <v>0</v>
      </c>
      <c r="D97" s="260">
        <f>'Data Sheet'!D17/'Data Sheet'!D66</f>
        <v>0.46193037078969718</v>
      </c>
      <c r="E97" s="260">
        <f>'Data Sheet'!E17/'Data Sheet'!E66</f>
        <v>0.47421751857689709</v>
      </c>
      <c r="F97" s="260">
        <f>'Data Sheet'!F17/'Data Sheet'!F66</f>
        <v>0.58556747095621098</v>
      </c>
      <c r="G97" s="260">
        <f>'Data Sheet'!G17/'Data Sheet'!G66</f>
        <v>0.44254720771394135</v>
      </c>
      <c r="H97" s="275">
        <f>'Data Sheet'!H17/'Data Sheet'!H66</f>
        <v>0.82219295357260458</v>
      </c>
      <c r="I97" s="275">
        <f>'Data Sheet'!I17/'Data Sheet'!I66</f>
        <v>0.86571583203336411</v>
      </c>
      <c r="J97" s="275">
        <f>'Data Sheet'!J17/'Data Sheet'!J66</f>
        <v>1.0329025825497058</v>
      </c>
      <c r="K97" s="275">
        <f>'Data Sheet'!K17/'Data Sheet'!K66</f>
        <v>1.0341199678527069</v>
      </c>
      <c r="L97" s="275"/>
      <c r="M97" s="260">
        <f t="shared" si="15"/>
        <v>0.97757946081192559</v>
      </c>
      <c r="N97" s="260">
        <f t="shared" si="16"/>
        <v>0.83949570874446455</v>
      </c>
      <c r="O97" s="260">
        <f t="shared" si="17"/>
        <v>0.57191939040451278</v>
      </c>
    </row>
    <row r="98" spans="1:15" x14ac:dyDescent="0.2">
      <c r="A98" s="252" t="s">
        <v>520</v>
      </c>
      <c r="B98" s="260">
        <f>'Data Sheet'!B17/'Data Sheet'!B62</f>
        <v>0</v>
      </c>
      <c r="C98" s="260">
        <f>'Data Sheet'!C17/'Data Sheet'!C62</f>
        <v>0</v>
      </c>
      <c r="D98" s="260">
        <f>'Data Sheet'!D17/'Data Sheet'!D62</f>
        <v>2.697520661157025</v>
      </c>
      <c r="E98" s="260">
        <f>'Data Sheet'!E17/'Data Sheet'!E62</f>
        <v>3.5217391304347823</v>
      </c>
      <c r="F98" s="260">
        <f>'Data Sheet'!F17/'Data Sheet'!F62</f>
        <v>35.904109589041099</v>
      </c>
      <c r="G98" s="260">
        <f>'Data Sheet'!G17/'Data Sheet'!G62</f>
        <v>0.84325358851674648</v>
      </c>
      <c r="H98" s="275">
        <f>'Data Sheet'!H17/'Data Sheet'!H62</f>
        <v>1.5779828109201213</v>
      </c>
      <c r="I98" s="275">
        <f>'Data Sheet'!I17/'Data Sheet'!I62</f>
        <v>1.8578260572521692</v>
      </c>
      <c r="J98" s="275">
        <f>'Data Sheet'!J17/'Data Sheet'!J62</f>
        <v>2.8193169690501603</v>
      </c>
      <c r="K98" s="275">
        <f>'Data Sheet'!K17/'Data Sheet'!K62</f>
        <v>2.3699280013395101</v>
      </c>
      <c r="L98" s="275"/>
      <c r="M98" s="260">
        <f t="shared" si="15"/>
        <v>2.3490236758806131</v>
      </c>
      <c r="N98" s="260">
        <f t="shared" si="16"/>
        <v>1.8936614854157416</v>
      </c>
      <c r="O98" s="260">
        <f t="shared" si="17"/>
        <v>5.1591676807711613</v>
      </c>
    </row>
    <row r="99" spans="1:15" x14ac:dyDescent="0.2">
      <c r="A99" s="252" t="s">
        <v>229</v>
      </c>
      <c r="B99" s="276">
        <f t="shared" ref="B99:K99" si="20">B12/B11</f>
        <v>0</v>
      </c>
      <c r="C99" s="276">
        <f t="shared" si="20"/>
        <v>0</v>
      </c>
      <c r="D99" s="276">
        <f t="shared" si="20"/>
        <v>5.454545454545455</v>
      </c>
      <c r="E99" s="276">
        <f t="shared" si="20"/>
        <v>-0.95714285714285718</v>
      </c>
      <c r="F99" s="276">
        <f t="shared" si="20"/>
        <v>-1.8690176322418135</v>
      </c>
      <c r="G99" s="276">
        <f t="shared" si="20"/>
        <v>2</v>
      </c>
      <c r="H99" s="276">
        <f t="shared" si="20"/>
        <v>1.3740779768177027</v>
      </c>
      <c r="I99" s="276">
        <f t="shared" si="20"/>
        <v>0.47714069209396309</v>
      </c>
      <c r="J99" s="276">
        <f t="shared" si="20"/>
        <v>0.68660859576912037</v>
      </c>
      <c r="K99" s="277">
        <f t="shared" si="20"/>
        <v>0.72893602144272229</v>
      </c>
      <c r="L99" s="277"/>
      <c r="M99" s="260">
        <f t="shared" si="15"/>
        <v>0.63089510310193531</v>
      </c>
      <c r="N99" s="260">
        <f t="shared" si="16"/>
        <v>1.0533526572247016</v>
      </c>
      <c r="O99" s="260">
        <f t="shared" si="17"/>
        <v>0.78951482512842919</v>
      </c>
    </row>
    <row r="100" spans="1:15" x14ac:dyDescent="0.2">
      <c r="A100" s="252" t="s">
        <v>521</v>
      </c>
      <c r="B100" s="261" t="e">
        <f t="shared" ref="B100:K100" si="21">B12/B4</f>
        <v>#DIV/0!</v>
      </c>
      <c r="C100" s="261" t="e">
        <f t="shared" si="21"/>
        <v>#DIV/0!</v>
      </c>
      <c r="D100" s="261">
        <f t="shared" si="21"/>
        <v>0.69852941176470584</v>
      </c>
      <c r="E100" s="261">
        <f t="shared" si="21"/>
        <v>-0.15906932573599242</v>
      </c>
      <c r="F100" s="261">
        <f t="shared" si="21"/>
        <v>-0.28309805417779471</v>
      </c>
      <c r="G100" s="261">
        <f t="shared" si="21"/>
        <v>0.2759872900590104</v>
      </c>
      <c r="H100" s="261">
        <f t="shared" si="21"/>
        <v>0.20889066880256307</v>
      </c>
      <c r="I100" s="261">
        <f t="shared" si="21"/>
        <v>6.9466406795866589E-2</v>
      </c>
      <c r="J100" s="261">
        <f t="shared" si="21"/>
        <v>0.1357648483930802</v>
      </c>
      <c r="K100" s="261">
        <f t="shared" si="21"/>
        <v>0.14730818143281049</v>
      </c>
      <c r="L100" s="261"/>
      <c r="M100" s="261">
        <f t="shared" si="15"/>
        <v>0.11751314554058577</v>
      </c>
      <c r="N100" s="261">
        <f t="shared" si="16"/>
        <v>0.16748347909666617</v>
      </c>
      <c r="O100" s="261" t="e">
        <f t="shared" si="17"/>
        <v>#DIV/0!</v>
      </c>
    </row>
    <row r="101" spans="1:15" x14ac:dyDescent="0.2">
      <c r="A101" s="252" t="s">
        <v>522</v>
      </c>
      <c r="B101" s="276">
        <f t="shared" ref="B101:K101" si="22">B13/B11</f>
        <v>0</v>
      </c>
      <c r="C101" s="276">
        <f t="shared" si="22"/>
        <v>-0.50000000000000011</v>
      </c>
      <c r="D101" s="276">
        <f t="shared" si="22"/>
        <v>9.2057416267942607</v>
      </c>
      <c r="E101" s="276">
        <f t="shared" si="22"/>
        <v>1.3057142857142858</v>
      </c>
      <c r="F101" s="276">
        <f t="shared" si="22"/>
        <v>-0.85390428211586877</v>
      </c>
      <c r="G101" s="276">
        <f t="shared" si="22"/>
        <v>9.5279605263157912</v>
      </c>
      <c r="H101" s="277">
        <f t="shared" si="22"/>
        <v>1.9130663856691255</v>
      </c>
      <c r="I101" s="277">
        <f t="shared" si="22"/>
        <v>2.1649406415761554</v>
      </c>
      <c r="J101" s="277">
        <f t="shared" si="22"/>
        <v>0.54695127787881692</v>
      </c>
      <c r="K101" s="277">
        <f t="shared" si="22"/>
        <v>1.1855844307190302</v>
      </c>
      <c r="L101" s="277"/>
      <c r="M101" s="260">
        <f t="shared" si="15"/>
        <v>1.2991587833913341</v>
      </c>
      <c r="N101" s="260">
        <f t="shared" si="16"/>
        <v>3.067700652431784</v>
      </c>
      <c r="O101" s="260">
        <f t="shared" si="17"/>
        <v>2.44960548925516</v>
      </c>
    </row>
    <row r="102" spans="1:15" x14ac:dyDescent="0.2">
      <c r="A102" s="252" t="s">
        <v>523</v>
      </c>
      <c r="B102" s="261">
        <f t="shared" ref="B102:K102" si="23">B14/B11</f>
        <v>0</v>
      </c>
      <c r="C102" s="261">
        <f t="shared" si="23"/>
        <v>0</v>
      </c>
      <c r="D102" s="261">
        <f t="shared" si="23"/>
        <v>0</v>
      </c>
      <c r="E102" s="261">
        <f t="shared" si="23"/>
        <v>0</v>
      </c>
      <c r="F102" s="261">
        <f t="shared" si="23"/>
        <v>0</v>
      </c>
      <c r="G102" s="261">
        <f t="shared" si="23"/>
        <v>0</v>
      </c>
      <c r="H102" s="261">
        <f t="shared" si="23"/>
        <v>0</v>
      </c>
      <c r="I102" s="261">
        <f t="shared" si="23"/>
        <v>0</v>
      </c>
      <c r="J102" s="261">
        <f t="shared" si="23"/>
        <v>2.9194984205992151E-2</v>
      </c>
      <c r="K102" s="261">
        <f t="shared" si="23"/>
        <v>0</v>
      </c>
      <c r="L102" s="261"/>
      <c r="M102" s="261">
        <f t="shared" si="15"/>
        <v>9.7316614019973841E-3</v>
      </c>
      <c r="N102" s="261">
        <f t="shared" si="16"/>
        <v>5.8389968411984303E-3</v>
      </c>
      <c r="O102" s="261">
        <f t="shared" si="17"/>
        <v>2.9194984205992152E-3</v>
      </c>
    </row>
    <row r="103" spans="1:15" x14ac:dyDescent="0.2">
      <c r="A103" s="252" t="s">
        <v>316</v>
      </c>
      <c r="B103" s="276">
        <f t="shared" ref="B103:K103" si="24">B15/B11</f>
        <v>0</v>
      </c>
      <c r="C103" s="276">
        <f t="shared" si="24"/>
        <v>0.50000000000000011</v>
      </c>
      <c r="D103" s="276">
        <f t="shared" si="24"/>
        <v>-3.7511961722488047</v>
      </c>
      <c r="E103" s="276">
        <f t="shared" si="24"/>
        <v>-2.2628571428571429</v>
      </c>
      <c r="F103" s="276">
        <f t="shared" si="24"/>
        <v>-1.0151133501259448</v>
      </c>
      <c r="G103" s="276">
        <f t="shared" si="24"/>
        <v>-7.5279605263157912</v>
      </c>
      <c r="H103" s="276">
        <f t="shared" si="24"/>
        <v>-0.53898840885142274</v>
      </c>
      <c r="I103" s="276">
        <f t="shared" si="24"/>
        <v>-1.6877999494821925</v>
      </c>
      <c r="J103" s="276">
        <f t="shared" si="24"/>
        <v>0.13965731789030347</v>
      </c>
      <c r="K103" s="276">
        <f t="shared" si="24"/>
        <v>-0.45664840927630795</v>
      </c>
      <c r="L103" s="276"/>
      <c r="M103" s="260">
        <f t="shared" si="15"/>
        <v>-0.66826368028939898</v>
      </c>
      <c r="N103" s="260">
        <f t="shared" si="16"/>
        <v>-2.0143479952070824</v>
      </c>
      <c r="O103" s="260">
        <f t="shared" si="17"/>
        <v>-1.6600906641267303</v>
      </c>
    </row>
    <row r="104" spans="1:15" x14ac:dyDescent="0.2">
      <c r="A104" s="252" t="s">
        <v>231</v>
      </c>
      <c r="B104" s="276" t="e">
        <f t="shared" ref="B104:K104" si="25">B15/B12</f>
        <v>#DIV/0!</v>
      </c>
      <c r="C104" s="276" t="e">
        <f t="shared" si="25"/>
        <v>#DIV/0!</v>
      </c>
      <c r="D104" s="276">
        <f t="shared" si="25"/>
        <v>-0.68771929824561417</v>
      </c>
      <c r="E104" s="276">
        <f t="shared" si="25"/>
        <v>2.3641791044776119</v>
      </c>
      <c r="F104" s="276">
        <f t="shared" si="25"/>
        <v>0.54312668463611879</v>
      </c>
      <c r="G104" s="276">
        <f t="shared" si="25"/>
        <v>-3.7639802631578956</v>
      </c>
      <c r="H104" s="276">
        <f t="shared" si="25"/>
        <v>-0.39225460122699407</v>
      </c>
      <c r="I104" s="276">
        <f t="shared" si="25"/>
        <v>-3.5373213340391745</v>
      </c>
      <c r="J104" s="276">
        <f t="shared" si="25"/>
        <v>0.20340164505785588</v>
      </c>
      <c r="K104" s="276">
        <f t="shared" si="25"/>
        <v>-0.6264588329336529</v>
      </c>
      <c r="L104" s="276"/>
      <c r="M104" s="260">
        <f t="shared" si="15"/>
        <v>-1.320126173971657</v>
      </c>
      <c r="N104" s="260">
        <f t="shared" si="16"/>
        <v>-1.623322677259972</v>
      </c>
      <c r="O104" s="260" t="e">
        <f t="shared" si="17"/>
        <v>#DIV/0!</v>
      </c>
    </row>
    <row r="105" spans="1:15" x14ac:dyDescent="0.2">
      <c r="A105" s="252" t="s">
        <v>524</v>
      </c>
      <c r="B105" s="261" t="e">
        <f t="shared" ref="B105:K105" si="26">B15/B4</f>
        <v>#DIV/0!</v>
      </c>
      <c r="C105" s="261" t="e">
        <f t="shared" si="26"/>
        <v>#DIV/0!</v>
      </c>
      <c r="D105" s="261">
        <f t="shared" si="26"/>
        <v>-0.48039215686274517</v>
      </c>
      <c r="E105" s="261">
        <f t="shared" si="26"/>
        <v>-0.37606837606837606</v>
      </c>
      <c r="F105" s="261">
        <f t="shared" si="26"/>
        <v>-0.15375810759252198</v>
      </c>
      <c r="G105" s="265">
        <f t="shared" si="26"/>
        <v>-1.0388107126645485</v>
      </c>
      <c r="H105" s="265">
        <f t="shared" si="26"/>
        <v>-8.1938325991189456E-2</v>
      </c>
      <c r="I105" s="265">
        <f t="shared" si="26"/>
        <v>-0.24572500275806275</v>
      </c>
      <c r="J105" s="265">
        <f t="shared" si="26"/>
        <v>2.7614793504182916E-2</v>
      </c>
      <c r="K105" s="265">
        <f t="shared" si="26"/>
        <v>-9.228251142197727E-2</v>
      </c>
      <c r="L105" s="265"/>
      <c r="M105" s="261">
        <f t="shared" si="15"/>
        <v>-0.10346424022528571</v>
      </c>
      <c r="N105" s="261">
        <f t="shared" si="16"/>
        <v>-0.28622835186631901</v>
      </c>
      <c r="O105" s="261" t="e">
        <f t="shared" si="17"/>
        <v>#DIV/0!</v>
      </c>
    </row>
    <row r="106" spans="1:15" x14ac:dyDescent="0.2">
      <c r="A106" s="254" t="s">
        <v>525</v>
      </c>
      <c r="B106" s="261" t="e">
        <f t="shared" ref="B106:K106" si="27">B21</f>
        <v>#DIV/0!</v>
      </c>
      <c r="C106" s="261" t="e">
        <f t="shared" si="27"/>
        <v>#DIV/0!</v>
      </c>
      <c r="D106" s="261">
        <f t="shared" si="27"/>
        <v>0.12806372549019607</v>
      </c>
      <c r="E106" s="261">
        <f t="shared" si="27"/>
        <v>0.16619183285849953</v>
      </c>
      <c r="F106" s="261">
        <f t="shared" si="27"/>
        <v>0.15146890499809235</v>
      </c>
      <c r="G106" s="261">
        <f t="shared" si="27"/>
        <v>0.1379936450295052</v>
      </c>
      <c r="H106" s="261">
        <f t="shared" si="27"/>
        <v>0.15202242691229476</v>
      </c>
      <c r="I106" s="264">
        <f t="shared" si="27"/>
        <v>0.14558893832971723</v>
      </c>
      <c r="J106" s="264">
        <f t="shared" si="27"/>
        <v>0.19773252072529052</v>
      </c>
      <c r="K106" s="264">
        <f t="shared" si="27"/>
        <v>0.20208657152277332</v>
      </c>
      <c r="L106" s="264"/>
      <c r="M106" s="261">
        <f t="shared" si="15"/>
        <v>0.18180267685926035</v>
      </c>
      <c r="N106" s="261">
        <f t="shared" si="16"/>
        <v>0.16708482050391621</v>
      </c>
      <c r="O106" s="261" t="e">
        <f t="shared" si="17"/>
        <v>#DIV/0!</v>
      </c>
    </row>
    <row r="107" spans="1:15" x14ac:dyDescent="0.2">
      <c r="A107" s="254" t="s">
        <v>526</v>
      </c>
      <c r="B107" s="278">
        <f t="shared" ref="B107:K107" si="28">B97</f>
        <v>0</v>
      </c>
      <c r="C107" s="278">
        <f t="shared" si="28"/>
        <v>0</v>
      </c>
      <c r="D107" s="278">
        <f t="shared" si="28"/>
        <v>0.46193037078969718</v>
      </c>
      <c r="E107" s="278">
        <f t="shared" si="28"/>
        <v>0.47421751857689709</v>
      </c>
      <c r="F107" s="278">
        <f t="shared" si="28"/>
        <v>0.58556747095621098</v>
      </c>
      <c r="G107" s="279">
        <f t="shared" si="28"/>
        <v>0.44254720771394135</v>
      </c>
      <c r="H107" s="279">
        <f t="shared" si="28"/>
        <v>0.82219295357260458</v>
      </c>
      <c r="I107" s="279">
        <f t="shared" si="28"/>
        <v>0.86571583203336411</v>
      </c>
      <c r="J107" s="279">
        <f t="shared" si="28"/>
        <v>1.0329025825497058</v>
      </c>
      <c r="K107" s="279">
        <f t="shared" si="28"/>
        <v>1.0341199678527069</v>
      </c>
      <c r="L107" s="279"/>
      <c r="M107" s="260">
        <f t="shared" si="15"/>
        <v>0.97757946081192559</v>
      </c>
      <c r="N107" s="260">
        <f t="shared" si="16"/>
        <v>0.83949570874446455</v>
      </c>
      <c r="O107" s="260">
        <f t="shared" si="17"/>
        <v>0.57191939040451278</v>
      </c>
    </row>
    <row r="108" spans="1:15" x14ac:dyDescent="0.2">
      <c r="A108" s="254" t="s">
        <v>307</v>
      </c>
      <c r="B108" s="276">
        <f t="shared" ref="B108:K108" si="29">B57</f>
        <v>1.2282608695652175</v>
      </c>
      <c r="C108" s="276">
        <f t="shared" si="29"/>
        <v>1.0231481481481481</v>
      </c>
      <c r="D108" s="276">
        <f t="shared" si="29"/>
        <v>1.7075882068632187</v>
      </c>
      <c r="E108" s="276">
        <f t="shared" si="29"/>
        <v>1.7408859270874164</v>
      </c>
      <c r="F108" s="276">
        <f t="shared" si="29"/>
        <v>1.6223269300471184</v>
      </c>
      <c r="G108" s="276">
        <f t="shared" si="29"/>
        <v>1.6058064516129034</v>
      </c>
      <c r="H108" s="276">
        <f t="shared" si="29"/>
        <v>1.521848065744638</v>
      </c>
      <c r="I108" s="280">
        <f t="shared" si="29"/>
        <v>1.53636585962338</v>
      </c>
      <c r="J108" s="280">
        <f t="shared" si="29"/>
        <v>1.5987185497734022</v>
      </c>
      <c r="K108" s="280">
        <f t="shared" si="29"/>
        <v>1.6722052535125231</v>
      </c>
      <c r="L108" s="280"/>
      <c r="M108" s="260">
        <f t="shared" si="15"/>
        <v>1.6024298876364351</v>
      </c>
      <c r="N108" s="260">
        <f t="shared" si="16"/>
        <v>1.5869888360533693</v>
      </c>
      <c r="O108" s="260">
        <f t="shared" si="17"/>
        <v>1.5257154261977965</v>
      </c>
    </row>
    <row r="109" spans="1:15" x14ac:dyDescent="0.2">
      <c r="A109" s="252" t="s">
        <v>60</v>
      </c>
      <c r="B109" s="261" t="e">
        <f>B106*B107*B108</f>
        <v>#DIV/0!</v>
      </c>
      <c r="C109" s="261" t="e">
        <f t="shared" ref="C109:K109" si="30">C106*C107*C108</f>
        <v>#DIV/0!</v>
      </c>
      <c r="D109" s="261">
        <f t="shared" si="30"/>
        <v>0.10101498308361526</v>
      </c>
      <c r="E109" s="261">
        <f t="shared" si="30"/>
        <v>0.13720109760878085</v>
      </c>
      <c r="F109" s="261">
        <f t="shared" si="30"/>
        <v>0.14389271475172166</v>
      </c>
      <c r="G109" s="261">
        <f t="shared" si="30"/>
        <v>9.8064516129032248E-2</v>
      </c>
      <c r="H109" s="261">
        <f t="shared" si="30"/>
        <v>0.19021848065744637</v>
      </c>
      <c r="I109" s="261">
        <f t="shared" si="30"/>
        <v>0.19364147713377358</v>
      </c>
      <c r="J109" s="261">
        <f t="shared" si="30"/>
        <v>0.32651976871386157</v>
      </c>
      <c r="K109" s="261">
        <f t="shared" si="30"/>
        <v>0.34946039503156184</v>
      </c>
      <c r="L109" s="261"/>
      <c r="M109" s="261">
        <f t="shared" si="15"/>
        <v>0.28987388029306566</v>
      </c>
      <c r="N109" s="261">
        <f t="shared" si="16"/>
        <v>0.23158092753313514</v>
      </c>
      <c r="O109" s="261" t="e">
        <f t="shared" si="17"/>
        <v>#DIV/0!</v>
      </c>
    </row>
    <row r="110" spans="1:15" x14ac:dyDescent="0.2">
      <c r="A110" s="252" t="s">
        <v>527</v>
      </c>
      <c r="B110" s="266">
        <f>('Data Sheet'!B27+'Data Sheet'!B28)/B10</f>
        <v>0.16129032258064516</v>
      </c>
      <c r="C110" s="266">
        <f>('Data Sheet'!C27+'Data Sheet'!C28)/C10</f>
        <v>6.1728395061728392E-3</v>
      </c>
      <c r="D110" s="266">
        <f>('Data Sheet'!D27+'Data Sheet'!D28)/D10</f>
        <v>0.11764705882352941</v>
      </c>
      <c r="E110" s="266">
        <f>('Data Sheet'!E27+'Data Sheet'!E28)/E10</f>
        <v>0.14978902953586495</v>
      </c>
      <c r="F110" s="266">
        <f>('Data Sheet'!F27+'Data Sheet'!F28)/F10</f>
        <v>0.15824915824915825</v>
      </c>
      <c r="G110" s="266">
        <f>('Data Sheet'!G27+'Data Sheet'!G28)/G10</f>
        <v>0.1448768622681666</v>
      </c>
      <c r="H110" s="267">
        <f>('Data Sheet'!H27+'Data Sheet'!H28)/H10</f>
        <v>0.29484226339509262</v>
      </c>
      <c r="I110" s="267">
        <f>('Data Sheet'!I27+'Data Sheet'!I28)/I10</f>
        <v>0.33064632910170394</v>
      </c>
      <c r="J110" s="267">
        <f>('Data Sheet'!J27+'Data Sheet'!J28)/J10</f>
        <v>0.47729666796030373</v>
      </c>
      <c r="K110" s="267">
        <f>('Data Sheet'!K27+'Data Sheet'!K28)/K10</f>
        <v>0.47894663942657312</v>
      </c>
      <c r="L110" s="267"/>
      <c r="M110" s="261">
        <f t="shared" si="15"/>
        <v>0.42896321216286032</v>
      </c>
      <c r="N110" s="261">
        <f t="shared" si="16"/>
        <v>0.345321752430368</v>
      </c>
      <c r="O110" s="261">
        <f t="shared" si="17"/>
        <v>0.23197571708472106</v>
      </c>
    </row>
    <row r="111" spans="1:15" x14ac:dyDescent="0.2">
      <c r="A111" s="254" t="s">
        <v>528</v>
      </c>
      <c r="B111" s="276">
        <f t="shared" ref="B111:K111" si="31">B4/B10</f>
        <v>0</v>
      </c>
      <c r="C111" s="276">
        <f t="shared" si="31"/>
        <v>0</v>
      </c>
      <c r="D111" s="276">
        <f t="shared" si="31"/>
        <v>0.75</v>
      </c>
      <c r="E111" s="276">
        <f t="shared" si="31"/>
        <v>0.740506329113924</v>
      </c>
      <c r="F111" s="276">
        <f t="shared" si="31"/>
        <v>0.88249158249158255</v>
      </c>
      <c r="G111" s="277">
        <f t="shared" si="31"/>
        <v>0.66980845241714804</v>
      </c>
      <c r="H111" s="277">
        <f t="shared" si="31"/>
        <v>1.2503755633450175</v>
      </c>
      <c r="I111" s="277">
        <f t="shared" si="31"/>
        <v>1.312593522228122</v>
      </c>
      <c r="J111" s="277">
        <f t="shared" si="31"/>
        <v>1.4646005433276044</v>
      </c>
      <c r="K111" s="277">
        <f t="shared" si="31"/>
        <v>1.4703417708369406</v>
      </c>
      <c r="L111" s="277"/>
      <c r="M111" s="260">
        <f t="shared" si="15"/>
        <v>1.4158452787975557</v>
      </c>
      <c r="N111" s="260">
        <f t="shared" si="16"/>
        <v>1.2335439704309663</v>
      </c>
      <c r="O111" s="260">
        <f t="shared" si="17"/>
        <v>0.85407177637603393</v>
      </c>
    </row>
    <row r="112" spans="1:15" x14ac:dyDescent="0.2">
      <c r="A112" s="254" t="s">
        <v>529</v>
      </c>
      <c r="B112" s="261">
        <f>B11/B10</f>
        <v>0.16129032258064516</v>
      </c>
      <c r="C112" s="261">
        <f t="shared" ref="C112:K112" si="32">C11/C10</f>
        <v>6.1728395061728392E-3</v>
      </c>
      <c r="D112" s="261">
        <f t="shared" si="32"/>
        <v>9.6047794117647051E-2</v>
      </c>
      <c r="E112" s="261">
        <f t="shared" si="32"/>
        <v>0.1230661040787623</v>
      </c>
      <c r="F112" s="261">
        <f t="shared" si="32"/>
        <v>0.13367003367003369</v>
      </c>
      <c r="G112" s="261">
        <f t="shared" si="32"/>
        <v>9.2429309820614161E-2</v>
      </c>
      <c r="H112" s="261">
        <f t="shared" si="32"/>
        <v>0.19008512769153732</v>
      </c>
      <c r="I112" s="264">
        <f t="shared" si="32"/>
        <v>0.19109909735965636</v>
      </c>
      <c r="J112" s="264">
        <f t="shared" si="32"/>
        <v>0.28959915728779728</v>
      </c>
      <c r="K112" s="264">
        <f t="shared" si="32"/>
        <v>0.29713632743516055</v>
      </c>
      <c r="L112" s="264"/>
      <c r="M112" s="261">
        <f t="shared" si="15"/>
        <v>0.2592781940275381</v>
      </c>
      <c r="N112" s="261">
        <f t="shared" si="16"/>
        <v>0.21206980391895316</v>
      </c>
      <c r="O112" s="261">
        <f t="shared" si="17"/>
        <v>0.15805961135480268</v>
      </c>
    </row>
    <row r="113" spans="1:15" x14ac:dyDescent="0.2">
      <c r="A113" s="254" t="s">
        <v>530</v>
      </c>
      <c r="B113" s="261">
        <f>B12/B10</f>
        <v>0</v>
      </c>
      <c r="C113" s="261">
        <f t="shared" ref="C113:K113" si="33">C12/C10</f>
        <v>0</v>
      </c>
      <c r="D113" s="261">
        <f t="shared" si="33"/>
        <v>0.52389705882352944</v>
      </c>
      <c r="E113" s="261">
        <f t="shared" si="33"/>
        <v>-0.11779184247538678</v>
      </c>
      <c r="F113" s="261">
        <f t="shared" si="33"/>
        <v>-0.24983164983164985</v>
      </c>
      <c r="G113" s="261">
        <f t="shared" si="33"/>
        <v>0.18485861964122832</v>
      </c>
      <c r="H113" s="265">
        <f t="shared" si="33"/>
        <v>0.26119178768152229</v>
      </c>
      <c r="I113" s="265">
        <f t="shared" si="33"/>
        <v>9.1181155572718067E-2</v>
      </c>
      <c r="J113" s="265">
        <f t="shared" si="33"/>
        <v>0.19884127072129512</v>
      </c>
      <c r="K113" s="265">
        <f t="shared" si="33"/>
        <v>0.21659337234668793</v>
      </c>
      <c r="L113" s="265"/>
      <c r="M113" s="261">
        <f t="shared" si="15"/>
        <v>0.16887193288023372</v>
      </c>
      <c r="N113" s="261">
        <f t="shared" si="16"/>
        <v>0.19053324119269036</v>
      </c>
      <c r="O113" s="261">
        <f t="shared" si="17"/>
        <v>0.11089397724799446</v>
      </c>
    </row>
    <row r="114" spans="1:15" x14ac:dyDescent="0.2">
      <c r="A114" s="254" t="s">
        <v>531</v>
      </c>
      <c r="B114" s="261">
        <f>B15/B10</f>
        <v>0</v>
      </c>
      <c r="C114" s="261">
        <f t="shared" ref="C114:K114" si="34">C15/C10</f>
        <v>3.08641975308642E-3</v>
      </c>
      <c r="D114" s="261">
        <f t="shared" si="34"/>
        <v>-0.36029411764705888</v>
      </c>
      <c r="E114" s="261">
        <f t="shared" si="34"/>
        <v>-0.27848101265822783</v>
      </c>
      <c r="F114" s="261">
        <f t="shared" si="34"/>
        <v>-0.13569023569023572</v>
      </c>
      <c r="G114" s="261">
        <f t="shared" si="34"/>
        <v>-0.69580419580419595</v>
      </c>
      <c r="H114" s="261">
        <f t="shared" si="34"/>
        <v>-0.10245368052078122</v>
      </c>
      <c r="I114" s="265">
        <f t="shared" si="34"/>
        <v>-0.32253704686972057</v>
      </c>
      <c r="J114" s="265">
        <f t="shared" si="34"/>
        <v>4.0444641570105903E-2</v>
      </c>
      <c r="K114" s="265">
        <f t="shared" si="34"/>
        <v>-0.13568683126147024</v>
      </c>
      <c r="L114" s="265"/>
      <c r="M114" s="261">
        <f t="shared" si="15"/>
        <v>-0.13925974552036163</v>
      </c>
      <c r="N114" s="261">
        <f t="shared" si="16"/>
        <v>-0.24320742257721242</v>
      </c>
      <c r="O114" s="261">
        <f t="shared" si="17"/>
        <v>-0.19874160591284981</v>
      </c>
    </row>
    <row r="115" spans="1:15" x14ac:dyDescent="0.2">
      <c r="A115" s="254" t="s">
        <v>532</v>
      </c>
      <c r="C115" s="260">
        <f t="shared" ref="C115:K115" si="35">(C4-$B$4)/(C10-$B$10)</f>
        <v>0</v>
      </c>
      <c r="D115" s="260">
        <f t="shared" si="35"/>
        <v>1.164882226980728</v>
      </c>
      <c r="E115" s="260">
        <f t="shared" si="35"/>
        <v>1.0178830352827453</v>
      </c>
      <c r="F115" s="260">
        <f t="shared" si="35"/>
        <v>1.1940774487471526</v>
      </c>
      <c r="G115" s="260">
        <f t="shared" si="35"/>
        <v>0.75926245045666041</v>
      </c>
      <c r="H115" s="260">
        <f t="shared" si="35"/>
        <v>1.3555917480998914</v>
      </c>
      <c r="I115" s="275">
        <f t="shared" si="35"/>
        <v>1.3636044529134492</v>
      </c>
      <c r="J115" s="275">
        <f t="shared" si="35"/>
        <v>1.4967562820476501</v>
      </c>
      <c r="K115" s="275">
        <f t="shared" si="35"/>
        <v>1.4903392239790816</v>
      </c>
      <c r="L115" s="275"/>
      <c r="M115" s="260">
        <f t="shared" si="15"/>
        <v>1.450233319646727</v>
      </c>
      <c r="N115" s="260">
        <f t="shared" si="16"/>
        <v>1.2931108314993467</v>
      </c>
      <c r="O115" s="260">
        <f t="shared" si="17"/>
        <v>1.0935996520563731</v>
      </c>
    </row>
    <row r="116" spans="1:15" x14ac:dyDescent="0.2">
      <c r="A116" s="254" t="s">
        <v>533</v>
      </c>
      <c r="C116" s="261">
        <f>(C11-$B$11)/(C10-$B$10)</f>
        <v>0.95275590551181133</v>
      </c>
      <c r="D116" s="261">
        <f t="shared" ref="D116:K116" si="36">(D11-$B$11)/(D10-$B$10)</f>
        <v>5.9957173447537454E-2</v>
      </c>
      <c r="E116" s="261">
        <f t="shared" si="36"/>
        <v>0.10874818753020782</v>
      </c>
      <c r="F116" s="261">
        <f t="shared" si="36"/>
        <v>0.12391799544419135</v>
      </c>
      <c r="G116" s="261">
        <f t="shared" si="36"/>
        <v>8.3232810615199035E-2</v>
      </c>
      <c r="H116" s="264">
        <f t="shared" si="36"/>
        <v>0.19250814332247559</v>
      </c>
      <c r="I116" s="264">
        <f t="shared" si="36"/>
        <v>0.19225754688596933</v>
      </c>
      <c r="J116" s="264">
        <f t="shared" si="36"/>
        <v>0.29241621575682031</v>
      </c>
      <c r="K116" s="264">
        <f t="shared" si="36"/>
        <v>0.29898390748117865</v>
      </c>
      <c r="L116" s="264"/>
      <c r="M116" s="261">
        <f t="shared" si="15"/>
        <v>0.26121922337465608</v>
      </c>
      <c r="N116" s="261">
        <f t="shared" si="16"/>
        <v>0.21187972481232858</v>
      </c>
      <c r="O116" s="261">
        <f t="shared" si="17"/>
        <v>0.25608643177726559</v>
      </c>
    </row>
    <row r="117" spans="1:15" x14ac:dyDescent="0.2">
      <c r="A117" s="254" t="s">
        <v>534</v>
      </c>
      <c r="C117" s="261">
        <f>(C12-$B$12)/(C10-$B$10)</f>
        <v>0</v>
      </c>
      <c r="D117" s="261">
        <f t="shared" ref="D117:K117" si="37">(D12-$B$12)/(D10-$B$10)</f>
        <v>0.81370449678800849</v>
      </c>
      <c r="E117" s="261">
        <f t="shared" si="37"/>
        <v>-0.16191396810053166</v>
      </c>
      <c r="F117" s="261">
        <f t="shared" si="37"/>
        <v>-0.33804100227790435</v>
      </c>
      <c r="G117" s="261">
        <f t="shared" si="37"/>
        <v>0.20954678614509736</v>
      </c>
      <c r="H117" s="265">
        <f t="shared" si="37"/>
        <v>0.28317046688382191</v>
      </c>
      <c r="I117" s="265">
        <f t="shared" si="37"/>
        <v>9.4724701634740754E-2</v>
      </c>
      <c r="J117" s="265">
        <f t="shared" si="37"/>
        <v>0.20320688971358963</v>
      </c>
      <c r="K117" s="265">
        <f t="shared" si="37"/>
        <v>0.21953916080234459</v>
      </c>
      <c r="L117" s="265"/>
      <c r="M117" s="261">
        <f t="shared" si="15"/>
        <v>0.17249025071689164</v>
      </c>
      <c r="N117" s="261">
        <f t="shared" si="16"/>
        <v>0.20203760103591889</v>
      </c>
      <c r="O117" s="261">
        <f t="shared" si="17"/>
        <v>0.14710417017657409</v>
      </c>
    </row>
    <row r="118" spans="1:15" x14ac:dyDescent="0.2">
      <c r="A118" s="254" t="s">
        <v>535</v>
      </c>
      <c r="C118" s="261">
        <f>(C15-$B$15)/(C10-$B$10)</f>
        <v>-1.5748031496062999E-2</v>
      </c>
      <c r="D118" s="261">
        <f t="shared" ref="D118:K118" si="38">(D15-$B$15)/(D10-$B$10)</f>
        <v>-0.55960028551034979</v>
      </c>
      <c r="E118" s="261">
        <f t="shared" si="38"/>
        <v>-0.38279362010633156</v>
      </c>
      <c r="F118" s="261">
        <f t="shared" si="38"/>
        <v>-0.18359908883826884</v>
      </c>
      <c r="G118" s="261">
        <f t="shared" si="38"/>
        <v>-0.78872996725831479</v>
      </c>
      <c r="H118" s="261">
        <f t="shared" si="38"/>
        <v>-0.11107491856677529</v>
      </c>
      <c r="I118" s="261">
        <f t="shared" si="38"/>
        <v>-0.33507170795306396</v>
      </c>
      <c r="J118" s="261">
        <f t="shared" si="38"/>
        <v>4.1332615654834426E-2</v>
      </c>
      <c r="K118" s="261">
        <f t="shared" si="38"/>
        <v>-0.13753224645947035</v>
      </c>
      <c r="L118" s="261"/>
      <c r="M118" s="261">
        <f t="shared" si="15"/>
        <v>-0.14375711291923329</v>
      </c>
      <c r="N118" s="261">
        <f t="shared" si="16"/>
        <v>-0.26621524491655801</v>
      </c>
      <c r="O118" s="261">
        <f t="shared" si="17"/>
        <v>-0.27475747228153369</v>
      </c>
    </row>
    <row r="119" spans="1:15" x14ac:dyDescent="0.2">
      <c r="A119" s="252" t="s">
        <v>247</v>
      </c>
      <c r="M119" s="260"/>
      <c r="N119" s="260"/>
      <c r="O119" s="260"/>
    </row>
    <row r="120" spans="1:15" x14ac:dyDescent="0.2">
      <c r="A120" s="252" t="s">
        <v>536</v>
      </c>
      <c r="B120" s="261">
        <f>B12/B16</f>
        <v>0</v>
      </c>
      <c r="C120" s="261">
        <f t="shared" ref="C120:K120" si="39">C12/C16</f>
        <v>0</v>
      </c>
      <c r="D120" s="261">
        <f t="shared" si="39"/>
        <v>0.4408489479955614</v>
      </c>
      <c r="E120" s="261">
        <f t="shared" si="39"/>
        <v>-0.12192553770281513</v>
      </c>
      <c r="F120" s="261">
        <f t="shared" si="39"/>
        <v>-0.13351538683912562</v>
      </c>
      <c r="G120" s="261">
        <f t="shared" si="39"/>
        <v>0.10925316348446888</v>
      </c>
      <c r="H120" s="261">
        <f t="shared" si="39"/>
        <v>3.4063714304356695E-2</v>
      </c>
      <c r="I120" s="261">
        <f t="shared" si="39"/>
        <v>8.7253146311431669E-3</v>
      </c>
      <c r="J120" s="261">
        <f t="shared" si="39"/>
        <v>4.1569728537302827E-2</v>
      </c>
      <c r="K120" s="261">
        <f t="shared" si="39"/>
        <v>5.2949098910418928E-2</v>
      </c>
      <c r="L120" s="261"/>
      <c r="M120" s="261">
        <f t="shared" si="15"/>
        <v>3.4414714026288311E-2</v>
      </c>
      <c r="N120" s="261">
        <f t="shared" si="16"/>
        <v>4.9312203973538103E-2</v>
      </c>
      <c r="O120" s="261">
        <f t="shared" si="17"/>
        <v>4.3196904332131122E-2</v>
      </c>
    </row>
    <row r="121" spans="1:15" x14ac:dyDescent="0.2">
      <c r="A121" s="252" t="s">
        <v>537</v>
      </c>
      <c r="B121" s="266" t="e">
        <f>('Data Sheet'!B31*10000000/'Data Sheet'!B70)/'Data Sheet'!B90</f>
        <v>#DIV/0!</v>
      </c>
      <c r="C121" s="266" t="e">
        <f>('Data Sheet'!C31*10000000/'Data Sheet'!C70)/'Data Sheet'!C90</f>
        <v>#DIV/0!</v>
      </c>
      <c r="D121" s="266">
        <f>('Data Sheet'!D31*10000000/'Data Sheet'!D70)/'Data Sheet'!D90</f>
        <v>0</v>
      </c>
      <c r="E121" s="266">
        <f>('Data Sheet'!E31*10000000/'Data Sheet'!E70)/'Data Sheet'!E90</f>
        <v>0</v>
      </c>
      <c r="F121" s="266">
        <f>('Data Sheet'!F31*10000000/'Data Sheet'!F70)/'Data Sheet'!F90</f>
        <v>0</v>
      </c>
      <c r="G121" s="266">
        <f>('Data Sheet'!G31*10000000/'Data Sheet'!G70)/'Data Sheet'!G90</f>
        <v>0</v>
      </c>
      <c r="H121" s="266">
        <f>('Data Sheet'!H31*10000000/'Data Sheet'!H70)/'Data Sheet'!H90</f>
        <v>0</v>
      </c>
      <c r="I121" s="266">
        <f>('Data Sheet'!I31*10000000/'Data Sheet'!I70)/'Data Sheet'!I90</f>
        <v>0</v>
      </c>
      <c r="J121" s="266">
        <f>('Data Sheet'!J31*10000000/'Data Sheet'!J70)/'Data Sheet'!J90</f>
        <v>1.718760627576124E-3</v>
      </c>
      <c r="K121" s="266">
        <f>('Data Sheet'!K31*10000000/'Data Sheet'!K70)/'Data Sheet'!K90</f>
        <v>0</v>
      </c>
      <c r="L121" s="266"/>
      <c r="M121" s="261">
        <f t="shared" si="15"/>
        <v>5.7292020919204139E-4</v>
      </c>
      <c r="N121" s="261">
        <f t="shared" si="16"/>
        <v>3.437521255152248E-4</v>
      </c>
      <c r="O121" s="261" t="e">
        <f t="shared" si="17"/>
        <v>#DIV/0!</v>
      </c>
    </row>
    <row r="122" spans="1:15" x14ac:dyDescent="0.2">
      <c r="A122" s="252" t="s">
        <v>17</v>
      </c>
      <c r="B122" s="261">
        <f>'Data Sheet'!B31/'Data Sheet'!B30</f>
        <v>0</v>
      </c>
      <c r="C122" s="261">
        <f>'Data Sheet'!C31/'Data Sheet'!C30</f>
        <v>0</v>
      </c>
      <c r="D122" s="261">
        <f>'Data Sheet'!D31/'Data Sheet'!D30</f>
        <v>0</v>
      </c>
      <c r="E122" s="261">
        <f>'Data Sheet'!E31/'Data Sheet'!E30</f>
        <v>0</v>
      </c>
      <c r="F122" s="261">
        <f>'Data Sheet'!F31/'Data Sheet'!F30</f>
        <v>0</v>
      </c>
      <c r="G122" s="261">
        <f>'Data Sheet'!G31/'Data Sheet'!G30</f>
        <v>0</v>
      </c>
      <c r="H122" s="261">
        <f>'Data Sheet'!H31/'Data Sheet'!H30</f>
        <v>0</v>
      </c>
      <c r="I122" s="261">
        <f>'Data Sheet'!I31/'Data Sheet'!I30</f>
        <v>0</v>
      </c>
      <c r="J122" s="261">
        <f>'Data Sheet'!J31/'Data Sheet'!J30</f>
        <v>2.9194984205992151E-2</v>
      </c>
      <c r="K122" s="261">
        <f>'Data Sheet'!K31/'Data Sheet'!K30</f>
        <v>0</v>
      </c>
      <c r="L122" s="261"/>
      <c r="M122" s="261">
        <f t="shared" si="15"/>
        <v>9.7316614019973841E-3</v>
      </c>
      <c r="N122" s="261">
        <f t="shared" si="16"/>
        <v>5.8389968411984303E-3</v>
      </c>
      <c r="O122" s="261">
        <f t="shared" si="17"/>
        <v>2.9194984205992152E-3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8"/>
  <sheetViews>
    <sheetView topLeftCell="A120" workbookViewId="0">
      <selection activeCell="A134" sqref="A134"/>
    </sheetView>
  </sheetViews>
  <sheetFormatPr defaultRowHeight="12.75" x14ac:dyDescent="0.2"/>
  <cols>
    <col min="1" max="1" width="26.5703125" style="362" customWidth="1"/>
    <col min="2" max="2" width="18.140625" style="346" bestFit="1" customWidth="1"/>
    <col min="3" max="11" width="9.28515625" style="37" bestFit="1" customWidth="1"/>
    <col min="12" max="12" width="7.28515625" style="37" bestFit="1" customWidth="1"/>
    <col min="13" max="13" width="4.28515625" style="37" bestFit="1" customWidth="1"/>
    <col min="14" max="14" width="11.28515625" style="37" bestFit="1" customWidth="1"/>
    <col min="15" max="16" width="11.42578125" style="37" bestFit="1" customWidth="1"/>
    <col min="17" max="17" width="10.42578125" style="37" bestFit="1" customWidth="1"/>
    <col min="18" max="18" width="9.28515625" style="37" bestFit="1" customWidth="1"/>
    <col min="19" max="16384" width="9.140625" style="37"/>
  </cols>
  <sheetData>
    <row r="1" spans="1:18" x14ac:dyDescent="0.2">
      <c r="A1" s="327" t="s">
        <v>677</v>
      </c>
      <c r="B1" s="328" t="s">
        <v>678</v>
      </c>
      <c r="C1" s="329">
        <f>'Profit &amp; Loss'!C3</f>
        <v>40268</v>
      </c>
      <c r="D1" s="329">
        <f>'Profit &amp; Loss'!D3</f>
        <v>40633</v>
      </c>
      <c r="E1" s="329">
        <f>'Profit &amp; Loss'!E3</f>
        <v>40999</v>
      </c>
      <c r="F1" s="329">
        <f>'Profit &amp; Loss'!F3</f>
        <v>41364</v>
      </c>
      <c r="G1" s="329">
        <f>'Profit &amp; Loss'!G3</f>
        <v>41729</v>
      </c>
      <c r="H1" s="329">
        <f>'Profit &amp; Loss'!H3</f>
        <v>42094</v>
      </c>
      <c r="I1" s="329">
        <f>'Profit &amp; Loss'!I3</f>
        <v>42460</v>
      </c>
      <c r="J1" s="329">
        <f>'Profit &amp; Loss'!J3</f>
        <v>42825</v>
      </c>
      <c r="K1" s="329">
        <f>'Profit &amp; Loss'!K3</f>
        <v>43190</v>
      </c>
      <c r="L1" s="329" t="str">
        <f>'Profit &amp; Loss'!L3</f>
        <v>Trailing</v>
      </c>
      <c r="M1" s="329"/>
      <c r="N1" s="330" t="s">
        <v>679</v>
      </c>
      <c r="O1" s="330" t="s">
        <v>680</v>
      </c>
      <c r="P1" s="330" t="s">
        <v>681</v>
      </c>
      <c r="Q1" s="331" t="s">
        <v>682</v>
      </c>
      <c r="R1" s="331" t="s">
        <v>683</v>
      </c>
    </row>
    <row r="2" spans="1:18" x14ac:dyDescent="0.2">
      <c r="A2" s="327" t="s">
        <v>684</v>
      </c>
      <c r="B2" s="328"/>
      <c r="C2" s="329"/>
      <c r="D2" s="329"/>
      <c r="E2" s="329"/>
      <c r="F2" s="329"/>
      <c r="G2" s="329"/>
      <c r="H2" s="329"/>
      <c r="I2" s="329"/>
      <c r="J2" s="329"/>
      <c r="K2" s="329"/>
      <c r="L2" s="329"/>
      <c r="M2" s="329"/>
      <c r="N2" s="330"/>
      <c r="O2" s="330"/>
      <c r="P2" s="330"/>
      <c r="Q2" s="331"/>
      <c r="R2" s="331"/>
    </row>
    <row r="3" spans="1:18" x14ac:dyDescent="0.2">
      <c r="A3" s="332" t="s">
        <v>140</v>
      </c>
      <c r="B3" s="333" t="s">
        <v>685</v>
      </c>
      <c r="C3" s="334" t="str">
        <f>IFERROR(('Profit &amp; Loss'!C4-'Profit &amp; Loss'!B4)/'Profit &amp; Loss'!B4,"NA")</f>
        <v>NA</v>
      </c>
      <c r="D3" s="334" t="str">
        <f>IFERROR(('Profit &amp; Loss'!D4-'Profit &amp; Loss'!C4)/'Profit &amp; Loss'!C4,"NA")</f>
        <v>NA</v>
      </c>
      <c r="E3" s="334">
        <f>IFERROR(('Profit &amp; Loss'!E4-'Profit &amp; Loss'!D4)/'Profit &amp; Loss'!D4,"NA")</f>
        <v>0.29044117647058815</v>
      </c>
      <c r="F3" s="334">
        <f>IFERROR(('Profit &amp; Loss'!F4-'Profit &amp; Loss'!E4)/'Profit &amp; Loss'!E4,"NA")</f>
        <v>0.244539411206078</v>
      </c>
      <c r="G3" s="334">
        <f>IFERROR(('Profit &amp; Loss'!G4-'Profit &amp; Loss'!F4)/'Profit &amp; Loss'!F4,"NA")</f>
        <v>0.68103777184280812</v>
      </c>
      <c r="H3" s="334">
        <f>IFERROR(('Profit &amp; Loss'!H4-'Profit &amp; Loss'!G4)/'Profit &amp; Loss'!G4,"NA")</f>
        <v>1.8336359509759417</v>
      </c>
      <c r="I3" s="334">
        <f>IFERROR(('Profit &amp; Loss'!I4-'Profit &amp; Loss'!H4)/'Profit &amp; Loss'!H4,"NA")</f>
        <v>1.178053664397277</v>
      </c>
      <c r="J3" s="334">
        <f>IFERROR(('Profit &amp; Loss'!J4-'Profit &amp; Loss'!I4)/'Profit &amp; Loss'!I4,"NA")</f>
        <v>0.94292648843452365</v>
      </c>
      <c r="K3" s="334">
        <f>IFERROR(('Profit &amp; Loss'!K4-'Profit &amp; Loss'!J4)/'Profit &amp; Loss'!J4,"NA")</f>
        <v>0.60737403944429713</v>
      </c>
      <c r="L3" s="334">
        <f>IFERROR(('Profit &amp; Loss'!L4-'Profit &amp; Loss'!K4)/'Profit &amp; Loss'!K4,"NA")</f>
        <v>6.2020159201168192E-2</v>
      </c>
      <c r="N3" s="334" t="e">
        <f>('Profit &amp; Loss'!K4/'Profit &amp; Loss'!B4)^(1/(9-1))-1</f>
        <v>#DIV/0!</v>
      </c>
      <c r="O3" s="334">
        <f>('Profit &amp; Loss'!K4/'Profit &amp; Loss'!F4)^(1/(5-1))-1</f>
        <v>1.3858374711188577</v>
      </c>
      <c r="P3" s="334">
        <f>('Profit &amp; Loss'!K4/'Profit &amp; Loss'!H4)^(1/(3-1))-1</f>
        <v>1.6080802324696224</v>
      </c>
      <c r="Q3" s="37" t="e">
        <f>IF(N3&gt;0.15,"Excellent",IF(N3&lt;0.1,"Bad","Good"))</f>
        <v>#DIV/0!</v>
      </c>
    </row>
    <row r="4" spans="1:18" x14ac:dyDescent="0.2">
      <c r="A4" s="332" t="s">
        <v>686</v>
      </c>
      <c r="B4" s="333" t="s">
        <v>685</v>
      </c>
      <c r="C4" s="334">
        <f>IFERROR(('Profit &amp; Loss'!C5-'Profit &amp; Loss'!B5)/'Profit &amp; Loss'!B5,"NA")</f>
        <v>-0.5</v>
      </c>
      <c r="D4" s="334">
        <f>IFERROR(('Profit &amp; Loss'!D5-'Profit &amp; Loss'!C5)/'Profit &amp; Loss'!C5,"NA")</f>
        <v>260.79999999999995</v>
      </c>
      <c r="E4" s="334">
        <f>IFERROR(('Profit &amp; Loss'!E5-'Profit &amp; Loss'!D5)/'Profit &amp; Loss'!D5,"NA")</f>
        <v>0.2268907563025212</v>
      </c>
      <c r="F4" s="334">
        <f>IFERROR(('Profit &amp; Loss'!F5-'Profit &amp; Loss'!E5)/'Profit &amp; Loss'!E5,"NA")</f>
        <v>0.29327521793275196</v>
      </c>
      <c r="G4" s="334">
        <f>IFERROR(('Profit &amp; Loss'!G5-'Profit &amp; Loss'!F5)/'Profit &amp; Loss'!F5,"NA")</f>
        <v>0.45642753972075112</v>
      </c>
      <c r="H4" s="334">
        <f>IFERROR(('Profit &amp; Loss'!H5-'Profit &amp; Loss'!G5)/'Profit &amp; Loss'!G5,"NA")</f>
        <v>1.8621487603305784</v>
      </c>
      <c r="I4" s="334">
        <f>IFERROR(('Profit &amp; Loss'!I5-'Profit &amp; Loss'!H5)/'Profit &amp; Loss'!H5,"NA")</f>
        <v>1.1185031185031187</v>
      </c>
      <c r="J4" s="334">
        <f>IFERROR(('Profit &amp; Loss'!J5-'Profit &amp; Loss'!I5)/'Profit &amp; Loss'!I5,"NA")</f>
        <v>0.87296914186021146</v>
      </c>
      <c r="K4" s="334">
        <f>IFERROR(('Profit &amp; Loss'!K5-'Profit &amp; Loss'!J5)/'Profit &amp; Loss'!J5,"NA")</f>
        <v>0.61806485416545376</v>
      </c>
      <c r="L4" s="334">
        <f>IFERROR(('Profit &amp; Loss'!L5-'Profit &amp; Loss'!K5)/'Profit &amp; Loss'!K5,"NA")</f>
        <v>6.1866983287459272E-2</v>
      </c>
      <c r="N4" s="334">
        <f>('Profit &amp; Loss'!K5/'Profit &amp; Loss'!B5)^(1/(9-1))-1</f>
        <v>1.9384726612017635</v>
      </c>
      <c r="O4" s="334">
        <f>('Profit &amp; Loss'!K5/'Profit &amp; Loss'!F5)^(1/(5-1))-1</f>
        <v>1.274490801919403</v>
      </c>
      <c r="P4" s="334">
        <f>('Profit &amp; Loss'!K5/'Profit &amp; Loss'!H5)^(1/(3-1))-1</f>
        <v>1.533832062372114</v>
      </c>
      <c r="Q4" s="37" t="e">
        <f>IF(N4&gt;N3+0.1,"Bad",IF(N4&lt;N3,"Excellent","Good"))</f>
        <v>#DIV/0!</v>
      </c>
    </row>
    <row r="5" spans="1:18" x14ac:dyDescent="0.2">
      <c r="A5" s="332" t="s">
        <v>687</v>
      </c>
      <c r="B5" s="333" t="s">
        <v>685</v>
      </c>
      <c r="C5" s="334">
        <f>IFERROR(('Profit &amp; Loss'!C6-'Profit &amp; Loss'!B6)/'Profit &amp; Loss'!B6,"NA")</f>
        <v>-0.5</v>
      </c>
      <c r="D5" s="334">
        <f>IFERROR(('Profit &amp; Loss'!D6-'Profit &amp; Loss'!C6)/'Profit &amp; Loss'!C6,"NA")</f>
        <v>-65.599999999999994</v>
      </c>
      <c r="E5" s="334">
        <f>IFERROR(('Profit &amp; Loss'!E6-'Profit &amp; Loss'!D6)/'Profit &amp; Loss'!D6,"NA")</f>
        <v>0.54798761609906987</v>
      </c>
      <c r="F5" s="334">
        <f>IFERROR(('Profit &amp; Loss'!F6-'Profit &amp; Loss'!E6)/'Profit &amp; Loss'!E6,"NA")</f>
        <v>8.8000000000001036E-2</v>
      </c>
      <c r="G5" s="334">
        <f>IFERROR(('Profit &amp; Loss'!G6-'Profit &amp; Loss'!F6)/'Profit &amp; Loss'!F6,"NA")</f>
        <v>1.5386029411764703</v>
      </c>
      <c r="H5" s="334">
        <f>IFERROR(('Profit &amp; Loss'!H6-'Profit &amp; Loss'!G6)/'Profit &amp; Loss'!G6,"NA")</f>
        <v>1.7711803041274432</v>
      </c>
      <c r="I5" s="334">
        <f>IFERROR(('Profit &amp; Loss'!I6-'Profit &amp; Loss'!H6)/'Profit &amp; Loss'!H6,"NA")</f>
        <v>1.3127776326103997</v>
      </c>
      <c r="J5" s="334">
        <f>IFERROR(('Profit &amp; Loss'!J6-'Profit &amp; Loss'!I6)/'Profit &amp; Loss'!I6,"NA")</f>
        <v>1.0878996723534067</v>
      </c>
      <c r="K5" s="334">
        <f>IFERROR(('Profit &amp; Loss'!K6-'Profit &amp; Loss'!J6)/'Profit &amp; Loss'!J6,"NA")</f>
        <v>0.58749999999999991</v>
      </c>
      <c r="L5" s="334">
        <f>IFERROR(('Profit &amp; Loss'!L6-'Profit &amp; Loss'!K6)/'Profit &amp; Loss'!K6,"NA")</f>
        <v>6.2310393019054534E-2</v>
      </c>
      <c r="N5" s="334" t="e">
        <f>('Profit &amp; Loss'!K6/'Profit &amp; Loss'!B6)^(1/(9-1))-1</f>
        <v>#NUM!</v>
      </c>
      <c r="O5" s="334">
        <f>('Profit &amp; Loss'!K6/'Profit &amp; Loss'!F6)^(1/(5-1))-1</f>
        <v>1.7099058362890269</v>
      </c>
      <c r="P5" s="334">
        <f>('Profit &amp; Loss'!K6/'Profit &amp; Loss'!H6)^(1/(3-1))-1</f>
        <v>1.7687173316174309</v>
      </c>
      <c r="Q5" s="37" t="e">
        <f>IF(N5&gt;0.15,"Excellent",IF(N5&lt;0.1,"Bad","Good"))</f>
        <v>#NUM!</v>
      </c>
    </row>
    <row r="6" spans="1:18" x14ac:dyDescent="0.2">
      <c r="A6" s="332" t="s">
        <v>688</v>
      </c>
      <c r="B6" s="333" t="s">
        <v>685</v>
      </c>
      <c r="C6" s="334">
        <f>IFERROR(('Profit &amp; Loss'!C10-'Profit &amp; Loss'!B10)/'Profit &amp; Loss'!B10,"NA")</f>
        <v>-0.96799999999999997</v>
      </c>
      <c r="D6" s="334">
        <f>IFERROR(('Profit &amp; Loss'!D10-'Profit &amp; Loss'!C10)/'Profit &amp; Loss'!C10,"NA")</f>
        <v>62.5</v>
      </c>
      <c r="E6" s="334">
        <f>IFERROR(('Profit &amp; Loss'!E10-'Profit &amp; Loss'!D10)/'Profit &amp; Loss'!D10,"NA")</f>
        <v>0.65748031496062986</v>
      </c>
      <c r="F6" s="334">
        <f>IFERROR(('Profit &amp; Loss'!F10-'Profit &amp; Loss'!E10)/'Profit &amp; Loss'!E10,"NA")</f>
        <v>7.6009501187648529E-2</v>
      </c>
      <c r="G6" s="334">
        <f>IFERROR(('Profit &amp; Loss'!G10-'Profit &amp; Loss'!F10)/'Profit &amp; Loss'!F10,"NA")</f>
        <v>1.0220750551876379</v>
      </c>
      <c r="H6" s="334">
        <f>IFERROR(('Profit &amp; Loss'!H10-'Profit &amp; Loss'!G10)/'Profit &amp; Loss'!G10,"NA")</f>
        <v>2.1648471615720521</v>
      </c>
      <c r="I6" s="334">
        <f>IFERROR(('Profit &amp; Loss'!I10-'Profit &amp; Loss'!H10)/'Profit &amp; Loss'!H10,"NA")</f>
        <v>1.3556398758192485</v>
      </c>
      <c r="J6" s="334">
        <f>IFERROR(('Profit &amp; Loss'!J10-'Profit &amp; Loss'!I10)/'Profit &amp; Loss'!I10,"NA")</f>
        <v>1.4972909650021962</v>
      </c>
      <c r="K6" s="334">
        <f>IFERROR(('Profit &amp; Loss'!K10-'Profit &amp; Loss'!J10)/'Profit &amp; Loss'!J10,"NA")</f>
        <v>0.5595754661662955</v>
      </c>
      <c r="L6" s="334">
        <f>IFERROR(('Profit &amp; Loss'!L10-'Profit &amp; Loss'!K10)/'Profit &amp; Loss'!K10,"NA")</f>
        <v>4.0117306463134779E-2</v>
      </c>
      <c r="N6" s="334">
        <f>('Profit &amp; Loss'!K10/'Profit &amp; Loss'!B10)^(1/(9-1))-1</f>
        <v>0.95429594109926752</v>
      </c>
      <c r="O6" s="334">
        <f>('Profit &amp; Loss'!K10/'Profit &amp; Loss'!F10)^(1/(5-1))-1</f>
        <v>1.7681117117794596</v>
      </c>
      <c r="P6" s="334">
        <f>('Profit &amp; Loss'!K10/'Profit &amp; Loss'!H10)^(1/(3-1))-1</f>
        <v>2.0289507995085354</v>
      </c>
      <c r="Q6" s="37" t="str">
        <f>IF(N6&gt;0.15,"Excellent",IF(N6&lt;0.1,"Bad","Good"))</f>
        <v>Excellent</v>
      </c>
    </row>
    <row r="7" spans="1:18" x14ac:dyDescent="0.2">
      <c r="A7" s="332" t="s">
        <v>689</v>
      </c>
      <c r="B7" s="333" t="s">
        <v>685</v>
      </c>
      <c r="C7" s="334">
        <f>IFERROR(('Profit &amp; Loss'!C12-'Profit &amp; Loss'!B12)/'Profit &amp; Loss'!B12,"NA")</f>
        <v>-0.96799999999999997</v>
      </c>
      <c r="D7" s="334">
        <f>IFERROR(('Profit &amp; Loss'!D12-'Profit &amp; Loss'!C12)/'Profit &amp; Loss'!C12,"NA")</f>
        <v>51.249999999999993</v>
      </c>
      <c r="E7" s="334">
        <f>IFERROR(('Profit &amp; Loss'!E12-'Profit &amp; Loss'!D12)/'Profit &amp; Loss'!D12,"NA")</f>
        <v>0.67464114832535893</v>
      </c>
      <c r="F7" s="334">
        <f>IFERROR(('Profit &amp; Loss'!F12-'Profit &amp; Loss'!E12)/'Profit &amp; Loss'!E12,"NA")</f>
        <v>0.13428571428571434</v>
      </c>
      <c r="G7" s="334">
        <f>IFERROR(('Profit &amp; Loss'!G12-'Profit &amp; Loss'!F12)/'Profit &amp; Loss'!F12,"NA")</f>
        <v>0.53148614609571787</v>
      </c>
      <c r="H7" s="334">
        <f>IFERROR(('Profit &amp; Loss'!H12-'Profit &amp; Loss'!G12)/'Profit &amp; Loss'!G12,"NA")</f>
        <v>2.1217105263157894</v>
      </c>
      <c r="I7" s="334">
        <f>IFERROR(('Profit &amp; Loss'!I12-'Profit &amp; Loss'!H12)/'Profit &amp; Loss'!H12,"NA")</f>
        <v>1.0858798735511066</v>
      </c>
      <c r="J7" s="334">
        <f>IFERROR(('Profit &amp; Loss'!J12-'Profit &amp; Loss'!I12)/'Profit &amp; Loss'!I12,"NA")</f>
        <v>1.6387976761808536</v>
      </c>
      <c r="K7" s="334">
        <f>IFERROR(('Profit &amp; Loss'!K12-'Profit &amp; Loss'!J12)/'Profit &amp; Loss'!J12,"NA")</f>
        <v>0.64276825883028632</v>
      </c>
      <c r="L7" s="334">
        <f>IFERROR(('Profit &amp; Loss'!L12-'Profit &amp; Loss'!K12)/'Profit &amp; Loss'!K12,"NA")</f>
        <v>0.24367789301946155</v>
      </c>
      <c r="N7" s="334">
        <f>('Profit &amp; Loss'!K12/'Profit &amp; Loss'!B12)^(1/(9-1))-1</f>
        <v>0.85015125902505062</v>
      </c>
      <c r="O7" s="334">
        <f>('Profit &amp; Loss'!K12/'Profit &amp; Loss'!F12)^(1/(5-1))-1</f>
        <v>1.5641554340361497</v>
      </c>
      <c r="P7" s="334">
        <f>('Profit &amp; Loss'!K12/'Profit &amp; Loss'!H12)^(1/(3-1))-1</f>
        <v>2.0070167327753143</v>
      </c>
      <c r="Q7" s="37" t="str">
        <f>IF(N7&gt;0.15,"Excellent",IF(N7&lt;0.1,"Bad","Good"))</f>
        <v>Excellent</v>
      </c>
    </row>
    <row r="8" spans="1:18" x14ac:dyDescent="0.2">
      <c r="A8" s="332" t="s">
        <v>690</v>
      </c>
      <c r="B8" s="333" t="s">
        <v>685</v>
      </c>
      <c r="C8" s="334">
        <f>IFERROR(('Profit &amp; Loss'!C13-'Profit &amp; Loss'!B13)/'Profit &amp; Loss'!B13,"NA")</f>
        <v>-0.96799999999999997</v>
      </c>
      <c r="D8" s="334">
        <f>IFERROR(('Profit &amp; Loss'!D13-'Profit &amp; Loss'!C13)/'Profit &amp; Loss'!C13,"NA")</f>
        <v>50.425859272125905</v>
      </c>
      <c r="E8" s="334">
        <f>IFERROR(('Profit &amp; Loss'!E13-'Profit &amp; Loss'!D13)/'Profit &amp; Loss'!D13,"NA")</f>
        <v>0.67464114832535893</v>
      </c>
      <c r="F8" s="334">
        <f>IFERROR(('Profit &amp; Loss'!F13-'Profit &amp; Loss'!E13)/'Profit &amp; Loss'!E13,"NA")</f>
        <v>-6.878374561685871E-2</v>
      </c>
      <c r="G8" s="334">
        <f>IFERROR(('Profit &amp; Loss'!G13-'Profit &amp; Loss'!F13)/'Profit &amp; Loss'!F13,"NA")</f>
        <v>0.53148614609571787</v>
      </c>
      <c r="H8" s="334">
        <f>IFERROR(('Profit &amp; Loss'!H13-'Profit &amp; Loss'!G13)/'Profit &amp; Loss'!G13,"NA")</f>
        <v>2.0555669977303221</v>
      </c>
      <c r="I8" s="334">
        <f>IFERROR(('Profit &amp; Loss'!I13-'Profit &amp; Loss'!H13)/'Profit &amp; Loss'!H13,"NA")</f>
        <v>1.0078834540293198</v>
      </c>
      <c r="J8" s="334">
        <f>IFERROR(('Profit &amp; Loss'!J13-'Profit &amp; Loss'!I13)/'Profit &amp; Loss'!I13,"NA")</f>
        <v>1.5436828254643922</v>
      </c>
      <c r="K8" s="334">
        <f>IFERROR(('Profit &amp; Loss'!K13-'Profit &amp; Loss'!J13)/'Profit &amp; Loss'!J13,"NA")</f>
        <v>0.64276825883028632</v>
      </c>
      <c r="L8" s="334">
        <f>IFERROR(('Profit &amp; Loss'!L13-'Profit &amp; Loss'!K13)/'Profit &amp; Loss'!K13,"NA")</f>
        <v>0.24367911969056577</v>
      </c>
      <c r="N8" s="334">
        <f>('Profit &amp; Loss'!K13/'Profit &amp; Loss'!B13)^(1/(9-1))-1</f>
        <v>0.77996232804189236</v>
      </c>
      <c r="O8" s="334">
        <f>('Profit &amp; Loss'!K13/'Profit &amp; Loss'!F13)^(1/(5-1))-1</f>
        <v>1.5032006401075351</v>
      </c>
      <c r="P8" s="334">
        <f>('Profit &amp; Loss'!K13/'Profit &amp; Loss'!H13)^(1/(3-1))-1</f>
        <v>1.8966023640082654</v>
      </c>
      <c r="Q8" s="37" t="str">
        <f>IF(N8&gt;0.15,"Excellent",IF(N8&lt;0.1,"Bad","Good"))</f>
        <v>Excellent</v>
      </c>
    </row>
    <row r="9" spans="1:18" x14ac:dyDescent="0.2">
      <c r="A9" s="327" t="s">
        <v>691</v>
      </c>
      <c r="B9" s="333"/>
      <c r="C9" s="334"/>
      <c r="D9" s="334"/>
      <c r="E9" s="334"/>
      <c r="F9" s="334"/>
      <c r="G9" s="334"/>
      <c r="H9" s="334"/>
      <c r="I9" s="334"/>
      <c r="J9" s="334"/>
      <c r="K9" s="334"/>
      <c r="L9" s="334"/>
      <c r="N9" s="334"/>
      <c r="O9" s="334"/>
      <c r="P9" s="334"/>
    </row>
    <row r="10" spans="1:18" x14ac:dyDescent="0.2">
      <c r="A10" s="335" t="s">
        <v>692</v>
      </c>
      <c r="B10" s="333" t="s">
        <v>685</v>
      </c>
      <c r="C10" s="334" t="str">
        <f>IFERROR(('Cash Flow'!C4-'Cash Flow'!B4)/'Cash Flow'!B4,"NA")</f>
        <v>NA</v>
      </c>
      <c r="D10" s="334" t="str">
        <f>IFERROR(('Cash Flow'!D4-'Cash Flow'!C4)/'Cash Flow'!C4,"NA")</f>
        <v>NA</v>
      </c>
      <c r="E10" s="334">
        <f>IFERROR(('Cash Flow'!E4-'Cash Flow'!D4)/'Cash Flow'!D4,"NA")</f>
        <v>-1.2938596491228069</v>
      </c>
      <c r="F10" s="334">
        <f>IFERROR(('Cash Flow'!F4-'Cash Flow'!E4)/'Cash Flow'!E4,"NA")</f>
        <v>1.2149253731343284</v>
      </c>
      <c r="G10" s="334">
        <f>IFERROR(('Cash Flow'!G4-'Cash Flow'!F4)/'Cash Flow'!F4,"NA")</f>
        <v>-2.6388140161725064</v>
      </c>
      <c r="H10" s="334">
        <f>IFERROR(('Cash Flow'!H4-'Cash Flow'!G4)/'Cash Flow'!G4,"NA")</f>
        <v>1.1447368421052631</v>
      </c>
      <c r="I10" s="334">
        <f>IFERROR(('Cash Flow'!I4-'Cash Flow'!H4)/'Cash Flow'!H4,"NA")</f>
        <v>-0.27569018404907969</v>
      </c>
      <c r="J10" s="334">
        <f>IFERROR(('Cash Flow'!J4-'Cash Flow'!I4)/'Cash Flow'!I4,"NA")</f>
        <v>2.7972472207517205</v>
      </c>
      <c r="K10" s="334">
        <f>IFERROR(('Cash Flow'!K4-'Cash Flow'!J4)/'Cash Flow'!J4,"NA")</f>
        <v>0.74404015056461714</v>
      </c>
      <c r="L10" s="334">
        <f>IFERROR(('Cash Flow'!K4-'Cash Flow'!J4)/'Cash Flow'!J4,"NA")</f>
        <v>0.74404015056461714</v>
      </c>
      <c r="N10" s="334"/>
      <c r="O10" s="334"/>
      <c r="P10" s="334"/>
    </row>
    <row r="11" spans="1:18" x14ac:dyDescent="0.2">
      <c r="A11" s="335" t="s">
        <v>693</v>
      </c>
      <c r="B11" s="333" t="s">
        <v>685</v>
      </c>
      <c r="C11" s="334" t="str">
        <f>IFERROR(('Cash Flow'!C5-'Cash Flow'!B5)/'Cash Flow'!B5,"NA")</f>
        <v>NA</v>
      </c>
      <c r="D11" s="334" t="str">
        <f>IFERROR(('Cash Flow'!D5-'Cash Flow'!C5)/'Cash Flow'!C5,"NA")</f>
        <v>NA</v>
      </c>
      <c r="E11" s="334">
        <f>IFERROR(('Cash Flow'!E5-'Cash Flow'!D5)/'Cash Flow'!D5,"NA")</f>
        <v>-0.79946808510638301</v>
      </c>
      <c r="F11" s="334">
        <f>IFERROR(('Cash Flow'!F5-'Cash Flow'!E5)/'Cash Flow'!E5,"NA")</f>
        <v>-0.45092838196286478</v>
      </c>
      <c r="G11" s="334">
        <f>IFERROR(('Cash Flow'!G5-'Cash Flow'!F5)/'Cash Flow'!F5,"NA")</f>
        <v>26.777777777777779</v>
      </c>
      <c r="H11" s="334">
        <f>IFERROR(('Cash Flow'!H5-'Cash Flow'!G5)/'Cash Flow'!G5,"NA")</f>
        <v>-0.36260869565217396</v>
      </c>
      <c r="I11" s="334">
        <f>IFERROR(('Cash Flow'!I5-'Cash Flow'!H5)/'Cash Flow'!H5,"NA")</f>
        <v>1.3386084583901772</v>
      </c>
      <c r="J11" s="334">
        <f>IFERROR(('Cash Flow'!J5-'Cash Flow'!I5)/'Cash Flow'!I5,"NA")</f>
        <v>-0.33881694084704228</v>
      </c>
      <c r="K11" s="334">
        <f>IFERROR(('Cash Flow'!K5-'Cash Flow'!J5)/'Cash Flow'!J5,"NA")</f>
        <v>3.2009881771660487</v>
      </c>
      <c r="L11" s="334">
        <f>IFERROR(('Cash Flow'!K5-'Cash Flow'!J5)/'Cash Flow'!J5,"NA")</f>
        <v>3.2009881771660487</v>
      </c>
      <c r="N11" s="334"/>
      <c r="O11" s="334"/>
      <c r="P11" s="334"/>
    </row>
    <row r="12" spans="1:18" x14ac:dyDescent="0.2">
      <c r="A12" s="327" t="s">
        <v>694</v>
      </c>
      <c r="B12" s="333"/>
      <c r="C12" s="334"/>
      <c r="D12" s="334"/>
      <c r="E12" s="334"/>
      <c r="F12" s="334"/>
      <c r="G12" s="334"/>
      <c r="H12" s="334"/>
      <c r="I12" s="334"/>
      <c r="J12" s="334"/>
      <c r="K12" s="334"/>
      <c r="N12" s="334"/>
      <c r="O12" s="334"/>
      <c r="P12" s="334"/>
    </row>
    <row r="13" spans="1:18" x14ac:dyDescent="0.2">
      <c r="A13" s="332" t="s">
        <v>695</v>
      </c>
      <c r="B13" s="333" t="s">
        <v>685</v>
      </c>
      <c r="C13" s="334">
        <f>IFERROR(('Data Sheet'!C67-'Data Sheet'!B67)/'Data Sheet'!B67,"NA")</f>
        <v>0</v>
      </c>
      <c r="D13" s="334">
        <f>IFERROR(('Data Sheet'!D67-'Data Sheet'!C67)/'Data Sheet'!C67,"NA")</f>
        <v>2.9710144927536239</v>
      </c>
      <c r="E13" s="334">
        <f>IFERROR(('Data Sheet'!E67-'Data Sheet'!D67)/'Data Sheet'!D67,"NA")</f>
        <v>0.18156934306569328</v>
      </c>
      <c r="F13" s="334">
        <f>IFERROR(('Data Sheet'!F67-'Data Sheet'!E67)/'Data Sheet'!E67,"NA")</f>
        <v>6.7953667953668015E-2</v>
      </c>
      <c r="G13" s="334">
        <f>IFERROR(('Data Sheet'!G67-'Data Sheet'!F67)/'Data Sheet'!F67,"NA")</f>
        <v>-2.9645697758496032E-2</v>
      </c>
      <c r="H13" s="334">
        <f>IFERROR(('Data Sheet'!H67-'Data Sheet'!G67)/'Data Sheet'!G67,"NA")</f>
        <v>1.0968703427719821</v>
      </c>
      <c r="I13" s="334">
        <f>IFERROR(('Data Sheet'!I67-'Data Sheet'!H67)/'Data Sheet'!H67,"NA")</f>
        <v>1.8503909026297083</v>
      </c>
      <c r="J13" s="334">
        <f>IFERROR(('Data Sheet'!J67-'Data Sheet'!I67)/'Data Sheet'!I67,"NA")</f>
        <v>0.61426256077795782</v>
      </c>
      <c r="K13" s="334">
        <f>IFERROR(('Data Sheet'!K67-'Data Sheet'!J67)/'Data Sheet'!J67,"NA")</f>
        <v>0.95026258881680592</v>
      </c>
      <c r="L13" s="334">
        <f>IFERROR(('Data Sheet'!K67-'Data Sheet'!J67)/'Data Sheet'!J67,"NA")</f>
        <v>0.95026258881680592</v>
      </c>
      <c r="N13" s="334">
        <f>IFERROR(('Data Sheet'!K67/'Data Sheet'!B67)^(1/(9-1))-1,"NA")</f>
        <v>0.75862538339094132</v>
      </c>
      <c r="O13" s="334">
        <f>IFERROR(('Data Sheet'!K57/'Data Sheet'!G67)^(1/(5-1))-1,"NA")</f>
        <v>3.26437110016633E-2</v>
      </c>
      <c r="P13" s="334">
        <f>IFERROR(('Data Sheet'!K67/'Data Sheet'!I67)^(1/(3-1))-1,"NA")</f>
        <v>0.7743268810489421</v>
      </c>
      <c r="Q13" s="37" t="e">
        <f>IF(N13&gt;$N$3+0.1,"Bad",IF(N13&lt;$N$3,"Excellent",IF(N13="NA","NA","Good")))</f>
        <v>#DIV/0!</v>
      </c>
    </row>
    <row r="14" spans="1:18" x14ac:dyDescent="0.2">
      <c r="A14" s="332" t="s">
        <v>696</v>
      </c>
      <c r="B14" s="333" t="s">
        <v>685</v>
      </c>
      <c r="C14" s="334" t="str">
        <f>IFERROR(('Data Sheet'!C68-'Data Sheet'!B68)/'Data Sheet'!B68,"NA")</f>
        <v>NA</v>
      </c>
      <c r="D14" s="334" t="str">
        <f>IFERROR(('Data Sheet'!D68-'Data Sheet'!C68)/'Data Sheet'!C68,"NA")</f>
        <v>NA</v>
      </c>
      <c r="E14" s="334" t="str">
        <f>IFERROR(('Data Sheet'!E68-'Data Sheet'!D68)/'Data Sheet'!D68,"NA")</f>
        <v>NA</v>
      </c>
      <c r="F14" s="334" t="str">
        <f>IFERROR(('Data Sheet'!F68-'Data Sheet'!E68)/'Data Sheet'!E68,"NA")</f>
        <v>NA</v>
      </c>
      <c r="G14" s="334" t="str">
        <f>IFERROR(('Data Sheet'!G68-'Data Sheet'!F68)/'Data Sheet'!F68,"NA")</f>
        <v>NA</v>
      </c>
      <c r="H14" s="334" t="str">
        <f>IFERROR(('Data Sheet'!H68-'Data Sheet'!G68)/'Data Sheet'!G68,"NA")</f>
        <v>NA</v>
      </c>
      <c r="I14" s="334" t="str">
        <f>IFERROR(('Data Sheet'!I68-'Data Sheet'!H68)/'Data Sheet'!H68,"NA")</f>
        <v>NA</v>
      </c>
      <c r="J14" s="334" t="str">
        <f>IFERROR(('Data Sheet'!J68-'Data Sheet'!I68)/'Data Sheet'!I68,"NA")</f>
        <v>NA</v>
      </c>
      <c r="K14" s="334" t="str">
        <f>IFERROR(('Data Sheet'!K68-'Data Sheet'!J68)/'Data Sheet'!J68,"NA")</f>
        <v>NA</v>
      </c>
      <c r="L14" s="334" t="str">
        <f>IFERROR(('Data Sheet'!K68-'Data Sheet'!J68)/'Data Sheet'!J68,"NA")</f>
        <v>NA</v>
      </c>
      <c r="N14" s="334" t="str">
        <f>IFERROR(('Data Sheet'!K68/'Data Sheet'!B68)^(1/(9-1))-1,"NA")</f>
        <v>NA</v>
      </c>
      <c r="O14" s="334" t="str">
        <f>IFERROR(('Data Sheet'!K68/'Data Sheet'!G68)^(1/(5-1))-1,"NA")</f>
        <v>NA</v>
      </c>
      <c r="P14" s="334" t="str">
        <f>IFERROR(('Data Sheet'!K68/'Data Sheet'!G68)^(1/(3-1))-1,"NA")</f>
        <v>NA</v>
      </c>
      <c r="Q14" s="37" t="e">
        <f>IF(N14&gt;$N$3+0.1,"Bad",IF(N14&lt;$N$3,"Excellent",IF(N14="NA","NA","Good")))</f>
        <v>#DIV/0!</v>
      </c>
    </row>
    <row r="15" spans="1:18" x14ac:dyDescent="0.2">
      <c r="A15" s="332" t="s">
        <v>697</v>
      </c>
      <c r="B15" s="333"/>
      <c r="C15" s="334">
        <f>IFERROR(('Data Sheet'!C57-'Data Sheet'!B57)/'Data Sheet'!B57,"NA")</f>
        <v>0</v>
      </c>
      <c r="D15" s="334">
        <f>IFERROR(('Data Sheet'!D57-'Data Sheet'!C57)/'Data Sheet'!C57,"NA")</f>
        <v>2.5576923076923075</v>
      </c>
      <c r="E15" s="334">
        <f>IFERROR(('Data Sheet'!E57-'Data Sheet'!D57)/'Data Sheet'!D57,"NA")</f>
        <v>0</v>
      </c>
      <c r="F15" s="334">
        <f>IFERROR(('Data Sheet'!F57-'Data Sheet'!E57)/'Data Sheet'!E57,"NA")</f>
        <v>0.80900900900900896</v>
      </c>
      <c r="G15" s="334">
        <f>IFERROR(('Data Sheet'!G57-'Data Sheet'!F57)/'Data Sheet'!F57,"NA")</f>
        <v>0</v>
      </c>
      <c r="H15" s="334">
        <f>IFERROR(('Data Sheet'!H57-'Data Sheet'!G57)/'Data Sheet'!G57,"NA")</f>
        <v>2.9880478087649476E-2</v>
      </c>
      <c r="I15" s="334">
        <f>IFERROR(('Data Sheet'!I57-'Data Sheet'!H57)/'Data Sheet'!H57,"NA")</f>
        <v>5.3191489361702197E-2</v>
      </c>
      <c r="J15" s="334">
        <f>IFERROR(('Data Sheet'!J57-'Data Sheet'!I57)/'Data Sheet'!I57,"NA")</f>
        <v>0.40128558310376483</v>
      </c>
      <c r="K15" s="334">
        <f>IFERROR(('Data Sheet'!K57-'Data Sheet'!J57)/'Data Sheet'!J57,"NA")</f>
        <v>0</v>
      </c>
      <c r="L15" s="334">
        <f>IFERROR(('Data Sheet'!K57-'Data Sheet'!J57)/'Data Sheet'!J57,"NA")</f>
        <v>0</v>
      </c>
      <c r="N15" s="334">
        <f>IFERROR(('Data Sheet'!K57/'Data Sheet'!B57)^(1/(9-1))-1,"NA")</f>
        <v>0.32985332018205438</v>
      </c>
      <c r="O15" s="334">
        <f>IFERROR(('Data Sheet'!K57/'Data Sheet'!G57)^(1/(5-1))-1,"NA")</f>
        <v>0.11033800490938384</v>
      </c>
      <c r="P15" s="334">
        <f>IFERROR(('Data Sheet'!K57/'Data Sheet'!I57)^(1/(3-1))-1,"NA")</f>
        <v>0.18375908997724899</v>
      </c>
    </row>
    <row r="16" spans="1:18" x14ac:dyDescent="0.2">
      <c r="A16" s="332" t="s">
        <v>698</v>
      </c>
      <c r="B16" s="333"/>
      <c r="C16" s="334">
        <f>IFERROR(('Data Sheet'!C58-'Data Sheet'!B58)/'Data Sheet'!B58,"NA")</f>
        <v>8.1967213114754172E-3</v>
      </c>
      <c r="D16" s="334">
        <f>IFERROR(('Data Sheet'!D58-'Data Sheet'!C58)/'Data Sheet'!C58,"NA")</f>
        <v>2.0772357723577239</v>
      </c>
      <c r="E16" s="334">
        <f>IFERROR(('Data Sheet'!E58-'Data Sheet'!D58)/'Data Sheet'!D58,"NA")</f>
        <v>0.31836195508586529</v>
      </c>
      <c r="F16" s="334">
        <f>IFERROR(('Data Sheet'!F58-'Data Sheet'!E58)/'Data Sheet'!E58,"NA")</f>
        <v>-0.12074148296593186</v>
      </c>
      <c r="G16" s="334">
        <f>IFERROR(('Data Sheet'!G58-'Data Sheet'!F58)/'Data Sheet'!F58,"NA")</f>
        <v>1.9606837606837604</v>
      </c>
      <c r="H16" s="334">
        <f>IFERROR(('Data Sheet'!H58-'Data Sheet'!G58)/'Data Sheet'!G58,"NA")</f>
        <v>0.72132409545804455</v>
      </c>
      <c r="I16" s="334">
        <f>IFERROR(('Data Sheet'!I58-'Data Sheet'!H58)/'Data Sheet'!H58,"NA")</f>
        <v>1.1641323792486584</v>
      </c>
      <c r="J16" s="334">
        <f>IFERROR(('Data Sheet'!J58-'Data Sheet'!I58)/'Data Sheet'!I58,"NA")</f>
        <v>0.57413721843356058</v>
      </c>
      <c r="K16" s="334">
        <f>IFERROR(('Data Sheet'!K58-'Data Sheet'!J58)/'Data Sheet'!J58,"NA")</f>
        <v>0.56171846795103209</v>
      </c>
      <c r="L16" s="334">
        <f>IFERROR(('Data Sheet'!K58-'Data Sheet'!J58)/'Data Sheet'!J58,"NA")</f>
        <v>0.56171846795103209</v>
      </c>
      <c r="N16" s="334">
        <f>IFERROR(('Data Sheet'!K58/'Data Sheet'!B58)^(1/(9-1))-1,"NA")</f>
        <v>0.77267916626755917</v>
      </c>
      <c r="O16" s="334">
        <f>IFERROR(('Data Sheet'!K58/'Data Sheet'!G58)^(1/(5-1))-1,"NA")</f>
        <v>0.73959420040246004</v>
      </c>
      <c r="P16" s="334">
        <f>IFERROR(('Data Sheet'!K58/'Data Sheet'!I58)^(1/(3-1))-1,"NA")</f>
        <v>0.56791554782671883</v>
      </c>
    </row>
    <row r="17" spans="1:17" x14ac:dyDescent="0.2">
      <c r="A17" s="332" t="s">
        <v>699</v>
      </c>
      <c r="B17" s="333"/>
      <c r="C17" s="334">
        <f>IFERROR(('Data Sheet'!C57+'Data Sheet'!C58-'Data Sheet'!B57-'Data Sheet'!B58)/('Data Sheet'!B57+'Data Sheet'!B58),"NA")</f>
        <v>6.2111801242236081E-3</v>
      </c>
      <c r="D17" s="334">
        <f>IFERROR(('Data Sheet'!D57+'Data Sheet'!D58-'Data Sheet'!C57-'Data Sheet'!C58)/('Data Sheet'!C57+'Data Sheet'!C58),"NA")</f>
        <v>2.1929012345679015</v>
      </c>
      <c r="E17" s="334">
        <f>IFERROR(('Data Sheet'!E57+'Data Sheet'!E58-'Data Sheet'!D57-'Data Sheet'!D58)/('Data Sheet'!D57+'Data Sheet'!D58),"NA")</f>
        <v>0.23296278395360076</v>
      </c>
      <c r="F17" s="334">
        <f>IFERROR(('Data Sheet'!F57+'Data Sheet'!F58-'Data Sheet'!E57-'Data Sheet'!E58)/('Data Sheet'!E57+'Data Sheet'!E58),"NA")</f>
        <v>8.153665229321827E-2</v>
      </c>
      <c r="G17" s="334">
        <f>IFERROR(('Data Sheet'!G57+'Data Sheet'!G58-'Data Sheet'!F57-'Data Sheet'!F58)/('Data Sheet'!F57+'Data Sheet'!F58),"NA")</f>
        <v>1.247191011235955</v>
      </c>
      <c r="H17" s="334">
        <f>IFERROR(('Data Sheet'!H57+'Data Sheet'!H58-'Data Sheet'!G57-'Data Sheet'!G58)/('Data Sheet'!G57+'Data Sheet'!G58),"NA")</f>
        <v>0.60935483870967755</v>
      </c>
      <c r="I17" s="334">
        <f>IFERROR(('Data Sheet'!I57+'Data Sheet'!I58-'Data Sheet'!H57-'Data Sheet'!H58)/('Data Sheet'!H57+'Data Sheet'!H58),"NA")</f>
        <v>1.0490078171978352</v>
      </c>
      <c r="J17" s="334">
        <f>IFERROR(('Data Sheet'!J57+'Data Sheet'!J58-'Data Sheet'!I57-'Data Sheet'!I58)/('Data Sheet'!I57+'Data Sheet'!I58),"NA")</f>
        <v>0.56493030080704332</v>
      </c>
      <c r="K17" s="334">
        <f>IFERROR(('Data Sheet'!K57+'Data Sheet'!K58-'Data Sheet'!J57-'Data Sheet'!J58)/('Data Sheet'!J57+'Data Sheet'!J58),"NA")</f>
        <v>0.53492733239568679</v>
      </c>
      <c r="L17" s="334">
        <f>IFERROR(('Data Sheet'!K57+'Data Sheet'!K58-'Data Sheet'!J57-'Data Sheet'!J58)/('Data Sheet'!J57+'Data Sheet'!J58),"NA")</f>
        <v>0.53492733239568679</v>
      </c>
      <c r="N17" s="334">
        <f>IFERROR((('Data Sheet'!K57+'Data Sheet'!K58)/('Data Sheet'!B57+'Data Sheet'!B58))^(1/(9-1))-1,"NA")</f>
        <v>0.71903812391553013</v>
      </c>
      <c r="O17" s="334">
        <f>IFERROR((('Data Sheet'!K57+'Data Sheet'!K58)/('Data Sheet'!G57+'Data Sheet'!G58))^(1/(5-1))-1,"NA")</f>
        <v>0.67762373215919736</v>
      </c>
      <c r="P17" s="334">
        <f>IFERROR((('Data Sheet'!K57+'Data Sheet'!K58)/('Data Sheet'!I57+'Data Sheet'!I58))^(1/(3-1))-1,"NA")</f>
        <v>0.54985621655782468</v>
      </c>
    </row>
    <row r="18" spans="1:17" x14ac:dyDescent="0.2">
      <c r="A18" s="332" t="s">
        <v>700</v>
      </c>
      <c r="B18" s="333"/>
      <c r="C18" s="334">
        <f>IFERROR(('Data Sheet'!C66-'Data Sheet'!B66)/'Data Sheet'!B66,"NA")</f>
        <v>-0.16182048040455124</v>
      </c>
      <c r="D18" s="334">
        <f>IFERROR(('Data Sheet'!D66-'Data Sheet'!C66)/'Data Sheet'!C66,"NA")</f>
        <v>4.328808446455505</v>
      </c>
      <c r="E18" s="334">
        <f>IFERROR(('Data Sheet'!E66-'Data Sheet'!D66)/'Data Sheet'!D66,"NA")</f>
        <v>0.25700537786583638</v>
      </c>
      <c r="F18" s="334">
        <f>IFERROR(('Data Sheet'!F66-'Data Sheet'!E66)/'Data Sheet'!E66,"NA")</f>
        <v>7.8811078585904401E-3</v>
      </c>
      <c r="G18" s="334">
        <f>IFERROR(('Data Sheet'!G66-'Data Sheet'!F66)/'Data Sheet'!F66,"NA")</f>
        <v>1.2243074173369082</v>
      </c>
      <c r="H18" s="334">
        <f>IFERROR(('Data Sheet'!H66-'Data Sheet'!G66)/'Data Sheet'!G66,"NA")</f>
        <v>0.52521092808356762</v>
      </c>
      <c r="I18" s="334">
        <f>IFERROR(('Data Sheet'!I66-'Data Sheet'!H66)/'Data Sheet'!H66,"NA")</f>
        <v>1.0685544945670071</v>
      </c>
      <c r="J18" s="334">
        <f>IFERROR(('Data Sheet'!J66-'Data Sheet'!I66)/'Data Sheet'!I66,"NA")</f>
        <v>0.62844226544840964</v>
      </c>
      <c r="K18" s="334">
        <f>IFERROR(('Data Sheet'!K66-'Data Sheet'!J66)/'Data Sheet'!J66,"NA")</f>
        <v>0.60548180876229207</v>
      </c>
      <c r="L18" s="334">
        <f>IFERROR(('Data Sheet'!K66-'Data Sheet'!J66)/'Data Sheet'!J66,"NA")</f>
        <v>0.60548180876229207</v>
      </c>
      <c r="N18" s="334">
        <f>IFERROR(('Data Sheet'!K66/'Data Sheet'!B66)^(1/(9-1))-1,"NA")</f>
        <v>0.78663311480095843</v>
      </c>
      <c r="O18" s="334">
        <f>IFERROR(('Data Sheet'!K66/'Data Sheet'!G66)^(1/(5-1))-1,"NA")</f>
        <v>0.69470323089909458</v>
      </c>
      <c r="P18" s="334">
        <f>IFERROR(('Data Sheet'!K66/'Data Sheet'!I66)^(1/(3-1))-1,"NA")</f>
        <v>0.61692128249864941</v>
      </c>
    </row>
    <row r="19" spans="1:17" x14ac:dyDescent="0.2">
      <c r="A19" s="332" t="s">
        <v>701</v>
      </c>
      <c r="B19" s="333"/>
      <c r="C19" s="334">
        <f>IFERROR(('Data Sheet'!C62-'Data Sheet'!B62)/'Data Sheet'!B62,"NA")</f>
        <v>-0.18181818181818185</v>
      </c>
      <c r="D19" s="334">
        <f>IFERROR(('Data Sheet'!D62-'Data Sheet'!C62)/'Data Sheet'!C62,"NA")</f>
        <v>66.222222222222229</v>
      </c>
      <c r="E19" s="334">
        <f>IFERROR(('Data Sheet'!E62-'Data Sheet'!D62)/'Data Sheet'!D62,"NA")</f>
        <v>-1.1570247933884198E-2</v>
      </c>
      <c r="F19" s="334">
        <f>IFERROR(('Data Sheet'!F62-'Data Sheet'!E62)/'Data Sheet'!E62,"NA")</f>
        <v>-0.87792642140468224</v>
      </c>
      <c r="G19" s="334">
        <f>IFERROR(('Data Sheet'!G62-'Data Sheet'!F62)/'Data Sheet'!F62,"NA")</f>
        <v>70.575342465753437</v>
      </c>
      <c r="H19" s="334">
        <f>IFERROR(('Data Sheet'!H62-'Data Sheet'!G62)/'Data Sheet'!G62,"NA")</f>
        <v>0.51425837320574175</v>
      </c>
      <c r="I19" s="334">
        <f>IFERROR(('Data Sheet'!I62-'Data Sheet'!H62)/'Data Sheet'!H62,"NA")</f>
        <v>0.84997472194135482</v>
      </c>
      <c r="J19" s="334">
        <f>IFERROR(('Data Sheet'!J62-'Data Sheet'!I62)/'Data Sheet'!I62,"NA")</f>
        <v>0.28031700485072075</v>
      </c>
      <c r="K19" s="334">
        <f>IFERROR(('Data Sheet'!K62-'Data Sheet'!J62)/'Data Sheet'!J62,"NA")</f>
        <v>0.91216648879402329</v>
      </c>
      <c r="L19" s="334">
        <f>IFERROR(('Data Sheet'!K62-'Data Sheet'!J62)/'Data Sheet'!J62,"NA")</f>
        <v>0.91216648879402329</v>
      </c>
      <c r="N19" s="334">
        <f>IFERROR(('Data Sheet'!K62/'Data Sheet'!B62)^(1/(9-1))-1,"NA")</f>
        <v>1.7486081222804888</v>
      </c>
      <c r="O19" s="334">
        <f>IFERROR(('Data Sheet'!K62/'Data Sheet'!G62)^(1/(5-1))-1,"NA")</f>
        <v>0.61827471562102265</v>
      </c>
      <c r="P19" s="334">
        <f>IFERROR(('Data Sheet'!K62/'Data Sheet'!I62)^(1/(3-1))-1,"NA")</f>
        <v>0.56466586583483802</v>
      </c>
    </row>
    <row r="20" spans="1:17" x14ac:dyDescent="0.2">
      <c r="A20" s="332" t="s">
        <v>702</v>
      </c>
      <c r="B20" s="333"/>
      <c r="C20" s="334">
        <f>IFERROR(('Data Sheet'!C65-'Data Sheet'!B65)/'Data Sheet'!B65,"NA")</f>
        <v>-7.7574047954865985E-2</v>
      </c>
      <c r="D20" s="334">
        <f>IFERROR(('Data Sheet'!D65-'Data Sheet'!C65)/'Data Sheet'!C65,"NA")</f>
        <v>1.5519877675840983</v>
      </c>
      <c r="E20" s="334">
        <f>IFERROR(('Data Sheet'!E65-'Data Sheet'!D65)/'Data Sheet'!D65,"NA")</f>
        <v>0.31815458358298371</v>
      </c>
      <c r="F20" s="334">
        <f>IFERROR(('Data Sheet'!F65-'Data Sheet'!E65)/'Data Sheet'!E65,"NA")</f>
        <v>0.20681818181818185</v>
      </c>
      <c r="G20" s="334">
        <f>IFERROR(('Data Sheet'!G65-'Data Sheet'!F65)/'Data Sheet'!F65,"NA")</f>
        <v>4.4444444444444432E-2</v>
      </c>
      <c r="H20" s="334">
        <f>IFERROR(('Data Sheet'!H65-'Data Sheet'!G65)/'Data Sheet'!G65,"NA")</f>
        <v>0.90515686981608356</v>
      </c>
      <c r="I20" s="334">
        <f>IFERROR(('Data Sheet'!I65-'Data Sheet'!H65)/'Data Sheet'!H65,"NA")</f>
        <v>1.8319136854060196</v>
      </c>
      <c r="J20" s="334">
        <f>IFERROR(('Data Sheet'!J65-'Data Sheet'!I65)/'Data Sheet'!I65,"NA")</f>
        <v>1.0278724684178862</v>
      </c>
      <c r="K20" s="334">
        <f>IFERROR(('Data Sheet'!K65-'Data Sheet'!J65)/'Data Sheet'!J65,"NA")</f>
        <v>0.43320478591911404</v>
      </c>
      <c r="L20" s="334">
        <f>IFERROR(('Data Sheet'!K65-'Data Sheet'!J65)/'Data Sheet'!J65,"NA")</f>
        <v>0.43320478591911404</v>
      </c>
      <c r="N20" s="334">
        <f>IFERROR(('Data Sheet'!K65/'Data Sheet'!B65)^(1/(9-1))-1,"NA")</f>
        <v>0.67285350091951779</v>
      </c>
      <c r="O20" s="334">
        <f>IFERROR(('Data Sheet'!K65/'Data Sheet'!G65)^(1/(5-1))-1,"NA")</f>
        <v>0.9899396729579657</v>
      </c>
      <c r="P20" s="334">
        <f>IFERROR(('Data Sheet'!K65/'Data Sheet'!I65)^(1/(3-1))-1,"NA")</f>
        <v>0.70480395558261244</v>
      </c>
    </row>
    <row r="21" spans="1:17" x14ac:dyDescent="0.2">
      <c r="A21" s="332" t="s">
        <v>703</v>
      </c>
      <c r="B21" s="333"/>
      <c r="C21" s="334">
        <f>IFERROR(('Data Sheet'!C59+'Data Sheet'!C60-'Data Sheet'!B59-'Data Sheet'!B60)/('Data Sheet'!B59+'Data Sheet'!B60),"NA")</f>
        <v>-0.8979591836734695</v>
      </c>
      <c r="D21" s="334">
        <f>IFERROR(('Data Sheet'!D59+'Data Sheet'!D60-'Data Sheet'!C59-'Data Sheet'!C60)/('Data Sheet'!C59+'Data Sheet'!C60),"NA")</f>
        <v>96.600000000000009</v>
      </c>
      <c r="E21" s="334">
        <f>IFERROR(('Data Sheet'!E59+'Data Sheet'!E60-'Data Sheet'!D59-'Data Sheet'!D60)/('Data Sheet'!D59+'Data Sheet'!D60),"NA")</f>
        <v>0.29098360655737715</v>
      </c>
      <c r="F21" s="334">
        <f>IFERROR(('Data Sheet'!F59+'Data Sheet'!F60-'Data Sheet'!E59-'Data Sheet'!E60)/('Data Sheet'!E59+'Data Sheet'!E60),"NA")</f>
        <v>-9.1534391534391454E-2</v>
      </c>
      <c r="G21" s="334">
        <f>IFERROR(('Data Sheet'!G59+'Data Sheet'!G60-'Data Sheet'!F59-'Data Sheet'!F60)/('Data Sheet'!F59+'Data Sheet'!F60),"NA")</f>
        <v>1.1875364006988933</v>
      </c>
      <c r="H21" s="334">
        <f>IFERROR(('Data Sheet'!H59+'Data Sheet'!H60-'Data Sheet'!G59-'Data Sheet'!G60)/('Data Sheet'!G59+'Data Sheet'!G60),"NA")</f>
        <v>0.38631522896698606</v>
      </c>
      <c r="I21" s="334">
        <f>IFERROR(('Data Sheet'!I59+'Data Sheet'!I60-'Data Sheet'!H59-'Data Sheet'!H60)/('Data Sheet'!H59+'Data Sheet'!H60),"NA")</f>
        <v>1.1060111388515461</v>
      </c>
      <c r="J21" s="334">
        <f>IFERROR(('Data Sheet'!J59+'Data Sheet'!J60-'Data Sheet'!I59-'Data Sheet'!I60)/('Data Sheet'!I59+'Data Sheet'!I60),"NA")</f>
        <v>0.74685391209192054</v>
      </c>
      <c r="K21" s="334">
        <f>IFERROR(('Data Sheet'!K59+'Data Sheet'!K60-'Data Sheet'!J59-'Data Sheet'!J60)/('Data Sheet'!J59+'Data Sheet'!J60),"NA")</f>
        <v>0.72332428481937761</v>
      </c>
      <c r="L21" s="334">
        <f>IFERROR(('Data Sheet'!K59+'Data Sheet'!K60-'Data Sheet'!J59-'Data Sheet'!J60)/('Data Sheet'!J59+'Data Sheet'!J60),"NA")</f>
        <v>0.72332428481937761</v>
      </c>
      <c r="N21" s="334">
        <f>IFERROR((('Data Sheet'!K59+'Data Sheet'!K60)/('Data Sheet'!B59+'Data Sheet'!B60))^(1/(9-1))-1,"NA")</f>
        <v>0.96752071135645279</v>
      </c>
      <c r="O21" s="334">
        <f>IFERROR((('Data Sheet'!K59+'Data Sheet'!K60)/('Data Sheet'!G59+'Data Sheet'!G60))^(1/(5-1))-1,"NA")</f>
        <v>0.72181530231478397</v>
      </c>
      <c r="P21" s="334">
        <f>IFERROR((('Data Sheet'!K59+'Data Sheet'!K60)/('Data Sheet'!I59+'Data Sheet'!I60))^(1/(3-1))-1,"NA")</f>
        <v>0.73504921219536046</v>
      </c>
    </row>
    <row r="22" spans="1:17" x14ac:dyDescent="0.2">
      <c r="A22" s="332" t="s">
        <v>704</v>
      </c>
      <c r="B22" s="333"/>
      <c r="C22" s="334">
        <f>IFERROR(('Data Sheet'!C59-'Data Sheet'!B59)/'Data Sheet'!B59,"NA")</f>
        <v>-1</v>
      </c>
      <c r="D22" s="334" t="str">
        <f>IFERROR(('Data Sheet'!D59-'Data Sheet'!C59)/'Data Sheet'!C59,"NA")</f>
        <v>NA</v>
      </c>
      <c r="E22" s="334">
        <f>IFERROR(('Data Sheet'!E59-'Data Sheet'!D59)/'Data Sheet'!D59,"NA")</f>
        <v>1.7383177570093458</v>
      </c>
      <c r="F22" s="334">
        <f>IFERROR(('Data Sheet'!F59-'Data Sheet'!E59)/'Data Sheet'!E59,"NA")</f>
        <v>-0.279863481228669</v>
      </c>
      <c r="G22" s="334">
        <f>IFERROR(('Data Sheet'!G59-'Data Sheet'!F59)/'Data Sheet'!F59,"NA")</f>
        <v>0.79146919431279628</v>
      </c>
      <c r="H22" s="334">
        <f>IFERROR(('Data Sheet'!H59-'Data Sheet'!G59)/'Data Sheet'!G59,"NA")</f>
        <v>-0.98148148148148151</v>
      </c>
      <c r="I22" s="334">
        <f>IFERROR(('Data Sheet'!I59-'Data Sheet'!H59)/'Data Sheet'!H59,"NA")</f>
        <v>37.857142857142861</v>
      </c>
      <c r="J22" s="334">
        <f>IFERROR(('Data Sheet'!J59-'Data Sheet'!I59)/'Data Sheet'!I59,"NA")</f>
        <v>13.996323529411764</v>
      </c>
      <c r="K22" s="334">
        <f>IFERROR(('Data Sheet'!K59-'Data Sheet'!J59)/'Data Sheet'!J59,"NA")</f>
        <v>1.1201274822260359</v>
      </c>
      <c r="L22" s="334">
        <f>IFERROR(('Data Sheet'!K59-'Data Sheet'!J59)/'Data Sheet'!J59,"NA")</f>
        <v>1.1201274822260359</v>
      </c>
      <c r="N22" s="334">
        <f>IFERROR(('Data Sheet'!K59/'Data Sheet'!B59)^(1/(9-1))-1,"NA")</f>
        <v>0.68832304378713505</v>
      </c>
      <c r="O22" s="334">
        <f>IFERROR(('Data Sheet'!K59/'Data Sheet'!G59)^(1/(5-1))-1,"NA")</f>
        <v>1.1870361934660068</v>
      </c>
      <c r="P22" s="334">
        <f>IFERROR(('Data Sheet'!K59/'Data Sheet'!I59)^(1/(3-1))-1,"NA")</f>
        <v>4.6386272839281393</v>
      </c>
    </row>
    <row r="23" spans="1:17" x14ac:dyDescent="0.2">
      <c r="A23" s="332" t="s">
        <v>705</v>
      </c>
      <c r="B23" s="333"/>
      <c r="C23" s="334">
        <f>IFERROR(('Data Sheet'!C60-'Data Sheet'!B60)/'Data Sheet'!B60,"NA")</f>
        <v>-6.2500000000000056E-2</v>
      </c>
      <c r="D23" s="334">
        <f>IFERROR(('Data Sheet'!D60-'Data Sheet'!C60)/'Data Sheet'!C60,"NA")</f>
        <v>89.466666666666669</v>
      </c>
      <c r="E23" s="334">
        <f>IFERROR(('Data Sheet'!E60-'Data Sheet'!D60)/'Data Sheet'!D60,"NA")</f>
        <v>0.17686072218128226</v>
      </c>
      <c r="F23" s="334">
        <f>IFERROR(('Data Sheet'!F60-'Data Sheet'!E60)/'Data Sheet'!E60,"NA")</f>
        <v>-5.6981840951784601E-2</v>
      </c>
      <c r="G23" s="334">
        <f>IFERROR(('Data Sheet'!G60-'Data Sheet'!F60)/'Data Sheet'!F60,"NA")</f>
        <v>1.2430278884462149</v>
      </c>
      <c r="H23" s="334">
        <f>IFERROR(('Data Sheet'!H60-'Data Sheet'!G60)/'Data Sheet'!G60,"NA")</f>
        <v>0.53937240970988742</v>
      </c>
      <c r="I23" s="334">
        <f>IFERROR(('Data Sheet'!I60-'Data Sheet'!H60)/'Data Sheet'!H60,"NA")</f>
        <v>1.0565384615384614</v>
      </c>
      <c r="J23" s="334">
        <f>IFERROR(('Data Sheet'!J60-'Data Sheet'!I60)/'Data Sheet'!I60,"NA")</f>
        <v>0.40985599401533584</v>
      </c>
      <c r="K23" s="334">
        <f>IFERROR(('Data Sheet'!K60-'Data Sheet'!J60)/'Data Sheet'!J60,"NA")</f>
        <v>0.61597134708496371</v>
      </c>
      <c r="L23" s="334">
        <f>IFERROR(('Data Sheet'!K60-'Data Sheet'!J60)/'Data Sheet'!J60,"NA")</f>
        <v>0.61597134708496371</v>
      </c>
      <c r="N23" s="334">
        <f>IFERROR(('Data Sheet'!K60/'Data Sheet'!B60)^(1/(9-1))-1,"NA")</f>
        <v>1.4993586243876571</v>
      </c>
      <c r="O23" s="334">
        <f>IFERROR(('Data Sheet'!K60/'Data Sheet'!G60)^(1/(5-1))-1,"NA")</f>
        <v>0.63878596694452372</v>
      </c>
      <c r="P23" s="334">
        <f>IFERROR(('Data Sheet'!K60/'Data Sheet'!I60)^(1/(3-1))-1,"NA")</f>
        <v>0.50939951300004482</v>
      </c>
    </row>
    <row r="24" spans="1:17" x14ac:dyDescent="0.2">
      <c r="A24" s="332" t="s">
        <v>706</v>
      </c>
      <c r="B24" s="333"/>
      <c r="C24" s="334">
        <f>'Data Sheet'!C26/Other_input_data!D56</f>
        <v>0</v>
      </c>
      <c r="D24" s="334">
        <f>'Data Sheet'!D26/Other_input_data!E56</f>
        <v>0.1140495867768595</v>
      </c>
      <c r="E24" s="334">
        <f>'Data Sheet'!E26/Other_input_data!F56</f>
        <v>0.13377926421404682</v>
      </c>
      <c r="F24" s="334">
        <f>'Data Sheet'!F26/Other_input_data!G56</f>
        <v>1.1095890410958904</v>
      </c>
      <c r="G24" s="334">
        <f>'Data Sheet'!G26/Other_input_data!H56</f>
        <v>8.2488038277511957E-2</v>
      </c>
      <c r="H24" s="334">
        <f>'Data Sheet'!H26/Other_input_data!I56</f>
        <v>0.115267947421638</v>
      </c>
      <c r="I24" s="334">
        <f>'Data Sheet'!I26/Other_input_data!J56</f>
        <v>0.13821138211382114</v>
      </c>
      <c r="J24" s="334">
        <f>'Data Sheet'!J26/Other_input_data!K56</f>
        <v>7.2145144076840972E-2</v>
      </c>
      <c r="K24" s="334">
        <f>'Data Sheet'!K26/Other_input_data!L56</f>
        <v>7.0296366579226444E-2</v>
      </c>
      <c r="L24" s="334">
        <f>'Data Sheet'!K26/Other_input_data!L56</f>
        <v>7.0296366579226444E-2</v>
      </c>
      <c r="N24" s="334"/>
      <c r="O24" s="334"/>
      <c r="P24" s="334"/>
    </row>
    <row r="25" spans="1:17" x14ac:dyDescent="0.2">
      <c r="A25" s="332"/>
      <c r="B25" s="333"/>
      <c r="C25" s="334"/>
      <c r="D25" s="334"/>
      <c r="E25" s="334"/>
      <c r="F25" s="334"/>
      <c r="G25" s="334"/>
      <c r="H25" s="334"/>
      <c r="I25" s="334"/>
      <c r="J25" s="334"/>
      <c r="K25" s="334"/>
      <c r="L25" s="334"/>
      <c r="N25" s="334"/>
      <c r="O25" s="334"/>
      <c r="P25" s="334"/>
    </row>
    <row r="26" spans="1:17" x14ac:dyDescent="0.2">
      <c r="A26" s="327" t="s">
        <v>707</v>
      </c>
      <c r="B26" s="333"/>
      <c r="C26" s="336">
        <f>C1</f>
        <v>40268</v>
      </c>
      <c r="D26" s="336">
        <f t="shared" ref="D26:L26" si="0">D1</f>
        <v>40633</v>
      </c>
      <c r="E26" s="336">
        <f t="shared" si="0"/>
        <v>40999</v>
      </c>
      <c r="F26" s="336">
        <f t="shared" si="0"/>
        <v>41364</v>
      </c>
      <c r="G26" s="336">
        <f t="shared" si="0"/>
        <v>41729</v>
      </c>
      <c r="H26" s="336">
        <f t="shared" si="0"/>
        <v>42094</v>
      </c>
      <c r="I26" s="336">
        <f t="shared" si="0"/>
        <v>42460</v>
      </c>
      <c r="J26" s="336">
        <f t="shared" si="0"/>
        <v>42825</v>
      </c>
      <c r="K26" s="336">
        <f t="shared" si="0"/>
        <v>43190</v>
      </c>
      <c r="L26" s="336" t="str">
        <f t="shared" si="0"/>
        <v>Trailing</v>
      </c>
      <c r="N26" s="331" t="s">
        <v>708</v>
      </c>
      <c r="O26" s="331" t="s">
        <v>709</v>
      </c>
      <c r="P26" s="331" t="s">
        <v>710</v>
      </c>
      <c r="Q26" s="331" t="s">
        <v>711</v>
      </c>
    </row>
    <row r="27" spans="1:17" ht="25.5" x14ac:dyDescent="0.2">
      <c r="A27" s="332" t="s">
        <v>712</v>
      </c>
      <c r="B27" s="333" t="s">
        <v>713</v>
      </c>
      <c r="C27" s="334" t="str">
        <f>IFERROR('Profit &amp; Loss'!C5/'Profit &amp; Loss'!C4,"NA")</f>
        <v>NA</v>
      </c>
      <c r="D27" s="334">
        <f>IFERROR('Profit &amp; Loss'!D5/'Profit &amp; Loss'!D4,"NA")</f>
        <v>0.80208333333333326</v>
      </c>
      <c r="E27" s="334">
        <f>IFERROR('Profit &amp; Loss'!E5/'Profit &amp; Loss'!E4,"NA")</f>
        <v>0.76258309591642937</v>
      </c>
      <c r="F27" s="334">
        <f>IFERROR('Profit &amp; Loss'!F5/'Profit &amp; Loss'!F4,"NA")</f>
        <v>0.7924456314383822</v>
      </c>
      <c r="G27" s="334">
        <f>IFERROR('Profit &amp; Loss'!G5/'Profit &amp; Loss'!G4,"NA")</f>
        <v>0.68656377666817969</v>
      </c>
      <c r="H27" s="334">
        <f>IFERROR('Profit &amp; Loss'!H5/'Profit &amp; Loss'!H4,"NA")</f>
        <v>0.69347216659991995</v>
      </c>
      <c r="I27" s="334">
        <f>IFERROR('Profit &amp; Loss'!I5/'Profit &amp; Loss'!I4,"NA")</f>
        <v>0.67451182289559819</v>
      </c>
      <c r="J27" s="334">
        <f>IFERROR('Profit &amp; Loss'!J5/'Profit &amp; Loss'!J4,"NA")</f>
        <v>0.65022523375099373</v>
      </c>
      <c r="K27" s="334">
        <f>IFERROR('Profit &amp; Loss'!K5/'Profit &amp; Loss'!K4,"NA")</f>
        <v>0.65454995054401588</v>
      </c>
      <c r="L27" s="334">
        <f>IFERROR('Profit &amp; Loss'!L5/'Profit &amp; Loss'!L4,"NA")</f>
        <v>0.65445554434477937</v>
      </c>
      <c r="N27" s="334" t="e">
        <f>(L27/C27)^(1/(9-1))-1</f>
        <v>#VALUE!</v>
      </c>
      <c r="O27" s="334">
        <f>MIN(C27:L27)</f>
        <v>0.65022523375099373</v>
      </c>
      <c r="P27" s="334">
        <f>MAX(C27:L27)</f>
        <v>0.80208333333333326</v>
      </c>
      <c r="Q27" s="54">
        <f>AVERAGE(C27:L27)</f>
        <v>0.70787672838795901</v>
      </c>
    </row>
    <row r="28" spans="1:17" ht="38.25" x14ac:dyDescent="0.2">
      <c r="A28" s="332" t="s">
        <v>714</v>
      </c>
      <c r="B28" s="333" t="s">
        <v>715</v>
      </c>
      <c r="C28" s="54" t="str">
        <f>IFERROR((1-C27),"NA")</f>
        <v>NA</v>
      </c>
      <c r="D28" s="54">
        <f t="shared" ref="D28:L28" si="1">IFERROR((1-D27),"NA")</f>
        <v>0.19791666666666674</v>
      </c>
      <c r="E28" s="54">
        <f t="shared" si="1"/>
        <v>0.23741690408357063</v>
      </c>
      <c r="F28" s="54">
        <f t="shared" si="1"/>
        <v>0.2075543685616178</v>
      </c>
      <c r="G28" s="54">
        <f t="shared" si="1"/>
        <v>0.31343622333182031</v>
      </c>
      <c r="H28" s="54">
        <f t="shared" si="1"/>
        <v>0.30652783340008005</v>
      </c>
      <c r="I28" s="54">
        <f t="shared" si="1"/>
        <v>0.32548817710440181</v>
      </c>
      <c r="J28" s="54">
        <f t="shared" si="1"/>
        <v>0.34977476624900627</v>
      </c>
      <c r="K28" s="54">
        <f t="shared" si="1"/>
        <v>0.34545004945598412</v>
      </c>
      <c r="L28" s="54">
        <f t="shared" si="1"/>
        <v>0.34554445565522063</v>
      </c>
      <c r="N28" s="334" t="e">
        <f>(L28/C28)^(1/(9-1))-1</f>
        <v>#VALUE!</v>
      </c>
      <c r="O28" s="334">
        <f>MIN(C28:L28)</f>
        <v>0.19791666666666674</v>
      </c>
      <c r="P28" s="334">
        <f>MAX(C28:L28)</f>
        <v>0.34977476624900627</v>
      </c>
      <c r="Q28" s="54">
        <f>AVERAGE(C28:L28)</f>
        <v>0.29212327161204088</v>
      </c>
    </row>
    <row r="29" spans="1:17" ht="25.5" x14ac:dyDescent="0.2">
      <c r="A29" s="332" t="s">
        <v>716</v>
      </c>
      <c r="B29" s="333" t="s">
        <v>717</v>
      </c>
      <c r="C29" s="334" t="str">
        <f>IFERROR('Profit &amp; Loss'!C9/'Profit &amp; Loss'!C4,"NA")</f>
        <v>NA</v>
      </c>
      <c r="D29" s="334">
        <f>IFERROR('Profit &amp; Loss'!D9/'Profit &amp; Loss'!D4,"NA")</f>
        <v>1.2254901960784314E-3</v>
      </c>
      <c r="E29" s="334">
        <f>IFERROR('Profit &amp; Loss'!E9/'Profit &amp; Loss'!E4,"NA")</f>
        <v>2.3741690408357078E-3</v>
      </c>
      <c r="F29" s="334">
        <f>IFERROR('Profit &amp; Loss'!F9/'Profit &amp; Loss'!F4,"NA")</f>
        <v>6.4860740175505536E-3</v>
      </c>
      <c r="G29" s="334">
        <f>IFERROR('Profit &amp; Loss'!G9/'Profit &amp; Loss'!G4,"NA")</f>
        <v>8.3976395823876521E-3</v>
      </c>
      <c r="H29" s="334">
        <f>IFERROR('Profit &amp; Loss'!H9/'Profit &amp; Loss'!H4,"NA")</f>
        <v>3.6043251902282743E-3</v>
      </c>
      <c r="I29" s="334">
        <f>IFERROR('Profit &amp; Loss'!I9/'Profit &amp; Loss'!I4,"NA")</f>
        <v>7.7225756628544111E-4</v>
      </c>
      <c r="J29" s="334">
        <f>IFERROR('Profit &amp; Loss'!J9/'Profit &amp; Loss'!J4,"NA")</f>
        <v>3.1040617784002722E-3</v>
      </c>
      <c r="K29" s="334">
        <f>IFERROR('Profit &amp; Loss'!K9/'Profit &amp; Loss'!K4,"NA")</f>
        <v>1.2552399792755875E-2</v>
      </c>
      <c r="L29" s="334">
        <f>IFERROR('Profit &amp; Loss'!L9/'Profit &amp; Loss'!L4,"NA")</f>
        <v>1.168631016398532E-2</v>
      </c>
      <c r="N29" s="334" t="e">
        <f>(L29/C29)^(1/(9-1))-1</f>
        <v>#VALUE!</v>
      </c>
      <c r="O29" s="334">
        <f>MIN(C29:L29)</f>
        <v>7.7225756628544111E-4</v>
      </c>
      <c r="P29" s="334">
        <f>MAX(C29:L29)</f>
        <v>1.2552399792755875E-2</v>
      </c>
      <c r="Q29" s="54">
        <f>AVERAGE(C29:L29)</f>
        <v>5.5780808142786142E-3</v>
      </c>
    </row>
    <row r="30" spans="1:17" ht="25.5" x14ac:dyDescent="0.2">
      <c r="A30" s="332" t="s">
        <v>718</v>
      </c>
      <c r="B30" s="333" t="s">
        <v>719</v>
      </c>
      <c r="C30" s="334" t="str">
        <f>IFERROR('Profit &amp; Loss'!C10/'Profit &amp; Loss'!C4,"NA")</f>
        <v>NA</v>
      </c>
      <c r="D30" s="334">
        <f>IFERROR('Profit &amp; Loss'!D10/'Profit &amp; Loss'!D4,"NA")</f>
        <v>0.15563725490196079</v>
      </c>
      <c r="E30" s="334">
        <f>IFERROR('Profit &amp; Loss'!E10/'Profit &amp; Loss'!E4,"NA")</f>
        <v>0.19990503323836659</v>
      </c>
      <c r="F30" s="334">
        <f>IFERROR('Profit &amp; Loss'!F10/'Profit &amp; Loss'!F4,"NA")</f>
        <v>0.17283479587943534</v>
      </c>
      <c r="G30" s="334">
        <f>IFERROR('Profit &amp; Loss'!G10/'Profit &amp; Loss'!G4,"NA")</f>
        <v>0.20789832047208351</v>
      </c>
      <c r="H30" s="334">
        <f>IFERROR('Profit &amp; Loss'!H10/'Profit &amp; Loss'!H4,"NA")</f>
        <v>0.23219863836603924</v>
      </c>
      <c r="I30" s="334">
        <f>IFERROR('Profit &amp; Loss'!I10/'Profit &amp; Loss'!I4,"NA")</f>
        <v>0.25113080572206087</v>
      </c>
      <c r="J30" s="334">
        <f>IFERROR('Profit &amp; Loss'!J10/'Profit &amp; Loss'!J4,"NA")</f>
        <v>0.32278457054169662</v>
      </c>
      <c r="K30" s="334">
        <f>IFERROR('Profit &amp; Loss'!K10/'Profit &amp; Loss'!K4,"NA")</f>
        <v>0.31318590739955726</v>
      </c>
      <c r="L30" s="334">
        <f>IFERROR('Profit &amp; Loss'!L10/'Profit &amp; Loss'!L4,"NA")</f>
        <v>0.30672683527181199</v>
      </c>
      <c r="N30" s="334" t="e">
        <f>(L30/C30)^(1/(9-1))-1</f>
        <v>#VALUE!</v>
      </c>
      <c r="O30" s="334">
        <f>MIN(C30:L30)</f>
        <v>0.15563725490196079</v>
      </c>
      <c r="P30" s="334">
        <f>MAX(C30:L30)</f>
        <v>0.32278457054169662</v>
      </c>
      <c r="Q30" s="54">
        <f>AVERAGE(C30:L30)</f>
        <v>0.24025579575477915</v>
      </c>
    </row>
    <row r="31" spans="1:17" ht="25.5" x14ac:dyDescent="0.2">
      <c r="A31" s="332" t="s">
        <v>143</v>
      </c>
      <c r="B31" s="333" t="s">
        <v>720</v>
      </c>
      <c r="C31" s="334" t="str">
        <f>IFERROR('Profit &amp; Loss'!C12/'Profit &amp; Loss'!C4,"NA")</f>
        <v>NA</v>
      </c>
      <c r="D31" s="334">
        <f>IFERROR('Profit &amp; Loss'!D12/'Profit &amp; Loss'!D4,"NA")</f>
        <v>0.12806372549019607</v>
      </c>
      <c r="E31" s="334">
        <f>IFERROR('Profit &amp; Loss'!E12/'Profit &amp; Loss'!E4,"NA")</f>
        <v>0.16619183285849953</v>
      </c>
      <c r="F31" s="334">
        <f>IFERROR('Profit &amp; Loss'!F12/'Profit &amp; Loss'!F4,"NA")</f>
        <v>0.15146890499809235</v>
      </c>
      <c r="G31" s="334">
        <f>IFERROR('Profit &amp; Loss'!G12/'Profit &amp; Loss'!G4,"NA")</f>
        <v>0.1379936450295052</v>
      </c>
      <c r="H31" s="334">
        <f>IFERROR('Profit &amp; Loss'!H12/'Profit &amp; Loss'!H4,"NA")</f>
        <v>0.15202242691229476</v>
      </c>
      <c r="I31" s="334">
        <f>IFERROR('Profit &amp; Loss'!I12/'Profit &amp; Loss'!I4,"NA")</f>
        <v>0.14558893832971723</v>
      </c>
      <c r="J31" s="334">
        <f>IFERROR('Profit &amp; Loss'!J12/'Profit &amp; Loss'!J4,"NA")</f>
        <v>0.19773252072529052</v>
      </c>
      <c r="K31" s="334">
        <f>IFERROR('Profit &amp; Loss'!K12/'Profit &amp; Loss'!K4,"NA")</f>
        <v>0.20208657152277332</v>
      </c>
      <c r="L31" s="334">
        <f>IFERROR('Profit &amp; Loss'!L12/'Profit &amp; Loss'!L4,"NA")</f>
        <v>0.23665332461110308</v>
      </c>
      <c r="M31" s="337">
        <f>AVERAGE(J31:L31)</f>
        <v>0.21215747228638895</v>
      </c>
      <c r="N31" s="334" t="e">
        <f>(L31/C31)^(1/(9-1))-1</f>
        <v>#VALUE!</v>
      </c>
      <c r="O31" s="334">
        <f>MIN(C31:L31)</f>
        <v>0.12806372549019607</v>
      </c>
      <c r="P31" s="334">
        <f>MAX(C31:L31)</f>
        <v>0.23665332461110308</v>
      </c>
      <c r="Q31" s="54">
        <f>AVERAGE(C31:L31)</f>
        <v>0.16864465449749688</v>
      </c>
    </row>
    <row r="32" spans="1:17" x14ac:dyDescent="0.2">
      <c r="A32" s="332" t="s">
        <v>262</v>
      </c>
      <c r="B32" s="333"/>
      <c r="C32" s="334">
        <f>'Data Sheet'!C29/'Data Sheet'!C28</f>
        <v>0</v>
      </c>
      <c r="D32" s="334">
        <f>'Data Sheet'!D29/'Data Sheet'!D28</f>
        <v>0.17716535433070865</v>
      </c>
      <c r="E32" s="334">
        <f>'Data Sheet'!E29/'Data Sheet'!E28</f>
        <v>0.166270783847981</v>
      </c>
      <c r="F32" s="334">
        <f>'Data Sheet'!F29/'Data Sheet'!F28</f>
        <v>0.12141280353200884</v>
      </c>
      <c r="G32" s="334">
        <f>'Data Sheet'!G29/'Data Sheet'!G28</f>
        <v>0.18886462882096069</v>
      </c>
      <c r="H32" s="334">
        <f>'Data Sheet'!H29/'Data Sheet'!H28</f>
        <v>0.20351845463953089</v>
      </c>
      <c r="I32" s="334">
        <f>'Data Sheet'!I29/'Data Sheet'!I28</f>
        <v>0.22038365792941864</v>
      </c>
      <c r="J32" s="334">
        <f>'Data Sheet'!J29/'Data Sheet'!J28</f>
        <v>0.24252374809428873</v>
      </c>
      <c r="K32" s="334">
        <f>'Data Sheet'!K29/'Data Sheet'!K28</f>
        <v>0.2276572545775839</v>
      </c>
      <c r="L32" s="334">
        <f>'Data Sheet'!K29/'Data Sheet'!K28</f>
        <v>0.2276572545775839</v>
      </c>
      <c r="N32" s="334"/>
      <c r="O32" s="334"/>
      <c r="P32" s="334"/>
      <c r="Q32" s="54"/>
    </row>
    <row r="33" spans="1:17" x14ac:dyDescent="0.2">
      <c r="A33" s="332" t="s">
        <v>721</v>
      </c>
      <c r="B33" s="333"/>
      <c r="C33" s="334" t="e">
        <f>'Data Sheet'!C67/'Data Sheet'!C17</f>
        <v>#DIV/0!</v>
      </c>
      <c r="D33" s="334">
        <f>'Data Sheet'!D67/'Data Sheet'!D17</f>
        <v>0.67156862745098045</v>
      </c>
      <c r="E33" s="334">
        <f>'Data Sheet'!E67/'Data Sheet'!E17</f>
        <v>0.61490978157644827</v>
      </c>
      <c r="F33" s="334">
        <f>'Data Sheet'!F67/'Data Sheet'!F17</f>
        <v>0.5276611980160244</v>
      </c>
      <c r="G33" s="334">
        <f>'Data Sheet'!G67/'Data Sheet'!G17</f>
        <v>0.30458465728551976</v>
      </c>
      <c r="H33" s="334">
        <f>'Data Sheet'!H67/'Data Sheet'!H17</f>
        <v>0.22539046856227474</v>
      </c>
      <c r="I33" s="334">
        <f>'Data Sheet'!I67/'Data Sheet'!I17</f>
        <v>0.29496561615121536</v>
      </c>
      <c r="J33" s="334">
        <f>'Data Sheet'!J67/'Data Sheet'!J17</f>
        <v>0.24506946284589465</v>
      </c>
      <c r="K33" s="334">
        <f>'Data Sheet'!K67/'Data Sheet'!K17</f>
        <v>0.29734821722952287</v>
      </c>
      <c r="L33" s="334">
        <f>'Data Sheet'!K67/'Data Sheet'!K17</f>
        <v>0.29734821722952287</v>
      </c>
      <c r="N33" s="334"/>
      <c r="O33" s="334"/>
      <c r="P33" s="334"/>
      <c r="Q33" s="54">
        <f>AVERAGE(H33:L33)</f>
        <v>0.27202439640368609</v>
      </c>
    </row>
    <row r="34" spans="1:17" x14ac:dyDescent="0.2">
      <c r="A34" s="332" t="s">
        <v>722</v>
      </c>
      <c r="B34" s="333"/>
      <c r="C34" s="338" t="e">
        <f>'Data Sheet'!C68/'Data Sheet'!C17</f>
        <v>#DIV/0!</v>
      </c>
      <c r="D34" s="338">
        <f>'Data Sheet'!D68/'Data Sheet'!D17</f>
        <v>0</v>
      </c>
      <c r="E34" s="338">
        <f>'Data Sheet'!E68/'Data Sheet'!E17</f>
        <v>0</v>
      </c>
      <c r="F34" s="338">
        <f>'Data Sheet'!F68/'Data Sheet'!F17</f>
        <v>0</v>
      </c>
      <c r="G34" s="338">
        <f>'Data Sheet'!G68/'Data Sheet'!G17</f>
        <v>0</v>
      </c>
      <c r="H34" s="338">
        <f>'Data Sheet'!H68/'Data Sheet'!H17</f>
        <v>0</v>
      </c>
      <c r="I34" s="338">
        <f>'Data Sheet'!I68/'Data Sheet'!I17</f>
        <v>0</v>
      </c>
      <c r="J34" s="338">
        <f>'Data Sheet'!J68/'Data Sheet'!J17</f>
        <v>0</v>
      </c>
      <c r="K34" s="338">
        <f>'Data Sheet'!K68/'Data Sheet'!K17</f>
        <v>0</v>
      </c>
      <c r="L34" s="339">
        <f>'Data Sheet'!K68/'Data Sheet'!K17</f>
        <v>0</v>
      </c>
      <c r="N34" s="334"/>
      <c r="O34" s="334"/>
      <c r="P34" s="334"/>
      <c r="Q34" s="54">
        <f>AVERAGE(H34:L34)</f>
        <v>0</v>
      </c>
    </row>
    <row r="35" spans="1:17" x14ac:dyDescent="0.2">
      <c r="A35" s="332" t="s">
        <v>723</v>
      </c>
      <c r="B35" s="333"/>
      <c r="C35" s="334" t="e">
        <f>C48/'Data Sheet'!C17</f>
        <v>#DIV/0!</v>
      </c>
      <c r="D35" s="334">
        <f>D48/'Data Sheet'!D17</f>
        <v>0.19117647058823536</v>
      </c>
      <c r="E35" s="334">
        <f>E48/'Data Sheet'!E17</f>
        <v>0.28632478632478631</v>
      </c>
      <c r="F35" s="334">
        <f>F48/'Data Sheet'!F17</f>
        <v>0.43838229683326974</v>
      </c>
      <c r="G35" s="334">
        <f>G48/'Data Sheet'!G17</f>
        <v>-0.13731275533363596</v>
      </c>
      <c r="H35" s="334">
        <f>H48/'Data Sheet'!H17</f>
        <v>6.6479775730876921E-3</v>
      </c>
      <c r="I35" s="334">
        <f>I48/'Data Sheet'!I17</f>
        <v>0.15691538263523708</v>
      </c>
      <c r="J35" s="334">
        <f>J48/'Data Sheet'!J17</f>
        <v>0.28886701745088383</v>
      </c>
      <c r="K35" s="334">
        <f>K48/'Data Sheet'!K17</f>
        <v>0.22511892986670434</v>
      </c>
      <c r="L35" s="340">
        <f>K48/'Data Sheet'!K17</f>
        <v>0.22511892986670434</v>
      </c>
      <c r="N35" s="334">
        <f>IFERROR((L35/G35)^(1/(5-1))-1,-0.1)</f>
        <v>-0.1</v>
      </c>
      <c r="O35" s="334"/>
      <c r="P35" s="334"/>
      <c r="Q35" s="54"/>
    </row>
    <row r="36" spans="1:17" x14ac:dyDescent="0.2">
      <c r="A36" s="327" t="s">
        <v>724</v>
      </c>
      <c r="B36" s="333"/>
      <c r="C36" s="341">
        <f>C1</f>
        <v>40268</v>
      </c>
      <c r="D36" s="341">
        <f t="shared" ref="D36:L36" si="2">D1</f>
        <v>40633</v>
      </c>
      <c r="E36" s="341">
        <f t="shared" si="2"/>
        <v>40999</v>
      </c>
      <c r="F36" s="341">
        <f t="shared" si="2"/>
        <v>41364</v>
      </c>
      <c r="G36" s="341">
        <f t="shared" si="2"/>
        <v>41729</v>
      </c>
      <c r="H36" s="341">
        <f t="shared" si="2"/>
        <v>42094</v>
      </c>
      <c r="I36" s="341">
        <f t="shared" si="2"/>
        <v>42460</v>
      </c>
      <c r="J36" s="341">
        <f t="shared" si="2"/>
        <v>42825</v>
      </c>
      <c r="K36" s="341">
        <f t="shared" si="2"/>
        <v>43190</v>
      </c>
      <c r="L36" s="341" t="str">
        <f t="shared" si="2"/>
        <v>Trailing</v>
      </c>
      <c r="N36" s="334"/>
      <c r="O36" s="334"/>
      <c r="P36" s="334"/>
    </row>
    <row r="37" spans="1:17" x14ac:dyDescent="0.2">
      <c r="A37" s="332" t="s">
        <v>725</v>
      </c>
      <c r="B37" s="333"/>
      <c r="C37" s="342"/>
      <c r="D37" s="342"/>
      <c r="E37" s="342"/>
      <c r="F37" s="342"/>
      <c r="G37" s="343"/>
      <c r="H37" s="343"/>
      <c r="I37" s="343"/>
      <c r="J37" s="343"/>
      <c r="K37" s="343"/>
      <c r="L37" s="343"/>
      <c r="N37" s="334"/>
      <c r="O37" s="334"/>
      <c r="P37" s="334"/>
    </row>
    <row r="38" spans="1:17" x14ac:dyDescent="0.2">
      <c r="A38" s="332" t="s">
        <v>726</v>
      </c>
      <c r="B38" s="333"/>
      <c r="C38" s="342"/>
      <c r="D38" s="342"/>
      <c r="E38" s="342"/>
      <c r="F38" s="342"/>
      <c r="G38" s="343"/>
      <c r="H38" s="343"/>
      <c r="I38" s="343"/>
      <c r="J38" s="343"/>
      <c r="K38" s="343"/>
      <c r="L38" s="343"/>
      <c r="N38" s="334"/>
      <c r="O38" s="334"/>
      <c r="P38" s="334"/>
    </row>
    <row r="39" spans="1:17" x14ac:dyDescent="0.2">
      <c r="A39" s="332" t="s">
        <v>727</v>
      </c>
      <c r="B39" s="333" t="s">
        <v>728</v>
      </c>
      <c r="C39" s="341"/>
      <c r="D39" s="341"/>
      <c r="E39" s="341"/>
      <c r="F39" s="341"/>
      <c r="G39" s="341"/>
      <c r="H39" s="341"/>
      <c r="I39" s="341"/>
      <c r="J39" s="341"/>
      <c r="K39" s="341"/>
      <c r="L39" s="341"/>
      <c r="N39" s="334"/>
      <c r="O39" s="334"/>
      <c r="P39" s="334"/>
    </row>
    <row r="40" spans="1:17" ht="25.5" x14ac:dyDescent="0.2">
      <c r="A40" s="332" t="s">
        <v>94</v>
      </c>
      <c r="B40" s="333" t="s">
        <v>729</v>
      </c>
      <c r="C40" s="344">
        <f>'Data Sheet'!C90</f>
        <v>0</v>
      </c>
      <c r="D40" s="344">
        <f>'Data Sheet'!D90</f>
        <v>11.087142999999999</v>
      </c>
      <c r="E40" s="344">
        <f>'Data Sheet'!E90</f>
        <v>12.092000000000001</v>
      </c>
      <c r="F40" s="344">
        <f>'Data Sheet'!F90</f>
        <v>19.812000000000001</v>
      </c>
      <c r="G40" s="344">
        <f>'Data Sheet'!G90</f>
        <v>40.534210999999999</v>
      </c>
      <c r="H40" s="344">
        <f>'Data Sheet'!H90</f>
        <v>275.565</v>
      </c>
      <c r="I40" s="344">
        <f>'Data Sheet'!I90</f>
        <v>744.72578899999996</v>
      </c>
      <c r="J40" s="344">
        <f>'Data Sheet'!J90</f>
        <v>581.47894699999995</v>
      </c>
      <c r="K40" s="344">
        <f>'Data Sheet'!K90</f>
        <v>749.45476199999996</v>
      </c>
      <c r="L40" s="345">
        <f>'Data Sheet'!K90</f>
        <v>749.45476199999996</v>
      </c>
      <c r="N40" s="334">
        <f>(L40/I40)^(1/(3-1))-1</f>
        <v>3.1699516941907646E-3</v>
      </c>
      <c r="O40" s="334"/>
      <c r="P40" s="334"/>
    </row>
    <row r="41" spans="1:17" x14ac:dyDescent="0.2">
      <c r="A41" s="332" t="s">
        <v>730</v>
      </c>
      <c r="B41" s="346" t="s">
        <v>731</v>
      </c>
      <c r="C41" s="347">
        <f>'Data Sheet'!C70/10000000</f>
        <v>0.156</v>
      </c>
      <c r="D41" s="347">
        <f>'Data Sheet'!D70/10000000</f>
        <v>0.55541609999999997</v>
      </c>
      <c r="E41" s="347">
        <f>'Data Sheet'!E70/10000000</f>
        <v>0.55541609999999997</v>
      </c>
      <c r="F41" s="347">
        <f>'Data Sheet'!F70/10000000</f>
        <v>1.0044101999999999</v>
      </c>
      <c r="G41" s="347">
        <f>'Data Sheet'!G70/10000000</f>
        <v>1.0044101999999999</v>
      </c>
      <c r="H41" s="347">
        <f>'Data Sheet'!H70/10000000</f>
        <v>1.0344101999999999</v>
      </c>
      <c r="I41" s="347">
        <f>'Data Sheet'!I70/10000000</f>
        <v>1.0894102000000001</v>
      </c>
      <c r="J41" s="347">
        <f>'Data Sheet'!J70/10000000</f>
        <v>3.0517604999999999</v>
      </c>
      <c r="K41" s="347">
        <f>'Data Sheet'!K70/10000000</f>
        <v>3.0517604999999999</v>
      </c>
      <c r="L41" s="348">
        <f>'Data Sheet'!K70/10000000</f>
        <v>3.0517604999999999</v>
      </c>
      <c r="N41" s="334">
        <f>(L41/C41)^(1/(9-1))-1</f>
        <v>0.4502011031132529</v>
      </c>
      <c r="O41" s="334"/>
      <c r="P41" s="334"/>
    </row>
    <row r="42" spans="1:17" ht="25.5" x14ac:dyDescent="0.2">
      <c r="A42" s="332" t="s">
        <v>609</v>
      </c>
      <c r="B42" s="333" t="s">
        <v>732</v>
      </c>
      <c r="C42" s="349">
        <f>'Data Sheet'!C70*'Financial Analysis'!C40/10000000</f>
        <v>0</v>
      </c>
      <c r="D42" s="349">
        <f>'Data Sheet'!D70*'Financial Analysis'!D40/10000000</f>
        <v>6.1579777252022998</v>
      </c>
      <c r="E42" s="349">
        <f>'Data Sheet'!E70*'Financial Analysis'!E40/10000000</f>
        <v>6.7160914812000003</v>
      </c>
      <c r="F42" s="349">
        <f>'Data Sheet'!F70*'Financial Analysis'!F40/10000000</f>
        <v>19.8993748824</v>
      </c>
      <c r="G42" s="349">
        <f>'Data Sheet'!G70*'Financial Analysis'!G40/10000000</f>
        <v>40.712974977352204</v>
      </c>
      <c r="H42" s="349">
        <f>'Data Sheet'!H70*'Financial Analysis'!H40/10000000</f>
        <v>285.04724676300003</v>
      </c>
      <c r="I42" s="349">
        <f>'Data Sheet'!I70*'Financial Analysis'!I40/10000000</f>
        <v>811.31187073964782</v>
      </c>
      <c r="J42" s="349">
        <f>'Data Sheet'!J70*'Financial Analysis'!J40/10000000</f>
        <v>1774.5344820361934</v>
      </c>
      <c r="K42" s="349">
        <f>'Data Sheet'!K70*'Financial Analysis'!K40/10000000</f>
        <v>2287.1564392085011</v>
      </c>
      <c r="L42" s="349">
        <f>'Data Sheet'!K70*'Financial Analysis'!L40/10000000</f>
        <v>2287.1564392085011</v>
      </c>
      <c r="N42" s="334">
        <f>(L42/I42)^(1/(3-1))-1</f>
        <v>0.67901285121940402</v>
      </c>
      <c r="O42" s="334" t="s">
        <v>733</v>
      </c>
      <c r="P42" s="334" t="s">
        <v>734</v>
      </c>
      <c r="Q42" s="84" t="s">
        <v>735</v>
      </c>
    </row>
    <row r="43" spans="1:17" x14ac:dyDescent="0.2">
      <c r="A43" s="332" t="s">
        <v>736</v>
      </c>
      <c r="B43" s="333" t="s">
        <v>731</v>
      </c>
      <c r="C43" s="350">
        <f>'Data Sheet'!C31</f>
        <v>0</v>
      </c>
      <c r="D43" s="350">
        <f>'Data Sheet'!D31</f>
        <v>0</v>
      </c>
      <c r="E43" s="350">
        <f>'Data Sheet'!E31</f>
        <v>0</v>
      </c>
      <c r="F43" s="350">
        <f>'Data Sheet'!F31</f>
        <v>0</v>
      </c>
      <c r="G43" s="350">
        <f>'Data Sheet'!G31</f>
        <v>0</v>
      </c>
      <c r="H43" s="350">
        <f>'Data Sheet'!H31</f>
        <v>0</v>
      </c>
      <c r="I43" s="350">
        <f>'Data Sheet'!I31</f>
        <v>0</v>
      </c>
      <c r="J43" s="350">
        <f>'Data Sheet'!J31</f>
        <v>3.05</v>
      </c>
      <c r="K43" s="350">
        <f>'Data Sheet'!K31</f>
        <v>0</v>
      </c>
      <c r="L43" s="350">
        <f>'Data Sheet'!K31</f>
        <v>0</v>
      </c>
      <c r="N43" s="334" t="e">
        <f>(L43/C43)^(1/(9-1))-1</f>
        <v>#DIV/0!</v>
      </c>
      <c r="O43" s="351">
        <f t="shared" ref="O43:O55" si="3">SUM(D43:L43)</f>
        <v>3.05</v>
      </c>
      <c r="P43" s="351">
        <f t="shared" ref="P43:P55" si="4">SUM(H43:L43)</f>
        <v>3.05</v>
      </c>
      <c r="Q43" s="352">
        <f t="shared" ref="Q43:Q55" si="5">SUM(J43:L43)</f>
        <v>3.05</v>
      </c>
    </row>
    <row r="44" spans="1:17" x14ac:dyDescent="0.2">
      <c r="A44" s="332" t="s">
        <v>737</v>
      </c>
      <c r="B44" s="333" t="s">
        <v>731</v>
      </c>
      <c r="C44" s="351">
        <f>'Cash Flow'!C4</f>
        <v>0</v>
      </c>
      <c r="D44" s="351">
        <f>'Cash Flow'!D4</f>
        <v>11.4</v>
      </c>
      <c r="E44" s="351">
        <f>'Cash Flow'!E4</f>
        <v>-3.35</v>
      </c>
      <c r="F44" s="351">
        <f>'Cash Flow'!F4</f>
        <v>-7.42</v>
      </c>
      <c r="G44" s="351">
        <f>'Cash Flow'!G4</f>
        <v>12.16</v>
      </c>
      <c r="H44" s="351">
        <f>'Cash Flow'!H4</f>
        <v>26.08</v>
      </c>
      <c r="I44" s="351">
        <f>'Cash Flow'!I4</f>
        <v>18.89</v>
      </c>
      <c r="J44" s="351">
        <f>'Cash Flow'!J4</f>
        <v>71.73</v>
      </c>
      <c r="K44" s="351">
        <f>'Cash Flow'!K4</f>
        <v>125.1</v>
      </c>
      <c r="L44" s="351">
        <f>'Cash Flow'!K4</f>
        <v>125.1</v>
      </c>
      <c r="N44" s="334" t="e">
        <f>(L44/C44)^(1/(9-1))-1</f>
        <v>#DIV/0!</v>
      </c>
      <c r="O44" s="351">
        <f t="shared" si="3"/>
        <v>379.69</v>
      </c>
      <c r="P44" s="351">
        <f t="shared" si="4"/>
        <v>366.9</v>
      </c>
      <c r="Q44" s="352">
        <f t="shared" si="5"/>
        <v>321.92999999999995</v>
      </c>
    </row>
    <row r="45" spans="1:17" ht="38.25" x14ac:dyDescent="0.2">
      <c r="A45" s="332" t="s">
        <v>157</v>
      </c>
      <c r="B45" s="333" t="s">
        <v>738</v>
      </c>
      <c r="C45" s="351">
        <f>('Data Sheet'!C62-'Data Sheet'!B62)+('Data Sheet'!C63-'Data Sheet'!B63)+'Data Sheet'!C26</f>
        <v>-2.0000000000000004E-2</v>
      </c>
      <c r="D45" s="351">
        <f>('Data Sheet'!D62-'Data Sheet'!C62)+('Data Sheet'!D63-'Data Sheet'!C63)+'Data Sheet'!D26</f>
        <v>19.240000000000002</v>
      </c>
      <c r="E45" s="351">
        <f>('Data Sheet'!E62-'Data Sheet'!D62)+('Data Sheet'!E63-'Data Sheet'!D63)+'Data Sheet'!E26</f>
        <v>4.57</v>
      </c>
      <c r="F45" s="351">
        <f>('Data Sheet'!F62-'Data Sheet'!E62)+('Data Sheet'!F63-'Data Sheet'!E63)+'Data Sheet'!F26</f>
        <v>-3.3899999999999992</v>
      </c>
      <c r="G45" s="351">
        <f>('Data Sheet'!G62-'Data Sheet'!F62)+('Data Sheet'!G63-'Data Sheet'!F63)+'Data Sheet'!G26</f>
        <v>57.930000000000007</v>
      </c>
      <c r="H45" s="351">
        <f>('Data Sheet'!H62-'Data Sheet'!G62)+('Data Sheet'!H63-'Data Sheet'!G63)+'Data Sheet'!H26</f>
        <v>36.31</v>
      </c>
      <c r="I45" s="351">
        <f>('Data Sheet'!I62-'Data Sheet'!H62)+('Data Sheet'!I63-'Data Sheet'!H63)+'Data Sheet'!I26</f>
        <v>85.710000000000008</v>
      </c>
      <c r="J45" s="351">
        <f>('Data Sheet'!J62-'Data Sheet'!I62)+('Data Sheet'!J63-'Data Sheet'!I63)+'Data Sheet'!J26</f>
        <v>57.14</v>
      </c>
      <c r="K45" s="351">
        <f>('Data Sheet'!K62-'Data Sheet'!J62)+('Data Sheet'!K63-'Data Sheet'!J63)+'Data Sheet'!K26</f>
        <v>203.46999999999997</v>
      </c>
      <c r="L45" s="351">
        <f>('Data Sheet'!K62-'Data Sheet'!J62)+('Data Sheet'!K63-'Data Sheet'!J63)+'Data Sheet'!K26</f>
        <v>203.46999999999997</v>
      </c>
      <c r="N45" s="342">
        <f>SUM(D45:L45)/COUNT(D45:L45)</f>
        <v>73.827777777777769</v>
      </c>
      <c r="O45" s="351">
        <f t="shared" si="3"/>
        <v>664.44999999999993</v>
      </c>
      <c r="P45" s="351">
        <f t="shared" si="4"/>
        <v>586.09999999999991</v>
      </c>
      <c r="Q45" s="352">
        <f t="shared" si="5"/>
        <v>464.07999999999993</v>
      </c>
    </row>
    <row r="46" spans="1:17" ht="25.5" x14ac:dyDescent="0.2">
      <c r="A46" s="332" t="s">
        <v>739</v>
      </c>
      <c r="B46" s="333" t="s">
        <v>740</v>
      </c>
      <c r="C46" s="351">
        <f>'Data Sheet'!C82-'Financial Analysis'!C45</f>
        <v>2.0000000000000004E-2</v>
      </c>
      <c r="D46" s="351">
        <f>'Data Sheet'!D82-'Financial Analysis'!D45</f>
        <v>-7.8400000000000016</v>
      </c>
      <c r="E46" s="351">
        <f>'Data Sheet'!E82-'Financial Analysis'!E45</f>
        <v>-7.92</v>
      </c>
      <c r="F46" s="351">
        <f>'Data Sheet'!F82-'Financial Analysis'!F45</f>
        <v>-4.0300000000000011</v>
      </c>
      <c r="G46" s="351">
        <f>'Data Sheet'!G82-'Financial Analysis'!G45</f>
        <v>-45.77000000000001</v>
      </c>
      <c r="H46" s="351">
        <f>'Data Sheet'!H82-'Financial Analysis'!H45</f>
        <v>-10.230000000000004</v>
      </c>
      <c r="I46" s="351">
        <f>'Data Sheet'!I82-'Financial Analysis'!I45</f>
        <v>-66.820000000000007</v>
      </c>
      <c r="J46" s="351">
        <f>'Data Sheet'!J82-'Financial Analysis'!J45</f>
        <v>14.590000000000003</v>
      </c>
      <c r="K46" s="351">
        <f>'Data Sheet'!K82-'Financial Analysis'!K45</f>
        <v>-78.369999999999976</v>
      </c>
      <c r="L46" s="351">
        <f>'Data Sheet'!K82-'Financial Analysis'!K45</f>
        <v>-78.369999999999976</v>
      </c>
      <c r="N46" s="334">
        <f>(AVERAGE(I46:L46)/AVERAGE(E46:H46))^(1/(5-1))-1</f>
        <v>0.32426109548197446</v>
      </c>
      <c r="O46" s="351">
        <f t="shared" si="3"/>
        <v>-284.76</v>
      </c>
      <c r="P46" s="351">
        <f t="shared" si="4"/>
        <v>-219.19999999999996</v>
      </c>
      <c r="Q46" s="352">
        <f t="shared" si="5"/>
        <v>-142.14999999999995</v>
      </c>
    </row>
    <row r="47" spans="1:17" ht="38.25" x14ac:dyDescent="0.2">
      <c r="A47" s="332" t="s">
        <v>645</v>
      </c>
      <c r="B47" s="333" t="s">
        <v>741</v>
      </c>
      <c r="C47" s="351">
        <f>'Data Sheet'!C82-'Financial Analysis'!C45-'Data Sheet'!C31</f>
        <v>2.0000000000000004E-2</v>
      </c>
      <c r="D47" s="351">
        <f>'Data Sheet'!D82-'Financial Analysis'!D45-'Data Sheet'!D31</f>
        <v>-7.8400000000000016</v>
      </c>
      <c r="E47" s="351">
        <f>'Data Sheet'!E82-'Financial Analysis'!E45-'Data Sheet'!E31</f>
        <v>-7.92</v>
      </c>
      <c r="F47" s="351">
        <f>'Data Sheet'!F82-'Financial Analysis'!F45-'Data Sheet'!F31</f>
        <v>-4.0300000000000011</v>
      </c>
      <c r="G47" s="351">
        <f>'Data Sheet'!G82-'Financial Analysis'!G45-'Data Sheet'!G31</f>
        <v>-45.77000000000001</v>
      </c>
      <c r="H47" s="351">
        <f>'Data Sheet'!H82-'Financial Analysis'!H45-'Data Sheet'!H31</f>
        <v>-10.230000000000004</v>
      </c>
      <c r="I47" s="351">
        <f>'Data Sheet'!I82-'Financial Analysis'!I45-'Data Sheet'!I31</f>
        <v>-66.820000000000007</v>
      </c>
      <c r="J47" s="351">
        <f>'Data Sheet'!J82-'Financial Analysis'!J45-'Data Sheet'!J31</f>
        <v>11.540000000000003</v>
      </c>
      <c r="K47" s="351">
        <f>'Data Sheet'!K82-'Financial Analysis'!K45-'Data Sheet'!K31</f>
        <v>-78.369999999999976</v>
      </c>
      <c r="L47" s="351">
        <f>'Data Sheet'!K82-'Financial Analysis'!K45-'Data Sheet'!K31</f>
        <v>-78.369999999999976</v>
      </c>
      <c r="N47" s="334">
        <f>(AVERAGE(I47:L47)/AVERAGE(E47:H47))^(1/(5-1))-1</f>
        <v>0.32906690032872432</v>
      </c>
      <c r="O47" s="351">
        <f t="shared" si="3"/>
        <v>-287.80999999999995</v>
      </c>
      <c r="P47" s="351">
        <f t="shared" si="4"/>
        <v>-222.24999999999997</v>
      </c>
      <c r="Q47" s="352">
        <f t="shared" si="5"/>
        <v>-145.19999999999993</v>
      </c>
    </row>
    <row r="48" spans="1:17" ht="25.5" x14ac:dyDescent="0.2">
      <c r="A48" s="332" t="s">
        <v>742</v>
      </c>
      <c r="B48" s="333" t="s">
        <v>743</v>
      </c>
      <c r="C48" s="351">
        <f>'Balance Sheet'!C16</f>
        <v>6.39</v>
      </c>
      <c r="D48" s="351">
        <f>'Balance Sheet'!D16</f>
        <v>3.120000000000001</v>
      </c>
      <c r="E48" s="351">
        <f>'Balance Sheet'!E16</f>
        <v>6.0299999999999994</v>
      </c>
      <c r="F48" s="351">
        <f>'Balance Sheet'!F16</f>
        <v>11.49</v>
      </c>
      <c r="G48" s="351">
        <f>'Balance Sheet'!G16</f>
        <v>-6.0500000000000007</v>
      </c>
      <c r="H48" s="351">
        <f>'Balance Sheet'!H16</f>
        <v>0.82999999999999829</v>
      </c>
      <c r="I48" s="351">
        <f>'Balance Sheet'!I16</f>
        <v>42.670000000000016</v>
      </c>
      <c r="J48" s="351">
        <f>'Balance Sheet'!J16</f>
        <v>152.61999999999998</v>
      </c>
      <c r="K48" s="351">
        <f>'Balance Sheet'!K16</f>
        <v>191.18</v>
      </c>
      <c r="L48" s="351">
        <f>'Balance Sheet'!K16</f>
        <v>191.18</v>
      </c>
      <c r="N48" s="334">
        <f t="shared" ref="N48:N55" si="6">(L48/C48)^(1/(9-1))-1</f>
        <v>0.52930004000470077</v>
      </c>
      <c r="O48" s="351">
        <f t="shared" si="3"/>
        <v>593.06999999999994</v>
      </c>
      <c r="P48" s="351">
        <f t="shared" si="4"/>
        <v>578.48</v>
      </c>
      <c r="Q48" s="352">
        <f t="shared" si="5"/>
        <v>534.98</v>
      </c>
    </row>
    <row r="49" spans="1:17" ht="51" x14ac:dyDescent="0.2">
      <c r="A49" s="332" t="s">
        <v>744</v>
      </c>
      <c r="B49" s="333" t="s">
        <v>745</v>
      </c>
      <c r="C49" s="351">
        <f>C48-'Data Sheet'!C69</f>
        <v>6.38</v>
      </c>
      <c r="D49" s="351">
        <f>D48-'Data Sheet'!D69</f>
        <v>2.680000000000001</v>
      </c>
      <c r="E49" s="351">
        <f>E48-'Data Sheet'!E69</f>
        <v>3.0599999999999992</v>
      </c>
      <c r="F49" s="351">
        <f>F48-'Data Sheet'!F69</f>
        <v>10.040000000000001</v>
      </c>
      <c r="G49" s="351">
        <f>G48-'Data Sheet'!G69</f>
        <v>-10.88</v>
      </c>
      <c r="H49" s="351">
        <f>H48-'Data Sheet'!H69</f>
        <v>-13.950000000000001</v>
      </c>
      <c r="I49" s="351">
        <f>I48-'Data Sheet'!I69</f>
        <v>14.110000000000017</v>
      </c>
      <c r="J49" s="351">
        <f>J48-'Data Sheet'!J69</f>
        <v>62.82999999999997</v>
      </c>
      <c r="K49" s="351">
        <f>K48-'Data Sheet'!K69</f>
        <v>180.19</v>
      </c>
      <c r="L49" s="351">
        <f>L48-'Data Sheet'!K69</f>
        <v>180.19</v>
      </c>
      <c r="N49" s="334">
        <f t="shared" si="6"/>
        <v>0.51832153138018544</v>
      </c>
      <c r="O49" s="351">
        <f t="shared" si="3"/>
        <v>428.27</v>
      </c>
      <c r="P49" s="351">
        <f t="shared" si="4"/>
        <v>423.37</v>
      </c>
      <c r="Q49" s="352">
        <f t="shared" si="5"/>
        <v>423.21</v>
      </c>
    </row>
    <row r="50" spans="1:17" x14ac:dyDescent="0.2">
      <c r="A50" s="332" t="s">
        <v>746</v>
      </c>
      <c r="B50" s="333"/>
      <c r="C50" s="350">
        <f>SUM('Data Sheet'!C57:C59)</f>
        <v>6.48</v>
      </c>
      <c r="D50" s="350">
        <f>SUM('Data Sheet'!D57:D59)</f>
        <v>21.76</v>
      </c>
      <c r="E50" s="350">
        <f>SUM('Data Sheet'!E57:E59)</f>
        <v>28.44</v>
      </c>
      <c r="F50" s="350">
        <f>SUM('Data Sheet'!F57:F59)</f>
        <v>29.7</v>
      </c>
      <c r="G50" s="350">
        <f>SUM('Data Sheet'!G57:G59)</f>
        <v>65.78</v>
      </c>
      <c r="H50" s="350">
        <f>SUM('Data Sheet'!H57:H59)</f>
        <v>99.85</v>
      </c>
      <c r="I50" s="350">
        <f>SUM('Data Sheet'!I57:I59)</f>
        <v>207.17</v>
      </c>
      <c r="J50" s="350">
        <f>SUM('Data Sheet'!J57:J59)</f>
        <v>360.74</v>
      </c>
      <c r="K50" s="350">
        <f>SUM('Data Sheet'!K57:K59)</f>
        <v>577.57999999999993</v>
      </c>
      <c r="L50" s="350">
        <f>SUM('Data Sheet'!K57:K59)</f>
        <v>577.57999999999993</v>
      </c>
      <c r="N50" s="334">
        <f t="shared" si="6"/>
        <v>0.75288991572792385</v>
      </c>
      <c r="O50" s="351">
        <f t="shared" si="3"/>
        <v>1968.6</v>
      </c>
      <c r="P50" s="351">
        <f t="shared" si="4"/>
        <v>1822.9199999999998</v>
      </c>
      <c r="Q50" s="352">
        <f t="shared" si="5"/>
        <v>1515.8999999999999</v>
      </c>
    </row>
    <row r="51" spans="1:17" x14ac:dyDescent="0.2">
      <c r="A51" s="332" t="s">
        <v>747</v>
      </c>
      <c r="B51" s="333"/>
      <c r="C51" s="350">
        <f>C50-'Data Sheet'!C69</f>
        <v>6.4700000000000006</v>
      </c>
      <c r="D51" s="350">
        <f>D50-'Data Sheet'!D69</f>
        <v>21.32</v>
      </c>
      <c r="E51" s="350">
        <f>E50-'Data Sheet'!E69</f>
        <v>25.470000000000002</v>
      </c>
      <c r="F51" s="350">
        <f>F50-'Data Sheet'!F69</f>
        <v>28.25</v>
      </c>
      <c r="G51" s="350">
        <f>G50-'Data Sheet'!G69</f>
        <v>60.95</v>
      </c>
      <c r="H51" s="350">
        <f>H50-'Data Sheet'!H69</f>
        <v>85.07</v>
      </c>
      <c r="I51" s="350">
        <f>I50-'Data Sheet'!I69</f>
        <v>178.60999999999999</v>
      </c>
      <c r="J51" s="350">
        <f>J50-'Data Sheet'!J69</f>
        <v>270.95</v>
      </c>
      <c r="K51" s="350">
        <f>K50-'Data Sheet'!K69</f>
        <v>566.58999999999992</v>
      </c>
      <c r="L51" s="350">
        <f>K50-'Data Sheet'!K69</f>
        <v>566.58999999999992</v>
      </c>
      <c r="N51" s="334">
        <f t="shared" si="6"/>
        <v>0.74902323153120731</v>
      </c>
      <c r="O51" s="351">
        <f t="shared" si="3"/>
        <v>1803.7999999999997</v>
      </c>
      <c r="P51" s="351">
        <f t="shared" si="4"/>
        <v>1667.8099999999997</v>
      </c>
      <c r="Q51" s="352">
        <f t="shared" si="5"/>
        <v>1404.1299999999999</v>
      </c>
    </row>
    <row r="52" spans="1:17" x14ac:dyDescent="0.2">
      <c r="A52" s="332" t="s">
        <v>748</v>
      </c>
      <c r="B52" s="333"/>
      <c r="C52" s="350">
        <f>'Data Sheet'!C62+'Data Sheet'!C63+'Financial Analysis'!C49</f>
        <v>6.47</v>
      </c>
      <c r="D52" s="350">
        <f>'Data Sheet'!D62+'Data Sheet'!D63+'Financial Analysis'!D49</f>
        <v>21.32</v>
      </c>
      <c r="E52" s="350">
        <f>'Data Sheet'!E62+'Data Sheet'!E63+'Financial Analysis'!E49</f>
        <v>25.47</v>
      </c>
      <c r="F52" s="350">
        <f>'Data Sheet'!F62+'Data Sheet'!F63+'Financial Analysis'!F49</f>
        <v>28.25</v>
      </c>
      <c r="G52" s="350">
        <f>'Data Sheet'!G62+'Data Sheet'!G63+'Financial Analysis'!G49</f>
        <v>60.949999999999996</v>
      </c>
      <c r="H52" s="350">
        <f>'Data Sheet'!H62+'Data Sheet'!H63+'Financial Analysis'!H49</f>
        <v>85.070000000000007</v>
      </c>
      <c r="I52" s="350">
        <f>'Data Sheet'!I62+'Data Sheet'!I63+'Financial Analysis'!I49</f>
        <v>178.61</v>
      </c>
      <c r="J52" s="350">
        <f>'Data Sheet'!J62+'Data Sheet'!J63+'Financial Analysis'!J49</f>
        <v>270.95</v>
      </c>
      <c r="K52" s="350">
        <f>'Data Sheet'!K62+'Data Sheet'!K63+'Financial Analysis'!K49</f>
        <v>566.58999999999992</v>
      </c>
      <c r="L52" s="350">
        <f>'Data Sheet'!K62+'Data Sheet'!K63+'Financial Analysis'!K49</f>
        <v>566.58999999999992</v>
      </c>
      <c r="N52" s="334">
        <f t="shared" si="6"/>
        <v>0.74902323153120731</v>
      </c>
      <c r="O52" s="351">
        <f t="shared" si="3"/>
        <v>1803.8</v>
      </c>
      <c r="P52" s="351">
        <f t="shared" si="4"/>
        <v>1667.8099999999997</v>
      </c>
      <c r="Q52" s="352">
        <f t="shared" si="5"/>
        <v>1404.1299999999999</v>
      </c>
    </row>
    <row r="53" spans="1:17" x14ac:dyDescent="0.2">
      <c r="A53" s="332" t="s">
        <v>749</v>
      </c>
      <c r="B53" s="333"/>
      <c r="C53" s="350">
        <f>'Data Sheet'!C62+'Financial Analysis'!C49</f>
        <v>6.47</v>
      </c>
      <c r="D53" s="350">
        <f>'Data Sheet'!D62+'Financial Analysis'!D49</f>
        <v>8.73</v>
      </c>
      <c r="E53" s="350">
        <f>'Data Sheet'!E62+'Financial Analysis'!E49</f>
        <v>9.0399999999999991</v>
      </c>
      <c r="F53" s="350">
        <f>'Data Sheet'!F62+'Financial Analysis'!F49</f>
        <v>10.770000000000001</v>
      </c>
      <c r="G53" s="350">
        <f>'Data Sheet'!G62+'Financial Analysis'!G49</f>
        <v>41.37</v>
      </c>
      <c r="H53" s="350">
        <f>'Data Sheet'!H62+'Financial Analysis'!H49</f>
        <v>65.17</v>
      </c>
      <c r="I53" s="350">
        <f>'Data Sheet'!I62+'Financial Analysis'!I49</f>
        <v>160.48000000000002</v>
      </c>
      <c r="J53" s="350">
        <f>'Data Sheet'!J62+'Financial Analysis'!J49</f>
        <v>250.22999999999996</v>
      </c>
      <c r="K53" s="350">
        <f>'Data Sheet'!K62+'Financial Analysis'!K49</f>
        <v>538.53</v>
      </c>
      <c r="L53" s="350">
        <f>'Data Sheet'!K62+'Financial Analysis'!K49</f>
        <v>538.53</v>
      </c>
      <c r="N53" s="334">
        <f t="shared" si="6"/>
        <v>0.73795370075133659</v>
      </c>
      <c r="O53" s="351">
        <f t="shared" si="3"/>
        <v>1622.85</v>
      </c>
      <c r="P53" s="351">
        <f t="shared" si="4"/>
        <v>1552.94</v>
      </c>
      <c r="Q53" s="352">
        <f t="shared" si="5"/>
        <v>1327.29</v>
      </c>
    </row>
    <row r="54" spans="1:17" x14ac:dyDescent="0.2">
      <c r="A54" s="332" t="s">
        <v>197</v>
      </c>
      <c r="B54" s="333"/>
      <c r="C54" s="350">
        <f>'Data Sheet'!C27+'Data Sheet'!C28</f>
        <v>0.04</v>
      </c>
      <c r="D54" s="350">
        <f>'Data Sheet'!D27+'Data Sheet'!D28</f>
        <v>2.56</v>
      </c>
      <c r="E54" s="350">
        <f>'Data Sheet'!E27+'Data Sheet'!E28</f>
        <v>4.26</v>
      </c>
      <c r="F54" s="350">
        <f>'Data Sheet'!F27+'Data Sheet'!F28</f>
        <v>4.7</v>
      </c>
      <c r="G54" s="350">
        <f>'Data Sheet'!G27+'Data Sheet'!G28</f>
        <v>9.5299999999999994</v>
      </c>
      <c r="H54" s="350">
        <f>'Data Sheet'!H27+'Data Sheet'!H28</f>
        <v>29.439999999999998</v>
      </c>
      <c r="I54" s="350">
        <f>'Data Sheet'!I27+'Data Sheet'!I28</f>
        <v>68.5</v>
      </c>
      <c r="J54" s="350">
        <f>'Data Sheet'!J27+'Data Sheet'!J28</f>
        <v>172.17999999999998</v>
      </c>
      <c r="K54" s="350">
        <f>'Data Sheet'!K27+'Data Sheet'!K28</f>
        <v>276.63000000000005</v>
      </c>
      <c r="L54" s="350">
        <f>'Data Sheet'!K27+'Data Sheet'!K28</f>
        <v>276.63000000000005</v>
      </c>
      <c r="N54" s="334">
        <f t="shared" si="6"/>
        <v>2.0198120285900272</v>
      </c>
      <c r="O54" s="351">
        <f t="shared" si="3"/>
        <v>844.43000000000006</v>
      </c>
      <c r="P54" s="351">
        <f t="shared" si="4"/>
        <v>823.38000000000011</v>
      </c>
      <c r="Q54" s="352">
        <f t="shared" si="5"/>
        <v>725.44</v>
      </c>
    </row>
    <row r="55" spans="1:17" ht="51" x14ac:dyDescent="0.2">
      <c r="A55" s="332" t="s">
        <v>750</v>
      </c>
      <c r="B55" s="333" t="s">
        <v>751</v>
      </c>
      <c r="C55" s="350">
        <f>'Data Sheet'!C57+'Data Sheet'!C58+'Data Sheet'!C59</f>
        <v>6.48</v>
      </c>
      <c r="D55" s="350">
        <f>'Data Sheet'!D57+'Data Sheet'!D58+'Data Sheet'!D59</f>
        <v>21.76</v>
      </c>
      <c r="E55" s="350">
        <f>'Data Sheet'!E57+'Data Sheet'!E58+'Data Sheet'!E59</f>
        <v>28.44</v>
      </c>
      <c r="F55" s="350">
        <f>'Data Sheet'!F57+'Data Sheet'!F58+'Data Sheet'!F59</f>
        <v>29.7</v>
      </c>
      <c r="G55" s="350">
        <f>'Data Sheet'!G57+'Data Sheet'!G58+'Data Sheet'!G59</f>
        <v>65.78</v>
      </c>
      <c r="H55" s="350">
        <f>'Data Sheet'!H57+'Data Sheet'!H58+'Data Sheet'!H59</f>
        <v>99.85</v>
      </c>
      <c r="I55" s="350">
        <f>'Data Sheet'!I57+'Data Sheet'!I58+'Data Sheet'!I59</f>
        <v>207.17</v>
      </c>
      <c r="J55" s="350">
        <f>'Data Sheet'!J57+'Data Sheet'!J58+'Data Sheet'!J59</f>
        <v>360.74</v>
      </c>
      <c r="K55" s="350">
        <f>'Data Sheet'!K57+'Data Sheet'!K58+'Data Sheet'!K59</f>
        <v>577.57999999999993</v>
      </c>
      <c r="L55" s="350">
        <f>'Data Sheet'!K57+'Data Sheet'!K58+'Data Sheet'!K59</f>
        <v>577.57999999999993</v>
      </c>
      <c r="N55" s="334">
        <f t="shared" si="6"/>
        <v>0.75288991572792385</v>
      </c>
      <c r="O55" s="351">
        <f t="shared" si="3"/>
        <v>1968.6</v>
      </c>
      <c r="P55" s="351">
        <f t="shared" si="4"/>
        <v>1822.9199999999998</v>
      </c>
      <c r="Q55" s="352">
        <f t="shared" si="5"/>
        <v>1515.8999999999999</v>
      </c>
    </row>
    <row r="56" spans="1:17" x14ac:dyDescent="0.2">
      <c r="A56" s="332" t="s">
        <v>752</v>
      </c>
      <c r="B56" s="333"/>
      <c r="C56" s="350"/>
      <c r="D56" s="350"/>
      <c r="E56" s="350"/>
      <c r="F56" s="350"/>
      <c r="G56" s="350"/>
      <c r="H56" s="350"/>
      <c r="I56" s="350"/>
      <c r="J56" s="350"/>
      <c r="K56" s="350"/>
      <c r="L56" s="350"/>
      <c r="N56" s="334"/>
      <c r="O56" s="351"/>
      <c r="P56" s="351"/>
      <c r="Q56" s="352"/>
    </row>
    <row r="57" spans="1:17" x14ac:dyDescent="0.2">
      <c r="A57" s="332" t="s">
        <v>10</v>
      </c>
      <c r="B57" s="333"/>
      <c r="C57" s="350">
        <f>'Data Sheet'!C26</f>
        <v>0</v>
      </c>
      <c r="D57" s="350">
        <f>'Data Sheet'!D26</f>
        <v>0.69</v>
      </c>
      <c r="E57" s="350">
        <f>'Data Sheet'!E26</f>
        <v>0.8</v>
      </c>
      <c r="F57" s="350">
        <f>'Data Sheet'!F26</f>
        <v>0.81</v>
      </c>
      <c r="G57" s="350">
        <f>'Data Sheet'!G26</f>
        <v>4.3099999999999996</v>
      </c>
      <c r="H57" s="350">
        <f>'Data Sheet'!H26</f>
        <v>9.1199999999999992</v>
      </c>
      <c r="I57" s="350">
        <f>'Data Sheet'!I26</f>
        <v>20.23</v>
      </c>
      <c r="J57" s="350">
        <f>'Data Sheet'!J26</f>
        <v>13.52</v>
      </c>
      <c r="K57" s="350">
        <f>'Data Sheet'!K26</f>
        <v>25.19</v>
      </c>
      <c r="L57" s="350">
        <f>'Data Sheet'!K26</f>
        <v>25.19</v>
      </c>
      <c r="M57" s="342">
        <f>AVERAGE(H57:L57)</f>
        <v>18.649999999999999</v>
      </c>
      <c r="O57" s="351">
        <f>SUM(D57:L57)</f>
        <v>99.86</v>
      </c>
      <c r="P57" s="351">
        <f>SUM(H57:L57)</f>
        <v>93.25</v>
      </c>
      <c r="Q57" s="352">
        <f>SUM(J57:L57)</f>
        <v>63.900000000000006</v>
      </c>
    </row>
    <row r="58" spans="1:17" x14ac:dyDescent="0.2">
      <c r="A58" s="332" t="s">
        <v>125</v>
      </c>
      <c r="B58" s="333"/>
      <c r="C58" s="350">
        <f>'Data Sheet'!C62</f>
        <v>0.09</v>
      </c>
      <c r="D58" s="350">
        <f>'Data Sheet'!D62</f>
        <v>6.05</v>
      </c>
      <c r="E58" s="350">
        <f>'Data Sheet'!E62</f>
        <v>5.98</v>
      </c>
      <c r="F58" s="350">
        <f>'Data Sheet'!F62</f>
        <v>0.73</v>
      </c>
      <c r="G58" s="350">
        <f>'Data Sheet'!G62</f>
        <v>52.25</v>
      </c>
      <c r="H58" s="350">
        <f>'Data Sheet'!H62</f>
        <v>79.12</v>
      </c>
      <c r="I58" s="350">
        <f>'Data Sheet'!I62</f>
        <v>146.37</v>
      </c>
      <c r="J58" s="350">
        <f>'Data Sheet'!J62</f>
        <v>187.4</v>
      </c>
      <c r="K58" s="350">
        <f>'Data Sheet'!K62</f>
        <v>358.34</v>
      </c>
      <c r="L58" s="350">
        <f>'Data Sheet'!K62</f>
        <v>358.34</v>
      </c>
      <c r="M58" s="342">
        <f>AVERAGE(H58:L58)</f>
        <v>225.91399999999999</v>
      </c>
      <c r="O58" s="351">
        <f>SUM(D58:L58)</f>
        <v>1194.58</v>
      </c>
      <c r="P58" s="351">
        <f>SUM(H58:L58)</f>
        <v>1129.57</v>
      </c>
      <c r="Q58" s="352">
        <f>SUM(J58:L58)</f>
        <v>904.07999999999993</v>
      </c>
    </row>
    <row r="59" spans="1:17" x14ac:dyDescent="0.2">
      <c r="A59" s="332" t="s">
        <v>753</v>
      </c>
      <c r="B59" s="333"/>
      <c r="C59" s="353">
        <f>C57/C58</f>
        <v>0</v>
      </c>
      <c r="D59" s="353">
        <f t="shared" ref="D59:K59" si="7">D57/D58</f>
        <v>0.1140495867768595</v>
      </c>
      <c r="E59" s="353">
        <f t="shared" si="7"/>
        <v>0.13377926421404682</v>
      </c>
      <c r="F59" s="353">
        <f t="shared" si="7"/>
        <v>1.1095890410958904</v>
      </c>
      <c r="G59" s="353">
        <f t="shared" si="7"/>
        <v>8.2488038277511957E-2</v>
      </c>
      <c r="H59" s="353">
        <f t="shared" si="7"/>
        <v>0.115267947421638</v>
      </c>
      <c r="I59" s="353">
        <f t="shared" si="7"/>
        <v>0.13821138211382114</v>
      </c>
      <c r="J59" s="353">
        <f t="shared" si="7"/>
        <v>7.2145144076840972E-2</v>
      </c>
      <c r="K59" s="353">
        <f t="shared" si="7"/>
        <v>7.0296366579226444E-2</v>
      </c>
      <c r="L59" s="353">
        <f>L57/L58</f>
        <v>7.0296366579226444E-2</v>
      </c>
      <c r="M59" s="334">
        <f>AVERAGE(H59:L59)</f>
        <v>9.3243441354150608E-2</v>
      </c>
      <c r="O59" s="351"/>
      <c r="P59" s="351"/>
      <c r="Q59" s="352"/>
    </row>
    <row r="60" spans="1:17" x14ac:dyDescent="0.2">
      <c r="A60" s="332" t="s">
        <v>754</v>
      </c>
      <c r="B60" s="333"/>
      <c r="C60" s="354" t="e">
        <f>'Data Sheet'!C17/B58</f>
        <v>#DIV/0!</v>
      </c>
      <c r="D60" s="354">
        <f>'Data Sheet'!D17/C58</f>
        <v>181.33333333333334</v>
      </c>
      <c r="E60" s="354">
        <f>'Data Sheet'!E17/D58</f>
        <v>3.4809917355371898</v>
      </c>
      <c r="F60" s="354">
        <f>'Data Sheet'!F17/E58</f>
        <v>4.3829431438127084</v>
      </c>
      <c r="G60" s="354">
        <f>'Data Sheet'!G17/F58</f>
        <v>60.356164383561648</v>
      </c>
      <c r="H60" s="354">
        <f>'Data Sheet'!H17/G58</f>
        <v>2.3894736842105262</v>
      </c>
      <c r="I60" s="354">
        <f>'Data Sheet'!I17/H58</f>
        <v>3.4369312436804851</v>
      </c>
      <c r="J60" s="354">
        <f>'Data Sheet'!J17/I58</f>
        <v>3.6096194575391132</v>
      </c>
      <c r="K60" s="354">
        <f>'Data Sheet'!K17/J58</f>
        <v>4.5316969050160081</v>
      </c>
      <c r="L60" s="354">
        <f>'Data Sheet'!K17/J58</f>
        <v>4.5316969050160081</v>
      </c>
      <c r="M60" s="351">
        <f>AVERAGE(H60:L60)</f>
        <v>3.6998836390924281</v>
      </c>
      <c r="O60" s="351">
        <f>SUM(D60:L60)</f>
        <v>268.05285079170704</v>
      </c>
      <c r="P60" s="351">
        <f>SUM(H60:L60)</f>
        <v>18.499418195462141</v>
      </c>
      <c r="Q60" s="352">
        <f>SUM(J60:L60)</f>
        <v>12.673013267571129</v>
      </c>
    </row>
    <row r="61" spans="1:17" x14ac:dyDescent="0.2">
      <c r="A61" s="332" t="s">
        <v>192</v>
      </c>
      <c r="B61" s="333"/>
      <c r="C61" s="350"/>
      <c r="D61" s="353">
        <f>((1-D59)+(D60*D31*(1-D79)))-1</f>
        <v>23.108172635445364</v>
      </c>
      <c r="E61" s="353">
        <f t="shared" ref="E61:M61" si="8">((1-E59)+(E60*E31*(1-E79)))-1</f>
        <v>0.44473313248016799</v>
      </c>
      <c r="F61" s="353">
        <f t="shared" si="8"/>
        <v>-0.44570944243368305</v>
      </c>
      <c r="G61" s="353">
        <f t="shared" si="8"/>
        <v>8.2462790850101584</v>
      </c>
      <c r="H61" s="353">
        <f t="shared" si="8"/>
        <v>0.24798564109510846</v>
      </c>
      <c r="I61" s="353">
        <f t="shared" si="8"/>
        <v>0.3621677887658552</v>
      </c>
      <c r="J61" s="353">
        <f t="shared" si="8"/>
        <v>0.62075640678740696</v>
      </c>
      <c r="K61" s="353">
        <f t="shared" si="8"/>
        <v>0.84549872413582161</v>
      </c>
      <c r="L61" s="353">
        <f>((1-L59)+(L60*L31*(1-L79)))-1</f>
        <v>1.0021447721226582</v>
      </c>
      <c r="M61" s="353">
        <f t="shared" si="8"/>
        <v>0.68713115221691012</v>
      </c>
      <c r="N61" s="334"/>
      <c r="O61" s="334"/>
      <c r="P61" s="334"/>
    </row>
    <row r="62" spans="1:17" x14ac:dyDescent="0.2">
      <c r="A62" s="332" t="s">
        <v>991</v>
      </c>
      <c r="B62" s="333"/>
      <c r="C62" s="350"/>
      <c r="D62" s="353"/>
      <c r="E62" s="405" t="e">
        <f>(AVERAGE(C60:E60)*AVERAGE(C31:E31)*(1-AVERAGE(C79:E79)))-AVERAGE(C59:E59)</f>
        <v>#DIV/0!</v>
      </c>
      <c r="F62" s="405">
        <f t="shared" ref="F62:K62" si="9">(AVERAGE(D60:F60)*AVERAGE(D31:F31)*(1-AVERAGE(D79:F79)))-AVERAGE(D59:F59)</f>
        <v>8.9175107960573499</v>
      </c>
      <c r="G62" s="405">
        <f t="shared" si="9"/>
        <v>3.0119131332564333</v>
      </c>
      <c r="H62" s="405">
        <f t="shared" si="9"/>
        <v>2.8571361164243472</v>
      </c>
      <c r="I62" s="405">
        <f t="shared" si="9"/>
        <v>3.09128407569687</v>
      </c>
      <c r="J62" s="405">
        <f t="shared" si="9"/>
        <v>0.40574633685759609</v>
      </c>
      <c r="K62" s="405">
        <f t="shared" si="9"/>
        <v>0.60127293078431954</v>
      </c>
      <c r="L62" s="353"/>
      <c r="M62" s="353"/>
      <c r="N62" s="334"/>
      <c r="O62" s="334"/>
      <c r="P62" s="334"/>
    </row>
    <row r="63" spans="1:17" x14ac:dyDescent="0.2">
      <c r="A63" s="332"/>
      <c r="B63" s="333"/>
      <c r="C63" s="350"/>
      <c r="D63" s="350"/>
      <c r="E63" s="350"/>
      <c r="F63" s="350"/>
      <c r="G63" s="350"/>
      <c r="H63" s="350"/>
      <c r="I63" s="350"/>
      <c r="J63" s="350"/>
      <c r="K63" s="350"/>
      <c r="L63" s="350"/>
      <c r="N63" s="334"/>
      <c r="O63" s="334"/>
      <c r="P63" s="334"/>
    </row>
    <row r="64" spans="1:17" x14ac:dyDescent="0.2">
      <c r="A64" s="327" t="s">
        <v>755</v>
      </c>
      <c r="B64" s="333"/>
      <c r="C64" s="341">
        <f>C36</f>
        <v>40268</v>
      </c>
      <c r="D64" s="341">
        <f t="shared" ref="D64:L64" si="10">D36</f>
        <v>40633</v>
      </c>
      <c r="E64" s="341">
        <f t="shared" si="10"/>
        <v>40999</v>
      </c>
      <c r="F64" s="341">
        <f t="shared" si="10"/>
        <v>41364</v>
      </c>
      <c r="G64" s="341">
        <f t="shared" si="10"/>
        <v>41729</v>
      </c>
      <c r="H64" s="341">
        <f t="shared" si="10"/>
        <v>42094</v>
      </c>
      <c r="I64" s="341">
        <f t="shared" si="10"/>
        <v>42460</v>
      </c>
      <c r="J64" s="341">
        <f t="shared" si="10"/>
        <v>42825</v>
      </c>
      <c r="K64" s="341">
        <f t="shared" si="10"/>
        <v>43190</v>
      </c>
      <c r="L64" s="341" t="str">
        <f t="shared" si="10"/>
        <v>Trailing</v>
      </c>
      <c r="N64" s="334"/>
      <c r="O64" s="355" t="str">
        <f>O26</f>
        <v>Min</v>
      </c>
      <c r="P64" s="355" t="str">
        <f>P26</f>
        <v>Max</v>
      </c>
      <c r="Q64" s="355" t="str">
        <f>Q26</f>
        <v>Avg.</v>
      </c>
    </row>
    <row r="65" spans="1:17" x14ac:dyDescent="0.2">
      <c r="A65" s="332" t="s">
        <v>756</v>
      </c>
      <c r="C65" s="356">
        <f>(C54/C50)*(1-('Data Sheet'!C29/'Data Sheet'!C28))</f>
        <v>6.1728395061728392E-3</v>
      </c>
      <c r="D65" s="356">
        <f>(D54/D50)*(1-('Data Sheet'!D29/'Data Sheet'!D28))</f>
        <v>9.6804075961093097E-2</v>
      </c>
      <c r="E65" s="356">
        <f>(E54/E50)*(1-('Data Sheet'!E29/'Data Sheet'!E28))</f>
        <v>0.12488349018310831</v>
      </c>
      <c r="F65" s="356">
        <f>(F54/F50)*(1-('Data Sheet'!F29/'Data Sheet'!F28))</f>
        <v>0.13903568428954743</v>
      </c>
      <c r="G65" s="356">
        <f>(G54/G50)*(1-('Data Sheet'!G29/'Data Sheet'!G28))</f>
        <v>0.11751474745114387</v>
      </c>
      <c r="H65" s="356">
        <f>(H54/H50)*(1-('Data Sheet'!H29/'Data Sheet'!H28))</f>
        <v>0.23483642158650184</v>
      </c>
      <c r="I65" s="356">
        <f>(I54/I50)*(1-('Data Sheet'!I29/'Data Sheet'!I28))</f>
        <v>0.25777728161333607</v>
      </c>
      <c r="J65" s="356">
        <f>(J54/J50)*(1-('Data Sheet'!J29/'Data Sheet'!J28))</f>
        <v>0.36154089109365561</v>
      </c>
      <c r="K65" s="356">
        <f>(K54/K50)*(1-('Data Sheet'!K29/'Data Sheet'!K28))</f>
        <v>0.36991096240555948</v>
      </c>
      <c r="L65" s="356">
        <f>(L54/L50)*(1-('Data Sheet'!K29/'Data Sheet'!K28))</f>
        <v>0.36991096240555948</v>
      </c>
      <c r="N65" s="334">
        <f>(L65/C65)^(1/(9-1))-1</f>
        <v>0.66802105014478474</v>
      </c>
      <c r="O65" s="334">
        <f>MIN(C65:L65)</f>
        <v>6.1728395061728392E-3</v>
      </c>
      <c r="P65" s="334">
        <f>MAX(C65:L65)</f>
        <v>0.36991096240555948</v>
      </c>
      <c r="Q65" s="54">
        <f>AVERAGE(C65:L65)</f>
        <v>0.20783873564956781</v>
      </c>
    </row>
    <row r="66" spans="1:17" x14ac:dyDescent="0.2">
      <c r="A66" s="332" t="s">
        <v>757</v>
      </c>
      <c r="C66" s="356">
        <f>(C54/C51)*(1-('Data Sheet'!C29/'Data Sheet'!C28))</f>
        <v>6.1823802163833074E-3</v>
      </c>
      <c r="D66" s="356">
        <f>(D54/D51)*(1-('Data Sheet'!D29/'Data Sheet'!D28))</f>
        <v>9.8801908673235725E-2</v>
      </c>
      <c r="E66" s="356">
        <f>(E54/E51)*(1-('Data Sheet'!E29/'Data Sheet'!E28))</f>
        <v>0.13944587596417748</v>
      </c>
      <c r="F66" s="356">
        <f>(F54/F51)*(1-('Data Sheet'!F29/'Data Sheet'!F28))</f>
        <v>0.14617202914688704</v>
      </c>
      <c r="G66" s="356">
        <f>(G54/G51)*(1-('Data Sheet'!G29/'Data Sheet'!G28))</f>
        <v>0.12682723687180056</v>
      </c>
      <c r="H66" s="356">
        <f>(H54/H51)*(1-('Data Sheet'!H29/'Data Sheet'!H28))</f>
        <v>0.2756367308735419</v>
      </c>
      <c r="I66" s="356">
        <f>(I54/I51)*(1-('Data Sheet'!I29/'Data Sheet'!I28))</f>
        <v>0.29899624562921917</v>
      </c>
      <c r="J66" s="356">
        <f>(J54/J51)*(1-('Data Sheet'!J29/'Data Sheet'!J28))</f>
        <v>0.48135176620455933</v>
      </c>
      <c r="K66" s="356">
        <f>(K54/K51)*(1-('Data Sheet'!K29/'Data Sheet'!K28))</f>
        <v>0.37708602987381179</v>
      </c>
      <c r="L66" s="356">
        <f>(L54/L51)*(1-('Data Sheet'!K29/'Data Sheet'!K28))</f>
        <v>0.37708602987381179</v>
      </c>
      <c r="N66" s="334">
        <f>(L66/C66)^(1/(9-1))-1</f>
        <v>0.67170865732924634</v>
      </c>
      <c r="O66" s="334">
        <f>MIN(C66:L66)</f>
        <v>6.1823802163833074E-3</v>
      </c>
      <c r="P66" s="334">
        <f>MAX(C66:L66)</f>
        <v>0.48135176620455933</v>
      </c>
      <c r="Q66" s="54">
        <f>AVERAGE(C66:L66)</f>
        <v>0.23275862333274278</v>
      </c>
    </row>
    <row r="67" spans="1:17" x14ac:dyDescent="0.2">
      <c r="A67" s="332" t="s">
        <v>758</v>
      </c>
      <c r="C67" s="356">
        <f>(C54/C52)*(1-('Data Sheet'!C29/'Data Sheet'!C28))</f>
        <v>6.1823802163833083E-3</v>
      </c>
      <c r="D67" s="356">
        <f>(D54/D52)*(1-('Data Sheet'!D29/'Data Sheet'!D28))</f>
        <v>9.8801908673235725E-2</v>
      </c>
      <c r="E67" s="356">
        <f>(E54/E52)*(1-('Data Sheet'!E29/'Data Sheet'!E28))</f>
        <v>0.13944587596417748</v>
      </c>
      <c r="F67" s="356">
        <f>(F54/F52)*(1-('Data Sheet'!F29/'Data Sheet'!F28))</f>
        <v>0.14617202914688704</v>
      </c>
      <c r="G67" s="356">
        <f>(G54/G52)*(1-('Data Sheet'!G29/'Data Sheet'!G28))</f>
        <v>0.12682723687180056</v>
      </c>
      <c r="H67" s="356">
        <f>(H54/H52)*(1-('Data Sheet'!H29/'Data Sheet'!H28))</f>
        <v>0.2756367308735419</v>
      </c>
      <c r="I67" s="356">
        <f>(I54/I52)*(1-('Data Sheet'!I29/'Data Sheet'!I28))</f>
        <v>0.29899624562921912</v>
      </c>
      <c r="J67" s="356">
        <f>(J54/J52)*(1-('Data Sheet'!J29/'Data Sheet'!J28))</f>
        <v>0.48135176620455933</v>
      </c>
      <c r="K67" s="356">
        <f>(K54/K52)*(1-('Data Sheet'!K29/'Data Sheet'!K28))</f>
        <v>0.37708602987381179</v>
      </c>
      <c r="L67" s="356">
        <f>(L54/L52)*(1-('Data Sheet'!K29/'Data Sheet'!K28))</f>
        <v>0.37708602987381179</v>
      </c>
      <c r="N67" s="334">
        <f>(L67/C67)^(1/(9-1))-1</f>
        <v>0.67170865732924634</v>
      </c>
      <c r="O67" s="334">
        <f>MIN(C67:L67)</f>
        <v>6.1823802163833083E-3</v>
      </c>
      <c r="P67" s="334">
        <f>MAX(C67:L67)</f>
        <v>0.48135176620455933</v>
      </c>
      <c r="Q67" s="54">
        <f>AVERAGE(C67:L67)</f>
        <v>0.23275862333274278</v>
      </c>
    </row>
    <row r="68" spans="1:17" x14ac:dyDescent="0.2">
      <c r="A68" s="332" t="s">
        <v>759</v>
      </c>
      <c r="C68" s="356">
        <f>(C54/C53)*(1-('Data Sheet'!C29/'Data Sheet'!C28))</f>
        <v>6.1823802163833083E-3</v>
      </c>
      <c r="D68" s="356">
        <f>(D54/D53)*(1-('Data Sheet'!D29/'Data Sheet'!D28))</f>
        <v>0.24128942645055967</v>
      </c>
      <c r="E68" s="356">
        <f>(E54/E53)*(1-('Data Sheet'!E29/'Data Sheet'!E28))</f>
        <v>0.39288567044331868</v>
      </c>
      <c r="F68" s="356">
        <f>(F54/F53)*(1-('Data Sheet'!F29/'Data Sheet'!F28))</f>
        <v>0.38341316837507505</v>
      </c>
      <c r="G68" s="356">
        <f>(G54/G53)*(1-('Data Sheet'!G29/'Data Sheet'!G28))</f>
        <v>0.1868532774313813</v>
      </c>
      <c r="H68" s="356">
        <f>(H54/H53)*(1-('Data Sheet'!H29/'Data Sheet'!H28))</f>
        <v>0.35980384679165578</v>
      </c>
      <c r="I68" s="356">
        <f>(I54/I53)*(1-('Data Sheet'!I29/'Data Sheet'!I28))</f>
        <v>0.33277492168391587</v>
      </c>
      <c r="J68" s="356">
        <f>(J54/J53)*(1-('Data Sheet'!J29/'Data Sheet'!J28))</f>
        <v>0.52120953144357329</v>
      </c>
      <c r="K68" s="356">
        <f>(K54/K53)*(1-('Data Sheet'!K29/'Data Sheet'!K28))</f>
        <v>0.39673402348281989</v>
      </c>
      <c r="L68" s="356">
        <f>(L54/L53)*(1-('Data Sheet'!K29/'Data Sheet'!K28))</f>
        <v>0.39673402348281989</v>
      </c>
      <c r="N68" s="334">
        <f>(L68/C68)^(1/(9-1))-1</f>
        <v>0.68235625422971768</v>
      </c>
      <c r="O68" s="334">
        <f>MIN(C68:L68)</f>
        <v>6.1823802163833083E-3</v>
      </c>
      <c r="P68" s="334">
        <f>MAX(C68:L68)</f>
        <v>0.52120953144357329</v>
      </c>
      <c r="Q68" s="54">
        <f>AVERAGE(C68:L68)</f>
        <v>0.32178802698015035</v>
      </c>
    </row>
    <row r="69" spans="1:17" x14ac:dyDescent="0.2">
      <c r="A69" s="332" t="s">
        <v>760</v>
      </c>
      <c r="B69" s="333" t="s">
        <v>761</v>
      </c>
      <c r="C69" s="356">
        <f>'Data Sheet'!C30/'Data Sheet'!C66</f>
        <v>6.0331825037707393E-3</v>
      </c>
      <c r="D69" s="356">
        <f>'Data Sheet'!D30/'Data Sheet'!D66</f>
        <v>5.9156524200396264E-2</v>
      </c>
      <c r="E69" s="356">
        <f>'Data Sheet'!E30/'Data Sheet'!E66</f>
        <v>7.8811078585904082E-2</v>
      </c>
      <c r="F69" s="356">
        <f>'Data Sheet'!F30/'Data Sheet'!F66</f>
        <v>8.8695263628239512E-2</v>
      </c>
      <c r="G69" s="356">
        <f>'Data Sheet'!G30/'Data Sheet'!G66</f>
        <v>6.1068702290076333E-2</v>
      </c>
      <c r="H69" s="356">
        <f>'Data Sheet'!H30/'Data Sheet'!H66</f>
        <v>0.12499176819229503</v>
      </c>
      <c r="I69" s="356">
        <f>'Data Sheet'!I30/'Data Sheet'!I66</f>
        <v>0.12603864888096528</v>
      </c>
      <c r="J69" s="356">
        <f>'Data Sheet'!J30/'Data Sheet'!J66</f>
        <v>0.2042384313112158</v>
      </c>
      <c r="K69" s="356">
        <f>'Data Sheet'!K30/'Data Sheet'!K66</f>
        <v>0.20898175884659409</v>
      </c>
      <c r="L69" s="356">
        <f>'Data Sheet'!K30/'Data Sheet'!K66</f>
        <v>0.20898175884659409</v>
      </c>
      <c r="N69" s="334">
        <f>(L69/C69)^(1/(9-1))-1</f>
        <v>0.55756162887726801</v>
      </c>
      <c r="O69" s="334">
        <f>MIN(C69:L69)</f>
        <v>6.0331825037707393E-3</v>
      </c>
      <c r="P69" s="334">
        <f>MAX(C69:L69)</f>
        <v>0.20898175884659409</v>
      </c>
      <c r="Q69" s="54">
        <f>AVERAGE(C69:L69)</f>
        <v>0.11669971172860512</v>
      </c>
    </row>
    <row r="70" spans="1:17" x14ac:dyDescent="0.2">
      <c r="A70" s="332" t="s">
        <v>762</v>
      </c>
      <c r="B70" s="333"/>
      <c r="C70" s="356"/>
      <c r="D70" s="356"/>
      <c r="E70" s="356"/>
      <c r="F70" s="356"/>
      <c r="G70" s="356"/>
      <c r="H70" s="356"/>
      <c r="I70" s="356"/>
      <c r="J70" s="356"/>
      <c r="K70" s="356"/>
      <c r="L70" s="356"/>
      <c r="N70" s="334"/>
      <c r="O70" s="334"/>
      <c r="P70" s="334"/>
      <c r="Q70" s="54"/>
    </row>
    <row r="71" spans="1:17" ht="25.5" x14ac:dyDescent="0.2">
      <c r="A71" s="332" t="s">
        <v>763</v>
      </c>
      <c r="B71" s="333" t="s">
        <v>764</v>
      </c>
      <c r="C71" s="356">
        <f>C54/C55</f>
        <v>6.1728395061728392E-3</v>
      </c>
      <c r="D71" s="356">
        <f t="shared" ref="D71:L71" si="11">D54/D55</f>
        <v>0.11764705882352941</v>
      </c>
      <c r="E71" s="356">
        <f t="shared" si="11"/>
        <v>0.14978902953586495</v>
      </c>
      <c r="F71" s="356">
        <f t="shared" si="11"/>
        <v>0.15824915824915825</v>
      </c>
      <c r="G71" s="356">
        <f t="shared" si="11"/>
        <v>0.1448768622681666</v>
      </c>
      <c r="H71" s="356">
        <f t="shared" si="11"/>
        <v>0.29484226339509262</v>
      </c>
      <c r="I71" s="356">
        <f t="shared" si="11"/>
        <v>0.33064632910170394</v>
      </c>
      <c r="J71" s="356">
        <f t="shared" si="11"/>
        <v>0.47729666796030373</v>
      </c>
      <c r="K71" s="356">
        <f t="shared" si="11"/>
        <v>0.47894663942657312</v>
      </c>
      <c r="L71" s="356">
        <f t="shared" si="11"/>
        <v>0.47894663942657312</v>
      </c>
      <c r="N71" s="334">
        <f>(L71/C71)^(1/(9-1))-1</f>
        <v>0.72276193815399292</v>
      </c>
      <c r="O71" s="334">
        <f>MIN(C71:L71)</f>
        <v>6.1728395061728392E-3</v>
      </c>
      <c r="P71" s="334">
        <f>MAX(C71:L71)</f>
        <v>0.47894663942657312</v>
      </c>
      <c r="Q71" s="54">
        <f>AVERAGE(C71:L71)</f>
        <v>0.26374134876931382</v>
      </c>
    </row>
    <row r="72" spans="1:17" x14ac:dyDescent="0.2">
      <c r="A72" s="332" t="s">
        <v>765</v>
      </c>
      <c r="B72" s="357"/>
      <c r="C72" s="84"/>
      <c r="D72" s="84"/>
      <c r="E72" s="84"/>
      <c r="F72" s="84"/>
      <c r="G72" s="84"/>
      <c r="H72" s="84"/>
      <c r="I72" s="84"/>
      <c r="J72" s="84"/>
      <c r="K72" s="84"/>
      <c r="L72" s="84"/>
      <c r="N72" s="334"/>
      <c r="O72" s="334"/>
      <c r="P72" s="334"/>
      <c r="Q72" s="54"/>
    </row>
    <row r="73" spans="1:17" ht="25.5" x14ac:dyDescent="0.2">
      <c r="A73" s="332" t="s">
        <v>60</v>
      </c>
      <c r="B73" s="333" t="s">
        <v>766</v>
      </c>
      <c r="C73" s="356">
        <f>'Data Sheet'!C30/('Data Sheet'!C57+'Data Sheet'!C58)</f>
        <v>6.1728395061728392E-3</v>
      </c>
      <c r="D73" s="356">
        <f>'Data Sheet'!D30/('Data Sheet'!D57+'Data Sheet'!D58)</f>
        <v>0.10101498308361526</v>
      </c>
      <c r="E73" s="356">
        <f>'Data Sheet'!E30/('Data Sheet'!E57+'Data Sheet'!E58)</f>
        <v>0.13720109760878085</v>
      </c>
      <c r="F73" s="356">
        <f>'Data Sheet'!F30/('Data Sheet'!F57+'Data Sheet'!F58)</f>
        <v>0.14389271475172163</v>
      </c>
      <c r="G73" s="356">
        <f>'Data Sheet'!G30/('Data Sheet'!G57+'Data Sheet'!G58)</f>
        <v>9.8064516129032261E-2</v>
      </c>
      <c r="H73" s="356">
        <f>'Data Sheet'!H30/('Data Sheet'!H57+'Data Sheet'!H58)</f>
        <v>0.19021848065744637</v>
      </c>
      <c r="I73" s="356">
        <f>'Data Sheet'!I30/('Data Sheet'!I57+'Data Sheet'!I58)</f>
        <v>0.19364147713377355</v>
      </c>
      <c r="J73" s="356">
        <f>'Data Sheet'!J30/('Data Sheet'!J57+'Data Sheet'!J58)</f>
        <v>0.32651976871386157</v>
      </c>
      <c r="K73" s="356">
        <f>'Data Sheet'!K30/('Data Sheet'!K57+'Data Sheet'!K58)</f>
        <v>0.34946039503156184</v>
      </c>
      <c r="L73" s="356">
        <f>'Data Sheet'!K30/('Data Sheet'!K57+'Data Sheet'!K58)</f>
        <v>0.34946039503156184</v>
      </c>
      <c r="N73" s="334">
        <f>(L73/C73)^(1/(9-1))-1</f>
        <v>0.65620511758857436</v>
      </c>
      <c r="O73" s="334">
        <f t="shared" ref="O73:O79" si="12">MIN(C73:L73)</f>
        <v>6.1728395061728392E-3</v>
      </c>
      <c r="P73" s="334">
        <f t="shared" ref="P73:P79" si="13">MAX(C73:L73)</f>
        <v>0.34946039503156184</v>
      </c>
      <c r="Q73" s="54">
        <f t="shared" ref="Q73:Q79" si="14">AVERAGE(C73:L73)</f>
        <v>0.18956466676475278</v>
      </c>
    </row>
    <row r="74" spans="1:17" x14ac:dyDescent="0.2">
      <c r="A74" s="332" t="s">
        <v>525</v>
      </c>
      <c r="B74" s="333" t="s">
        <v>767</v>
      </c>
      <c r="C74" s="54" t="str">
        <f t="shared" ref="C74:L74" si="15">C31</f>
        <v>NA</v>
      </c>
      <c r="D74" s="54">
        <f t="shared" si="15"/>
        <v>0.12806372549019607</v>
      </c>
      <c r="E74" s="54">
        <f t="shared" si="15"/>
        <v>0.16619183285849953</v>
      </c>
      <c r="F74" s="54">
        <f t="shared" si="15"/>
        <v>0.15146890499809235</v>
      </c>
      <c r="G74" s="54">
        <f t="shared" si="15"/>
        <v>0.1379936450295052</v>
      </c>
      <c r="H74" s="54">
        <f t="shared" si="15"/>
        <v>0.15202242691229476</v>
      </c>
      <c r="I74" s="54">
        <f t="shared" si="15"/>
        <v>0.14558893832971723</v>
      </c>
      <c r="J74" s="54">
        <f t="shared" si="15"/>
        <v>0.19773252072529052</v>
      </c>
      <c r="K74" s="54">
        <f t="shared" si="15"/>
        <v>0.20208657152277332</v>
      </c>
      <c r="L74" s="54">
        <f t="shared" si="15"/>
        <v>0.23665332461110308</v>
      </c>
      <c r="N74" s="334" t="e">
        <f>(L74/C74)^(1/(9-1))-1</f>
        <v>#VALUE!</v>
      </c>
      <c r="O74" s="334">
        <f t="shared" si="12"/>
        <v>0.12806372549019607</v>
      </c>
      <c r="P74" s="334">
        <f t="shared" si="13"/>
        <v>0.23665332461110308</v>
      </c>
      <c r="Q74" s="54">
        <f t="shared" si="14"/>
        <v>0.16864465449749688</v>
      </c>
    </row>
    <row r="75" spans="1:17" x14ac:dyDescent="0.2">
      <c r="A75" s="332" t="s">
        <v>526</v>
      </c>
      <c r="B75" s="333" t="s">
        <v>768</v>
      </c>
      <c r="C75" s="358">
        <f>'Data Sheet'!C17/'Data Sheet'!C66</f>
        <v>0</v>
      </c>
      <c r="D75" s="358">
        <f>'Data Sheet'!D17/'Data Sheet'!D66</f>
        <v>0.46193037078969718</v>
      </c>
      <c r="E75" s="358">
        <f>'Data Sheet'!E17/'Data Sheet'!E66</f>
        <v>0.47421751857689709</v>
      </c>
      <c r="F75" s="358">
        <f>'Data Sheet'!F17/'Data Sheet'!F66</f>
        <v>0.58556747095621098</v>
      </c>
      <c r="G75" s="358">
        <f>'Data Sheet'!G17/'Data Sheet'!G66</f>
        <v>0.44254720771394135</v>
      </c>
      <c r="H75" s="358">
        <f>'Data Sheet'!H17/'Data Sheet'!H66</f>
        <v>0.82219295357260458</v>
      </c>
      <c r="I75" s="358">
        <f>'Data Sheet'!I17/'Data Sheet'!I66</f>
        <v>0.86571583203336411</v>
      </c>
      <c r="J75" s="358">
        <f>'Data Sheet'!J17/'Data Sheet'!J66</f>
        <v>1.0329025825497058</v>
      </c>
      <c r="K75" s="358">
        <f>'Data Sheet'!K17/'Data Sheet'!K66</f>
        <v>1.0341199678527069</v>
      </c>
      <c r="L75" s="358">
        <f>'Data Sheet'!K17/'Data Sheet'!K66</f>
        <v>1.0341199678527069</v>
      </c>
      <c r="M75" s="63">
        <f>(L75/G75)^(1/(5-1))-1</f>
        <v>0.23638244430990829</v>
      </c>
      <c r="N75" s="334" t="e">
        <f>(L75/C75)^(1/(9-1))-1</f>
        <v>#DIV/0!</v>
      </c>
      <c r="O75" s="339">
        <f t="shared" si="12"/>
        <v>0</v>
      </c>
      <c r="P75" s="339">
        <f t="shared" si="13"/>
        <v>1.0341199678527069</v>
      </c>
      <c r="Q75" s="358">
        <f t="shared" si="14"/>
        <v>0.67533138718978347</v>
      </c>
    </row>
    <row r="76" spans="1:17" ht="25.5" x14ac:dyDescent="0.2">
      <c r="A76" s="332" t="s">
        <v>307</v>
      </c>
      <c r="B76" s="333" t="s">
        <v>769</v>
      </c>
      <c r="C76" s="359">
        <f>'Data Sheet'!C66/('Data Sheet'!C57+'Data Sheet'!C58)</f>
        <v>1.0231481481481481</v>
      </c>
      <c r="D76" s="359">
        <f>'Data Sheet'!D66/('Data Sheet'!D57+'Data Sheet'!D58)</f>
        <v>1.7075882068632187</v>
      </c>
      <c r="E76" s="359">
        <f>'Data Sheet'!E66/('Data Sheet'!E57+'Data Sheet'!E58)</f>
        <v>1.7408859270874164</v>
      </c>
      <c r="F76" s="359">
        <f>'Data Sheet'!F66/('Data Sheet'!F57+'Data Sheet'!F58)</f>
        <v>1.6223269300471184</v>
      </c>
      <c r="G76" s="359">
        <f>'Data Sheet'!G66/('Data Sheet'!G57+'Data Sheet'!G58)</f>
        <v>1.6058064516129034</v>
      </c>
      <c r="H76" s="359">
        <f>'Data Sheet'!H66/('Data Sheet'!H57+'Data Sheet'!H58)</f>
        <v>1.521848065744638</v>
      </c>
      <c r="I76" s="359">
        <f>'Data Sheet'!I66/('Data Sheet'!I57+'Data Sheet'!I58)</f>
        <v>1.53636585962338</v>
      </c>
      <c r="J76" s="359">
        <f>'Data Sheet'!J66/('Data Sheet'!J57+'Data Sheet'!J58)</f>
        <v>1.5987185497734022</v>
      </c>
      <c r="K76" s="359">
        <f>'Data Sheet'!K66/('Data Sheet'!K57+'Data Sheet'!K58)</f>
        <v>1.6722052535125231</v>
      </c>
      <c r="L76" s="358">
        <f>'Data Sheet'!K66/('Data Sheet'!K57+'Data Sheet'!K58)</f>
        <v>1.6722052535125231</v>
      </c>
      <c r="N76" s="334">
        <f>(L76/C76)^(1/(9-1))-1</f>
        <v>6.3331997195135825E-2</v>
      </c>
      <c r="O76" s="339">
        <f t="shared" si="12"/>
        <v>1.0231481481481481</v>
      </c>
      <c r="P76" s="339">
        <f t="shared" si="13"/>
        <v>1.7408859270874164</v>
      </c>
      <c r="Q76" s="358">
        <f t="shared" si="14"/>
        <v>1.5701098645925273</v>
      </c>
    </row>
    <row r="77" spans="1:17" ht="38.25" x14ac:dyDescent="0.2">
      <c r="A77" s="332" t="s">
        <v>770</v>
      </c>
      <c r="B77" s="333" t="s">
        <v>771</v>
      </c>
      <c r="C77" s="356" t="e">
        <f>C74*C75*C76</f>
        <v>#VALUE!</v>
      </c>
      <c r="D77" s="356">
        <f t="shared" ref="D77:L77" si="16">D74*D75*D76</f>
        <v>0.10101498308361526</v>
      </c>
      <c r="E77" s="356">
        <f t="shared" si="16"/>
        <v>0.13720109760878085</v>
      </c>
      <c r="F77" s="356">
        <f t="shared" si="16"/>
        <v>0.14389271475172166</v>
      </c>
      <c r="G77" s="356">
        <f t="shared" si="16"/>
        <v>9.8064516129032248E-2</v>
      </c>
      <c r="H77" s="356">
        <f t="shared" si="16"/>
        <v>0.19021848065744637</v>
      </c>
      <c r="I77" s="356">
        <f t="shared" si="16"/>
        <v>0.19364147713377358</v>
      </c>
      <c r="J77" s="356">
        <f t="shared" si="16"/>
        <v>0.32651976871386157</v>
      </c>
      <c r="K77" s="356">
        <f t="shared" si="16"/>
        <v>0.34946039503156184</v>
      </c>
      <c r="L77" s="356">
        <f t="shared" si="16"/>
        <v>0.40923532761704989</v>
      </c>
      <c r="N77" s="334" t="e">
        <f>(L77/C77)^(1/(9-1))-1</f>
        <v>#VALUE!</v>
      </c>
      <c r="O77" s="334" t="e">
        <f t="shared" si="12"/>
        <v>#VALUE!</v>
      </c>
      <c r="P77" s="334" t="e">
        <f t="shared" si="13"/>
        <v>#VALUE!</v>
      </c>
      <c r="Q77" s="54" t="e">
        <f t="shared" si="14"/>
        <v>#VALUE!</v>
      </c>
    </row>
    <row r="78" spans="1:17" ht="25.5" x14ac:dyDescent="0.2">
      <c r="A78" s="332" t="s">
        <v>537</v>
      </c>
      <c r="B78" s="333" t="s">
        <v>772</v>
      </c>
      <c r="C78" s="356" t="str">
        <f>IFERROR((C43/C41)/C40,"NA")</f>
        <v>NA</v>
      </c>
      <c r="D78" s="356">
        <f t="shared" ref="D78:L78" si="17">IFERROR((D43/D41)/D40,"NA")</f>
        <v>0</v>
      </c>
      <c r="E78" s="356">
        <f t="shared" si="17"/>
        <v>0</v>
      </c>
      <c r="F78" s="356">
        <f t="shared" si="17"/>
        <v>0</v>
      </c>
      <c r="G78" s="356">
        <f t="shared" si="17"/>
        <v>0</v>
      </c>
      <c r="H78" s="356">
        <f t="shared" si="17"/>
        <v>0</v>
      </c>
      <c r="I78" s="356">
        <f t="shared" si="17"/>
        <v>0</v>
      </c>
      <c r="J78" s="356">
        <f t="shared" si="17"/>
        <v>1.718760627576124E-3</v>
      </c>
      <c r="K78" s="356">
        <f t="shared" si="17"/>
        <v>0</v>
      </c>
      <c r="L78" s="356">
        <f t="shared" si="17"/>
        <v>0</v>
      </c>
      <c r="N78" s="334"/>
      <c r="O78" s="334">
        <f t="shared" si="12"/>
        <v>0</v>
      </c>
      <c r="P78" s="334">
        <f t="shared" si="13"/>
        <v>1.718760627576124E-3</v>
      </c>
      <c r="Q78" s="54">
        <f t="shared" si="14"/>
        <v>1.909734030640138E-4</v>
      </c>
    </row>
    <row r="79" spans="1:17" ht="38.25" x14ac:dyDescent="0.2">
      <c r="A79" s="332" t="s">
        <v>773</v>
      </c>
      <c r="B79" s="333" t="s">
        <v>774</v>
      </c>
      <c r="C79" s="338">
        <f>'Data Sheet'!C31/'Data Sheet'!C30</f>
        <v>0</v>
      </c>
      <c r="D79" s="338">
        <f>'Data Sheet'!D31/'Data Sheet'!D30</f>
        <v>0</v>
      </c>
      <c r="E79" s="338">
        <f>'Data Sheet'!E31/'Data Sheet'!E30</f>
        <v>0</v>
      </c>
      <c r="F79" s="338">
        <f>'Data Sheet'!F31/'Data Sheet'!F30</f>
        <v>0</v>
      </c>
      <c r="G79" s="338">
        <f>'Data Sheet'!G31/'Data Sheet'!G30</f>
        <v>0</v>
      </c>
      <c r="H79" s="338">
        <f>'Data Sheet'!H31/'Data Sheet'!H30</f>
        <v>0</v>
      </c>
      <c r="I79" s="338">
        <f>'Data Sheet'!I31/'Data Sheet'!I30</f>
        <v>0</v>
      </c>
      <c r="J79" s="340">
        <f>'Data Sheet'!J31/'Data Sheet'!J30</f>
        <v>2.9194984205992151E-2</v>
      </c>
      <c r="K79" s="340">
        <f>'Data Sheet'!K31/'Data Sheet'!K30</f>
        <v>0</v>
      </c>
      <c r="L79" s="334">
        <f>'Data Sheet'!K31/'Data Sheet'!K30</f>
        <v>0</v>
      </c>
      <c r="M79" s="337">
        <f>AVERAGE(H79:L79)</f>
        <v>5.8389968411984303E-3</v>
      </c>
      <c r="N79" s="334"/>
      <c r="O79" s="334">
        <f t="shared" si="12"/>
        <v>0</v>
      </c>
      <c r="P79" s="334">
        <f t="shared" si="13"/>
        <v>2.9194984205992151E-2</v>
      </c>
      <c r="Q79" s="54">
        <f t="shared" si="14"/>
        <v>2.9194984205992152E-3</v>
      </c>
    </row>
    <row r="80" spans="1:17" x14ac:dyDescent="0.2">
      <c r="A80" s="332"/>
      <c r="B80" s="333"/>
      <c r="C80" s="334"/>
      <c r="D80" s="334"/>
      <c r="E80" s="334"/>
      <c r="F80" s="334"/>
      <c r="G80" s="334"/>
      <c r="H80" s="334"/>
      <c r="I80" s="334"/>
      <c r="J80" s="334"/>
      <c r="K80" s="334"/>
      <c r="L80" s="334"/>
      <c r="N80" s="334"/>
      <c r="O80" s="334"/>
      <c r="P80" s="334"/>
      <c r="Q80" s="54"/>
    </row>
    <row r="81" spans="1:17" x14ac:dyDescent="0.2">
      <c r="A81" s="327" t="s">
        <v>775</v>
      </c>
      <c r="C81" s="336">
        <f>C64</f>
        <v>40268</v>
      </c>
      <c r="D81" s="336">
        <f t="shared" ref="D81:L81" si="18">D64</f>
        <v>40633</v>
      </c>
      <c r="E81" s="336">
        <f t="shared" si="18"/>
        <v>40999</v>
      </c>
      <c r="F81" s="336">
        <f t="shared" si="18"/>
        <v>41364</v>
      </c>
      <c r="G81" s="336">
        <f t="shared" si="18"/>
        <v>41729</v>
      </c>
      <c r="H81" s="336">
        <f t="shared" si="18"/>
        <v>42094</v>
      </c>
      <c r="I81" s="336">
        <f t="shared" si="18"/>
        <v>42460</v>
      </c>
      <c r="J81" s="336">
        <f t="shared" si="18"/>
        <v>42825</v>
      </c>
      <c r="K81" s="336">
        <f t="shared" si="18"/>
        <v>43190</v>
      </c>
      <c r="L81" s="336" t="str">
        <f t="shared" si="18"/>
        <v>Trailing</v>
      </c>
      <c r="N81" s="334"/>
      <c r="O81" s="355" t="str">
        <f>O64</f>
        <v>Min</v>
      </c>
      <c r="P81" s="355" t="str">
        <f>P64</f>
        <v>Max</v>
      </c>
      <c r="Q81" s="355" t="str">
        <f>Q64</f>
        <v>Avg.</v>
      </c>
    </row>
    <row r="82" spans="1:17" ht="25.5" x14ac:dyDescent="0.2">
      <c r="A82" s="332" t="s">
        <v>776</v>
      </c>
      <c r="B82" s="333" t="s">
        <v>777</v>
      </c>
      <c r="C82" s="334" t="e">
        <f>'Data Sheet'!C67/'Data Sheet'!C17</f>
        <v>#DIV/0!</v>
      </c>
      <c r="D82" s="334">
        <f>'Data Sheet'!D67/'Data Sheet'!D17</f>
        <v>0.67156862745098045</v>
      </c>
      <c r="E82" s="334">
        <f>'Data Sheet'!E67/'Data Sheet'!E17</f>
        <v>0.61490978157644827</v>
      </c>
      <c r="F82" s="334">
        <f>'Data Sheet'!F67/'Data Sheet'!F17</f>
        <v>0.5276611980160244</v>
      </c>
      <c r="G82" s="334">
        <f>'Data Sheet'!G67/'Data Sheet'!G17</f>
        <v>0.30458465728551976</v>
      </c>
      <c r="H82" s="334">
        <f>'Data Sheet'!H67/'Data Sheet'!H17</f>
        <v>0.22539046856227474</v>
      </c>
      <c r="I82" s="334">
        <f>'Data Sheet'!I67/'Data Sheet'!I17</f>
        <v>0.29496561615121536</v>
      </c>
      <c r="J82" s="334">
        <f>'Data Sheet'!J67/'Data Sheet'!J17</f>
        <v>0.24506946284589465</v>
      </c>
      <c r="K82" s="334">
        <f>'Data Sheet'!K67/'Data Sheet'!K17</f>
        <v>0.29734821722952287</v>
      </c>
      <c r="L82" s="334">
        <f>'Data Sheet'!K67/'Data Sheet'!K17</f>
        <v>0.29734821722952287</v>
      </c>
      <c r="N82" s="334" t="e">
        <f>AVERAGE(C82:L82)</f>
        <v>#DIV/0!</v>
      </c>
      <c r="O82" s="334" t="e">
        <f>MIN(C82:L82)</f>
        <v>#DIV/0!</v>
      </c>
      <c r="P82" s="334" t="e">
        <f>MAX(C82:L82)</f>
        <v>#DIV/0!</v>
      </c>
      <c r="Q82" s="54" t="e">
        <f>AVERAGE(C82:L82)</f>
        <v>#DIV/0!</v>
      </c>
    </row>
    <row r="83" spans="1:17" x14ac:dyDescent="0.2">
      <c r="A83" s="332" t="s">
        <v>264</v>
      </c>
      <c r="B83" s="333" t="s">
        <v>778</v>
      </c>
      <c r="C83" s="338" t="e">
        <f>'Data Sheet'!C68/'Data Sheet'!C17</f>
        <v>#DIV/0!</v>
      </c>
      <c r="D83" s="338">
        <f>'Data Sheet'!D68/'Data Sheet'!D17</f>
        <v>0</v>
      </c>
      <c r="E83" s="338">
        <f>'Data Sheet'!E68/'Data Sheet'!E17</f>
        <v>0</v>
      </c>
      <c r="F83" s="338">
        <f>'Data Sheet'!F68/'Data Sheet'!F17</f>
        <v>0</v>
      </c>
      <c r="G83" s="338">
        <f>'Data Sheet'!G68/'Data Sheet'!G17</f>
        <v>0</v>
      </c>
      <c r="H83" s="338">
        <f>'Data Sheet'!H68/'Data Sheet'!H17</f>
        <v>0</v>
      </c>
      <c r="I83" s="338">
        <f>'Data Sheet'!I68/'Data Sheet'!I17</f>
        <v>0</v>
      </c>
      <c r="J83" s="338">
        <f>'Data Sheet'!J68/'Data Sheet'!J17</f>
        <v>0</v>
      </c>
      <c r="K83" s="338">
        <f>'Data Sheet'!K68/'Data Sheet'!K17</f>
        <v>0</v>
      </c>
      <c r="L83" s="339">
        <f>'Data Sheet'!K68/'Data Sheet'!K17</f>
        <v>0</v>
      </c>
      <c r="N83" s="334" t="e">
        <f>AVERAGE(C83:L83)</f>
        <v>#DIV/0!</v>
      </c>
      <c r="O83" s="334" t="e">
        <f t="shared" ref="O83:O130" si="19">MIN(C83:L83)</f>
        <v>#DIV/0!</v>
      </c>
      <c r="P83" s="334" t="e">
        <f t="shared" ref="P83:P130" si="20">MAX(C83:L83)</f>
        <v>#DIV/0!</v>
      </c>
      <c r="Q83" s="54" t="e">
        <f t="shared" ref="Q83:Q130" si="21">AVERAGE(C83:L83)</f>
        <v>#DIV/0!</v>
      </c>
    </row>
    <row r="84" spans="1:17" x14ac:dyDescent="0.2">
      <c r="A84" s="332" t="s">
        <v>779</v>
      </c>
      <c r="B84" s="333" t="s">
        <v>780</v>
      </c>
      <c r="C84" s="334" t="e">
        <f>'Data Sheet'!C69/'Data Sheet'!C59</f>
        <v>#DIV/0!</v>
      </c>
      <c r="D84" s="334">
        <f>'Data Sheet'!D69/'Data Sheet'!D59</f>
        <v>0.41121495327102803</v>
      </c>
      <c r="E84" s="334">
        <f>'Data Sheet'!E69/'Data Sheet'!E59</f>
        <v>1.0136518771331058</v>
      </c>
      <c r="F84" s="334">
        <f>'Data Sheet'!F69/'Data Sheet'!F59</f>
        <v>0.6872037914691943</v>
      </c>
      <c r="G84" s="334">
        <f>'Data Sheet'!G69/'Data Sheet'!G59</f>
        <v>1.2777777777777779</v>
      </c>
      <c r="H84" s="334">
        <f>'Data Sheet'!H69/'Data Sheet'!H59</f>
        <v>211.14285714285711</v>
      </c>
      <c r="I84" s="334">
        <f>'Data Sheet'!I69/'Data Sheet'!I59</f>
        <v>10.499999999999998</v>
      </c>
      <c r="J84" s="340">
        <f>'Data Sheet'!J69/'Data Sheet'!J59</f>
        <v>2.2012748222603582</v>
      </c>
      <c r="K84" s="340">
        <f>'Data Sheet'!K69/'Data Sheet'!K59</f>
        <v>0.1270814061054579</v>
      </c>
      <c r="L84" s="334">
        <f>'Data Sheet'!K69/'Data Sheet'!K59</f>
        <v>0.1270814061054579</v>
      </c>
      <c r="N84" s="334"/>
      <c r="O84" s="334" t="e">
        <f t="shared" si="19"/>
        <v>#DIV/0!</v>
      </c>
      <c r="P84" s="334" t="e">
        <f t="shared" si="20"/>
        <v>#DIV/0!</v>
      </c>
      <c r="Q84" s="54" t="e">
        <f t="shared" si="21"/>
        <v>#DIV/0!</v>
      </c>
    </row>
    <row r="85" spans="1:17" x14ac:dyDescent="0.2">
      <c r="A85" s="332" t="s">
        <v>781</v>
      </c>
      <c r="B85" s="333"/>
      <c r="C85" s="334" t="e">
        <f>'Data Sheet'!C27/'Data Sheet'!C59</f>
        <v>#DIV/0!</v>
      </c>
      <c r="D85" s="334">
        <f>'Data Sheet'!D27/'Data Sheet'!D59</f>
        <v>1.8691588785046728E-2</v>
      </c>
      <c r="E85" s="334">
        <f>'Data Sheet'!E27/'Data Sheet'!E59</f>
        <v>1.7064846416382253E-2</v>
      </c>
      <c r="F85" s="334">
        <f>'Data Sheet'!F27/'Data Sheet'!F59</f>
        <v>8.0568720379146933E-2</v>
      </c>
      <c r="G85" s="334">
        <f>'Data Sheet'!G27/'Data Sheet'!G59</f>
        <v>9.7883597883597892E-2</v>
      </c>
      <c r="H85" s="334">
        <f>'Data Sheet'!H27/'Data Sheet'!H59</f>
        <v>6.4285714285714279</v>
      </c>
      <c r="I85" s="334">
        <f>'Data Sheet'!I27/'Data Sheet'!I59</f>
        <v>7.7205882352941166E-2</v>
      </c>
      <c r="J85" s="340">
        <f>'Data Sheet'!J27/'Data Sheet'!J59</f>
        <v>4.0205932826673202E-2</v>
      </c>
      <c r="K85" s="340">
        <f>'Data Sheet'!K27/'Data Sheet'!K59</f>
        <v>0.1232654949121184</v>
      </c>
      <c r="L85" s="334">
        <f>'Data Sheet'!K27/'Data Sheet'!K59</f>
        <v>0.1232654949121184</v>
      </c>
      <c r="N85" s="334"/>
      <c r="O85" s="334" t="e">
        <f t="shared" si="19"/>
        <v>#DIV/0!</v>
      </c>
      <c r="P85" s="334" t="e">
        <f t="shared" si="20"/>
        <v>#DIV/0!</v>
      </c>
      <c r="Q85" s="54" t="e">
        <f t="shared" si="21"/>
        <v>#DIV/0!</v>
      </c>
    </row>
    <row r="86" spans="1:17" ht="25.5" x14ac:dyDescent="0.2">
      <c r="A86" s="332" t="s">
        <v>782</v>
      </c>
      <c r="B86" s="333" t="s">
        <v>783</v>
      </c>
      <c r="C86" s="334" t="e">
        <f>('Data Sheet'!C67+'Data Sheet'!C68)/'Data Sheet'!C17</f>
        <v>#DIV/0!</v>
      </c>
      <c r="D86" s="334">
        <f>('Data Sheet'!D67+'Data Sheet'!D68)/'Data Sheet'!D17</f>
        <v>0.67156862745098045</v>
      </c>
      <c r="E86" s="334">
        <f>('Data Sheet'!E67+'Data Sheet'!E68)/'Data Sheet'!E17</f>
        <v>0.61490978157644827</v>
      </c>
      <c r="F86" s="334">
        <f>('Data Sheet'!F67+'Data Sheet'!F68)/'Data Sheet'!F17</f>
        <v>0.5276611980160244</v>
      </c>
      <c r="G86" s="334">
        <f>('Data Sheet'!G67+'Data Sheet'!G68)/'Data Sheet'!G17</f>
        <v>0.30458465728551976</v>
      </c>
      <c r="H86" s="334">
        <f>('Data Sheet'!H67+'Data Sheet'!H68)/'Data Sheet'!H17</f>
        <v>0.22539046856227474</v>
      </c>
      <c r="I86" s="334">
        <f>('Data Sheet'!I67+'Data Sheet'!I68)/'Data Sheet'!I17</f>
        <v>0.29496561615121536</v>
      </c>
      <c r="J86" s="334">
        <f>('Data Sheet'!J67+'Data Sheet'!J68)/'Data Sheet'!J17</f>
        <v>0.24506946284589465</v>
      </c>
      <c r="K86" s="334">
        <f>('Data Sheet'!K67+'Data Sheet'!K68)/'Data Sheet'!K17</f>
        <v>0.29734821722952287</v>
      </c>
      <c r="L86" s="340">
        <f>('Data Sheet'!K67+'Data Sheet'!K68)/'Data Sheet'!K17</f>
        <v>0.29734821722952287</v>
      </c>
      <c r="N86" s="334" t="e">
        <f>AVERAGE(C86:L86)</f>
        <v>#DIV/0!</v>
      </c>
      <c r="O86" s="334" t="e">
        <f t="shared" si="19"/>
        <v>#DIV/0!</v>
      </c>
      <c r="P86" s="334" t="e">
        <f t="shared" si="20"/>
        <v>#DIV/0!</v>
      </c>
      <c r="Q86" s="54" t="e">
        <f t="shared" si="21"/>
        <v>#DIV/0!</v>
      </c>
    </row>
    <row r="87" spans="1:17" ht="38.25" x14ac:dyDescent="0.2">
      <c r="A87" s="332" t="s">
        <v>784</v>
      </c>
      <c r="B87" s="333" t="s">
        <v>785</v>
      </c>
      <c r="C87" s="351">
        <f>'Balance Sheet'!C13/'Balance Sheet'!C7</f>
        <v>43.6</v>
      </c>
      <c r="D87" s="351">
        <f>'Balance Sheet'!D13/'Balance Sheet'!D7</f>
        <v>1.2299189388356671</v>
      </c>
      <c r="E87" s="351">
        <f>'Balance Sheet'!E13/'Balance Sheet'!E7</f>
        <v>1.3775829680651221</v>
      </c>
      <c r="F87" s="351">
        <f>'Balance Sheet'!F13/'Balance Sheet'!F7</f>
        <v>1.7629482071713147</v>
      </c>
      <c r="G87" s="351">
        <f>'Balance Sheet'!G13/'Balance Sheet'!G7</f>
        <v>0.82089994079336881</v>
      </c>
      <c r="H87" s="351">
        <f>'Balance Sheet'!H13/'Balance Sheet'!H7</f>
        <v>1.0159615384615384</v>
      </c>
      <c r="I87" s="351">
        <f>'Balance Sheet'!I13/'Balance Sheet'!I7</f>
        <v>1.3990087899756876</v>
      </c>
      <c r="J87" s="351">
        <f>'Balance Sheet'!J13/'Balance Sheet'!J7</f>
        <v>2.012270345559461</v>
      </c>
      <c r="K87" s="351">
        <f>'Balance Sheet'!K13/'Balance Sheet'!K7</f>
        <v>1.7846823181743556</v>
      </c>
      <c r="L87" s="351">
        <f>'Balance Sheet'!K13/'Balance Sheet'!K7</f>
        <v>1.7846823181743556</v>
      </c>
      <c r="N87" s="334"/>
      <c r="O87" s="339">
        <f t="shared" si="19"/>
        <v>0.82089994079336881</v>
      </c>
      <c r="P87" s="339">
        <f t="shared" si="20"/>
        <v>43.6</v>
      </c>
      <c r="Q87" s="358">
        <f t="shared" si="21"/>
        <v>5.6787955365210863</v>
      </c>
    </row>
    <row r="88" spans="1:17" ht="25.5" x14ac:dyDescent="0.2">
      <c r="A88" s="332" t="s">
        <v>786</v>
      </c>
      <c r="B88" s="333" t="s">
        <v>311</v>
      </c>
      <c r="C88" s="338" t="e">
        <f>C48/'Profit &amp; Loss'!C4</f>
        <v>#DIV/0!</v>
      </c>
      <c r="D88" s="338">
        <f>D48/'Profit &amp; Loss'!D4</f>
        <v>0.19117647058823536</v>
      </c>
      <c r="E88" s="338">
        <f>E48/'Profit &amp; Loss'!E4</f>
        <v>0.28632478632478631</v>
      </c>
      <c r="F88" s="338">
        <f>F48/'Profit &amp; Loss'!F4</f>
        <v>0.43838229683326974</v>
      </c>
      <c r="G88" s="338">
        <f>G48/'Profit &amp; Loss'!G4</f>
        <v>-0.13731275533363596</v>
      </c>
      <c r="H88" s="338">
        <f>H48/'Profit &amp; Loss'!H4</f>
        <v>6.6479775730876921E-3</v>
      </c>
      <c r="I88" s="338">
        <f>I48/'Profit &amp; Loss'!I4</f>
        <v>0.15691538263523708</v>
      </c>
      <c r="J88" s="338">
        <f>J48/'Profit &amp; Loss'!J4</f>
        <v>0.28886701745088383</v>
      </c>
      <c r="K88" s="338">
        <f>K48/'Profit &amp; Loss'!K4</f>
        <v>0.22511892986670434</v>
      </c>
      <c r="L88" s="338">
        <f>L48/'Profit &amp; Loss'!L4</f>
        <v>0.21197236974864453</v>
      </c>
      <c r="N88" s="334"/>
      <c r="O88" s="334" t="e">
        <f t="shared" si="19"/>
        <v>#DIV/0!</v>
      </c>
      <c r="P88" s="334" t="e">
        <f t="shared" si="20"/>
        <v>#DIV/0!</v>
      </c>
      <c r="Q88" s="54" t="e">
        <f t="shared" si="21"/>
        <v>#DIV/0!</v>
      </c>
    </row>
    <row r="89" spans="1:17" ht="25.5" x14ac:dyDescent="0.2">
      <c r="A89" s="332" t="s">
        <v>787</v>
      </c>
      <c r="B89" s="333" t="s">
        <v>788</v>
      </c>
      <c r="C89" s="338" t="e">
        <f>C55/'Profit &amp; Loss'!C4</f>
        <v>#DIV/0!</v>
      </c>
      <c r="D89" s="338">
        <f>D55/'Profit &amp; Loss'!D4</f>
        <v>1.3333333333333335</v>
      </c>
      <c r="E89" s="338">
        <f>E55/'Profit &amp; Loss'!E4</f>
        <v>1.3504273504273505</v>
      </c>
      <c r="F89" s="338">
        <f>F55/'Profit &amp; Loss'!F4</f>
        <v>1.1331552842426553</v>
      </c>
      <c r="G89" s="338">
        <f>G55/'Profit &amp; Loss'!G4</f>
        <v>1.4929641398093509</v>
      </c>
      <c r="H89" s="338">
        <f>H55/'Profit &amp; Loss'!H4</f>
        <v>0.79975971165398474</v>
      </c>
      <c r="I89" s="338">
        <f>I55/'Profit &amp; Loss'!I4</f>
        <v>0.76185047622549917</v>
      </c>
      <c r="J89" s="338">
        <f>J55/'Profit &amp; Loss'!J4</f>
        <v>0.68278002801226478</v>
      </c>
      <c r="K89" s="338">
        <f>K55/'Profit &amp; Loss'!K4</f>
        <v>0.68011398426828684</v>
      </c>
      <c r="L89" s="338">
        <f>L55/'Profit &amp; Loss'!L4</f>
        <v>0.64039649188943448</v>
      </c>
      <c r="N89" s="334"/>
      <c r="O89" s="334" t="e">
        <f t="shared" si="19"/>
        <v>#DIV/0!</v>
      </c>
      <c r="P89" s="334" t="e">
        <f t="shared" si="20"/>
        <v>#DIV/0!</v>
      </c>
      <c r="Q89" s="54" t="e">
        <f t="shared" si="21"/>
        <v>#DIV/0!</v>
      </c>
    </row>
    <row r="90" spans="1:17" x14ac:dyDescent="0.2">
      <c r="A90" s="332" t="s">
        <v>789</v>
      </c>
      <c r="B90" s="333" t="s">
        <v>790</v>
      </c>
      <c r="C90" s="338">
        <f>C48/'Profit &amp; Loss'!C12</f>
        <v>159.75</v>
      </c>
      <c r="D90" s="338">
        <f>D48/'Profit &amp; Loss'!D12</f>
        <v>1.4928229665071777</v>
      </c>
      <c r="E90" s="338">
        <f>E48/'Profit &amp; Loss'!E12</f>
        <v>1.7228571428571426</v>
      </c>
      <c r="F90" s="338">
        <f>F48/'Profit &amp; Loss'!F12</f>
        <v>2.8942065491183877</v>
      </c>
      <c r="G90" s="338">
        <f>G48/'Profit &amp; Loss'!G12</f>
        <v>-0.99506578947368429</v>
      </c>
      <c r="H90" s="338">
        <f>H48/'Profit &amp; Loss'!H12</f>
        <v>4.3730242360379257E-2</v>
      </c>
      <c r="I90" s="338">
        <f>I48/'Profit &amp; Loss'!I12</f>
        <v>1.0777974235918164</v>
      </c>
      <c r="J90" s="338">
        <f>J48/'Profit &amp; Loss'!J12</f>
        <v>1.4608978654159086</v>
      </c>
      <c r="K90" s="338">
        <f>K48/'Profit &amp; Loss'!K12</f>
        <v>1.1139727304509963</v>
      </c>
      <c r="L90" s="338">
        <f>L48/'Profit &amp; Loss'!L12</f>
        <v>0.89570839580209904</v>
      </c>
      <c r="N90" s="334"/>
      <c r="O90" s="334">
        <f t="shared" si="19"/>
        <v>-0.99506578947368429</v>
      </c>
      <c r="P90" s="334">
        <f t="shared" si="20"/>
        <v>159.75</v>
      </c>
      <c r="Q90" s="54">
        <f t="shared" si="21"/>
        <v>16.945692752663028</v>
      </c>
    </row>
    <row r="91" spans="1:17" ht="25.5" x14ac:dyDescent="0.2">
      <c r="A91" s="332" t="s">
        <v>791</v>
      </c>
      <c r="B91" s="333" t="s">
        <v>792</v>
      </c>
      <c r="C91" s="339">
        <f>'Profit &amp; Loss'!C12/'Financial Analysis'!C55</f>
        <v>6.1728395061728392E-3</v>
      </c>
      <c r="D91" s="339">
        <f>'Profit &amp; Loss'!D12/'Financial Analysis'!D55</f>
        <v>9.6047794117647051E-2</v>
      </c>
      <c r="E91" s="339">
        <f>'Profit &amp; Loss'!E12/'Financial Analysis'!E55</f>
        <v>0.1230661040787623</v>
      </c>
      <c r="F91" s="339">
        <f>'Profit &amp; Loss'!F12/'Financial Analysis'!F55</f>
        <v>0.13367003367003369</v>
      </c>
      <c r="G91" s="339">
        <f>'Profit &amp; Loss'!G12/'Financial Analysis'!G55</f>
        <v>9.2429309820614161E-2</v>
      </c>
      <c r="H91" s="339">
        <f>'Profit &amp; Loss'!H12/'Financial Analysis'!H55</f>
        <v>0.19008512769153732</v>
      </c>
      <c r="I91" s="339">
        <f>'Profit &amp; Loss'!I12/'Financial Analysis'!I55</f>
        <v>0.19109909735965636</v>
      </c>
      <c r="J91" s="339">
        <f>'Profit &amp; Loss'!J12/'Financial Analysis'!J55</f>
        <v>0.28959915728779728</v>
      </c>
      <c r="K91" s="339">
        <f>'Profit &amp; Loss'!K12/'Financial Analysis'!K55</f>
        <v>0.29713632743516055</v>
      </c>
      <c r="L91" s="339">
        <f>'Profit &amp; Loss'!L12/'Financial Analysis'!L55</f>
        <v>0.36954188164410129</v>
      </c>
      <c r="N91" s="334"/>
      <c r="O91" s="334">
        <f t="shared" si="19"/>
        <v>6.1728395061728392E-3</v>
      </c>
      <c r="P91" s="334">
        <f t="shared" si="20"/>
        <v>0.36954188164410129</v>
      </c>
      <c r="Q91" s="54">
        <f t="shared" si="21"/>
        <v>0.1788847672611483</v>
      </c>
    </row>
    <row r="92" spans="1:17" x14ac:dyDescent="0.2">
      <c r="A92" s="332" t="s">
        <v>793</v>
      </c>
      <c r="B92" s="333" t="s">
        <v>794</v>
      </c>
      <c r="C92" s="334"/>
      <c r="D92" s="334"/>
      <c r="E92" s="334"/>
      <c r="F92" s="334"/>
      <c r="G92" s="334"/>
      <c r="H92" s="334"/>
      <c r="I92" s="334"/>
      <c r="J92" s="334"/>
      <c r="K92" s="334"/>
      <c r="L92" s="334"/>
      <c r="N92" s="334"/>
      <c r="O92" s="334">
        <f t="shared" si="19"/>
        <v>0</v>
      </c>
      <c r="P92" s="334">
        <f t="shared" si="20"/>
        <v>0</v>
      </c>
      <c r="Q92" s="54" t="e">
        <f t="shared" si="21"/>
        <v>#DIV/0!</v>
      </c>
    </row>
    <row r="93" spans="1:17" ht="25.5" x14ac:dyDescent="0.2">
      <c r="A93" s="332" t="s">
        <v>795</v>
      </c>
      <c r="B93" s="333" t="s">
        <v>796</v>
      </c>
      <c r="C93" s="334"/>
      <c r="D93" s="334"/>
      <c r="E93" s="334"/>
      <c r="F93" s="334"/>
      <c r="G93" s="334"/>
      <c r="H93" s="334"/>
      <c r="I93" s="334"/>
      <c r="J93" s="334"/>
      <c r="K93" s="334"/>
      <c r="L93" s="334"/>
      <c r="N93" s="334"/>
      <c r="O93" s="334">
        <f t="shared" si="19"/>
        <v>0</v>
      </c>
      <c r="P93" s="334">
        <f t="shared" si="20"/>
        <v>0</v>
      </c>
      <c r="Q93" s="54" t="e">
        <f t="shared" si="21"/>
        <v>#DIV/0!</v>
      </c>
    </row>
    <row r="94" spans="1:17" x14ac:dyDescent="0.2">
      <c r="A94" s="332" t="s">
        <v>797</v>
      </c>
      <c r="B94" s="333" t="s">
        <v>685</v>
      </c>
      <c r="C94" s="334"/>
      <c r="D94" s="334"/>
      <c r="E94" s="334"/>
      <c r="F94" s="334"/>
      <c r="G94" s="334"/>
      <c r="H94" s="334"/>
      <c r="I94" s="334"/>
      <c r="J94" s="334"/>
      <c r="K94" s="334"/>
      <c r="L94" s="334"/>
      <c r="N94" s="334"/>
      <c r="O94" s="334">
        <f t="shared" si="19"/>
        <v>0</v>
      </c>
      <c r="P94" s="334">
        <f t="shared" si="20"/>
        <v>0</v>
      </c>
      <c r="Q94" s="54" t="e">
        <f t="shared" si="21"/>
        <v>#DIV/0!</v>
      </c>
    </row>
    <row r="95" spans="1:17" x14ac:dyDescent="0.2">
      <c r="A95" s="332" t="s">
        <v>798</v>
      </c>
      <c r="B95" s="333" t="s">
        <v>685</v>
      </c>
      <c r="C95" s="334"/>
      <c r="D95" s="334"/>
      <c r="E95" s="334"/>
      <c r="F95" s="334"/>
      <c r="G95" s="334"/>
      <c r="H95" s="334"/>
      <c r="I95" s="334"/>
      <c r="J95" s="334"/>
      <c r="K95" s="334"/>
      <c r="L95" s="334"/>
      <c r="N95" s="334"/>
      <c r="O95" s="334">
        <f t="shared" si="19"/>
        <v>0</v>
      </c>
      <c r="P95" s="334">
        <f t="shared" si="20"/>
        <v>0</v>
      </c>
      <c r="Q95" s="54" t="e">
        <f t="shared" si="21"/>
        <v>#DIV/0!</v>
      </c>
    </row>
    <row r="96" spans="1:17" x14ac:dyDescent="0.2">
      <c r="A96" s="332" t="s">
        <v>47</v>
      </c>
      <c r="B96" s="333" t="s">
        <v>799</v>
      </c>
      <c r="C96" s="359" t="str">
        <f>IFERROR('Data Sheet'!C17/'Data Sheet'!C68,"NA")</f>
        <v>NA</v>
      </c>
      <c r="D96" s="359" t="str">
        <f>IFERROR('Data Sheet'!D17/'Data Sheet'!D68,"NA")</f>
        <v>NA</v>
      </c>
      <c r="E96" s="359" t="str">
        <f>IFERROR('Data Sheet'!E17/'Data Sheet'!E68,"NA")</f>
        <v>NA</v>
      </c>
      <c r="F96" s="359" t="str">
        <f>IFERROR('Data Sheet'!F17/'Data Sheet'!F68,"NA")</f>
        <v>NA</v>
      </c>
      <c r="G96" s="359" t="str">
        <f>IFERROR('Data Sheet'!G17/'Data Sheet'!G68,"NA")</f>
        <v>NA</v>
      </c>
      <c r="H96" s="359" t="str">
        <f>IFERROR('Data Sheet'!H17/'Data Sheet'!H68,"NA")</f>
        <v>NA</v>
      </c>
      <c r="I96" s="359" t="str">
        <f>IFERROR('Data Sheet'!I17/'Data Sheet'!I68,"NA")</f>
        <v>NA</v>
      </c>
      <c r="J96" s="359" t="str">
        <f>IFERROR('Data Sheet'!J17/'Data Sheet'!J68,"NA")</f>
        <v>NA</v>
      </c>
      <c r="K96" s="359" t="str">
        <f>IFERROR('Data Sheet'!K17/'Data Sheet'!K68,"NA")</f>
        <v>NA</v>
      </c>
      <c r="L96" s="359" t="str">
        <f>IFERROR('Data Sheet'!K17/'Data Sheet'!K68,"NA")</f>
        <v>NA</v>
      </c>
      <c r="N96" s="334"/>
      <c r="O96" s="339">
        <f t="shared" si="19"/>
        <v>0</v>
      </c>
      <c r="P96" s="339">
        <f t="shared" si="20"/>
        <v>0</v>
      </c>
      <c r="Q96" s="358" t="e">
        <f t="shared" si="21"/>
        <v>#DIV/0!</v>
      </c>
    </row>
    <row r="97" spans="1:17" x14ac:dyDescent="0.2">
      <c r="A97" s="332" t="s">
        <v>520</v>
      </c>
      <c r="B97" s="333" t="s">
        <v>800</v>
      </c>
      <c r="C97" s="359">
        <f>'Data Sheet'!C17/'Data Sheet'!C62</f>
        <v>0</v>
      </c>
      <c r="D97" s="359">
        <f>'Data Sheet'!D17/'Data Sheet'!D62</f>
        <v>2.697520661157025</v>
      </c>
      <c r="E97" s="359">
        <f>'Data Sheet'!E17/'Data Sheet'!E62</f>
        <v>3.5217391304347823</v>
      </c>
      <c r="F97" s="359">
        <f>'Data Sheet'!F17/'Data Sheet'!F62</f>
        <v>35.904109589041099</v>
      </c>
      <c r="G97" s="359">
        <f>'Data Sheet'!G17/'Data Sheet'!G62</f>
        <v>0.84325358851674648</v>
      </c>
      <c r="H97" s="359">
        <f>'Data Sheet'!H17/'Data Sheet'!H62</f>
        <v>1.5779828109201213</v>
      </c>
      <c r="I97" s="359">
        <f>'Data Sheet'!I17/'Data Sheet'!I62</f>
        <v>1.8578260572521692</v>
      </c>
      <c r="J97" s="359">
        <f>'Data Sheet'!J17/'Data Sheet'!J62</f>
        <v>2.8193169690501603</v>
      </c>
      <c r="K97" s="359">
        <f>'Data Sheet'!K17/'Data Sheet'!K62</f>
        <v>2.3699280013395101</v>
      </c>
      <c r="L97" s="359">
        <f>'Data Sheet'!K17/'Data Sheet'!K62</f>
        <v>2.3699280013395101</v>
      </c>
      <c r="N97" s="334"/>
      <c r="O97" s="339">
        <f t="shared" si="19"/>
        <v>0</v>
      </c>
      <c r="P97" s="339">
        <f t="shared" si="20"/>
        <v>35.904109589041099</v>
      </c>
      <c r="Q97" s="358">
        <f t="shared" si="21"/>
        <v>5.3961604809051122</v>
      </c>
    </row>
    <row r="98" spans="1:17" ht="25.5" x14ac:dyDescent="0.2">
      <c r="A98" s="332" t="s">
        <v>801</v>
      </c>
      <c r="B98" s="333" t="s">
        <v>802</v>
      </c>
      <c r="N98" s="334"/>
      <c r="O98" s="334"/>
      <c r="P98" s="334"/>
      <c r="Q98" s="54"/>
    </row>
    <row r="99" spans="1:17" ht="25.5" x14ac:dyDescent="0.2">
      <c r="A99" s="332" t="s">
        <v>803</v>
      </c>
      <c r="B99" s="333" t="s">
        <v>804</v>
      </c>
      <c r="C99" s="359" t="str">
        <f>IFERROR(('Data Sheet'!C68/'Data Sheet'!C17)*365,"NA")</f>
        <v>NA</v>
      </c>
      <c r="D99" s="359">
        <f>IFERROR(('Data Sheet'!D68/'Data Sheet'!D17)*365,"NA")</f>
        <v>0</v>
      </c>
      <c r="E99" s="359">
        <f>IFERROR(('Data Sheet'!E68/'Data Sheet'!E17)*365,"NA")</f>
        <v>0</v>
      </c>
      <c r="F99" s="359">
        <f>IFERROR(('Data Sheet'!F68/'Data Sheet'!F17)*365,"NA")</f>
        <v>0</v>
      </c>
      <c r="G99" s="359">
        <f>IFERROR(('Data Sheet'!G68/'Data Sheet'!G17)*365,"NA")</f>
        <v>0</v>
      </c>
      <c r="H99" s="359">
        <f>IFERROR(('Data Sheet'!H68/'Data Sheet'!H17)*365,"NA")</f>
        <v>0</v>
      </c>
      <c r="I99" s="359">
        <f>IFERROR(('Data Sheet'!I68/'Data Sheet'!I17)*365,"NA")</f>
        <v>0</v>
      </c>
      <c r="J99" s="359">
        <f>IFERROR(('Data Sheet'!J68/'Data Sheet'!J17)*365,"NA")</f>
        <v>0</v>
      </c>
      <c r="K99" s="359">
        <f>IFERROR(('Data Sheet'!K68/'Data Sheet'!K17)*365,"NA")</f>
        <v>0</v>
      </c>
      <c r="L99" s="359">
        <f>IFERROR(('Data Sheet'!K68/'Data Sheet'!K17)*365,"NA")</f>
        <v>0</v>
      </c>
      <c r="N99" s="334"/>
      <c r="O99" s="351">
        <f t="shared" si="19"/>
        <v>0</v>
      </c>
      <c r="P99" s="351">
        <f t="shared" si="20"/>
        <v>0</v>
      </c>
      <c r="Q99" s="359">
        <f t="shared" si="21"/>
        <v>0</v>
      </c>
    </row>
    <row r="100" spans="1:17" ht="38.25" x14ac:dyDescent="0.2">
      <c r="A100" s="332" t="s">
        <v>805</v>
      </c>
      <c r="B100" s="333" t="s">
        <v>806</v>
      </c>
      <c r="C100" s="359" t="str">
        <f>IFERROR(('Data Sheet'!C67/'Data Sheet'!C17)*365,"NA")</f>
        <v>NA</v>
      </c>
      <c r="D100" s="359">
        <f>IFERROR(('Data Sheet'!D67/'Data Sheet'!D17)*365,"NA")</f>
        <v>245.12254901960787</v>
      </c>
      <c r="E100" s="359">
        <f>IFERROR(('Data Sheet'!E67/'Data Sheet'!E17)*365,"NA")</f>
        <v>224.44207027540361</v>
      </c>
      <c r="F100" s="359">
        <f>IFERROR(('Data Sheet'!F67/'Data Sheet'!F17)*365,"NA")</f>
        <v>192.5963372758489</v>
      </c>
      <c r="G100" s="359">
        <f>IFERROR(('Data Sheet'!G67/'Data Sheet'!G17)*365,"NA")</f>
        <v>111.17339990921471</v>
      </c>
      <c r="H100" s="359">
        <f>IFERROR(('Data Sheet'!H67/'Data Sheet'!H17)*365,"NA")</f>
        <v>82.26752102523028</v>
      </c>
      <c r="I100" s="359">
        <f>IFERROR(('Data Sheet'!I67/'Data Sheet'!I17)*365,"NA")</f>
        <v>107.6624498951936</v>
      </c>
      <c r="J100" s="359">
        <f>IFERROR(('Data Sheet'!J67/'Data Sheet'!J17)*365,"NA")</f>
        <v>89.450353938751547</v>
      </c>
      <c r="K100" s="359">
        <f>IFERROR(('Data Sheet'!K67/'Data Sheet'!K17)*365,"NA")</f>
        <v>108.53209928877585</v>
      </c>
      <c r="L100" s="359">
        <f>IFERROR(('Data Sheet'!K67/'Data Sheet'!K17)*365,"NA")</f>
        <v>108.53209928877585</v>
      </c>
      <c r="N100" s="334"/>
      <c r="O100" s="351">
        <f t="shared" si="19"/>
        <v>82.26752102523028</v>
      </c>
      <c r="P100" s="351">
        <f t="shared" si="20"/>
        <v>245.12254901960787</v>
      </c>
      <c r="Q100" s="359">
        <f t="shared" si="21"/>
        <v>141.08654221297806</v>
      </c>
    </row>
    <row r="101" spans="1:17" ht="38.25" x14ac:dyDescent="0.2">
      <c r="A101" s="332" t="s">
        <v>807</v>
      </c>
      <c r="B101" s="333" t="s">
        <v>808</v>
      </c>
      <c r="C101" s="84"/>
      <c r="D101" s="84"/>
      <c r="E101" s="84"/>
      <c r="F101" s="84"/>
      <c r="G101" s="84"/>
      <c r="H101" s="84"/>
      <c r="I101" s="84"/>
      <c r="J101" s="84"/>
      <c r="K101" s="84"/>
      <c r="N101" s="334"/>
      <c r="O101" s="334"/>
      <c r="P101" s="334"/>
      <c r="Q101" s="54"/>
    </row>
    <row r="102" spans="1:17" x14ac:dyDescent="0.2">
      <c r="A102" s="332" t="s">
        <v>809</v>
      </c>
      <c r="B102" s="333" t="s">
        <v>810</v>
      </c>
      <c r="C102" s="84"/>
      <c r="D102" s="84"/>
      <c r="E102" s="84"/>
      <c r="F102" s="84"/>
      <c r="G102" s="84"/>
      <c r="H102" s="84"/>
      <c r="I102" s="84"/>
      <c r="J102" s="84"/>
      <c r="K102" s="84"/>
      <c r="N102" s="334"/>
      <c r="O102" s="334"/>
      <c r="P102" s="334"/>
      <c r="Q102" s="54"/>
    </row>
    <row r="103" spans="1:17" x14ac:dyDescent="0.2">
      <c r="A103" s="332" t="s">
        <v>811</v>
      </c>
      <c r="B103" s="333" t="s">
        <v>810</v>
      </c>
      <c r="N103" s="334"/>
      <c r="O103" s="334"/>
      <c r="P103" s="334"/>
      <c r="Q103" s="54"/>
    </row>
    <row r="104" spans="1:17" x14ac:dyDescent="0.2">
      <c r="A104" s="332" t="s">
        <v>145</v>
      </c>
      <c r="B104" s="333"/>
      <c r="D104" s="37">
        <f>'Data Sheet'!D30</f>
        <v>2.09</v>
      </c>
      <c r="E104" s="37">
        <f>'Data Sheet'!E30</f>
        <v>3.5</v>
      </c>
      <c r="F104" s="37">
        <f>'Data Sheet'!F30</f>
        <v>3.97</v>
      </c>
      <c r="G104" s="37">
        <f>'Data Sheet'!G30</f>
        <v>6.08</v>
      </c>
      <c r="H104" s="37">
        <f>'Data Sheet'!H30</f>
        <v>18.98</v>
      </c>
      <c r="I104" s="37">
        <f>'Data Sheet'!I30</f>
        <v>39.590000000000003</v>
      </c>
      <c r="J104" s="37">
        <f>'Data Sheet'!J30</f>
        <v>104.47</v>
      </c>
      <c r="K104" s="37">
        <f>'Data Sheet'!K30</f>
        <v>171.62</v>
      </c>
      <c r="L104" s="360">
        <f>'Data Sheet'!K30</f>
        <v>171.62</v>
      </c>
      <c r="N104" s="342">
        <f>SUM(D104:L104)</f>
        <v>521.92000000000007</v>
      </c>
      <c r="O104" s="334"/>
      <c r="P104" s="334"/>
      <c r="Q104" s="54"/>
    </row>
    <row r="105" spans="1:17" x14ac:dyDescent="0.2">
      <c r="A105" s="332" t="s">
        <v>146</v>
      </c>
      <c r="B105" s="333"/>
      <c r="D105" s="37">
        <f>'Data Sheet'!D82</f>
        <v>11.4</v>
      </c>
      <c r="E105" s="37">
        <f>'Data Sheet'!E82</f>
        <v>-3.35</v>
      </c>
      <c r="F105" s="37">
        <f>'Data Sheet'!F82</f>
        <v>-7.42</v>
      </c>
      <c r="G105" s="37">
        <f>'Data Sheet'!G82</f>
        <v>12.16</v>
      </c>
      <c r="H105" s="37">
        <f>'Data Sheet'!H82</f>
        <v>26.08</v>
      </c>
      <c r="I105" s="37">
        <f>'Data Sheet'!I82</f>
        <v>18.89</v>
      </c>
      <c r="J105" s="37">
        <f>'Data Sheet'!J82</f>
        <v>71.73</v>
      </c>
      <c r="K105" s="37">
        <f>'Data Sheet'!K82</f>
        <v>125.1</v>
      </c>
      <c r="L105" s="360">
        <f>'Data Sheet'!K82</f>
        <v>125.1</v>
      </c>
      <c r="N105" s="342">
        <f>SUM(D105:L105)</f>
        <v>379.69</v>
      </c>
      <c r="O105" s="334"/>
      <c r="P105" s="334"/>
      <c r="Q105" s="54"/>
    </row>
    <row r="106" spans="1:17" x14ac:dyDescent="0.2">
      <c r="A106" s="332" t="s">
        <v>181</v>
      </c>
      <c r="B106" s="333" t="s">
        <v>812</v>
      </c>
      <c r="D106" s="352">
        <f>'Data Sheet'!D82-'Financial Analysis'!D45</f>
        <v>-7.8400000000000016</v>
      </c>
      <c r="E106" s="352">
        <f>'Data Sheet'!E82-'Financial Analysis'!E45</f>
        <v>-7.92</v>
      </c>
      <c r="F106" s="352">
        <f>'Data Sheet'!F82-'Financial Analysis'!F45</f>
        <v>-4.0300000000000011</v>
      </c>
      <c r="G106" s="352">
        <f>'Data Sheet'!G82-'Financial Analysis'!G45</f>
        <v>-45.77000000000001</v>
      </c>
      <c r="H106" s="352">
        <f>'Data Sheet'!H82-'Financial Analysis'!H45</f>
        <v>-10.230000000000004</v>
      </c>
      <c r="I106" s="352">
        <f>'Data Sheet'!I82-'Financial Analysis'!I45</f>
        <v>-66.820000000000007</v>
      </c>
      <c r="J106" s="352">
        <f>'Data Sheet'!J82-'Financial Analysis'!J45</f>
        <v>14.590000000000003</v>
      </c>
      <c r="K106" s="352">
        <f>'Data Sheet'!K82-'Financial Analysis'!K45</f>
        <v>-78.369999999999976</v>
      </c>
      <c r="L106" s="352">
        <f>'Data Sheet'!K82-'Financial Analysis'!K45</f>
        <v>-78.369999999999976</v>
      </c>
      <c r="N106" s="342">
        <f>SUM(D106:L106)</f>
        <v>-284.76</v>
      </c>
      <c r="O106" s="334"/>
      <c r="P106" s="334"/>
      <c r="Q106" s="54"/>
    </row>
    <row r="107" spans="1:17" x14ac:dyDescent="0.2">
      <c r="A107" s="332"/>
      <c r="B107" s="333"/>
      <c r="D107" s="352"/>
      <c r="N107" s="334"/>
      <c r="O107" s="334"/>
      <c r="P107" s="334"/>
      <c r="Q107" s="54"/>
    </row>
    <row r="108" spans="1:17" x14ac:dyDescent="0.2">
      <c r="A108" s="332" t="s">
        <v>813</v>
      </c>
      <c r="B108" s="333"/>
      <c r="C108" s="352"/>
      <c r="D108" s="361">
        <f>D42/D105</f>
        <v>0.54017348466686843</v>
      </c>
      <c r="E108" s="361">
        <f t="shared" ref="E108:L108" si="22">E42/E105</f>
        <v>-2.0048034272238806</v>
      </c>
      <c r="F108" s="361">
        <f t="shared" si="22"/>
        <v>-2.6818564531536389</v>
      </c>
      <c r="G108" s="361">
        <f t="shared" si="22"/>
        <v>3.348106494848043</v>
      </c>
      <c r="H108" s="361">
        <f t="shared" si="22"/>
        <v>10.929725719440187</v>
      </c>
      <c r="I108" s="361">
        <f t="shared" si="22"/>
        <v>42.949278493364098</v>
      </c>
      <c r="J108" s="361">
        <f t="shared" si="22"/>
        <v>24.739083814808215</v>
      </c>
      <c r="K108" s="361">
        <f t="shared" si="22"/>
        <v>18.282625413337339</v>
      </c>
      <c r="L108" s="361">
        <f t="shared" si="22"/>
        <v>18.282625413337339</v>
      </c>
      <c r="N108" s="334"/>
      <c r="O108" s="334"/>
      <c r="P108" s="334"/>
      <c r="Q108" s="54"/>
    </row>
    <row r="109" spans="1:17" x14ac:dyDescent="0.2">
      <c r="A109" s="327" t="s">
        <v>814</v>
      </c>
      <c r="B109" s="333"/>
      <c r="C109" s="336">
        <f>C81</f>
        <v>40268</v>
      </c>
      <c r="D109" s="336">
        <f t="shared" ref="D109:L109" si="23">D81</f>
        <v>40633</v>
      </c>
      <c r="E109" s="336">
        <f t="shared" si="23"/>
        <v>40999</v>
      </c>
      <c r="F109" s="336">
        <f t="shared" si="23"/>
        <v>41364</v>
      </c>
      <c r="G109" s="336">
        <f t="shared" si="23"/>
        <v>41729</v>
      </c>
      <c r="H109" s="336">
        <f t="shared" si="23"/>
        <v>42094</v>
      </c>
      <c r="I109" s="336">
        <f t="shared" si="23"/>
        <v>42460</v>
      </c>
      <c r="J109" s="336">
        <f t="shared" si="23"/>
        <v>42825</v>
      </c>
      <c r="K109" s="336">
        <f t="shared" si="23"/>
        <v>43190</v>
      </c>
      <c r="L109" s="336" t="str">
        <f t="shared" si="23"/>
        <v>Trailing</v>
      </c>
      <c r="O109" s="334">
        <f t="shared" si="19"/>
        <v>40268</v>
      </c>
      <c r="P109" s="334">
        <f t="shared" si="20"/>
        <v>43190</v>
      </c>
      <c r="Q109" s="54">
        <f t="shared" si="21"/>
        <v>41729.111111111109</v>
      </c>
    </row>
    <row r="110" spans="1:17" ht="25.5" x14ac:dyDescent="0.2">
      <c r="A110" s="332" t="s">
        <v>815</v>
      </c>
      <c r="B110" s="333" t="s">
        <v>816</v>
      </c>
      <c r="C110" s="358">
        <f>('Data Sheet'!C59)/('Data Sheet'!C57+'Data Sheet'!C58)</f>
        <v>0</v>
      </c>
      <c r="D110" s="358">
        <f>('Data Sheet'!D59)/('Data Sheet'!D57+'Data Sheet'!D58)</f>
        <v>5.1715804736587725E-2</v>
      </c>
      <c r="E110" s="358">
        <f>('Data Sheet'!E59)/('Data Sheet'!E57+'Data Sheet'!E58)</f>
        <v>0.11485691885535085</v>
      </c>
      <c r="F110" s="358">
        <f>('Data Sheet'!F59)/('Data Sheet'!F57+'Data Sheet'!F58)</f>
        <v>7.6476984414642984E-2</v>
      </c>
      <c r="G110" s="358">
        <f>('Data Sheet'!G59)/('Data Sheet'!G57+'Data Sheet'!G58)</f>
        <v>6.096774193548387E-2</v>
      </c>
      <c r="H110" s="358">
        <f>('Data Sheet'!H59)/('Data Sheet'!H57+'Data Sheet'!H58)</f>
        <v>7.0154339547003411E-4</v>
      </c>
      <c r="I110" s="358">
        <f>('Data Sheet'!I59)/('Data Sheet'!I57+'Data Sheet'!I58)</f>
        <v>1.3303986304719982E-2</v>
      </c>
      <c r="J110" s="358">
        <f>('Data Sheet'!J59)/('Data Sheet'!J57+'Data Sheet'!J58)</f>
        <v>0.12748867010470386</v>
      </c>
      <c r="K110" s="358">
        <f>('Data Sheet'!K59)/('Data Sheet'!K57+'Data Sheet'!K58)</f>
        <v>0.1760944817756058</v>
      </c>
      <c r="L110" s="358">
        <f>('Data Sheet'!K59)/('Data Sheet'!K57+'Data Sheet'!K58)</f>
        <v>0.1760944817756058</v>
      </c>
      <c r="N110" s="334" t="e">
        <f t="shared" ref="N110:N119" si="24">(L110/C110)^(1/(9-1))-1</f>
        <v>#DIV/0!</v>
      </c>
      <c r="O110" s="334">
        <f t="shared" si="19"/>
        <v>0</v>
      </c>
      <c r="P110" s="334">
        <f t="shared" si="20"/>
        <v>0.1760944817756058</v>
      </c>
      <c r="Q110" s="54">
        <f t="shared" si="21"/>
        <v>7.9770061329817094E-2</v>
      </c>
    </row>
    <row r="111" spans="1:17" x14ac:dyDescent="0.2">
      <c r="A111" s="332" t="s">
        <v>507</v>
      </c>
      <c r="B111" s="333" t="s">
        <v>817</v>
      </c>
      <c r="C111" s="359" t="e">
        <f>C54/'Profit &amp; Loss'!C9</f>
        <v>#DIV/0!</v>
      </c>
      <c r="D111" s="359">
        <f>D54/'Profit &amp; Loss'!D9</f>
        <v>128</v>
      </c>
      <c r="E111" s="359">
        <f>E54/'Profit &amp; Loss'!E9</f>
        <v>85.199999999999989</v>
      </c>
      <c r="F111" s="359">
        <f>F54/'Profit &amp; Loss'!F9</f>
        <v>27.647058823529409</v>
      </c>
      <c r="G111" s="359">
        <f>G54/'Profit &amp; Loss'!G9</f>
        <v>25.756756756756754</v>
      </c>
      <c r="H111" s="359">
        <f>H54/'Profit &amp; Loss'!H9</f>
        <v>65.422222222222217</v>
      </c>
      <c r="I111" s="359">
        <f>I54/'Profit &amp; Loss'!I9</f>
        <v>326.1904761904762</v>
      </c>
      <c r="J111" s="359">
        <f>J54/'Profit &amp; Loss'!J9</f>
        <v>104.98780487804878</v>
      </c>
      <c r="K111" s="359">
        <f>K54/'Profit &amp; Loss'!K9</f>
        <v>25.950281425891188</v>
      </c>
      <c r="L111" s="359">
        <f>L54/'Profit &amp; Loss'!L9</f>
        <v>26.245730550284634</v>
      </c>
      <c r="N111" s="334" t="e">
        <f t="shared" si="24"/>
        <v>#DIV/0!</v>
      </c>
      <c r="O111" s="334" t="e">
        <f t="shared" si="19"/>
        <v>#DIV/0!</v>
      </c>
      <c r="P111" s="334" t="e">
        <f t="shared" si="20"/>
        <v>#DIV/0!</v>
      </c>
      <c r="Q111" s="54" t="e">
        <f t="shared" si="21"/>
        <v>#DIV/0!</v>
      </c>
    </row>
    <row r="112" spans="1:17" ht="25.5" x14ac:dyDescent="0.2">
      <c r="A112" s="332" t="s">
        <v>818</v>
      </c>
      <c r="B112" s="333" t="s">
        <v>819</v>
      </c>
      <c r="C112" s="359">
        <f>'Data Sheet'!C82/('Data Sheet'!C59+'Data Sheet'!C60)</f>
        <v>0</v>
      </c>
      <c r="D112" s="359">
        <f>'Data Sheet'!D82/('Data Sheet'!D59+'Data Sheet'!D60)</f>
        <v>0.77868852459016391</v>
      </c>
      <c r="E112" s="359">
        <f>'Data Sheet'!E82/('Data Sheet'!E59+'Data Sheet'!E60)</f>
        <v>-0.17724867724867724</v>
      </c>
      <c r="F112" s="359">
        <f>'Data Sheet'!F82/('Data Sheet'!F59+'Data Sheet'!F60)</f>
        <v>-0.43214909726266737</v>
      </c>
      <c r="G112" s="359">
        <f>'Data Sheet'!G82/('Data Sheet'!G59+'Data Sheet'!G60)</f>
        <v>0.32374866879659209</v>
      </c>
      <c r="H112" s="359">
        <f>'Data Sheet'!H82/('Data Sheet'!H59+'Data Sheet'!H60)</f>
        <v>0.50086422124063756</v>
      </c>
      <c r="I112" s="359">
        <f>'Data Sheet'!I82/('Data Sheet'!I59+'Data Sheet'!I60)</f>
        <v>0.17225971183658581</v>
      </c>
      <c r="J112" s="359">
        <f>'Data Sheet'!J82/('Data Sheet'!J59+'Data Sheet'!J60)</f>
        <v>0.37445186886615162</v>
      </c>
      <c r="K112" s="359">
        <f>'Data Sheet'!K82/('Data Sheet'!K59+'Data Sheet'!K60)</f>
        <v>0.37895310796074155</v>
      </c>
      <c r="L112" s="359">
        <f>'Data Sheet'!K82/('Data Sheet'!K59+'Data Sheet'!K60)</f>
        <v>0.37895310796074155</v>
      </c>
      <c r="N112" s="334" t="e">
        <f t="shared" si="24"/>
        <v>#DIV/0!</v>
      </c>
      <c r="O112" s="339">
        <f t="shared" si="19"/>
        <v>-0.43214909726266737</v>
      </c>
      <c r="P112" s="339">
        <f t="shared" si="20"/>
        <v>0.77868852459016391</v>
      </c>
      <c r="Q112" s="358">
        <f t="shared" si="21"/>
        <v>0.22985214367402698</v>
      </c>
    </row>
    <row r="113" spans="1:17" ht="38.25" x14ac:dyDescent="0.2">
      <c r="A113" s="332" t="s">
        <v>267</v>
      </c>
      <c r="B113" s="333" t="s">
        <v>785</v>
      </c>
      <c r="C113" s="359">
        <f>C87</f>
        <v>43.6</v>
      </c>
      <c r="D113" s="359">
        <f t="shared" ref="D113:L113" si="25">D87</f>
        <v>1.2299189388356671</v>
      </c>
      <c r="E113" s="359">
        <f t="shared" si="25"/>
        <v>1.3775829680651221</v>
      </c>
      <c r="F113" s="359">
        <f t="shared" si="25"/>
        <v>1.7629482071713147</v>
      </c>
      <c r="G113" s="359">
        <f t="shared" si="25"/>
        <v>0.82089994079336881</v>
      </c>
      <c r="H113" s="359">
        <f t="shared" si="25"/>
        <v>1.0159615384615384</v>
      </c>
      <c r="I113" s="359">
        <f t="shared" si="25"/>
        <v>1.3990087899756876</v>
      </c>
      <c r="J113" s="359">
        <f t="shared" si="25"/>
        <v>2.012270345559461</v>
      </c>
      <c r="K113" s="359">
        <f t="shared" si="25"/>
        <v>1.7846823181743556</v>
      </c>
      <c r="L113" s="359">
        <f t="shared" si="25"/>
        <v>1.7846823181743556</v>
      </c>
      <c r="N113" s="334">
        <f t="shared" si="24"/>
        <v>-0.32932934558183347</v>
      </c>
      <c r="O113" s="339">
        <f t="shared" si="19"/>
        <v>0.82089994079336881</v>
      </c>
      <c r="P113" s="339">
        <f t="shared" si="20"/>
        <v>43.6</v>
      </c>
      <c r="Q113" s="358">
        <f t="shared" si="21"/>
        <v>5.6787955365210863</v>
      </c>
    </row>
    <row r="114" spans="1:17" ht="38.25" x14ac:dyDescent="0.2">
      <c r="A114" s="332" t="s">
        <v>509</v>
      </c>
      <c r="B114" s="333" t="s">
        <v>820</v>
      </c>
      <c r="C114" s="359">
        <f>('Data Sheet'!C65-'Data Sheet'!C68)/'Data Sheet'!C60</f>
        <v>43.6</v>
      </c>
      <c r="D114" s="359">
        <f>('Data Sheet'!D65-'Data Sheet'!D68)/'Data Sheet'!D60</f>
        <v>1.2299189388356671</v>
      </c>
      <c r="E114" s="359">
        <f>('Data Sheet'!E65-'Data Sheet'!E68)/'Data Sheet'!E60</f>
        <v>1.3775829680651221</v>
      </c>
      <c r="F114" s="359">
        <f>('Data Sheet'!F65-'Data Sheet'!F68)/'Data Sheet'!F60</f>
        <v>1.7629482071713147</v>
      </c>
      <c r="G114" s="359">
        <f>('Data Sheet'!G65-'Data Sheet'!G68)/'Data Sheet'!G60</f>
        <v>0.82089994079336881</v>
      </c>
      <c r="H114" s="359">
        <f>('Data Sheet'!H65-'Data Sheet'!H68)/'Data Sheet'!H60</f>
        <v>1.0159615384615384</v>
      </c>
      <c r="I114" s="359">
        <f>('Data Sheet'!I65-'Data Sheet'!I68)/'Data Sheet'!I60</f>
        <v>1.3990087899756876</v>
      </c>
      <c r="J114" s="359">
        <f>('Data Sheet'!J65-'Data Sheet'!J68)/'Data Sheet'!J60</f>
        <v>2.012270345559461</v>
      </c>
      <c r="K114" s="359">
        <f>('Data Sheet'!K65-'Data Sheet'!K68)/'Data Sheet'!K60</f>
        <v>1.7846823181743556</v>
      </c>
      <c r="L114" s="359">
        <f>('Data Sheet'!K65-'Data Sheet'!K68)/'Data Sheet'!K60</f>
        <v>1.7846823181743556</v>
      </c>
      <c r="N114" s="334">
        <f t="shared" si="24"/>
        <v>-0.32932934558183347</v>
      </c>
      <c r="O114" s="339">
        <f t="shared" si="19"/>
        <v>0.82089994079336881</v>
      </c>
      <c r="P114" s="339">
        <f t="shared" si="20"/>
        <v>43.6</v>
      </c>
      <c r="Q114" s="358">
        <f t="shared" si="21"/>
        <v>5.6787955365210863</v>
      </c>
    </row>
    <row r="115" spans="1:17" ht="51" x14ac:dyDescent="0.2">
      <c r="A115" s="332" t="s">
        <v>821</v>
      </c>
      <c r="B115" s="333" t="s">
        <v>822</v>
      </c>
      <c r="C115" s="359">
        <f>'Data Sheet'!C69/'Data Sheet'!C60</f>
        <v>6.6666666666666666E-2</v>
      </c>
      <c r="D115" s="359">
        <f>'Data Sheet'!D69/'Data Sheet'!D60</f>
        <v>3.2424465733235076E-2</v>
      </c>
      <c r="E115" s="359">
        <f>'Data Sheet'!E69/'Data Sheet'!E60</f>
        <v>0.18597370068879149</v>
      </c>
      <c r="F115" s="359">
        <f>'Data Sheet'!F69/'Data Sheet'!F60</f>
        <v>9.6281540504648072E-2</v>
      </c>
      <c r="G115" s="359">
        <f>'Data Sheet'!G69/'Data Sheet'!G60</f>
        <v>0.14298401420959148</v>
      </c>
      <c r="H115" s="359">
        <f>'Data Sheet'!H69/'Data Sheet'!H60</f>
        <v>0.28423076923076923</v>
      </c>
      <c r="I115" s="359">
        <f>'Data Sheet'!I69/'Data Sheet'!I60</f>
        <v>0.2670656442865158</v>
      </c>
      <c r="J115" s="359">
        <f>'Data Sheet'!J69/'Data Sheet'!J60</f>
        <v>0.59554287988326593</v>
      </c>
      <c r="K115" s="359">
        <f>'Data Sheet'!K69/'Data Sheet'!K60</f>
        <v>4.5107535708422263E-2</v>
      </c>
      <c r="L115" s="359">
        <f>'Data Sheet'!K69/'Data Sheet'!K60</f>
        <v>4.5107535708422263E-2</v>
      </c>
      <c r="N115" s="334">
        <f t="shared" si="24"/>
        <v>-4.7658861441002842E-2</v>
      </c>
      <c r="O115" s="339">
        <f t="shared" si="19"/>
        <v>3.2424465733235076E-2</v>
      </c>
      <c r="P115" s="339">
        <f t="shared" si="20"/>
        <v>0.59554287988326593</v>
      </c>
      <c r="Q115" s="358">
        <f t="shared" si="21"/>
        <v>0.17613847526203283</v>
      </c>
    </row>
    <row r="116" spans="1:17" ht="25.5" x14ac:dyDescent="0.2">
      <c r="A116" s="332" t="s">
        <v>823</v>
      </c>
      <c r="B116" s="333" t="s">
        <v>824</v>
      </c>
      <c r="C116" s="359">
        <f>'Data Sheet'!C82/'Data Sheet'!C60</f>
        <v>0</v>
      </c>
      <c r="D116" s="359">
        <f>'Data Sheet'!D82/'Data Sheet'!D60</f>
        <v>0.8400884303610906</v>
      </c>
      <c r="E116" s="359">
        <f>'Data Sheet'!E82/'Data Sheet'!E60</f>
        <v>-0.20976831559173451</v>
      </c>
      <c r="F116" s="359">
        <f>'Data Sheet'!F82/'Data Sheet'!F60</f>
        <v>-0.49269588313413015</v>
      </c>
      <c r="G116" s="359">
        <f>'Data Sheet'!G82/'Data Sheet'!G60</f>
        <v>0.35997631734754293</v>
      </c>
      <c r="H116" s="359">
        <f>'Data Sheet'!H82/'Data Sheet'!H60</f>
        <v>0.50153846153846149</v>
      </c>
      <c r="I116" s="359">
        <f>'Data Sheet'!I82/'Data Sheet'!I60</f>
        <v>0.17664110716289508</v>
      </c>
      <c r="J116" s="359">
        <f>'Data Sheet'!J82/'Data Sheet'!J60</f>
        <v>0.47575777674603703</v>
      </c>
      <c r="K116" s="359">
        <f>'Data Sheet'!K82/'Data Sheet'!K60</f>
        <v>0.51346248563454278</v>
      </c>
      <c r="L116" s="359">
        <f>'Data Sheet'!K82/'Data Sheet'!K60</f>
        <v>0.51346248563454278</v>
      </c>
      <c r="N116" s="334" t="e">
        <f t="shared" si="24"/>
        <v>#DIV/0!</v>
      </c>
      <c r="O116" s="339">
        <f t="shared" si="19"/>
        <v>-0.49269588313413015</v>
      </c>
      <c r="P116" s="339">
        <f t="shared" si="20"/>
        <v>0.8400884303610906</v>
      </c>
      <c r="Q116" s="358">
        <f t="shared" si="21"/>
        <v>0.26784628656992482</v>
      </c>
    </row>
    <row r="117" spans="1:17" ht="25.5" x14ac:dyDescent="0.2">
      <c r="A117" s="332" t="s">
        <v>825</v>
      </c>
      <c r="B117" s="333" t="s">
        <v>826</v>
      </c>
      <c r="C117" s="339">
        <f>'Data Sheet'!C82/'Financial Analysis'!C45</f>
        <v>0</v>
      </c>
      <c r="D117" s="339">
        <f>'Data Sheet'!D82/'Financial Analysis'!D45</f>
        <v>0.59251559251559249</v>
      </c>
      <c r="E117" s="339">
        <f>'Data Sheet'!E82/'Financial Analysis'!E45</f>
        <v>-0.73304157549234128</v>
      </c>
      <c r="F117" s="339">
        <f>'Data Sheet'!F82/'Financial Analysis'!F45</f>
        <v>2.1887905604719768</v>
      </c>
      <c r="G117" s="339">
        <f>'Data Sheet'!G82/'Financial Analysis'!G45</f>
        <v>0.20990851027101673</v>
      </c>
      <c r="H117" s="339">
        <f>'Data Sheet'!H82/'Financial Analysis'!H45</f>
        <v>0.71825943266317804</v>
      </c>
      <c r="I117" s="339">
        <f>'Data Sheet'!I82/'Financial Analysis'!I45</f>
        <v>0.22039435305098587</v>
      </c>
      <c r="J117" s="339">
        <f>'Data Sheet'!J82/'Financial Analysis'!J45</f>
        <v>1.2553377668883445</v>
      </c>
      <c r="K117" s="339">
        <f>'Data Sheet'!K82/'Financial Analysis'!K45</f>
        <v>0.61483265346242699</v>
      </c>
      <c r="L117" s="339">
        <f>'Data Sheet'!K82/'Financial Analysis'!K45</f>
        <v>0.61483265346242699</v>
      </c>
      <c r="N117" s="334">
        <f>(L117/D117)^(1/(8-1))-1</f>
        <v>5.2958211830311797E-3</v>
      </c>
      <c r="O117" s="334">
        <f t="shared" si="19"/>
        <v>-0.73304157549234128</v>
      </c>
      <c r="P117" s="334">
        <f t="shared" si="20"/>
        <v>2.1887905604719768</v>
      </c>
      <c r="Q117" s="54">
        <f t="shared" si="21"/>
        <v>0.56818299472936074</v>
      </c>
    </row>
    <row r="118" spans="1:17" ht="25.5" x14ac:dyDescent="0.2">
      <c r="A118" s="332" t="s">
        <v>827</v>
      </c>
      <c r="B118" s="333" t="s">
        <v>828</v>
      </c>
      <c r="C118" s="334" t="e">
        <f>'Data Sheet'!C82/'Data Sheet'!C17</f>
        <v>#DIV/0!</v>
      </c>
      <c r="D118" s="334">
        <f>'Data Sheet'!D82/'Data Sheet'!D17</f>
        <v>0.69852941176470584</v>
      </c>
      <c r="E118" s="334">
        <f>'Data Sheet'!E82/'Data Sheet'!E17</f>
        <v>-0.15906932573599242</v>
      </c>
      <c r="F118" s="334">
        <f>'Data Sheet'!F82/'Data Sheet'!F17</f>
        <v>-0.28309805417779471</v>
      </c>
      <c r="G118" s="334">
        <f>'Data Sheet'!G82/'Data Sheet'!G17</f>
        <v>0.2759872900590104</v>
      </c>
      <c r="H118" s="334">
        <f>'Data Sheet'!H82/'Data Sheet'!H17</f>
        <v>0.20889066880256307</v>
      </c>
      <c r="I118" s="334">
        <f>'Data Sheet'!I82/'Data Sheet'!I17</f>
        <v>6.9466406795866589E-2</v>
      </c>
      <c r="J118" s="334">
        <f>'Data Sheet'!J82/'Data Sheet'!J17</f>
        <v>0.1357648483930802</v>
      </c>
      <c r="K118" s="334">
        <f>'Data Sheet'!K82/'Data Sheet'!K17</f>
        <v>0.14730818143281049</v>
      </c>
      <c r="L118" s="334">
        <f>'Data Sheet'!K82/'Data Sheet'!K17</f>
        <v>0.14730818143281049</v>
      </c>
      <c r="N118" s="334" t="e">
        <f t="shared" si="24"/>
        <v>#DIV/0!</v>
      </c>
      <c r="O118" s="334" t="e">
        <f t="shared" si="19"/>
        <v>#DIV/0!</v>
      </c>
      <c r="P118" s="334" t="e">
        <f t="shared" si="20"/>
        <v>#DIV/0!</v>
      </c>
      <c r="Q118" s="54" t="e">
        <f t="shared" si="21"/>
        <v>#DIV/0!</v>
      </c>
    </row>
    <row r="119" spans="1:17" ht="25.5" x14ac:dyDescent="0.2">
      <c r="A119" s="332" t="s">
        <v>829</v>
      </c>
      <c r="B119" s="333" t="s">
        <v>830</v>
      </c>
      <c r="C119" s="334" t="e">
        <f>'Data Sheet'!C85/'Data Sheet'!C17</f>
        <v>#DIV/0!</v>
      </c>
      <c r="D119" s="334">
        <f>'Data Sheet'!D85/'Data Sheet'!D17</f>
        <v>2.6960784313725492E-2</v>
      </c>
      <c r="E119" s="334">
        <f>'Data Sheet'!E85/'Data Sheet'!E17</f>
        <v>0.1201329534662868</v>
      </c>
      <c r="F119" s="334">
        <f>'Data Sheet'!F85/'Data Sheet'!F17</f>
        <v>-5.8374666157954981E-2</v>
      </c>
      <c r="G119" s="334">
        <f>'Data Sheet'!G85/'Data Sheet'!G17</f>
        <v>7.6940535633227419E-2</v>
      </c>
      <c r="H119" s="334">
        <f>'Data Sheet'!H85/'Data Sheet'!H17</f>
        <v>7.9695634761714054E-2</v>
      </c>
      <c r="I119" s="334">
        <f>'Data Sheet'!I85/'Data Sheet'!I17</f>
        <v>5.0638031846431064E-2</v>
      </c>
      <c r="J119" s="334">
        <f>'Data Sheet'!J85/'Data Sheet'!J17</f>
        <v>0.11458530491728811</v>
      </c>
      <c r="K119" s="334">
        <f>'Data Sheet'!K85/'Data Sheet'!K17</f>
        <v>-9.2553341811502043E-2</v>
      </c>
      <c r="L119" s="334">
        <f>'Data Sheet'!K85/'Data Sheet'!K17</f>
        <v>-9.2553341811502043E-2</v>
      </c>
      <c r="N119" s="334" t="e">
        <f t="shared" si="24"/>
        <v>#DIV/0!</v>
      </c>
      <c r="O119" s="334" t="e">
        <f t="shared" si="19"/>
        <v>#DIV/0!</v>
      </c>
      <c r="P119" s="334" t="e">
        <f t="shared" si="20"/>
        <v>#DIV/0!</v>
      </c>
      <c r="Q119" s="54" t="e">
        <f t="shared" si="21"/>
        <v>#DIV/0!</v>
      </c>
    </row>
    <row r="120" spans="1:17" x14ac:dyDescent="0.2">
      <c r="O120" s="334">
        <f t="shared" si="19"/>
        <v>0</v>
      </c>
      <c r="P120" s="334">
        <f t="shared" si="20"/>
        <v>0</v>
      </c>
      <c r="Q120" s="54" t="e">
        <f t="shared" si="21"/>
        <v>#DIV/0!</v>
      </c>
    </row>
    <row r="121" spans="1:17" x14ac:dyDescent="0.2">
      <c r="A121" s="327" t="s">
        <v>831</v>
      </c>
      <c r="O121" s="334">
        <f t="shared" si="19"/>
        <v>0</v>
      </c>
      <c r="P121" s="334">
        <f t="shared" si="20"/>
        <v>0</v>
      </c>
      <c r="Q121" s="54" t="e">
        <f t="shared" si="21"/>
        <v>#DIV/0!</v>
      </c>
    </row>
    <row r="122" spans="1:17" ht="89.25" x14ac:dyDescent="0.2">
      <c r="A122" s="332" t="s">
        <v>191</v>
      </c>
      <c r="B122" s="333" t="s">
        <v>832</v>
      </c>
      <c r="C122" s="363"/>
      <c r="D122" s="363"/>
      <c r="E122" s="363"/>
      <c r="F122" s="363"/>
      <c r="G122" s="363"/>
      <c r="H122" s="363"/>
      <c r="I122" s="363"/>
      <c r="J122" s="363"/>
      <c r="K122" s="363"/>
      <c r="O122" s="334"/>
      <c r="P122" s="334"/>
      <c r="Q122" s="54"/>
    </row>
    <row r="123" spans="1:17" x14ac:dyDescent="0.2">
      <c r="A123" s="364" t="s">
        <v>833</v>
      </c>
      <c r="B123" s="357"/>
      <c r="C123" s="363"/>
      <c r="D123" s="363"/>
      <c r="E123" s="363"/>
      <c r="F123" s="363"/>
      <c r="G123" s="363"/>
      <c r="H123" s="363"/>
      <c r="I123" s="363"/>
      <c r="J123" s="363"/>
      <c r="K123" s="363"/>
      <c r="O123" s="334"/>
      <c r="P123" s="334"/>
      <c r="Q123" s="54"/>
    </row>
    <row r="124" spans="1:17" ht="25.5" x14ac:dyDescent="0.2">
      <c r="A124" s="332" t="s">
        <v>834</v>
      </c>
      <c r="B124" s="333" t="s">
        <v>835</v>
      </c>
      <c r="C124" s="359">
        <f>Other_input_data!D85</f>
        <v>0</v>
      </c>
      <c r="D124" s="359">
        <f>Other_input_data!E85</f>
        <v>12.071386348567081</v>
      </c>
      <c r="E124" s="359">
        <f>Other_input_data!F85</f>
        <v>7.8616531853714289</v>
      </c>
      <c r="F124" s="359">
        <f>Other_input_data!G85</f>
        <v>13.832271794962217</v>
      </c>
      <c r="G124" s="359">
        <f>Other_input_data!H85</f>
        <v>18.4788034454713</v>
      </c>
      <c r="H124" s="359">
        <f>Other_input_data!I85</f>
        <v>41.113492211933618</v>
      </c>
      <c r="I124" s="359">
        <f>Other_input_data!J85</f>
        <v>55.337330371597233</v>
      </c>
      <c r="J124" s="359">
        <f>Other_input_data!K85</f>
        <v>16.986067598700043</v>
      </c>
      <c r="K124" s="359">
        <f>Other_input_data!L85</f>
        <v>13.326864230325723</v>
      </c>
      <c r="L124" s="359">
        <f>Other_input_data!M85</f>
        <v>3.0304535232383811</v>
      </c>
      <c r="O124" s="351">
        <f>MIN(D124:L124)</f>
        <v>3.0304535232383811</v>
      </c>
      <c r="P124" s="351">
        <f>MAX(D124:L124)</f>
        <v>55.337330371597233</v>
      </c>
      <c r="Q124" s="359">
        <f>AVERAGE(D124:L124)</f>
        <v>20.226480301129669</v>
      </c>
    </row>
    <row r="125" spans="1:17" ht="25.5" x14ac:dyDescent="0.2">
      <c r="A125" s="364" t="s">
        <v>836</v>
      </c>
      <c r="B125" s="357" t="s">
        <v>837</v>
      </c>
      <c r="O125" s="351"/>
      <c r="P125" s="351"/>
      <c r="Q125" s="359"/>
    </row>
    <row r="126" spans="1:17" ht="25.5" x14ac:dyDescent="0.2">
      <c r="A126" s="364" t="s">
        <v>188</v>
      </c>
      <c r="B126" s="357" t="s">
        <v>663</v>
      </c>
      <c r="O126" s="351"/>
      <c r="P126" s="351"/>
      <c r="Q126" s="359"/>
    </row>
    <row r="127" spans="1:17" ht="25.5" x14ac:dyDescent="0.2">
      <c r="A127" s="332" t="s">
        <v>838</v>
      </c>
      <c r="B127" s="333" t="s">
        <v>839</v>
      </c>
      <c r="D127" s="358">
        <f t="shared" ref="D127:L127" si="26">(D124/D8)/100</f>
        <v>2.3938880809989144E-3</v>
      </c>
      <c r="E127" s="358">
        <f t="shared" si="26"/>
        <v>0.11653088764132116</v>
      </c>
      <c r="F127" s="358">
        <f t="shared" si="26"/>
        <v>-2.010979726520151</v>
      </c>
      <c r="G127" s="358">
        <f t="shared" si="26"/>
        <v>0.34768175203090551</v>
      </c>
      <c r="H127" s="358">
        <f t="shared" si="26"/>
        <v>0.20001047038276812</v>
      </c>
      <c r="I127" s="358">
        <f t="shared" si="26"/>
        <v>0.54904493322486314</v>
      </c>
      <c r="J127" s="358">
        <f t="shared" si="26"/>
        <v>0.11003599520899028</v>
      </c>
      <c r="K127" s="358">
        <f t="shared" si="26"/>
        <v>0.2073354439526624</v>
      </c>
      <c r="L127" s="358">
        <f t="shared" si="26"/>
        <v>0.12436246187554278</v>
      </c>
      <c r="O127" s="351">
        <f t="shared" si="19"/>
        <v>-2.010979726520151</v>
      </c>
      <c r="P127" s="351">
        <f t="shared" si="20"/>
        <v>0.54904493322486314</v>
      </c>
      <c r="Q127" s="359">
        <f t="shared" si="21"/>
        <v>-3.9287099346899869E-2</v>
      </c>
    </row>
    <row r="128" spans="1:17" ht="51" x14ac:dyDescent="0.2">
      <c r="A128" s="332" t="s">
        <v>840</v>
      </c>
      <c r="B128" s="333" t="s">
        <v>841</v>
      </c>
      <c r="C128" s="358" t="e">
        <f>C42/'Data Sheet'!C17</f>
        <v>#DIV/0!</v>
      </c>
      <c r="D128" s="358">
        <f>D42/'Data Sheet'!D17</f>
        <v>0.37732706649523895</v>
      </c>
      <c r="E128" s="358">
        <f>E42/'Data Sheet'!E17</f>
        <v>0.31890272940170944</v>
      </c>
      <c r="F128" s="358">
        <f>F42/'Data Sheet'!F17</f>
        <v>0.75922834347195722</v>
      </c>
      <c r="G128" s="358">
        <f>G42/'Data Sheet'!G17</f>
        <v>0.92403483834208355</v>
      </c>
      <c r="H128" s="358">
        <f>H42/'Data Sheet'!H17</f>
        <v>2.2831177153624354</v>
      </c>
      <c r="I128" s="358">
        <f>I42/'Data Sheet'!I17</f>
        <v>2.9835320514089942</v>
      </c>
      <c r="J128" s="358">
        <f>J42/'Data Sheet'!J17</f>
        <v>3.3586979635011418</v>
      </c>
      <c r="K128" s="358">
        <f>K42/'Data Sheet'!K17</f>
        <v>2.693180301456009</v>
      </c>
      <c r="L128" s="358">
        <f>L42/'Data Sheet'!K17</f>
        <v>2.693180301456009</v>
      </c>
      <c r="O128" s="351" t="e">
        <f t="shared" si="19"/>
        <v>#DIV/0!</v>
      </c>
      <c r="P128" s="351" t="e">
        <f t="shared" si="20"/>
        <v>#DIV/0!</v>
      </c>
      <c r="Q128" s="359" t="e">
        <f t="shared" si="21"/>
        <v>#DIV/0!</v>
      </c>
    </row>
    <row r="129" spans="1:17" ht="51" x14ac:dyDescent="0.2">
      <c r="A129" s="364" t="s">
        <v>842</v>
      </c>
      <c r="B129" s="333" t="s">
        <v>843</v>
      </c>
      <c r="C129" s="359">
        <f>'Data Sheet'!C69/'Financial Analysis'!C41</f>
        <v>6.4102564102564111E-2</v>
      </c>
      <c r="D129" s="359">
        <f>'Data Sheet'!D69/'Financial Analysis'!D41</f>
        <v>0.79219885775727428</v>
      </c>
      <c r="E129" s="359">
        <f>'Data Sheet'!E69/'Financial Analysis'!E41</f>
        <v>5.3473422898616016</v>
      </c>
      <c r="F129" s="359">
        <f>'Data Sheet'!F69/'Financial Analysis'!F41</f>
        <v>1.4436332884711844</v>
      </c>
      <c r="G129" s="359">
        <f>'Data Sheet'!G69/'Financial Analysis'!G41</f>
        <v>4.8087922643557386</v>
      </c>
      <c r="H129" s="359">
        <f>'Data Sheet'!H69/'Financial Analysis'!H41</f>
        <v>14.288335517186509</v>
      </c>
      <c r="I129" s="359">
        <f>'Data Sheet'!I69/'Financial Analysis'!I41</f>
        <v>26.216020375061657</v>
      </c>
      <c r="J129" s="359">
        <f>'Data Sheet'!J69/'Financial Analysis'!J41</f>
        <v>29.422361289491757</v>
      </c>
      <c r="K129" s="359">
        <f>'Data Sheet'!K69/'Financial Analysis'!K41</f>
        <v>3.601200028639207</v>
      </c>
      <c r="L129" s="359">
        <f>'Data Sheet'!K69/'Financial Analysis'!L41</f>
        <v>3.601200028639207</v>
      </c>
      <c r="N129" s="334"/>
      <c r="O129" s="339">
        <f t="shared" si="19"/>
        <v>6.4102564102564111E-2</v>
      </c>
      <c r="P129" s="339">
        <f t="shared" si="20"/>
        <v>29.422361289491757</v>
      </c>
      <c r="Q129" s="358">
        <f t="shared" si="21"/>
        <v>8.9585186503566714</v>
      </c>
    </row>
    <row r="130" spans="1:17" ht="25.5" x14ac:dyDescent="0.2">
      <c r="A130" s="364" t="s">
        <v>844</v>
      </c>
      <c r="B130" s="333" t="s">
        <v>845</v>
      </c>
      <c r="C130" s="334" t="e">
        <f>C129/C40</f>
        <v>#DIV/0!</v>
      </c>
      <c r="D130" s="334">
        <f t="shared" ref="D130:L130" si="27">D129/D40</f>
        <v>7.1452028512419691E-2</v>
      </c>
      <c r="E130" s="334">
        <f t="shared" si="27"/>
        <v>0.44222149271101568</v>
      </c>
      <c r="F130" s="334">
        <f t="shared" si="27"/>
        <v>7.2866610562850001E-2</v>
      </c>
      <c r="G130" s="334">
        <f t="shared" si="27"/>
        <v>0.118635398240655</v>
      </c>
      <c r="H130" s="334">
        <f t="shared" si="27"/>
        <v>5.1851053352880476E-2</v>
      </c>
      <c r="I130" s="334">
        <f t="shared" si="27"/>
        <v>3.5202245930363044E-2</v>
      </c>
      <c r="J130" s="334">
        <f t="shared" si="27"/>
        <v>5.0599185819691868E-2</v>
      </c>
      <c r="K130" s="334">
        <f t="shared" si="27"/>
        <v>4.8050932641071232E-3</v>
      </c>
      <c r="L130" s="334">
        <f t="shared" si="27"/>
        <v>4.8050932641071232E-3</v>
      </c>
      <c r="O130" s="334" t="e">
        <f t="shared" si="19"/>
        <v>#DIV/0!</v>
      </c>
      <c r="P130" s="334" t="e">
        <f t="shared" si="20"/>
        <v>#DIV/0!</v>
      </c>
      <c r="Q130" s="54" t="e">
        <f t="shared" si="21"/>
        <v>#DIV/0!</v>
      </c>
    </row>
    <row r="131" spans="1:17" x14ac:dyDescent="0.2">
      <c r="A131" s="364"/>
      <c r="B131" s="333"/>
    </row>
    <row r="132" spans="1:17" x14ac:dyDescent="0.2">
      <c r="A132" s="327" t="s">
        <v>846</v>
      </c>
    </row>
    <row r="133" spans="1:17" ht="51" x14ac:dyDescent="0.2">
      <c r="A133" s="364" t="s">
        <v>847</v>
      </c>
      <c r="B133" s="357" t="s">
        <v>848</v>
      </c>
    </row>
    <row r="134" spans="1:17" x14ac:dyDescent="0.2">
      <c r="A134" s="364" t="s">
        <v>849</v>
      </c>
      <c r="B134" s="357" t="s">
        <v>850</v>
      </c>
    </row>
    <row r="135" spans="1:17" x14ac:dyDescent="0.2">
      <c r="A135" s="364" t="s">
        <v>851</v>
      </c>
      <c r="B135" s="357" t="s">
        <v>850</v>
      </c>
    </row>
    <row r="136" spans="1:17" x14ac:dyDescent="0.2">
      <c r="A136" s="364" t="s">
        <v>852</v>
      </c>
      <c r="B136" s="357" t="s">
        <v>850</v>
      </c>
    </row>
    <row r="137" spans="1:17" x14ac:dyDescent="0.2">
      <c r="A137" s="332"/>
      <c r="B137" s="333"/>
    </row>
    <row r="138" spans="1:17" x14ac:dyDescent="0.2">
      <c r="A138" s="327" t="s">
        <v>853</v>
      </c>
      <c r="B138" s="333"/>
    </row>
    <row r="139" spans="1:17" x14ac:dyDescent="0.2">
      <c r="A139" s="364" t="s">
        <v>854</v>
      </c>
      <c r="B139" s="357" t="s">
        <v>855</v>
      </c>
    </row>
    <row r="140" spans="1:17" x14ac:dyDescent="0.2">
      <c r="A140" s="364" t="s">
        <v>856</v>
      </c>
      <c r="B140" s="357" t="s">
        <v>857</v>
      </c>
    </row>
    <row r="141" spans="1:17" x14ac:dyDescent="0.2">
      <c r="A141" s="364" t="s">
        <v>858</v>
      </c>
      <c r="B141" s="357" t="s">
        <v>859</v>
      </c>
    </row>
    <row r="142" spans="1:17" x14ac:dyDescent="0.2">
      <c r="A142" s="364" t="s">
        <v>860</v>
      </c>
      <c r="B142" s="357" t="s">
        <v>850</v>
      </c>
    </row>
    <row r="143" spans="1:17" x14ac:dyDescent="0.2">
      <c r="A143" s="364" t="s">
        <v>861</v>
      </c>
      <c r="B143" s="357" t="s">
        <v>850</v>
      </c>
    </row>
    <row r="144" spans="1:17" x14ac:dyDescent="0.2">
      <c r="A144" s="364" t="s">
        <v>862</v>
      </c>
      <c r="B144" s="357" t="s">
        <v>850</v>
      </c>
    </row>
    <row r="145" spans="1:2" x14ac:dyDescent="0.2">
      <c r="A145" s="364" t="s">
        <v>863</v>
      </c>
      <c r="B145" s="357" t="s">
        <v>850</v>
      </c>
    </row>
    <row r="146" spans="1:2" x14ac:dyDescent="0.2">
      <c r="A146" s="362" t="s">
        <v>864</v>
      </c>
    </row>
    <row r="148" spans="1:2" x14ac:dyDescent="0.2">
      <c r="A148" s="327"/>
    </row>
  </sheetData>
  <conditionalFormatting sqref="C3:L8">
    <cfRule type="expression" dxfId="107" priority="5" stopIfTrue="1">
      <formula>C3&lt;0</formula>
    </cfRule>
    <cfRule type="expression" dxfId="106" priority="6" stopIfTrue="1">
      <formula>0&lt;C3&lt;0.05</formula>
    </cfRule>
    <cfRule type="expression" dxfId="105" priority="7" stopIfTrue="1">
      <formula>0.05&lt;C3&lt;0.1</formula>
    </cfRule>
    <cfRule type="expression" dxfId="104" priority="8" stopIfTrue="1">
      <formula>C3&gt;0.1</formula>
    </cfRule>
  </conditionalFormatting>
  <conditionalFormatting sqref="N3:P8">
    <cfRule type="expression" dxfId="103" priority="1" stopIfTrue="1">
      <formula>N3&lt;0</formula>
    </cfRule>
    <cfRule type="expression" dxfId="102" priority="2" stopIfTrue="1">
      <formula>0&lt;N3&lt;0.05</formula>
    </cfRule>
    <cfRule type="expression" dxfId="101" priority="3" stopIfTrue="1">
      <formula>0.05&lt;N3&lt;0.1</formula>
    </cfRule>
    <cfRule type="expression" dxfId="100" priority="4" stopIfTrue="1">
      <formula>N3&gt;0.1</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M9" sqref="M9"/>
    </sheetView>
  </sheetViews>
  <sheetFormatPr defaultRowHeight="15" x14ac:dyDescent="0.25"/>
  <cols>
    <col min="1" max="1" width="20.7109375" style="6" customWidth="1"/>
    <col min="2" max="6" width="13.5703125" style="6" customWidth="1"/>
    <col min="7" max="7" width="14.85546875" style="6" bestFit="1" customWidth="1"/>
    <col min="8" max="11" width="13.5703125" style="6" customWidth="1"/>
    <col min="12" max="12" width="13.28515625" style="6" customWidth="1"/>
    <col min="13" max="14" width="12.140625" style="6" customWidth="1"/>
    <col min="15" max="16384" width="9.140625" style="6"/>
  </cols>
  <sheetData>
    <row r="1" spans="1:14" s="8" customFormat="1" x14ac:dyDescent="0.25">
      <c r="A1" s="8" t="str">
        <f>'Data Sheet'!B1</f>
        <v>8K MILES SOFTWARE SERVICES LTD</v>
      </c>
      <c r="H1" t="str">
        <f>UPDATE</f>
        <v/>
      </c>
      <c r="J1" s="3"/>
      <c r="K1" s="3"/>
      <c r="M1" s="8" t="s">
        <v>1</v>
      </c>
    </row>
    <row r="3" spans="1:14" s="2" customFormat="1" x14ac:dyDescent="0.25">
      <c r="A3" s="15" t="s">
        <v>2</v>
      </c>
      <c r="B3" s="16">
        <f>'Data Sheet'!B16</f>
        <v>39903</v>
      </c>
      <c r="C3" s="16">
        <f>'Data Sheet'!C16</f>
        <v>40268</v>
      </c>
      <c r="D3" s="16">
        <f>'Data Sheet'!D16</f>
        <v>40633</v>
      </c>
      <c r="E3" s="16">
        <f>'Data Sheet'!E16</f>
        <v>40999</v>
      </c>
      <c r="F3" s="16">
        <f>'Data Sheet'!F16</f>
        <v>41364</v>
      </c>
      <c r="G3" s="16">
        <f>'Data Sheet'!G16</f>
        <v>41729</v>
      </c>
      <c r="H3" s="16">
        <f>'Data Sheet'!H16</f>
        <v>42094</v>
      </c>
      <c r="I3" s="16">
        <f>'Data Sheet'!I16</f>
        <v>42460</v>
      </c>
      <c r="J3" s="16">
        <f>'Data Sheet'!J16</f>
        <v>42825</v>
      </c>
      <c r="K3" s="16">
        <f>'Data Sheet'!K16</f>
        <v>43190</v>
      </c>
      <c r="L3" s="17" t="s">
        <v>3</v>
      </c>
      <c r="M3" s="17" t="s">
        <v>4</v>
      </c>
      <c r="N3" s="17" t="s">
        <v>5</v>
      </c>
    </row>
    <row r="4" spans="1:14" s="8" customFormat="1" x14ac:dyDescent="0.25">
      <c r="A4" s="8" t="s">
        <v>6</v>
      </c>
      <c r="B4" s="1">
        <f>'Data Sheet'!B17</f>
        <v>0</v>
      </c>
      <c r="C4" s="1">
        <f>'Data Sheet'!C17</f>
        <v>0</v>
      </c>
      <c r="D4" s="1">
        <f>'Data Sheet'!D17</f>
        <v>16.32</v>
      </c>
      <c r="E4" s="1">
        <f>'Data Sheet'!E17</f>
        <v>21.06</v>
      </c>
      <c r="F4" s="1">
        <f>'Data Sheet'!F17</f>
        <v>26.21</v>
      </c>
      <c r="G4" s="1">
        <f>'Data Sheet'!G17</f>
        <v>44.06</v>
      </c>
      <c r="H4" s="1">
        <f>'Data Sheet'!H17</f>
        <v>124.85</v>
      </c>
      <c r="I4" s="1">
        <f>'Data Sheet'!I17</f>
        <v>271.93</v>
      </c>
      <c r="J4" s="1">
        <f>'Data Sheet'!J17</f>
        <v>528.34</v>
      </c>
      <c r="K4" s="1">
        <f>'Data Sheet'!K17</f>
        <v>849.24</v>
      </c>
      <c r="L4" s="1">
        <f>SUM(Quarters!H4:K4)</f>
        <v>901.91000000000008</v>
      </c>
      <c r="M4" s="1">
        <f>$K4+M23*K4</f>
        <v>1609.0803821771092</v>
      </c>
      <c r="N4" s="1">
        <f>$K4+N23*L4</f>
        <v>1397.036719915206</v>
      </c>
    </row>
    <row r="5" spans="1:14" x14ac:dyDescent="0.25">
      <c r="A5" s="6" t="s">
        <v>7</v>
      </c>
      <c r="B5" s="9">
        <f>SUM('Data Sheet'!B18,'Data Sheet'!B20:B24, -1*'Data Sheet'!B19)</f>
        <v>0.1</v>
      </c>
      <c r="C5" s="9">
        <f>SUM('Data Sheet'!C18,'Data Sheet'!C20:C24, -1*'Data Sheet'!C19)</f>
        <v>0.05</v>
      </c>
      <c r="D5" s="9">
        <f>SUM('Data Sheet'!D18,'Data Sheet'!D20:D24, -1*'Data Sheet'!D19)</f>
        <v>13.09</v>
      </c>
      <c r="E5" s="9">
        <f>SUM('Data Sheet'!E18,'Data Sheet'!E20:E24, -1*'Data Sheet'!E19)</f>
        <v>16.060000000000002</v>
      </c>
      <c r="F5" s="9">
        <f>SUM('Data Sheet'!F18,'Data Sheet'!F20:F24, -1*'Data Sheet'!F19)</f>
        <v>20.77</v>
      </c>
      <c r="G5" s="9">
        <f>SUM('Data Sheet'!G18,'Data Sheet'!G20:G24, -1*'Data Sheet'!G19)</f>
        <v>30.25</v>
      </c>
      <c r="H5" s="9">
        <f>SUM('Data Sheet'!H18,'Data Sheet'!H20:H24, -1*'Data Sheet'!H19)</f>
        <v>86.58</v>
      </c>
      <c r="I5" s="9">
        <f>SUM('Data Sheet'!I18,'Data Sheet'!I20:I24, -1*'Data Sheet'!I19)</f>
        <v>183.42000000000002</v>
      </c>
      <c r="J5" s="9">
        <f>SUM('Data Sheet'!J18,'Data Sheet'!J20:J24, -1*'Data Sheet'!J19)</f>
        <v>343.54</v>
      </c>
      <c r="K5" s="9">
        <f>SUM('Data Sheet'!K18,'Data Sheet'!K20:K24, -1*'Data Sheet'!K19)</f>
        <v>555.87</v>
      </c>
      <c r="L5" s="9">
        <f>SUM(Quarters!H5:K5)</f>
        <v>590.26</v>
      </c>
      <c r="M5" s="9">
        <f>M4-M6</f>
        <v>1053.0715774122257</v>
      </c>
      <c r="N5" s="9">
        <f>N4-N6</f>
        <v>927.57697593086277</v>
      </c>
    </row>
    <row r="6" spans="1:14" s="8" customFormat="1" x14ac:dyDescent="0.25">
      <c r="A6" s="8" t="s">
        <v>8</v>
      </c>
      <c r="B6" s="1">
        <f>B4-B5</f>
        <v>-0.1</v>
      </c>
      <c r="C6" s="1">
        <f t="shared" ref="C6:K6" si="0">C4-C5</f>
        <v>-0.05</v>
      </c>
      <c r="D6" s="1">
        <f t="shared" si="0"/>
        <v>3.2300000000000004</v>
      </c>
      <c r="E6" s="1">
        <f t="shared" si="0"/>
        <v>4.9999999999999964</v>
      </c>
      <c r="F6" s="1">
        <f t="shared" si="0"/>
        <v>5.4400000000000013</v>
      </c>
      <c r="G6" s="1">
        <f t="shared" si="0"/>
        <v>13.810000000000002</v>
      </c>
      <c r="H6" s="1">
        <f t="shared" si="0"/>
        <v>38.269999999999996</v>
      </c>
      <c r="I6" s="1">
        <f t="shared" si="0"/>
        <v>88.509999999999991</v>
      </c>
      <c r="J6" s="1">
        <f t="shared" si="0"/>
        <v>184.8</v>
      </c>
      <c r="K6" s="1">
        <f t="shared" si="0"/>
        <v>293.37</v>
      </c>
      <c r="L6" s="1">
        <f>SUM(Quarters!H6:K6)</f>
        <v>311.65000000000003</v>
      </c>
      <c r="M6" s="1">
        <f>M4*M24</f>
        <v>556.00880476488351</v>
      </c>
      <c r="N6" s="1">
        <f>N4*N24</f>
        <v>469.45974398434322</v>
      </c>
    </row>
    <row r="7" spans="1:14" x14ac:dyDescent="0.25">
      <c r="A7" s="6" t="s">
        <v>9</v>
      </c>
      <c r="B7" s="9">
        <f>'Data Sheet'!B25</f>
        <v>1.35</v>
      </c>
      <c r="C7" s="9">
        <f>'Data Sheet'!C25</f>
        <v>0.09</v>
      </c>
      <c r="D7" s="9">
        <f>'Data Sheet'!D25</f>
        <v>0.02</v>
      </c>
      <c r="E7" s="9">
        <f>'Data Sheet'!E25</f>
        <v>0.06</v>
      </c>
      <c r="F7" s="9">
        <f>'Data Sheet'!F25</f>
        <v>7.0000000000000007E-2</v>
      </c>
      <c r="G7" s="9">
        <f>'Data Sheet'!G25</f>
        <v>0.05</v>
      </c>
      <c r="H7" s="9">
        <f>'Data Sheet'!H25</f>
        <v>0.28999999999999998</v>
      </c>
      <c r="I7" s="9">
        <f>'Data Sheet'!I25</f>
        <v>0.21</v>
      </c>
      <c r="J7" s="9">
        <f>'Data Sheet'!J25</f>
        <v>0.9</v>
      </c>
      <c r="K7" s="9">
        <f>'Data Sheet'!K25</f>
        <v>8.4499999999999993</v>
      </c>
      <c r="L7" s="9">
        <f>SUM(Quarters!H7:K7)</f>
        <v>7.38</v>
      </c>
      <c r="M7" s="9">
        <v>0</v>
      </c>
      <c r="N7" s="9">
        <v>0</v>
      </c>
    </row>
    <row r="8" spans="1:14" x14ac:dyDescent="0.25">
      <c r="A8" s="6" t="s">
        <v>10</v>
      </c>
      <c r="B8" s="9">
        <f>'Data Sheet'!B26</f>
        <v>0</v>
      </c>
      <c r="C8" s="9">
        <f>'Data Sheet'!C26</f>
        <v>0</v>
      </c>
      <c r="D8" s="9">
        <f>'Data Sheet'!D26</f>
        <v>0.69</v>
      </c>
      <c r="E8" s="9">
        <f>'Data Sheet'!E26</f>
        <v>0.8</v>
      </c>
      <c r="F8" s="9">
        <f>'Data Sheet'!F26</f>
        <v>0.81</v>
      </c>
      <c r="G8" s="9">
        <f>'Data Sheet'!G26</f>
        <v>4.3099999999999996</v>
      </c>
      <c r="H8" s="9">
        <f>'Data Sheet'!H26</f>
        <v>9.1199999999999992</v>
      </c>
      <c r="I8" s="9">
        <f>'Data Sheet'!I26</f>
        <v>20.23</v>
      </c>
      <c r="J8" s="9">
        <f>'Data Sheet'!J26</f>
        <v>13.52</v>
      </c>
      <c r="K8" s="9">
        <f>'Data Sheet'!K26</f>
        <v>25.19</v>
      </c>
      <c r="L8" s="9">
        <f>SUM(Quarters!H8:K8)</f>
        <v>31.83</v>
      </c>
      <c r="M8" s="9">
        <f>+$L8</f>
        <v>31.83</v>
      </c>
      <c r="N8" s="9">
        <f>+$L8</f>
        <v>31.83</v>
      </c>
    </row>
    <row r="9" spans="1:14" x14ac:dyDescent="0.25">
      <c r="A9" s="6" t="s">
        <v>11</v>
      </c>
      <c r="B9" s="9">
        <f>'Data Sheet'!B27</f>
        <v>0</v>
      </c>
      <c r="C9" s="9">
        <f>'Data Sheet'!C27</f>
        <v>0</v>
      </c>
      <c r="D9" s="9">
        <f>'Data Sheet'!D27</f>
        <v>0.02</v>
      </c>
      <c r="E9" s="9">
        <f>'Data Sheet'!E27</f>
        <v>0.05</v>
      </c>
      <c r="F9" s="9">
        <f>'Data Sheet'!F27</f>
        <v>0.17</v>
      </c>
      <c r="G9" s="9">
        <f>'Data Sheet'!G27</f>
        <v>0.37</v>
      </c>
      <c r="H9" s="9">
        <f>'Data Sheet'!H27</f>
        <v>0.45</v>
      </c>
      <c r="I9" s="9">
        <f>'Data Sheet'!I27</f>
        <v>0.21</v>
      </c>
      <c r="J9" s="9">
        <f>'Data Sheet'!J27</f>
        <v>1.64</v>
      </c>
      <c r="K9" s="9">
        <f>'Data Sheet'!K27</f>
        <v>10.66</v>
      </c>
      <c r="L9" s="9">
        <f>SUM(Quarters!H9:K9)</f>
        <v>10.540000000000001</v>
      </c>
      <c r="M9" s="9">
        <f>+$L9</f>
        <v>10.540000000000001</v>
      </c>
      <c r="N9" s="9">
        <f>+$L9</f>
        <v>10.540000000000001</v>
      </c>
    </row>
    <row r="10" spans="1:14" x14ac:dyDescent="0.25">
      <c r="A10" s="6" t="s">
        <v>12</v>
      </c>
      <c r="B10" s="9">
        <f>'Data Sheet'!B28</f>
        <v>1.25</v>
      </c>
      <c r="C10" s="9">
        <f>'Data Sheet'!C28</f>
        <v>0.04</v>
      </c>
      <c r="D10" s="9">
        <f>'Data Sheet'!D28</f>
        <v>2.54</v>
      </c>
      <c r="E10" s="9">
        <f>'Data Sheet'!E28</f>
        <v>4.21</v>
      </c>
      <c r="F10" s="9">
        <f>'Data Sheet'!F28</f>
        <v>4.53</v>
      </c>
      <c r="G10" s="9">
        <f>'Data Sheet'!G28</f>
        <v>9.16</v>
      </c>
      <c r="H10" s="9">
        <f>'Data Sheet'!H28</f>
        <v>28.99</v>
      </c>
      <c r="I10" s="9">
        <f>'Data Sheet'!I28</f>
        <v>68.290000000000006</v>
      </c>
      <c r="J10" s="9">
        <f>'Data Sheet'!J28</f>
        <v>170.54</v>
      </c>
      <c r="K10" s="9">
        <f>'Data Sheet'!K28</f>
        <v>265.97000000000003</v>
      </c>
      <c r="L10" s="9">
        <f>SUM(Quarters!H10:K10)</f>
        <v>276.64</v>
      </c>
      <c r="M10" s="9">
        <f>M6+M7-SUM(M8:M9)</f>
        <v>513.6388047648835</v>
      </c>
      <c r="N10" s="9">
        <f>N6+N7-SUM(N8:N9)</f>
        <v>427.08974398434322</v>
      </c>
    </row>
    <row r="11" spans="1:14" x14ac:dyDescent="0.25">
      <c r="A11" s="6" t="s">
        <v>13</v>
      </c>
      <c r="B11" s="9">
        <f>'Data Sheet'!B29</f>
        <v>0</v>
      </c>
      <c r="C11" s="9">
        <f>'Data Sheet'!C29</f>
        <v>0</v>
      </c>
      <c r="D11" s="9">
        <f>'Data Sheet'!D29</f>
        <v>0.45</v>
      </c>
      <c r="E11" s="9">
        <f>'Data Sheet'!E29</f>
        <v>0.7</v>
      </c>
      <c r="F11" s="9">
        <f>'Data Sheet'!F29</f>
        <v>0.55000000000000004</v>
      </c>
      <c r="G11" s="9">
        <f>'Data Sheet'!G29</f>
        <v>1.73</v>
      </c>
      <c r="H11" s="9">
        <f>'Data Sheet'!H29</f>
        <v>5.9</v>
      </c>
      <c r="I11" s="9">
        <f>'Data Sheet'!I29</f>
        <v>15.05</v>
      </c>
      <c r="J11" s="9">
        <f>'Data Sheet'!J29</f>
        <v>41.36</v>
      </c>
      <c r="K11" s="9">
        <f>'Data Sheet'!K29</f>
        <v>60.55</v>
      </c>
      <c r="L11" s="9">
        <f>SUM(Quarters!H11:K11)</f>
        <v>63.21</v>
      </c>
      <c r="M11" s="10">
        <f>IF($L10&gt;0,$L11/$L10,0)</f>
        <v>0.22849190283400811</v>
      </c>
      <c r="N11" s="10">
        <f>IF($L10&gt;0,$L11/$L10,0)</f>
        <v>0.22849190283400811</v>
      </c>
    </row>
    <row r="12" spans="1:14" s="8" customFormat="1" x14ac:dyDescent="0.25">
      <c r="A12" s="8" t="s">
        <v>14</v>
      </c>
      <c r="B12" s="1">
        <f>'Data Sheet'!B30</f>
        <v>1.25</v>
      </c>
      <c r="C12" s="1">
        <f>'Data Sheet'!C30</f>
        <v>0.04</v>
      </c>
      <c r="D12" s="1">
        <f>'Data Sheet'!D30</f>
        <v>2.09</v>
      </c>
      <c r="E12" s="1">
        <f>'Data Sheet'!E30</f>
        <v>3.5</v>
      </c>
      <c r="F12" s="1">
        <f>'Data Sheet'!F30</f>
        <v>3.97</v>
      </c>
      <c r="G12" s="1">
        <f>'Data Sheet'!G30</f>
        <v>6.08</v>
      </c>
      <c r="H12" s="1">
        <f>'Data Sheet'!H30</f>
        <v>18.98</v>
      </c>
      <c r="I12" s="1">
        <f>'Data Sheet'!I30</f>
        <v>39.590000000000003</v>
      </c>
      <c r="J12" s="1">
        <f>'Data Sheet'!J30</f>
        <v>104.47</v>
      </c>
      <c r="K12" s="1">
        <f>'Data Sheet'!K30</f>
        <v>171.62</v>
      </c>
      <c r="L12" s="1">
        <f>SUM(Quarters!H12:K12)</f>
        <v>213.44</v>
      </c>
      <c r="M12" s="1">
        <f>M10-M11*M10</f>
        <v>396.27649689476971</v>
      </c>
      <c r="N12" s="1">
        <f>N10-N11*N10</f>
        <v>329.50319570047128</v>
      </c>
    </row>
    <row r="13" spans="1:14" x14ac:dyDescent="0.25">
      <c r="A13" s="11" t="s">
        <v>58</v>
      </c>
      <c r="B13" s="9">
        <f>IF('Data Sheet'!B93&gt;0,B12/'Data Sheet'!B93,0)</f>
        <v>0.55812434144118328</v>
      </c>
      <c r="C13" s="9">
        <f>IF('Data Sheet'!C93&gt;0,C12/'Data Sheet'!C93,0)</f>
        <v>1.7859978926117865E-2</v>
      </c>
      <c r="D13" s="9">
        <f>IF('Data Sheet'!D93&gt;0,D12/'Data Sheet'!D93,0)</f>
        <v>0.91846476285767165</v>
      </c>
      <c r="E13" s="9">
        <f>IF('Data Sheet'!E93&gt;0,E12/'Data Sheet'!E93,0)</f>
        <v>1.5380988851683497</v>
      </c>
      <c r="F13" s="9">
        <f>IF('Data Sheet'!F93&gt;0,F12/'Data Sheet'!F93,0)</f>
        <v>1.4323026827173559</v>
      </c>
      <c r="G13" s="9">
        <f>IF('Data Sheet'!G93&gt;0,G12/'Data Sheet'!G93,0)</f>
        <v>2.1935517155973612</v>
      </c>
      <c r="H13" s="9">
        <f>IF('Data Sheet'!H93&gt;0,H12/'Data Sheet'!H93,0)</f>
        <v>6.7025442299940261</v>
      </c>
      <c r="I13" s="9">
        <f>IF('Data Sheet'!I93&gt;0,I12/'Data Sheet'!I93,0)</f>
        <v>13.457927659304692</v>
      </c>
      <c r="J13" s="9">
        <f>IF('Data Sheet'!J93&gt;0,J12/'Data Sheet'!J93,0)</f>
        <v>34.232699453315554</v>
      </c>
      <c r="K13" s="9">
        <f>IF('Data Sheet'!K93&gt;0,K12/'Data Sheet'!K93,0)</f>
        <v>56.236392075983687</v>
      </c>
      <c r="L13" s="9">
        <f>IF('Data Sheet'!$B6&gt;0,'Profit &amp; Loss'!L12/'Data Sheet'!$B6,0)</f>
        <v>69.9400265916329</v>
      </c>
      <c r="M13" s="9">
        <f>IF('Data Sheet'!$B6&gt;0,'Profit &amp; Loss'!M12/'Data Sheet'!$B6,0)</f>
        <v>129.85189622591514</v>
      </c>
      <c r="N13" s="9">
        <f>IF('Data Sheet'!$B6&gt;0,'Profit &amp; Loss'!N12/'Data Sheet'!$B6,0)</f>
        <v>107.97161857814365</v>
      </c>
    </row>
    <row r="14" spans="1:14" x14ac:dyDescent="0.25">
      <c r="A14" s="6" t="s">
        <v>16</v>
      </c>
      <c r="B14" s="9" t="str">
        <f>IF(B15&gt;0,B15/B13,"")</f>
        <v/>
      </c>
      <c r="C14" s="9" t="str">
        <f t="shared" ref="C14:K14" si="1">IF(C15&gt;0,C15/C13,"")</f>
        <v/>
      </c>
      <c r="D14" s="9">
        <f t="shared" si="1"/>
        <v>12.071386348567081</v>
      </c>
      <c r="E14" s="9">
        <f t="shared" si="1"/>
        <v>7.8616531853714289</v>
      </c>
      <c r="F14" s="9">
        <f t="shared" si="1"/>
        <v>13.832271794962217</v>
      </c>
      <c r="G14" s="9">
        <f t="shared" si="1"/>
        <v>18.4788034454713</v>
      </c>
      <c r="H14" s="9">
        <f t="shared" si="1"/>
        <v>41.113492211933618</v>
      </c>
      <c r="I14" s="9">
        <f t="shared" si="1"/>
        <v>55.337330371597233</v>
      </c>
      <c r="J14" s="9">
        <f t="shared" si="1"/>
        <v>16.986067598700043</v>
      </c>
      <c r="K14" s="9">
        <f t="shared" si="1"/>
        <v>13.326864230325723</v>
      </c>
      <c r="L14" s="9">
        <f>IF(L13&gt;0,L15/L13,0)</f>
        <v>3.0304535232383811</v>
      </c>
      <c r="M14" s="9">
        <f>M25</f>
        <v>22.170178930965346</v>
      </c>
      <c r="N14" s="9">
        <f>N25</f>
        <v>3.0304535232383811</v>
      </c>
    </row>
    <row r="15" spans="1:14" s="8" customFormat="1" x14ac:dyDescent="0.25">
      <c r="A15" s="8" t="s">
        <v>59</v>
      </c>
      <c r="B15" s="1">
        <f>'Data Sheet'!B90</f>
        <v>0</v>
      </c>
      <c r="C15" s="1">
        <f>'Data Sheet'!C90</f>
        <v>0</v>
      </c>
      <c r="D15" s="1">
        <f>'Data Sheet'!D90</f>
        <v>11.087142999999999</v>
      </c>
      <c r="E15" s="1">
        <f>'Data Sheet'!E90</f>
        <v>12.092000000000001</v>
      </c>
      <c r="F15" s="1">
        <f>'Data Sheet'!F90</f>
        <v>19.812000000000001</v>
      </c>
      <c r="G15" s="1">
        <f>'Data Sheet'!G90</f>
        <v>40.534210999999999</v>
      </c>
      <c r="H15" s="1">
        <f>'Data Sheet'!H90</f>
        <v>275.565</v>
      </c>
      <c r="I15" s="1">
        <f>'Data Sheet'!I90</f>
        <v>744.72578899999996</v>
      </c>
      <c r="J15" s="1">
        <f>'Data Sheet'!J90</f>
        <v>581.47894699999995</v>
      </c>
      <c r="K15" s="1">
        <f>'Data Sheet'!K90</f>
        <v>749.45476199999996</v>
      </c>
      <c r="L15" s="1">
        <f>'Data Sheet'!B8</f>
        <v>211.95</v>
      </c>
      <c r="M15" s="12">
        <f>M13*M14</f>
        <v>2878.8397738536823</v>
      </c>
      <c r="N15" s="13">
        <f>N13*N14</f>
        <v>327.20297192988608</v>
      </c>
    </row>
    <row r="17" spans="1:14" s="8" customFormat="1" x14ac:dyDescent="0.25">
      <c r="A17" s="8" t="s">
        <v>15</v>
      </c>
    </row>
    <row r="18" spans="1:14" x14ac:dyDescent="0.25">
      <c r="A18" s="6" t="s">
        <v>17</v>
      </c>
      <c r="B18" s="7">
        <f>IF('Data Sheet'!B30&gt;0, 'Data Sheet'!B31/'Data Sheet'!B30, 0)</f>
        <v>0</v>
      </c>
      <c r="C18" s="7">
        <f>IF('Data Sheet'!C30&gt;0, 'Data Sheet'!C31/'Data Sheet'!C30, 0)</f>
        <v>0</v>
      </c>
      <c r="D18" s="7">
        <f>IF('Data Sheet'!D30&gt;0, 'Data Sheet'!D31/'Data Sheet'!D30, 0)</f>
        <v>0</v>
      </c>
      <c r="E18" s="7">
        <f>IF('Data Sheet'!E30&gt;0, 'Data Sheet'!E31/'Data Sheet'!E30, 0)</f>
        <v>0</v>
      </c>
      <c r="F18" s="7">
        <f>IF('Data Sheet'!F30&gt;0, 'Data Sheet'!F31/'Data Sheet'!F30, 0)</f>
        <v>0</v>
      </c>
      <c r="G18" s="7">
        <f>IF('Data Sheet'!G30&gt;0, 'Data Sheet'!G31/'Data Sheet'!G30, 0)</f>
        <v>0</v>
      </c>
      <c r="H18" s="7">
        <f>IF('Data Sheet'!H30&gt;0, 'Data Sheet'!H31/'Data Sheet'!H30, 0)</f>
        <v>0</v>
      </c>
      <c r="I18" s="7">
        <f>IF('Data Sheet'!I30&gt;0, 'Data Sheet'!I31/'Data Sheet'!I30, 0)</f>
        <v>0</v>
      </c>
      <c r="J18" s="7">
        <f>IF('Data Sheet'!J30&gt;0, 'Data Sheet'!J31/'Data Sheet'!J30, 0)</f>
        <v>2.9194984205992151E-2</v>
      </c>
      <c r="K18" s="7">
        <f>IF('Data Sheet'!K30&gt;0, 'Data Sheet'!K31/'Data Sheet'!K30, 0)</f>
        <v>0</v>
      </c>
    </row>
    <row r="19" spans="1:14" x14ac:dyDescent="0.25">
      <c r="A19" s="6" t="s">
        <v>18</v>
      </c>
      <c r="B19" s="7">
        <f>IF(B6&gt;0,B6/B4,0)</f>
        <v>0</v>
      </c>
      <c r="C19" s="7">
        <f t="shared" ref="C19:K19" si="2">IF(C6&gt;0,C6/C4,0)</f>
        <v>0</v>
      </c>
      <c r="D19" s="7">
        <f t="shared" si="2"/>
        <v>0.19791666666666669</v>
      </c>
      <c r="E19" s="7">
        <f t="shared" si="2"/>
        <v>0.23741690408357061</v>
      </c>
      <c r="F19" s="7">
        <f t="shared" si="2"/>
        <v>0.20755436856161774</v>
      </c>
      <c r="G19" s="7">
        <f t="shared" si="2"/>
        <v>0.31343622333182031</v>
      </c>
      <c r="H19" s="7">
        <f t="shared" si="2"/>
        <v>0.30652783340008005</v>
      </c>
      <c r="I19" s="7">
        <f t="shared" si="2"/>
        <v>0.32548817710440181</v>
      </c>
      <c r="J19" s="7">
        <f t="shared" si="2"/>
        <v>0.34977476624900633</v>
      </c>
      <c r="K19" s="7">
        <f t="shared" si="2"/>
        <v>0.34545004945598418</v>
      </c>
      <c r="L19" s="7">
        <f>IF(L6&gt;0,L6/L4,0)</f>
        <v>0.34554445565522057</v>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25">
      <c r="A23" s="6"/>
      <c r="B23" s="6"/>
      <c r="C23" s="6"/>
      <c r="D23" s="6"/>
      <c r="E23" s="6"/>
      <c r="F23" s="6"/>
      <c r="G23" s="6" t="s">
        <v>22</v>
      </c>
      <c r="H23" s="7" t="str">
        <f>IF(B4=0,"",POWER($K4/B4,1/9)-1)</f>
        <v/>
      </c>
      <c r="I23" s="7">
        <f>IF(D4=0,"",POWER($K4/D4,1/7)-1)</f>
        <v>0.75868145435967915</v>
      </c>
      <c r="J23" s="7">
        <f>IF(F4=0,"",POWER($K4/F4,1/5)-1)</f>
        <v>1.0049921848250656</v>
      </c>
      <c r="K23" s="7">
        <f>IF(H4=0,"",POWER($K4/H4, 1/3)-1)</f>
        <v>0.89472985513766323</v>
      </c>
      <c r="L23" s="7">
        <f>IF(ISERROR(MAX(IF(J4=0,"",(K4-J4)/J4),IF(K4=0,"",(L4-K4)/K4))),"",MAX(IF(J4=0,"",(K4-J4)/J4),IF(K4=0,"",(L4-K4)/K4)))</f>
        <v>0.60737403944429713</v>
      </c>
      <c r="M23" s="22">
        <f>MAX(K23:L23)</f>
        <v>0.89472985513766323</v>
      </c>
      <c r="N23" s="22">
        <f>MIN(H23:L23)</f>
        <v>0.60737403944429713</v>
      </c>
    </row>
    <row r="24" spans="1:14" x14ac:dyDescent="0.25">
      <c r="G24" s="6" t="s">
        <v>18</v>
      </c>
      <c r="H24" s="7">
        <f>IF(SUM(B4:$K$4)=0,"",SUMPRODUCT(B19:$K$19,B4:$K$4)/SUM(B4:$K$4))</f>
        <v>0.33603965972550626</v>
      </c>
      <c r="I24" s="7">
        <f>IF(SUM(E4:$K$4)=0,"",SUMPRODUCT(E19:$K$19,E4:$K$4)/SUM(E4:$K$4))</f>
        <v>0.33724788148084622</v>
      </c>
      <c r="J24" s="7">
        <f>IF(SUM(G4:$K$4)=0,"",SUMPRODUCT(G19:$K$19,G4:$K$4)/SUM(G4:$K$4))</f>
        <v>0.34027342418143219</v>
      </c>
      <c r="K24" s="7">
        <f>IF(SUM(I4:$K$4)=0, "", SUMPRODUCT(I19:$K$19,I4:$K$4)/SUM(I4:$K$4))</f>
        <v>0.34354444653260668</v>
      </c>
      <c r="L24" s="7">
        <f>L19</f>
        <v>0.34554445565522057</v>
      </c>
      <c r="M24" s="22">
        <f>MAX(K24:L24)</f>
        <v>0.34554445565522057</v>
      </c>
      <c r="N24" s="22">
        <f>MIN(H24:L24)</f>
        <v>0.33603965972550626</v>
      </c>
    </row>
    <row r="25" spans="1:14" x14ac:dyDescent="0.25">
      <c r="G25" s="6" t="s">
        <v>23</v>
      </c>
      <c r="H25" s="9">
        <f>IF(ISERROR(AVERAGEIF(B14:$L14,"&gt;0")),"",AVERAGEIF(B14:$L14,"&gt;0"))</f>
        <v>20.226480301129669</v>
      </c>
      <c r="I25" s="9">
        <f>IF(ISERROR(AVERAGEIF(E14:$L14,"&gt;0")),"",AVERAGEIF(E14:$L14,"&gt;0"))</f>
        <v>21.245867045199994</v>
      </c>
      <c r="J25" s="9">
        <f>IF(ISERROR(AVERAGEIF(G14:$L14,"&gt;0")),"",AVERAGEIF(G14:$L14,"&gt;0"))</f>
        <v>24.712168563544381</v>
      </c>
      <c r="K25" s="9">
        <f>IF(ISERROR(AVERAGEIF(I14:$L14,"&gt;0")),"",AVERAGEIF(I14:$L14,"&gt;0"))</f>
        <v>22.170178930965346</v>
      </c>
      <c r="L25" s="9">
        <f>L14</f>
        <v>3.0304535232383811</v>
      </c>
      <c r="M25" s="1">
        <f>MAX(K25:L25)</f>
        <v>22.170178930965346</v>
      </c>
      <c r="N25" s="1">
        <f>MIN(H25:L25)</f>
        <v>3.0304535232383811</v>
      </c>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6" sqref="B6"/>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1" s="8" customFormat="1" x14ac:dyDescent="0.25">
      <c r="A1" s="8" t="str">
        <f>'Profit &amp; Loss'!A1</f>
        <v>8K MILES SOFTWARE SERVICES LTD</v>
      </c>
      <c r="E1" t="str">
        <f>UPDATE</f>
        <v/>
      </c>
      <c r="G1"/>
      <c r="J1" s="4" t="s">
        <v>1</v>
      </c>
      <c r="K1" s="4"/>
    </row>
    <row r="2" spans="1:11" x14ac:dyDescent="0.25">
      <c r="G2" s="8"/>
      <c r="H2" s="8"/>
    </row>
    <row r="3" spans="1:11" s="18" customFormat="1" x14ac:dyDescent="0.25">
      <c r="A3" s="15" t="s">
        <v>2</v>
      </c>
      <c r="B3" s="16">
        <f>'Data Sheet'!B56</f>
        <v>39903</v>
      </c>
      <c r="C3" s="16">
        <f>'Data Sheet'!C56</f>
        <v>40268</v>
      </c>
      <c r="D3" s="16">
        <f>'Data Sheet'!D56</f>
        <v>40633</v>
      </c>
      <c r="E3" s="16">
        <f>'Data Sheet'!E56</f>
        <v>40999</v>
      </c>
      <c r="F3" s="16">
        <f>'Data Sheet'!F56</f>
        <v>41364</v>
      </c>
      <c r="G3" s="16">
        <f>'Data Sheet'!G56</f>
        <v>41729</v>
      </c>
      <c r="H3" s="16">
        <f>'Data Sheet'!H56</f>
        <v>42094</v>
      </c>
      <c r="I3" s="16">
        <f>'Data Sheet'!I56</f>
        <v>42460</v>
      </c>
      <c r="J3" s="16">
        <f>'Data Sheet'!J56</f>
        <v>42825</v>
      </c>
      <c r="K3" s="16">
        <f>'Data Sheet'!K56</f>
        <v>43190</v>
      </c>
    </row>
    <row r="4" spans="1:11" x14ac:dyDescent="0.25">
      <c r="A4" s="6" t="s">
        <v>24</v>
      </c>
      <c r="B4" s="19">
        <f>'Data Sheet'!B57</f>
        <v>1.56</v>
      </c>
      <c r="C4" s="19">
        <f>'Data Sheet'!C57</f>
        <v>1.56</v>
      </c>
      <c r="D4" s="19">
        <f>'Data Sheet'!D57</f>
        <v>5.55</v>
      </c>
      <c r="E4" s="19">
        <f>'Data Sheet'!E57</f>
        <v>5.55</v>
      </c>
      <c r="F4" s="19">
        <f>'Data Sheet'!F57</f>
        <v>10.039999999999999</v>
      </c>
      <c r="G4" s="19">
        <f>'Data Sheet'!G57</f>
        <v>10.039999999999999</v>
      </c>
      <c r="H4" s="19">
        <f>'Data Sheet'!H57</f>
        <v>10.34</v>
      </c>
      <c r="I4" s="19">
        <f>'Data Sheet'!I57</f>
        <v>10.89</v>
      </c>
      <c r="J4" s="19">
        <f>'Data Sheet'!J57</f>
        <v>15.26</v>
      </c>
      <c r="K4" s="19">
        <f>'Data Sheet'!K57</f>
        <v>15.26</v>
      </c>
    </row>
    <row r="5" spans="1:11" s="6" customFormat="1" x14ac:dyDescent="0.25">
      <c r="A5" s="6" t="s">
        <v>25</v>
      </c>
      <c r="B5" s="19">
        <f>'Data Sheet'!B58</f>
        <v>4.88</v>
      </c>
      <c r="C5" s="19">
        <f>'Data Sheet'!C58</f>
        <v>4.92</v>
      </c>
      <c r="D5" s="19">
        <f>'Data Sheet'!D58</f>
        <v>15.14</v>
      </c>
      <c r="E5" s="19">
        <f>'Data Sheet'!E58</f>
        <v>19.96</v>
      </c>
      <c r="F5" s="19">
        <f>'Data Sheet'!F58</f>
        <v>17.55</v>
      </c>
      <c r="G5" s="19">
        <f>'Data Sheet'!G58</f>
        <v>51.96</v>
      </c>
      <c r="H5" s="19">
        <f>'Data Sheet'!H58</f>
        <v>89.44</v>
      </c>
      <c r="I5" s="19">
        <f>'Data Sheet'!I58</f>
        <v>193.56</v>
      </c>
      <c r="J5" s="19">
        <f>'Data Sheet'!J58</f>
        <v>304.69</v>
      </c>
      <c r="K5" s="19">
        <f>'Data Sheet'!K58</f>
        <v>475.84</v>
      </c>
    </row>
    <row r="6" spans="1:11" x14ac:dyDescent="0.25">
      <c r="A6" s="11" t="s">
        <v>72</v>
      </c>
      <c r="B6" s="19">
        <f>'Data Sheet'!B59</f>
        <v>1.31</v>
      </c>
      <c r="C6" s="19">
        <f>'Data Sheet'!C59</f>
        <v>0</v>
      </c>
      <c r="D6" s="19">
        <f>'Data Sheet'!D59</f>
        <v>1.07</v>
      </c>
      <c r="E6" s="19">
        <f>'Data Sheet'!E59</f>
        <v>2.93</v>
      </c>
      <c r="F6" s="19">
        <f>'Data Sheet'!F59</f>
        <v>2.11</v>
      </c>
      <c r="G6" s="19">
        <f>'Data Sheet'!G59</f>
        <v>3.78</v>
      </c>
      <c r="H6" s="19">
        <f>'Data Sheet'!H59</f>
        <v>7.0000000000000007E-2</v>
      </c>
      <c r="I6" s="19">
        <f>'Data Sheet'!I59</f>
        <v>2.72</v>
      </c>
      <c r="J6" s="19">
        <f>'Data Sheet'!J59</f>
        <v>40.79</v>
      </c>
      <c r="K6" s="19">
        <f>'Data Sheet'!K59</f>
        <v>86.48</v>
      </c>
    </row>
    <row r="7" spans="1:11" s="6" customFormat="1" x14ac:dyDescent="0.25">
      <c r="A7" s="11" t="s">
        <v>73</v>
      </c>
      <c r="B7" s="19">
        <f>'Data Sheet'!B60</f>
        <v>0.16</v>
      </c>
      <c r="C7" s="19">
        <f>'Data Sheet'!C60</f>
        <v>0.15</v>
      </c>
      <c r="D7" s="19">
        <f>'Data Sheet'!D60</f>
        <v>13.57</v>
      </c>
      <c r="E7" s="19">
        <f>'Data Sheet'!E60</f>
        <v>15.97</v>
      </c>
      <c r="F7" s="19">
        <f>'Data Sheet'!F60</f>
        <v>15.06</v>
      </c>
      <c r="G7" s="19">
        <f>'Data Sheet'!G60</f>
        <v>33.78</v>
      </c>
      <c r="H7" s="19">
        <f>'Data Sheet'!H60</f>
        <v>52</v>
      </c>
      <c r="I7" s="19">
        <f>'Data Sheet'!I60</f>
        <v>106.94</v>
      </c>
      <c r="J7" s="19">
        <f>'Data Sheet'!J60</f>
        <v>150.77000000000001</v>
      </c>
      <c r="K7" s="19">
        <f>'Data Sheet'!K60</f>
        <v>243.64</v>
      </c>
    </row>
    <row r="8" spans="1:11" s="8" customFormat="1" x14ac:dyDescent="0.25">
      <c r="A8" s="8" t="s">
        <v>26</v>
      </c>
      <c r="B8" s="20">
        <f>'Data Sheet'!B61</f>
        <v>7.91</v>
      </c>
      <c r="C8" s="20">
        <f>'Data Sheet'!C61</f>
        <v>6.63</v>
      </c>
      <c r="D8" s="20">
        <f>'Data Sheet'!D61</f>
        <v>35.33</v>
      </c>
      <c r="E8" s="20">
        <f>'Data Sheet'!E61</f>
        <v>44.41</v>
      </c>
      <c r="F8" s="20">
        <f>'Data Sheet'!F61</f>
        <v>44.76</v>
      </c>
      <c r="G8" s="20">
        <f>'Data Sheet'!G61</f>
        <v>99.56</v>
      </c>
      <c r="H8" s="20">
        <f>'Data Sheet'!H61</f>
        <v>151.85</v>
      </c>
      <c r="I8" s="20">
        <f>'Data Sheet'!I61</f>
        <v>314.11</v>
      </c>
      <c r="J8" s="20">
        <f>'Data Sheet'!J61</f>
        <v>511.51</v>
      </c>
      <c r="K8" s="20">
        <f>'Data Sheet'!K61</f>
        <v>821.22</v>
      </c>
    </row>
    <row r="9" spans="1:11" s="8" customFormat="1" x14ac:dyDescent="0.25">
      <c r="B9" s="20"/>
      <c r="C9" s="20"/>
      <c r="D9" s="20"/>
      <c r="E9" s="20"/>
      <c r="F9" s="20"/>
      <c r="G9" s="20"/>
      <c r="H9" s="20"/>
      <c r="I9" s="20"/>
      <c r="J9" s="20"/>
      <c r="K9" s="20"/>
    </row>
    <row r="10" spans="1:11" x14ac:dyDescent="0.25">
      <c r="A10" s="6" t="s">
        <v>27</v>
      </c>
      <c r="B10" s="19">
        <f>'Data Sheet'!B62</f>
        <v>0.11</v>
      </c>
      <c r="C10" s="19">
        <f>'Data Sheet'!C62</f>
        <v>0.09</v>
      </c>
      <c r="D10" s="19">
        <f>'Data Sheet'!D62</f>
        <v>6.05</v>
      </c>
      <c r="E10" s="19">
        <f>'Data Sheet'!E62</f>
        <v>5.98</v>
      </c>
      <c r="F10" s="19">
        <f>'Data Sheet'!F62</f>
        <v>0.73</v>
      </c>
      <c r="G10" s="19">
        <f>'Data Sheet'!G62</f>
        <v>52.25</v>
      </c>
      <c r="H10" s="19">
        <f>'Data Sheet'!H62</f>
        <v>79.12</v>
      </c>
      <c r="I10" s="19">
        <f>'Data Sheet'!I62</f>
        <v>146.37</v>
      </c>
      <c r="J10" s="19">
        <f>'Data Sheet'!J62</f>
        <v>187.4</v>
      </c>
      <c r="K10" s="19">
        <f>'Data Sheet'!K62</f>
        <v>358.34</v>
      </c>
    </row>
    <row r="11" spans="1:11" x14ac:dyDescent="0.25">
      <c r="A11" s="6" t="s">
        <v>28</v>
      </c>
      <c r="B11" s="19">
        <f>'Data Sheet'!B63</f>
        <v>0</v>
      </c>
      <c r="C11" s="19">
        <f>'Data Sheet'!C63</f>
        <v>0</v>
      </c>
      <c r="D11" s="19">
        <f>'Data Sheet'!D63</f>
        <v>12.59</v>
      </c>
      <c r="E11" s="19">
        <f>'Data Sheet'!E63</f>
        <v>16.43</v>
      </c>
      <c r="F11" s="19">
        <f>'Data Sheet'!F63</f>
        <v>17.48</v>
      </c>
      <c r="G11" s="19">
        <f>'Data Sheet'!G63</f>
        <v>19.579999999999998</v>
      </c>
      <c r="H11" s="19">
        <f>'Data Sheet'!H63</f>
        <v>19.899999999999999</v>
      </c>
      <c r="I11" s="19">
        <f>'Data Sheet'!I63</f>
        <v>18.13</v>
      </c>
      <c r="J11" s="19">
        <f>'Data Sheet'!J63</f>
        <v>20.72</v>
      </c>
      <c r="K11" s="19">
        <f>'Data Sheet'!K63</f>
        <v>28.06</v>
      </c>
    </row>
    <row r="12" spans="1:11" x14ac:dyDescent="0.25">
      <c r="A12" s="6" t="s">
        <v>29</v>
      </c>
      <c r="B12" s="19">
        <f>'Data Sheet'!B64</f>
        <v>0.71</v>
      </c>
      <c r="C12" s="19">
        <f>'Data Sheet'!C64</f>
        <v>0</v>
      </c>
      <c r="D12" s="19">
        <f>'Data Sheet'!D64</f>
        <v>0</v>
      </c>
      <c r="E12" s="19">
        <f>'Data Sheet'!E64</f>
        <v>0</v>
      </c>
      <c r="F12" s="19">
        <f>'Data Sheet'!F64</f>
        <v>0</v>
      </c>
      <c r="G12" s="19">
        <f>'Data Sheet'!G64</f>
        <v>0</v>
      </c>
      <c r="H12" s="19">
        <f>'Data Sheet'!H64</f>
        <v>0</v>
      </c>
      <c r="I12" s="19">
        <f>'Data Sheet'!I64</f>
        <v>0</v>
      </c>
      <c r="J12" s="19">
        <f>'Data Sheet'!J64</f>
        <v>0</v>
      </c>
      <c r="K12" s="19">
        <f>'Data Sheet'!K64</f>
        <v>0</v>
      </c>
    </row>
    <row r="13" spans="1:11" x14ac:dyDescent="0.25">
      <c r="A13" s="11" t="s">
        <v>74</v>
      </c>
      <c r="B13" s="19">
        <f>'Data Sheet'!B65</f>
        <v>7.09</v>
      </c>
      <c r="C13" s="19">
        <f>'Data Sheet'!C65</f>
        <v>6.54</v>
      </c>
      <c r="D13" s="19">
        <f>'Data Sheet'!D65</f>
        <v>16.690000000000001</v>
      </c>
      <c r="E13" s="19">
        <f>'Data Sheet'!E65</f>
        <v>22</v>
      </c>
      <c r="F13" s="19">
        <f>'Data Sheet'!F65</f>
        <v>26.55</v>
      </c>
      <c r="G13" s="19">
        <f>'Data Sheet'!G65</f>
        <v>27.73</v>
      </c>
      <c r="H13" s="19">
        <f>'Data Sheet'!H65</f>
        <v>52.83</v>
      </c>
      <c r="I13" s="19">
        <f>'Data Sheet'!I65</f>
        <v>149.61000000000001</v>
      </c>
      <c r="J13" s="19">
        <f>'Data Sheet'!J65</f>
        <v>303.39</v>
      </c>
      <c r="K13" s="19">
        <f>'Data Sheet'!K65</f>
        <v>434.82</v>
      </c>
    </row>
    <row r="14" spans="1:11" s="8" customFormat="1" x14ac:dyDescent="0.25">
      <c r="A14" s="8" t="s">
        <v>26</v>
      </c>
      <c r="B14" s="19">
        <f>'Data Sheet'!B66</f>
        <v>7.91</v>
      </c>
      <c r="C14" s="19">
        <f>'Data Sheet'!C66</f>
        <v>6.63</v>
      </c>
      <c r="D14" s="19">
        <f>'Data Sheet'!D66</f>
        <v>35.33</v>
      </c>
      <c r="E14" s="19">
        <f>'Data Sheet'!E66</f>
        <v>44.41</v>
      </c>
      <c r="F14" s="19">
        <f>'Data Sheet'!F66</f>
        <v>44.76</v>
      </c>
      <c r="G14" s="19">
        <f>'Data Sheet'!G66</f>
        <v>99.56</v>
      </c>
      <c r="H14" s="19">
        <f>'Data Sheet'!H66</f>
        <v>151.85</v>
      </c>
      <c r="I14" s="19">
        <f>'Data Sheet'!I66</f>
        <v>314.11</v>
      </c>
      <c r="J14" s="19">
        <f>'Data Sheet'!J66</f>
        <v>511.51</v>
      </c>
      <c r="K14" s="19">
        <f>'Data Sheet'!K66</f>
        <v>821.22</v>
      </c>
    </row>
    <row r="15" spans="1:11" x14ac:dyDescent="0.25">
      <c r="A15" s="6"/>
      <c r="B15" s="21"/>
      <c r="C15" s="21"/>
      <c r="D15" s="21"/>
      <c r="E15" s="21"/>
      <c r="F15" s="21"/>
      <c r="G15" s="21"/>
      <c r="H15" s="21"/>
      <c r="I15" s="21"/>
      <c r="J15" s="21"/>
      <c r="K15" s="21"/>
    </row>
    <row r="16" spans="1:11" x14ac:dyDescent="0.25">
      <c r="A16" s="29" t="s">
        <v>30</v>
      </c>
      <c r="B16" s="21">
        <f>B13-B7</f>
        <v>6.93</v>
      </c>
      <c r="C16" s="21">
        <f t="shared" ref="C16:K16" si="0">C13-C7</f>
        <v>6.39</v>
      </c>
      <c r="D16" s="21">
        <f t="shared" si="0"/>
        <v>3.120000000000001</v>
      </c>
      <c r="E16" s="21">
        <f t="shared" si="0"/>
        <v>6.0299999999999994</v>
      </c>
      <c r="F16" s="21">
        <f t="shared" si="0"/>
        <v>11.49</v>
      </c>
      <c r="G16" s="21">
        <f t="shared" si="0"/>
        <v>-6.0500000000000007</v>
      </c>
      <c r="H16" s="21">
        <f t="shared" si="0"/>
        <v>0.82999999999999829</v>
      </c>
      <c r="I16" s="21">
        <f t="shared" si="0"/>
        <v>42.670000000000016</v>
      </c>
      <c r="J16" s="21">
        <f t="shared" si="0"/>
        <v>152.61999999999998</v>
      </c>
      <c r="K16" s="21">
        <f t="shared" si="0"/>
        <v>191.18</v>
      </c>
    </row>
    <row r="17" spans="1:11" x14ac:dyDescent="0.25">
      <c r="A17" s="11" t="s">
        <v>44</v>
      </c>
      <c r="B17" s="21">
        <f>'Data Sheet'!B67</f>
        <v>2.76</v>
      </c>
      <c r="C17" s="21">
        <f>'Data Sheet'!C67</f>
        <v>2.76</v>
      </c>
      <c r="D17" s="21">
        <f>'Data Sheet'!D67</f>
        <v>10.96</v>
      </c>
      <c r="E17" s="21">
        <f>'Data Sheet'!E67</f>
        <v>12.95</v>
      </c>
      <c r="F17" s="21">
        <f>'Data Sheet'!F67</f>
        <v>13.83</v>
      </c>
      <c r="G17" s="21">
        <f>'Data Sheet'!G67</f>
        <v>13.42</v>
      </c>
      <c r="H17" s="21">
        <f>'Data Sheet'!H67</f>
        <v>28.14</v>
      </c>
      <c r="I17" s="21">
        <f>'Data Sheet'!I67</f>
        <v>80.209999999999994</v>
      </c>
      <c r="J17" s="21">
        <f>'Data Sheet'!J67</f>
        <v>129.47999999999999</v>
      </c>
      <c r="K17" s="21">
        <f>'Data Sheet'!K67</f>
        <v>252.52</v>
      </c>
    </row>
    <row r="18" spans="1:11" x14ac:dyDescent="0.25">
      <c r="A18" s="11" t="s">
        <v>45</v>
      </c>
      <c r="B18" s="21">
        <f>'Data Sheet'!B68</f>
        <v>0</v>
      </c>
      <c r="C18" s="21">
        <f>'Data Sheet'!C68</f>
        <v>0</v>
      </c>
      <c r="D18" s="21">
        <f>'Data Sheet'!D68</f>
        <v>0</v>
      </c>
      <c r="E18" s="21">
        <f>'Data Sheet'!E68</f>
        <v>0</v>
      </c>
      <c r="F18" s="21">
        <f>'Data Sheet'!F68</f>
        <v>0</v>
      </c>
      <c r="G18" s="21">
        <f>'Data Sheet'!G68</f>
        <v>0</v>
      </c>
      <c r="H18" s="21">
        <f>'Data Sheet'!H68</f>
        <v>0</v>
      </c>
      <c r="I18" s="21">
        <f>'Data Sheet'!I68</f>
        <v>0</v>
      </c>
      <c r="J18" s="21">
        <f>'Data Sheet'!J68</f>
        <v>0</v>
      </c>
      <c r="K18" s="21">
        <f>'Data Sheet'!K68</f>
        <v>0</v>
      </c>
    </row>
    <row r="20" spans="1:11" x14ac:dyDescent="0.25">
      <c r="A20" s="11" t="s">
        <v>46</v>
      </c>
      <c r="B20" s="5">
        <f>IF('Profit &amp; Loss'!B4&gt;0,'Balance Sheet'!B17/('Profit &amp; Loss'!B4/365),0)</f>
        <v>0</v>
      </c>
      <c r="C20" s="5">
        <f>IF('Profit &amp; Loss'!C4&gt;0,'Balance Sheet'!C17/('Profit &amp; Loss'!C4/365),0)</f>
        <v>0</v>
      </c>
      <c r="D20" s="5">
        <f>IF('Profit &amp; Loss'!D4&gt;0,'Balance Sheet'!D17/('Profit &amp; Loss'!D4/365),0)</f>
        <v>245.12254901960785</v>
      </c>
      <c r="E20" s="5">
        <f>IF('Profit &amp; Loss'!E4&gt;0,'Balance Sheet'!E17/('Profit &amp; Loss'!E4/365),0)</f>
        <v>224.44207027540361</v>
      </c>
      <c r="F20" s="5">
        <f>IF('Profit &amp; Loss'!F4&gt;0,'Balance Sheet'!F17/('Profit &amp; Loss'!F4/365),0)</f>
        <v>192.5963372758489</v>
      </c>
      <c r="G20" s="5">
        <f>IF('Profit &amp; Loss'!G4&gt;0,'Balance Sheet'!G17/('Profit &amp; Loss'!G4/365),0)</f>
        <v>111.17339990921471</v>
      </c>
      <c r="H20" s="5">
        <f>IF('Profit &amp; Loss'!H4&gt;0,'Balance Sheet'!H17/('Profit &amp; Loss'!H4/365),0)</f>
        <v>82.26752102523028</v>
      </c>
      <c r="I20" s="5">
        <f>IF('Profit &amp; Loss'!I4&gt;0,'Balance Sheet'!I17/('Profit &amp; Loss'!I4/365),0)</f>
        <v>107.6624498951936</v>
      </c>
      <c r="J20" s="5">
        <f>IF('Profit &amp; Loss'!J4&gt;0,'Balance Sheet'!J17/('Profit &amp; Loss'!J4/365),0)</f>
        <v>89.450353938751547</v>
      </c>
      <c r="K20" s="5">
        <f>IF('Profit &amp; Loss'!K4&gt;0,'Balance Sheet'!K17/('Profit &amp; Loss'!K4/365),0)</f>
        <v>108.53209928877585</v>
      </c>
    </row>
    <row r="21" spans="1:11" x14ac:dyDescent="0.25">
      <c r="A21" s="11" t="s">
        <v>47</v>
      </c>
      <c r="B21" s="5">
        <f>IF('Balance Sheet'!B18&gt;0,'Profit &amp; Loss'!B4/'Balance Sheet'!B18,0)</f>
        <v>0</v>
      </c>
      <c r="C21" s="5">
        <f>IF('Balance Sheet'!C18&gt;0,'Profit &amp; Loss'!C4/'Balance Sheet'!C18,0)</f>
        <v>0</v>
      </c>
      <c r="D21" s="5">
        <f>IF('Balance Sheet'!D18&gt;0,'Profit &amp; Loss'!D4/'Balance Sheet'!D18,0)</f>
        <v>0</v>
      </c>
      <c r="E21" s="5">
        <f>IF('Balance Sheet'!E18&gt;0,'Profit &amp; Loss'!E4/'Balance Sheet'!E18,0)</f>
        <v>0</v>
      </c>
      <c r="F21" s="5">
        <f>IF('Balance Sheet'!F18&gt;0,'Profit &amp; Loss'!F4/'Balance Sheet'!F18,0)</f>
        <v>0</v>
      </c>
      <c r="G21" s="5">
        <f>IF('Balance Sheet'!G18&gt;0,'Profit &amp; Loss'!G4/'Balance Sheet'!G18,0)</f>
        <v>0</v>
      </c>
      <c r="H21" s="5">
        <f>IF('Balance Sheet'!H18&gt;0,'Profit &amp; Loss'!H4/'Balance Sheet'!H18,0)</f>
        <v>0</v>
      </c>
      <c r="I21" s="5">
        <f>IF('Balance Sheet'!I18&gt;0,'Profit &amp; Loss'!I4/'Balance Sheet'!I18,0)</f>
        <v>0</v>
      </c>
      <c r="J21" s="5">
        <f>IF('Balance Sheet'!J18&gt;0,'Profit &amp; Loss'!J4/'Balance Sheet'!J18,0)</f>
        <v>0</v>
      </c>
      <c r="K21" s="5">
        <f>IF('Balance Sheet'!K18&gt;0,'Profit &amp; Loss'!K4/'Balance Sheet'!K18,0)</f>
        <v>0</v>
      </c>
    </row>
    <row r="23" spans="1:11" s="8" customFormat="1" x14ac:dyDescent="0.25">
      <c r="A23" s="8" t="s">
        <v>60</v>
      </c>
      <c r="B23" s="14">
        <f>IF(SUM('Balance Sheet'!B4:B5)&gt;0,'Profit &amp; Loss'!B12/SUM('Balance Sheet'!B4:B5),"")</f>
        <v>0.19409937888198758</v>
      </c>
      <c r="C23" s="14">
        <f>IF(SUM('Balance Sheet'!C4:C5)&gt;0,'Profit &amp; Loss'!C12/SUM('Balance Sheet'!C4:C5),"")</f>
        <v>6.1728395061728392E-3</v>
      </c>
      <c r="D23" s="14">
        <f>IF(SUM('Balance Sheet'!D4:D5)&gt;0,'Profit &amp; Loss'!D12/SUM('Balance Sheet'!D4:D5),"")</f>
        <v>0.10101498308361526</v>
      </c>
      <c r="E23" s="14">
        <f>IF(SUM('Balance Sheet'!E4:E5)&gt;0,'Profit &amp; Loss'!E12/SUM('Balance Sheet'!E4:E5),"")</f>
        <v>0.13720109760878085</v>
      </c>
      <c r="F23" s="14">
        <f>IF(SUM('Balance Sheet'!F4:F5)&gt;0,'Profit &amp; Loss'!F12/SUM('Balance Sheet'!F4:F5),"")</f>
        <v>0.14389271475172163</v>
      </c>
      <c r="G23" s="14">
        <f>IF(SUM('Balance Sheet'!G4:G5)&gt;0,'Profit &amp; Loss'!G12/SUM('Balance Sheet'!G4:G5),"")</f>
        <v>9.8064516129032261E-2</v>
      </c>
      <c r="H23" s="14">
        <f>IF(SUM('Balance Sheet'!H4:H5)&gt;0,'Profit &amp; Loss'!H12/SUM('Balance Sheet'!H4:H5),"")</f>
        <v>0.19021848065744637</v>
      </c>
      <c r="I23" s="14">
        <f>IF(SUM('Balance Sheet'!I4:I5)&gt;0,'Profit &amp; Loss'!I12/SUM('Balance Sheet'!I4:I5),"")</f>
        <v>0.19364147713377355</v>
      </c>
      <c r="J23" s="14">
        <f>IF(SUM('Balance Sheet'!J4:J5)&gt;0,'Profit &amp; Loss'!J12/SUM('Balance Sheet'!J4:J5),"")</f>
        <v>0.32651976871386157</v>
      </c>
      <c r="K23" s="14">
        <f>IF(SUM('Balance Sheet'!K4:K5)&gt;0,'Profit &amp; Loss'!K12/SUM('Balance Sheet'!K4:K5),"")</f>
        <v>0.34946039503156184</v>
      </c>
    </row>
    <row r="24" spans="1:11" s="8" customFormat="1" x14ac:dyDescent="0.25">
      <c r="A24" s="8" t="s">
        <v>61</v>
      </c>
      <c r="B24" s="14">
        <f>IF(('Balance Sheet'!B10+'Balance Sheet'!B16)&gt;0,('Profit &amp; Loss'!B6-'Profit &amp; Loss'!B8-'Profit &amp; Loss'!B11)/('Balance Sheet'!B10+'Balance Sheet'!B16),"")</f>
        <v>-1.4204545454545456E-2</v>
      </c>
      <c r="C24" s="14">
        <f>IF(('Balance Sheet'!C10+'Balance Sheet'!C16)&gt;0,('Profit &amp; Loss'!C6-'Profit &amp; Loss'!C8-'Profit &amp; Loss'!C11)/('Balance Sheet'!C10+'Balance Sheet'!C16),"")</f>
        <v>-7.7160493827160507E-3</v>
      </c>
      <c r="D24" s="14">
        <f>IF(('Balance Sheet'!D10+'Balance Sheet'!D16)&gt;0,('Profit &amp; Loss'!D6-'Profit &amp; Loss'!D8-'Profit &amp; Loss'!D11)/('Balance Sheet'!D10+'Balance Sheet'!D16),"")</f>
        <v>0.22791712104689202</v>
      </c>
      <c r="E24" s="14">
        <f>IF(('Balance Sheet'!E10+'Balance Sheet'!E16)&gt;0,('Profit &amp; Loss'!E6-'Profit &amp; Loss'!E8-'Profit &amp; Loss'!E11)/('Balance Sheet'!E10+'Balance Sheet'!E16),"")</f>
        <v>0.29142381348875906</v>
      </c>
      <c r="F24" s="14">
        <f>IF(('Balance Sheet'!F10+'Balance Sheet'!F16)&gt;0,('Profit &amp; Loss'!F6-'Profit &amp; Loss'!F8-'Profit &amp; Loss'!F11)/('Balance Sheet'!F10+'Balance Sheet'!F16),"")</f>
        <v>0.3338788870703765</v>
      </c>
      <c r="G24" s="14">
        <f>IF(('Balance Sheet'!G10+'Balance Sheet'!G16)&gt;0,('Profit &amp; Loss'!G6-'Profit &amp; Loss'!G8-'Profit &amp; Loss'!G11)/('Balance Sheet'!G10+'Balance Sheet'!G16),"")</f>
        <v>0.16818181818181824</v>
      </c>
      <c r="H24" s="14">
        <f>IF(('Balance Sheet'!H10+'Balance Sheet'!H16)&gt;0,('Profit &amp; Loss'!H6-'Profit &amp; Loss'!H8-'Profit &amp; Loss'!H11)/('Balance Sheet'!H10+'Balance Sheet'!H16),"")</f>
        <v>0.29080675422138835</v>
      </c>
      <c r="I24" s="14">
        <f>IF(('Balance Sheet'!I10+'Balance Sheet'!I16)&gt;0,('Profit &amp; Loss'!I6-'Profit &amp; Loss'!I8-'Profit &amp; Loss'!I11)/('Balance Sheet'!I10+'Balance Sheet'!I16),"")</f>
        <v>0.28158061785865418</v>
      </c>
      <c r="J24" s="14">
        <f>IF(('Balance Sheet'!J10+'Balance Sheet'!J16)&gt;0,('Profit &amp; Loss'!J6-'Profit &amp; Loss'!J8-'Profit &amp; Loss'!J11)/('Balance Sheet'!J10+'Balance Sheet'!J16),"")</f>
        <v>0.38209517087230171</v>
      </c>
      <c r="K24" s="14">
        <f>IF(('Balance Sheet'!K10+'Balance Sheet'!K16)&gt;0,('Profit &amp; Loss'!K6-'Profit &amp; Loss'!K8-'Profit &amp; Loss'!K11)/('Balance Sheet'!K10+'Balance Sheet'!K16),"")</f>
        <v>0.37783884117047606</v>
      </c>
    </row>
    <row r="25" spans="1:11" s="18" customFormat="1" x14ac:dyDescent="0.25"/>
  </sheetData>
  <hyperlinks>
    <hyperlink ref="J1" r:id="rId1"/>
  </hyperlinks>
  <printOptions gridLines="1"/>
  <pageMargins left="0.7" right="0.7" top="0.75" bottom="0.75" header="0.3" footer="0.3"/>
  <pageSetup paperSize="9"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11</vt:i4>
      </vt:variant>
    </vt:vector>
  </HeadingPairs>
  <TitlesOfParts>
    <vt:vector size="35" baseType="lpstr">
      <vt:lpstr>How-To-Use</vt:lpstr>
      <vt:lpstr>Overview</vt:lpstr>
      <vt:lpstr>Data Sheet</vt:lpstr>
      <vt:lpstr>Others</vt:lpstr>
      <vt:lpstr>DrVM</vt:lpstr>
      <vt:lpstr>Trend</vt:lpstr>
      <vt:lpstr>Financial Analysis</vt:lpstr>
      <vt:lpstr>Profit &amp; Loss</vt:lpstr>
      <vt:lpstr>Balance Sheet</vt:lpstr>
      <vt:lpstr>Other_input_data</vt:lpstr>
      <vt:lpstr>DrVM_Comparison</vt:lpstr>
      <vt:lpstr>Price</vt:lpstr>
      <vt:lpstr>CAPM-EquityReqRet</vt:lpstr>
      <vt:lpstr>Quarters</vt:lpstr>
      <vt:lpstr>Alt D S</vt:lpstr>
      <vt:lpstr>Investment_Ratio</vt:lpstr>
      <vt:lpstr>Asset_Ratio</vt:lpstr>
      <vt:lpstr>Model_Input2</vt:lpstr>
      <vt:lpstr>Comparative</vt:lpstr>
      <vt:lpstr>Analysis2</vt:lpstr>
      <vt:lpstr>Cash Flow</vt:lpstr>
      <vt:lpstr>Valuation</vt:lpstr>
      <vt:lpstr>PE Forecast</vt:lpstr>
      <vt:lpstr>Comparative1</vt:lpstr>
      <vt:lpstr>'Alt D S'!UPDATE</vt:lpstr>
      <vt:lpstr>Asset_Ratio!UPDATE</vt:lpstr>
      <vt:lpstr>Comparative!UPDATE</vt:lpstr>
      <vt:lpstr>Comparative1!UPDATE</vt:lpstr>
      <vt:lpstr>Investment_Ratio!UPDATE</vt:lpstr>
      <vt:lpstr>Model_Input2!UPDATE</vt:lpstr>
      <vt:lpstr>Others!UPDATE</vt:lpstr>
      <vt:lpstr>Overview!UPDATE</vt:lpstr>
      <vt:lpstr>'PE Forecast'!UPDATE</vt:lpstr>
      <vt:lpstr>Trend!UPDATE</vt:lpstr>
      <vt:lpstr>UPDATE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PM</cp:lastModifiedBy>
  <cp:lastPrinted>2012-12-06T18:14:13Z</cp:lastPrinted>
  <dcterms:created xsi:type="dcterms:W3CDTF">2012-08-17T09:55:37Z</dcterms:created>
  <dcterms:modified xsi:type="dcterms:W3CDTF">2018-09-28T02:54:24Z</dcterms:modified>
</cp:coreProperties>
</file>