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ock\Canfin Homes\"/>
    </mc:Choice>
  </mc:AlternateContent>
  <bookViews>
    <workbookView xWindow="0" yWindow="0" windowWidth="23040" windowHeight="9996"/>
  </bookViews>
  <sheets>
    <sheet name="Can Fin Hom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O19" i="2"/>
  <c r="O18" i="2"/>
  <c r="N39" i="2"/>
  <c r="L44" i="2"/>
  <c r="J44" i="2"/>
  <c r="H44" i="2"/>
  <c r="F44" i="2"/>
  <c r="D44" i="2"/>
  <c r="P28" i="2"/>
  <c r="N28" i="2"/>
  <c r="M20" i="2"/>
  <c r="K20" i="2"/>
  <c r="I20" i="2"/>
  <c r="G20" i="2"/>
  <c r="M19" i="2"/>
  <c r="M18" i="2"/>
  <c r="K18" i="2"/>
  <c r="I18" i="2"/>
  <c r="G18" i="2"/>
  <c r="M4" i="2"/>
  <c r="K4" i="2"/>
  <c r="I4" i="2"/>
  <c r="G4" i="2"/>
  <c r="N10" i="2"/>
  <c r="O10" i="2" s="1"/>
  <c r="M11" i="2"/>
  <c r="M10" i="2"/>
  <c r="K11" i="2"/>
  <c r="K10" i="2"/>
  <c r="I11" i="2"/>
  <c r="I10" i="2"/>
  <c r="G11" i="2"/>
  <c r="G10" i="2"/>
  <c r="N50" i="2"/>
  <c r="P41" i="2"/>
  <c r="N11" i="2" l="1"/>
  <c r="O11" i="2" s="1"/>
  <c r="D9" i="2"/>
  <c r="Q6" i="2" l="1"/>
  <c r="O6" i="2"/>
  <c r="P10" i="2" l="1"/>
  <c r="Q10" i="2" s="1"/>
  <c r="N37" i="2"/>
  <c r="P37" i="2" s="1"/>
  <c r="L8" i="2"/>
  <c r="J8" i="2"/>
  <c r="H8" i="2"/>
  <c r="F8" i="2"/>
  <c r="D8" i="2"/>
  <c r="P60" i="2"/>
  <c r="Q30" i="2"/>
  <c r="Q23" i="2"/>
  <c r="N32" i="2"/>
  <c r="P32" i="2" s="1"/>
  <c r="O30" i="2"/>
  <c r="N29" i="2"/>
  <c r="O29" i="2" s="1"/>
  <c r="N31" i="2"/>
  <c r="O23" i="2"/>
  <c r="N5" i="2"/>
  <c r="G57" i="2"/>
  <c r="G56" i="2"/>
  <c r="G52" i="2"/>
  <c r="G49" i="2"/>
  <c r="G42" i="2"/>
  <c r="G39" i="2"/>
  <c r="G32" i="2"/>
  <c r="G30" i="2"/>
  <c r="G29" i="2"/>
  <c r="G28" i="2"/>
  <c r="G26" i="2"/>
  <c r="G23" i="2"/>
  <c r="G17" i="2"/>
  <c r="G12" i="2"/>
  <c r="G6" i="2"/>
  <c r="G5" i="2"/>
  <c r="I57" i="2"/>
  <c r="I56" i="2"/>
  <c r="I52" i="2"/>
  <c r="I49" i="2"/>
  <c r="I42" i="2"/>
  <c r="I39" i="2"/>
  <c r="I32" i="2"/>
  <c r="I30" i="2"/>
  <c r="I29" i="2"/>
  <c r="I28" i="2"/>
  <c r="I26" i="2"/>
  <c r="I23" i="2"/>
  <c r="I17" i="2"/>
  <c r="I12" i="2"/>
  <c r="I6" i="2"/>
  <c r="I5" i="2"/>
  <c r="K57" i="2"/>
  <c r="K56" i="2"/>
  <c r="K52" i="2"/>
  <c r="K49" i="2"/>
  <c r="K42" i="2"/>
  <c r="K39" i="2"/>
  <c r="K26" i="2"/>
  <c r="K32" i="2"/>
  <c r="K30" i="2"/>
  <c r="K29" i="2"/>
  <c r="K28" i="2"/>
  <c r="K23" i="2"/>
  <c r="K17" i="2"/>
  <c r="K12" i="2"/>
  <c r="K6" i="2"/>
  <c r="K5" i="2"/>
  <c r="M57" i="2"/>
  <c r="M56" i="2"/>
  <c r="M52" i="2"/>
  <c r="M49" i="2"/>
  <c r="M42" i="2"/>
  <c r="M39" i="2"/>
  <c r="M32" i="2"/>
  <c r="M30" i="2"/>
  <c r="M29" i="2"/>
  <c r="M28" i="2"/>
  <c r="M26" i="2"/>
  <c r="M23" i="2"/>
  <c r="M17" i="2"/>
  <c r="M12" i="2"/>
  <c r="M6" i="2"/>
  <c r="M5" i="2"/>
  <c r="F7" i="2"/>
  <c r="F9" i="2" s="1"/>
  <c r="H7" i="2"/>
  <c r="J7" i="2"/>
  <c r="J9" i="2" s="1"/>
  <c r="L7" i="2"/>
  <c r="L9" i="2" s="1"/>
  <c r="L59" i="2"/>
  <c r="J59" i="2"/>
  <c r="H59" i="2"/>
  <c r="F59" i="2"/>
  <c r="D59" i="2"/>
  <c r="L45" i="2"/>
  <c r="L51" i="2" s="1"/>
  <c r="J45" i="2"/>
  <c r="H45" i="2"/>
  <c r="H51" i="2" s="1"/>
  <c r="F45" i="2"/>
  <c r="F51" i="2" s="1"/>
  <c r="D45" i="2"/>
  <c r="D51" i="2" s="1"/>
  <c r="L40" i="2"/>
  <c r="L53" i="2" s="1"/>
  <c r="J40" i="2"/>
  <c r="H40" i="2"/>
  <c r="H53" i="2" s="1"/>
  <c r="F40" i="2"/>
  <c r="F61" i="2" s="1"/>
  <c r="D40" i="2"/>
  <c r="D61" i="2" s="1"/>
  <c r="L35" i="2"/>
  <c r="J35" i="2"/>
  <c r="H35" i="2"/>
  <c r="F35" i="2"/>
  <c r="D35" i="2"/>
  <c r="L31" i="2"/>
  <c r="L33" i="2" s="1"/>
  <c r="J31" i="2"/>
  <c r="J33" i="2" s="1"/>
  <c r="H31" i="2"/>
  <c r="F31" i="2"/>
  <c r="D31" i="2"/>
  <c r="L22" i="2"/>
  <c r="J22" i="2"/>
  <c r="J25" i="2" s="1"/>
  <c r="H22" i="2"/>
  <c r="H25" i="2" s="1"/>
  <c r="F22" i="2"/>
  <c r="F25" i="2" s="1"/>
  <c r="D22" i="2"/>
  <c r="L16" i="2"/>
  <c r="N16" i="2" s="1"/>
  <c r="O16" i="2" s="1"/>
  <c r="J16" i="2"/>
  <c r="H16" i="2"/>
  <c r="F16" i="2"/>
  <c r="D16" i="2"/>
  <c r="N7" i="2" l="1"/>
  <c r="N9" i="2" s="1"/>
  <c r="N4" i="2"/>
  <c r="P29" i="2"/>
  <c r="Q29" i="2" s="1"/>
  <c r="H58" i="2"/>
  <c r="H60" i="2" s="1"/>
  <c r="O31" i="2"/>
  <c r="Q28" i="2"/>
  <c r="P11" i="2"/>
  <c r="Q11" i="2" s="1"/>
  <c r="I45" i="2"/>
  <c r="G7" i="2"/>
  <c r="K40" i="2"/>
  <c r="G35" i="2"/>
  <c r="O32" i="2"/>
  <c r="M16" i="2"/>
  <c r="M33" i="2"/>
  <c r="I7" i="2"/>
  <c r="H9" i="2"/>
  <c r="Q32" i="2"/>
  <c r="D53" i="2"/>
  <c r="I22" i="2"/>
  <c r="P16" i="2"/>
  <c r="Q16" i="2" s="1"/>
  <c r="H61" i="2"/>
  <c r="O7" i="2"/>
  <c r="O28" i="2"/>
  <c r="N17" i="2"/>
  <c r="K16" i="2"/>
  <c r="F53" i="2"/>
  <c r="M45" i="2"/>
  <c r="F27" i="2"/>
  <c r="F55" i="2" s="1"/>
  <c r="H27" i="2"/>
  <c r="H55" i="2" s="1"/>
  <c r="G40" i="2"/>
  <c r="N8" i="2"/>
  <c r="P5" i="2"/>
  <c r="G16" i="2"/>
  <c r="I16" i="2"/>
  <c r="D58" i="2"/>
  <c r="D60" i="2" s="1"/>
  <c r="D27" i="2"/>
  <c r="D54" i="2" s="1"/>
  <c r="D25" i="2"/>
  <c r="G25" i="2" s="1"/>
  <c r="G22" i="2"/>
  <c r="L58" i="2"/>
  <c r="L60" i="2" s="1"/>
  <c r="L27" i="2"/>
  <c r="M22" i="2"/>
  <c r="L25" i="2"/>
  <c r="I25" i="2"/>
  <c r="M31" i="2"/>
  <c r="I35" i="2"/>
  <c r="M7" i="2"/>
  <c r="K7" i="2"/>
  <c r="K25" i="2"/>
  <c r="F33" i="2"/>
  <c r="F34" i="2" s="1"/>
  <c r="G31" i="2"/>
  <c r="D33" i="2"/>
  <c r="J34" i="2"/>
  <c r="K35" i="2"/>
  <c r="J53" i="2"/>
  <c r="J61" i="2"/>
  <c r="J58" i="2"/>
  <c r="J60" i="2" s="1"/>
  <c r="J27" i="2"/>
  <c r="K22" i="2"/>
  <c r="I31" i="2"/>
  <c r="M40" i="2"/>
  <c r="L61" i="2"/>
  <c r="K45" i="2"/>
  <c r="J51" i="2"/>
  <c r="F58" i="2"/>
  <c r="F60" i="2" s="1"/>
  <c r="M35" i="2"/>
  <c r="K31" i="2"/>
  <c r="I40" i="2"/>
  <c r="G45" i="2"/>
  <c r="H33" i="2"/>
  <c r="O4" i="2" l="1"/>
  <c r="P4" i="2"/>
  <c r="Q4" i="2" s="1"/>
  <c r="D55" i="2"/>
  <c r="P31" i="2"/>
  <c r="Q31" i="2" s="1"/>
  <c r="P22" i="2"/>
  <c r="P25" i="2" s="1"/>
  <c r="I27" i="2"/>
  <c r="H54" i="2"/>
  <c r="P7" i="2"/>
  <c r="P8" i="2"/>
  <c r="F54" i="2"/>
  <c r="I33" i="2"/>
  <c r="K33" i="2"/>
  <c r="J36" i="2"/>
  <c r="K34" i="2"/>
  <c r="M27" i="2"/>
  <c r="L54" i="2"/>
  <c r="H34" i="2"/>
  <c r="J55" i="2"/>
  <c r="K27" i="2"/>
  <c r="J54" i="2"/>
  <c r="L55" i="2"/>
  <c r="F36" i="2"/>
  <c r="L34" i="2"/>
  <c r="M25" i="2"/>
  <c r="G27" i="2"/>
  <c r="G33" i="2"/>
  <c r="D34" i="2"/>
  <c r="D36" i="2" s="1"/>
  <c r="Q7" i="2" l="1"/>
  <c r="P9" i="2"/>
  <c r="D46" i="2"/>
  <c r="D50" i="2" s="1"/>
  <c r="D47" i="2"/>
  <c r="D48" i="2"/>
  <c r="M34" i="2"/>
  <c r="L36" i="2"/>
  <c r="G36" i="2"/>
  <c r="F48" i="2"/>
  <c r="F46" i="2"/>
  <c r="F47" i="2"/>
  <c r="G34" i="2"/>
  <c r="I34" i="2"/>
  <c r="H36" i="2"/>
  <c r="J47" i="2"/>
  <c r="J46" i="2"/>
  <c r="J48" i="2"/>
  <c r="H48" i="2" l="1"/>
  <c r="H47" i="2"/>
  <c r="I36" i="2"/>
  <c r="H46" i="2"/>
  <c r="G46" i="2"/>
  <c r="F50" i="2"/>
  <c r="J50" i="2"/>
  <c r="K36" i="2"/>
  <c r="L46" i="2"/>
  <c r="M36" i="2"/>
  <c r="L47" i="2"/>
  <c r="L48" i="2"/>
  <c r="L50" i="2" l="1"/>
  <c r="M46" i="2"/>
  <c r="I46" i="2"/>
  <c r="H50" i="2"/>
  <c r="K46" i="2"/>
  <c r="O17" i="2" l="1"/>
  <c r="N12" i="2"/>
  <c r="O12" i="2" s="1"/>
  <c r="N26" i="2"/>
  <c r="N33" i="2" l="1"/>
  <c r="O26" i="2"/>
  <c r="O33" i="2" l="1"/>
  <c r="N60" i="2"/>
  <c r="N22" i="2"/>
  <c r="Q22" i="2" s="1"/>
  <c r="N25" i="2" l="1"/>
  <c r="N34" i="2" s="1"/>
  <c r="N35" i="2" s="1"/>
  <c r="O35" i="2" s="1"/>
  <c r="O22" i="2"/>
  <c r="N27" i="2"/>
  <c r="Q25" i="2" l="1"/>
  <c r="O25" i="2"/>
  <c r="O34" i="2"/>
  <c r="N36" i="2"/>
  <c r="N55" i="2"/>
  <c r="O27" i="2"/>
  <c r="N54" i="2"/>
  <c r="O36" i="2" l="1"/>
  <c r="N48" i="2"/>
  <c r="N47" i="2"/>
  <c r="N46" i="2"/>
  <c r="N49" i="2" s="1"/>
  <c r="O39" i="2"/>
  <c r="N45" i="2"/>
  <c r="O45" i="2" s="1"/>
  <c r="N40" i="2"/>
  <c r="P17" i="2"/>
  <c r="O46" i="2" l="1"/>
  <c r="O40" i="2"/>
  <c r="N61" i="2"/>
  <c r="Q17" i="2"/>
  <c r="P26" i="2"/>
  <c r="P12" i="2"/>
  <c r="P27" i="2" l="1"/>
  <c r="Q26" i="2"/>
  <c r="P33" i="2"/>
  <c r="Q12" i="2"/>
  <c r="Q33" i="2" l="1"/>
  <c r="P34" i="2"/>
  <c r="P35" i="2" s="1"/>
  <c r="P54" i="2"/>
  <c r="Q27" i="2"/>
  <c r="P55" i="2"/>
  <c r="Q35" i="2" l="1"/>
  <c r="Q34" i="2"/>
  <c r="P36" i="2"/>
  <c r="P39" i="2" l="1"/>
  <c r="P40" i="2" s="1"/>
  <c r="P44" i="2"/>
  <c r="P48" i="2"/>
  <c r="Q36" i="2"/>
  <c r="P46" i="2"/>
  <c r="P49" i="2" s="1"/>
  <c r="Q46" i="2" l="1"/>
  <c r="Q39" i="2"/>
  <c r="P45" i="2"/>
  <c r="Q45" i="2" s="1"/>
  <c r="P47" i="2"/>
  <c r="P51" i="2" l="1"/>
  <c r="Q40" i="2"/>
  <c r="P61" i="2"/>
  <c r="O49" i="2"/>
  <c r="Q49" i="2"/>
  <c r="N51" i="2"/>
</calcChain>
</file>

<file path=xl/sharedStrings.xml><?xml version="1.0" encoding="utf-8"?>
<sst xmlns="http://schemas.openxmlformats.org/spreadsheetml/2006/main" count="86" uniqueCount="82">
  <si>
    <t>Loan Approvals (in Cr)</t>
  </si>
  <si>
    <t>FY12</t>
  </si>
  <si>
    <t>FY13</t>
  </si>
  <si>
    <t>FY14</t>
  </si>
  <si>
    <t>FY15</t>
  </si>
  <si>
    <t>FY16</t>
  </si>
  <si>
    <t>Loan Disbursements (in Cr)</t>
  </si>
  <si>
    <t>Total Loan Outstanding (in Cr)</t>
  </si>
  <si>
    <t>Borrowings (in Cr)</t>
  </si>
  <si>
    <t>Average Assets (in Cr)</t>
  </si>
  <si>
    <t>Average Borrowings (in Cr)</t>
  </si>
  <si>
    <t>Interest Collected (in Cr)</t>
  </si>
  <si>
    <t>Processing Charges (in Cr)</t>
  </si>
  <si>
    <t>Other Income (in Cr)</t>
  </si>
  <si>
    <t>Total Income (in Cr) (11+12+13)</t>
  </si>
  <si>
    <t>Interest Paid (in Cr)</t>
  </si>
  <si>
    <t>Net Interest Income (in Cr) (11-15)</t>
  </si>
  <si>
    <t>Staff Cost (in Cr)</t>
  </si>
  <si>
    <t>Other Expense (in Cr)</t>
  </si>
  <si>
    <t>Depreciation (in Cr)</t>
  </si>
  <si>
    <t>Operating Cost (in Cr) (17+18+19)</t>
  </si>
  <si>
    <t>Bad Debts (in Cr)</t>
  </si>
  <si>
    <t>Total Costs (in Cr) (15+20+21)</t>
  </si>
  <si>
    <t>Operating Profit (in Cr) (14-22)</t>
  </si>
  <si>
    <t>Provisions and Taxes (in Cr)</t>
  </si>
  <si>
    <t>Net Profit (in Cr) (23-24)</t>
  </si>
  <si>
    <t>Share Captial (in Cr)</t>
  </si>
  <si>
    <t>Reserves (in Cr)</t>
  </si>
  <si>
    <t>Shareholders Fund-Tier1 (26+27-DTA)</t>
  </si>
  <si>
    <t>Number Of Shares (in Cr)</t>
  </si>
  <si>
    <t>Tier II Captial (in Cr)</t>
  </si>
  <si>
    <t>Book Value (in INR) ((26+27)/29)</t>
  </si>
  <si>
    <t>EPS (in INR) (25/29)</t>
  </si>
  <si>
    <t>RoE (in %) (25/(26+27))</t>
  </si>
  <si>
    <t>RoA (in %) (25/7)</t>
  </si>
  <si>
    <t>Closing Stock Price (in INR)</t>
  </si>
  <si>
    <t>P/E Ratio (36/33)</t>
  </si>
  <si>
    <t>P/B Ratio (36/32)</t>
  </si>
  <si>
    <t>Risk Weighted Assets (in Cr)</t>
  </si>
  <si>
    <t>CAR (in %) ((28+30)/39)</t>
  </si>
  <si>
    <t>NIM (in %) (16/7)</t>
  </si>
  <si>
    <t>Cost to Income Ratio (21/(16+12+13))</t>
  </si>
  <si>
    <t>Average Business per Branch (in Cr)</t>
  </si>
  <si>
    <t>Average Business per Employee</t>
  </si>
  <si>
    <t>Average Yield on Assets (in %) (11/7)</t>
  </si>
  <si>
    <t>Interest Spread (in %) (45-46)</t>
  </si>
  <si>
    <t>Average Cost of Borrowing (in %) (15/8)</t>
  </si>
  <si>
    <t>Gearing Ratio (5/28)</t>
  </si>
  <si>
    <t>4a</t>
  </si>
  <si>
    <t>4b</t>
  </si>
  <si>
    <t>Housing Loans (in Cr)</t>
  </si>
  <si>
    <t>Non-Housing Loans (in Cr)</t>
  </si>
  <si>
    <t>6a</t>
  </si>
  <si>
    <t>6b</t>
  </si>
  <si>
    <t>6c</t>
  </si>
  <si>
    <t>Gross NPA (in Cr)</t>
  </si>
  <si>
    <t>Gross NPA (in %)</t>
  </si>
  <si>
    <t>Net NPA (in %)</t>
  </si>
  <si>
    <t>NIL</t>
  </si>
  <si>
    <t>No. of Branches</t>
  </si>
  <si>
    <t>No. of Satellite Offices</t>
  </si>
  <si>
    <t>9a</t>
  </si>
  <si>
    <t>9b</t>
  </si>
  <si>
    <t>STATISTICS ON BUSINESS</t>
  </si>
  <si>
    <t>No. of Employees (in Jr. on contract)</t>
  </si>
  <si>
    <t>STATISTICS ON INCOME &amp; EXPENDITURE</t>
  </si>
  <si>
    <t>STATISTICS ON FINANCIALS &amp; RATIOS</t>
  </si>
  <si>
    <t>31a</t>
  </si>
  <si>
    <t>31b</t>
  </si>
  <si>
    <t>Dividend Amount (in Cr) excluding tax</t>
  </si>
  <si>
    <t>Divident Payout Ratio (in %)</t>
  </si>
  <si>
    <t>Loan Repayment</t>
  </si>
  <si>
    <t>Loan Disbursement / Loan Book (2/3)</t>
  </si>
  <si>
    <t>3a</t>
  </si>
  <si>
    <t>3b</t>
  </si>
  <si>
    <t>3c</t>
  </si>
  <si>
    <t>Loan Repayments / Loan Book (3a/3)</t>
  </si>
  <si>
    <t>FY17 E</t>
  </si>
  <si>
    <t>FY18 E</t>
  </si>
  <si>
    <t xml:space="preserve">   Derived values</t>
  </si>
  <si>
    <t>Key Legends</t>
  </si>
  <si>
    <t xml:space="preserve">   Input data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</si>
</sst>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0" fontId="2" fillId="2" borderId="1" xfId="0" applyFont="1" applyFill="1" applyBorder="1"/>
    <xf numFmtId="9" fontId="2" fillId="2" borderId="1" xfId="1" applyFont="1" applyFill="1" applyBorder="1"/>
    <xf numFmtId="1" fontId="2" fillId="2" borderId="1" xfId="0" applyNumberFormat="1" applyFont="1" applyFill="1" applyBorder="1"/>
    <xf numFmtId="10" fontId="2" fillId="2" borderId="1" xfId="1" applyNumberFormat="1" applyFont="1" applyFill="1" applyBorder="1"/>
    <xf numFmtId="2" fontId="2" fillId="2" borderId="1" xfId="0" applyNumberFormat="1" applyFont="1" applyFill="1" applyBorder="1"/>
    <xf numFmtId="10" fontId="2" fillId="2" borderId="1" xfId="0" applyNumberFormat="1" applyFont="1" applyFill="1" applyBorder="1"/>
    <xf numFmtId="0" fontId="4" fillId="3" borderId="0" xfId="0" applyFont="1" applyFill="1"/>
    <xf numFmtId="0" fontId="5" fillId="0" borderId="1" xfId="0" applyFont="1" applyBorder="1"/>
    <xf numFmtId="9" fontId="5" fillId="0" borderId="1" xfId="1" applyFont="1" applyBorder="1"/>
    <xf numFmtId="9" fontId="5" fillId="2" borderId="1" xfId="1" applyFont="1" applyFill="1" applyBorder="1"/>
    <xf numFmtId="9" fontId="5" fillId="0" borderId="1" xfId="1" applyFont="1" applyFill="1" applyBorder="1"/>
    <xf numFmtId="0" fontId="5" fillId="2" borderId="1" xfId="0" applyFont="1" applyFill="1" applyBorder="1"/>
    <xf numFmtId="0" fontId="5" fillId="0" borderId="0" xfId="0" applyFont="1"/>
    <xf numFmtId="0" fontId="6" fillId="3" borderId="0" xfId="0" applyFont="1" applyFill="1" applyAlignment="1">
      <alignment horizontal="right"/>
    </xf>
    <xf numFmtId="0" fontId="7" fillId="0" borderId="1" xfId="0" applyFont="1" applyBorder="1"/>
    <xf numFmtId="1" fontId="7" fillId="0" borderId="1" xfId="0" applyNumberFormat="1" applyFont="1" applyBorder="1"/>
    <xf numFmtId="1" fontId="7" fillId="4" borderId="1" xfId="0" applyNumberFormat="1" applyFont="1" applyFill="1" applyBorder="1"/>
    <xf numFmtId="1" fontId="7" fillId="2" borderId="1" xfId="0" applyNumberFormat="1" applyFont="1" applyFill="1" applyBorder="1"/>
    <xf numFmtId="9" fontId="7" fillId="2" borderId="1" xfId="1" applyFont="1" applyFill="1" applyBorder="1"/>
    <xf numFmtId="1" fontId="7" fillId="0" borderId="1" xfId="0" applyNumberFormat="1" applyFont="1" applyFill="1" applyBorder="1"/>
    <xf numFmtId="2" fontId="7" fillId="0" borderId="1" xfId="0" applyNumberFormat="1" applyFont="1" applyBorder="1"/>
    <xf numFmtId="1" fontId="8" fillId="2" borderId="1" xfId="0" applyNumberFormat="1" applyFont="1" applyFill="1" applyBorder="1"/>
    <xf numFmtId="164" fontId="7" fillId="0" borderId="1" xfId="0" applyNumberFormat="1" applyFont="1" applyBorder="1"/>
    <xf numFmtId="10" fontId="7" fillId="2" borderId="1" xfId="1" applyNumberFormat="1" applyFont="1" applyFill="1" applyBorder="1"/>
    <xf numFmtId="1" fontId="8" fillId="0" borderId="1" xfId="0" applyNumberFormat="1" applyFont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10" fontId="7" fillId="2" borderId="1" xfId="0" applyNumberFormat="1" applyFont="1" applyFill="1" applyBorder="1"/>
    <xf numFmtId="0" fontId="7" fillId="0" borderId="0" xfId="0" applyFont="1"/>
    <xf numFmtId="0" fontId="7" fillId="4" borderId="1" xfId="0" applyFont="1" applyFill="1" applyBorder="1"/>
    <xf numFmtId="0" fontId="8" fillId="0" borderId="1" xfId="0" applyFont="1" applyBorder="1"/>
    <xf numFmtId="0" fontId="4" fillId="3" borderId="0" xfId="0" applyFont="1" applyFill="1" applyAlignment="1">
      <alignment horizontal="right"/>
    </xf>
    <xf numFmtId="9" fontId="5" fillId="4" borderId="1" xfId="0" applyNumberFormat="1" applyFont="1" applyFill="1" applyBorder="1"/>
    <xf numFmtId="10" fontId="7" fillId="4" borderId="1" xfId="1" applyNumberFormat="1" applyFont="1" applyFill="1" applyBorder="1"/>
    <xf numFmtId="0" fontId="2" fillId="0" borderId="1" xfId="0" applyFont="1" applyBorder="1" applyAlignment="1">
      <alignment horizontal="right"/>
    </xf>
    <xf numFmtId="10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1" xfId="0" applyFont="1" applyBorder="1"/>
    <xf numFmtId="165" fontId="7" fillId="2" borderId="1" xfId="1" applyNumberFormat="1" applyFont="1" applyFill="1" applyBorder="1"/>
    <xf numFmtId="0" fontId="2" fillId="2" borderId="0" xfId="0" applyFont="1" applyFill="1"/>
    <xf numFmtId="0" fontId="2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5"/>
  <sheetViews>
    <sheetView showGridLines="0" tabSelected="1" zoomScale="98" zoomScaleNormal="98" workbookViewId="0">
      <selection activeCell="C2" sqref="C2"/>
    </sheetView>
  </sheetViews>
  <sheetFormatPr defaultRowHeight="13.8" x14ac:dyDescent="0.3"/>
  <cols>
    <col min="1" max="1" width="4.21875" style="1" customWidth="1"/>
    <col min="2" max="2" width="4.77734375" style="44" customWidth="1"/>
    <col min="3" max="3" width="30.44140625" style="1" customWidth="1"/>
    <col min="4" max="4" width="10.77734375" style="35" customWidth="1"/>
    <col min="5" max="5" width="1" style="1" customWidth="1"/>
    <col min="6" max="6" width="7.21875" style="35" customWidth="1"/>
    <col min="7" max="7" width="5.109375" style="19" customWidth="1"/>
    <col min="8" max="8" width="9.44140625" style="35" customWidth="1"/>
    <col min="9" max="9" width="4.88671875" style="19" customWidth="1"/>
    <col min="10" max="10" width="9.77734375" style="35" customWidth="1"/>
    <col min="11" max="11" width="4.88671875" style="19" customWidth="1"/>
    <col min="12" max="12" width="8.88671875" style="35" customWidth="1"/>
    <col min="13" max="13" width="4.6640625" style="19" customWidth="1"/>
    <col min="14" max="14" width="9.33203125" style="35" customWidth="1"/>
    <col min="15" max="15" width="4.33203125" style="19" customWidth="1"/>
    <col min="16" max="16" width="9.44140625" style="35" customWidth="1"/>
    <col min="17" max="17" width="4.109375" style="19" customWidth="1"/>
    <col min="18" max="16384" width="8.88671875" style="1"/>
  </cols>
  <sheetData>
    <row r="2" spans="2:19" x14ac:dyDescent="0.3">
      <c r="B2" s="4"/>
      <c r="C2" s="3"/>
      <c r="D2" s="20" t="s">
        <v>1</v>
      </c>
      <c r="E2" s="4"/>
      <c r="F2" s="20" t="s">
        <v>2</v>
      </c>
      <c r="G2" s="38"/>
      <c r="H2" s="20" t="s">
        <v>3</v>
      </c>
      <c r="I2" s="38"/>
      <c r="J2" s="20" t="s">
        <v>4</v>
      </c>
      <c r="K2" s="38"/>
      <c r="L2" s="20" t="s">
        <v>5</v>
      </c>
      <c r="M2" s="38"/>
      <c r="N2" s="20" t="s">
        <v>77</v>
      </c>
      <c r="O2" s="20"/>
      <c r="P2" s="20" t="s">
        <v>78</v>
      </c>
      <c r="Q2" s="13"/>
    </row>
    <row r="3" spans="2:19" x14ac:dyDescent="0.3">
      <c r="B3" s="41"/>
      <c r="C3" s="45" t="s">
        <v>63</v>
      </c>
      <c r="D3" s="21"/>
      <c r="E3" s="5"/>
      <c r="F3" s="21"/>
      <c r="G3" s="15"/>
      <c r="H3" s="21"/>
      <c r="I3" s="15"/>
      <c r="J3" s="21"/>
      <c r="K3" s="15"/>
      <c r="L3" s="21"/>
      <c r="M3" s="15"/>
      <c r="N3" s="22"/>
      <c r="O3" s="15"/>
      <c r="P3" s="21"/>
      <c r="Q3" s="14"/>
    </row>
    <row r="4" spans="2:19" x14ac:dyDescent="0.3">
      <c r="B4" s="41">
        <v>1</v>
      </c>
      <c r="C4" s="5" t="s">
        <v>0</v>
      </c>
      <c r="D4" s="21">
        <v>1105</v>
      </c>
      <c r="E4" s="5"/>
      <c r="F4" s="21">
        <v>2093</v>
      </c>
      <c r="G4" s="15">
        <f>(F4-D4)/D4</f>
        <v>0.89411764705882357</v>
      </c>
      <c r="H4" s="21">
        <v>2907</v>
      </c>
      <c r="I4" s="15">
        <f>(H4-F4)/F4</f>
        <v>0.38891543239369325</v>
      </c>
      <c r="J4" s="21">
        <v>3670</v>
      </c>
      <c r="K4" s="15">
        <f>(J4-H4)/H4</f>
        <v>0.26246990024079808</v>
      </c>
      <c r="L4" s="21">
        <v>4418</v>
      </c>
      <c r="M4" s="15">
        <f>(L4-J4)/J4</f>
        <v>0.20381471389645778</v>
      </c>
      <c r="N4" s="22">
        <f>L4*N5/L5</f>
        <v>5213.2400000000007</v>
      </c>
      <c r="O4" s="15">
        <f>(N4-L4)/L4</f>
        <v>0.18000000000000016</v>
      </c>
      <c r="P4" s="22">
        <f>N4*P5/N5</f>
        <v>6568.6824000000006</v>
      </c>
      <c r="Q4" s="15">
        <f>(P4-N4)/N4</f>
        <v>0.25999999999999995</v>
      </c>
    </row>
    <row r="5" spans="2:19" x14ac:dyDescent="0.3">
      <c r="B5" s="41">
        <v>2</v>
      </c>
      <c r="C5" s="5" t="s">
        <v>6</v>
      </c>
      <c r="D5" s="21">
        <v>859</v>
      </c>
      <c r="E5" s="5"/>
      <c r="F5" s="21">
        <v>1814</v>
      </c>
      <c r="G5" s="15">
        <f t="shared" ref="G5:K7" si="0">(F5-D5)/D5</f>
        <v>1.1117578579743888</v>
      </c>
      <c r="H5" s="21">
        <v>2548</v>
      </c>
      <c r="I5" s="15">
        <f t="shared" si="0"/>
        <v>0.40463065049614111</v>
      </c>
      <c r="J5" s="21">
        <v>3346</v>
      </c>
      <c r="K5" s="15">
        <f t="shared" si="0"/>
        <v>0.31318681318681318</v>
      </c>
      <c r="L5" s="21">
        <v>3923</v>
      </c>
      <c r="M5" s="15">
        <f>(L5-J5)/J5</f>
        <v>0.17244471010161386</v>
      </c>
      <c r="N5" s="22">
        <f>L5+L5*O5</f>
        <v>4629.1400000000003</v>
      </c>
      <c r="O5" s="39">
        <v>0.18</v>
      </c>
      <c r="P5" s="22">
        <f>N5+N5*Q5</f>
        <v>5832.7164000000002</v>
      </c>
      <c r="Q5" s="39">
        <v>0.26</v>
      </c>
    </row>
    <row r="6" spans="2:19" x14ac:dyDescent="0.3">
      <c r="B6" s="41">
        <v>3</v>
      </c>
      <c r="C6" s="5" t="s">
        <v>7</v>
      </c>
      <c r="D6" s="21">
        <v>2674</v>
      </c>
      <c r="E6" s="5"/>
      <c r="F6" s="21">
        <v>4016</v>
      </c>
      <c r="G6" s="15">
        <f t="shared" si="0"/>
        <v>0.5018698578908003</v>
      </c>
      <c r="H6" s="21">
        <v>5844</v>
      </c>
      <c r="I6" s="15">
        <f t="shared" si="0"/>
        <v>0.45517928286852588</v>
      </c>
      <c r="J6" s="21">
        <v>8231</v>
      </c>
      <c r="K6" s="15">
        <f t="shared" si="0"/>
        <v>0.40845311430527037</v>
      </c>
      <c r="L6" s="21">
        <v>10643</v>
      </c>
      <c r="M6" s="15">
        <f>(L6-J6)/J6</f>
        <v>0.29303851293888955</v>
      </c>
      <c r="N6" s="36">
        <v>13350</v>
      </c>
      <c r="O6" s="15">
        <f>(N6-L6)/L6</f>
        <v>0.25434557925396972</v>
      </c>
      <c r="P6" s="23">
        <v>16955</v>
      </c>
      <c r="Q6" s="15">
        <f>(P6-N6)/N6</f>
        <v>0.27003745318352063</v>
      </c>
    </row>
    <row r="7" spans="2:19" x14ac:dyDescent="0.3">
      <c r="B7" s="41" t="s">
        <v>73</v>
      </c>
      <c r="C7" s="5" t="s">
        <v>71</v>
      </c>
      <c r="D7" s="33">
        <v>392</v>
      </c>
      <c r="E7" s="7"/>
      <c r="F7" s="33">
        <f>F5+D6-F6</f>
        <v>472</v>
      </c>
      <c r="G7" s="16">
        <f t="shared" si="0"/>
        <v>0.20408163265306123</v>
      </c>
      <c r="H7" s="33">
        <f>H5+F6-H6</f>
        <v>720</v>
      </c>
      <c r="I7" s="16">
        <f t="shared" si="0"/>
        <v>0.52542372881355937</v>
      </c>
      <c r="J7" s="33">
        <f>J5+H6-J6</f>
        <v>959</v>
      </c>
      <c r="K7" s="16">
        <f t="shared" si="0"/>
        <v>0.33194444444444443</v>
      </c>
      <c r="L7" s="33">
        <f>L5+J6-L6</f>
        <v>1511</v>
      </c>
      <c r="M7" s="16">
        <f>(L7-J7)/J7</f>
        <v>0.57559958289885294</v>
      </c>
      <c r="N7" s="24">
        <f>N5+L6-N6</f>
        <v>1922.1399999999994</v>
      </c>
      <c r="O7" s="16">
        <f>(N7-L7)/L7</f>
        <v>0.27209794837855689</v>
      </c>
      <c r="P7" s="24">
        <f>P5+N6-P6</f>
        <v>2227.7164000000012</v>
      </c>
      <c r="Q7" s="16">
        <f>(P7-N7)/N7</f>
        <v>0.15897718168291686</v>
      </c>
    </row>
    <row r="8" spans="2:19" x14ac:dyDescent="0.3">
      <c r="B8" s="41" t="s">
        <v>74</v>
      </c>
      <c r="C8" s="5" t="s">
        <v>72</v>
      </c>
      <c r="D8" s="25">
        <f>D5/D6</f>
        <v>0.3212415856394914</v>
      </c>
      <c r="E8" s="7"/>
      <c r="F8" s="25">
        <f>F5/F6</f>
        <v>0.45169322709163345</v>
      </c>
      <c r="G8" s="16"/>
      <c r="H8" s="25">
        <f>H5/H6</f>
        <v>0.43600273785078714</v>
      </c>
      <c r="I8" s="16"/>
      <c r="J8" s="25">
        <f>J5/J6</f>
        <v>0.40651196695419756</v>
      </c>
      <c r="K8" s="16"/>
      <c r="L8" s="25">
        <f>L5/L6</f>
        <v>0.36859907920699053</v>
      </c>
      <c r="M8" s="16"/>
      <c r="N8" s="25">
        <f>N5/N6</f>
        <v>0.34675205992509367</v>
      </c>
      <c r="O8" s="16"/>
      <c r="P8" s="25">
        <f>P5/P6</f>
        <v>0.34401158360365675</v>
      </c>
      <c r="Q8" s="16"/>
    </row>
    <row r="9" spans="2:19" x14ac:dyDescent="0.3">
      <c r="B9" s="41" t="s">
        <v>75</v>
      </c>
      <c r="C9" s="5" t="s">
        <v>76</v>
      </c>
      <c r="D9" s="25">
        <f>D7/D6</f>
        <v>0.14659685863874344</v>
      </c>
      <c r="E9" s="7"/>
      <c r="F9" s="25">
        <f>F7/F6</f>
        <v>0.11752988047808766</v>
      </c>
      <c r="G9" s="16"/>
      <c r="H9" s="25">
        <f>H7/H6</f>
        <v>0.12320328542094455</v>
      </c>
      <c r="I9" s="16"/>
      <c r="J9" s="25">
        <f>J7/J6</f>
        <v>0.11651075203498967</v>
      </c>
      <c r="K9" s="16"/>
      <c r="L9" s="25">
        <f>L7/L6</f>
        <v>0.14197124870807104</v>
      </c>
      <c r="M9" s="16"/>
      <c r="N9" s="25">
        <f>N7/N6</f>
        <v>0.14398052434456923</v>
      </c>
      <c r="O9" s="16"/>
      <c r="P9" s="25">
        <f>P7/P6</f>
        <v>0.13138993807136545</v>
      </c>
      <c r="Q9" s="16"/>
    </row>
    <row r="10" spans="2:19" x14ac:dyDescent="0.3">
      <c r="B10" s="41" t="s">
        <v>48</v>
      </c>
      <c r="C10" s="5" t="s">
        <v>50</v>
      </c>
      <c r="D10" s="21">
        <v>2599</v>
      </c>
      <c r="E10" s="5"/>
      <c r="F10" s="21">
        <v>3782</v>
      </c>
      <c r="G10" s="15">
        <f>(F10-D10)/D10</f>
        <v>0.45517506733358987</v>
      </c>
      <c r="H10" s="21">
        <v>5331</v>
      </c>
      <c r="I10" s="15">
        <f>(H10-F10)/F10</f>
        <v>0.40957165520888417</v>
      </c>
      <c r="J10" s="21">
        <v>7298</v>
      </c>
      <c r="K10" s="15">
        <f>(J10-H10)/H10</f>
        <v>0.36897392609266555</v>
      </c>
      <c r="L10" s="21">
        <v>9352</v>
      </c>
      <c r="M10" s="15">
        <f>(L10-J10)/J10</f>
        <v>0.28144697177308853</v>
      </c>
      <c r="N10" s="22">
        <f>N6*0.87</f>
        <v>11614.5</v>
      </c>
      <c r="O10" s="15">
        <f>(N10-L10)/L10</f>
        <v>0.24192686056458512</v>
      </c>
      <c r="P10" s="22">
        <f>P6*0.86</f>
        <v>14581.3</v>
      </c>
      <c r="Q10" s="15">
        <f>(P10-N10)/N10</f>
        <v>0.25543932153773297</v>
      </c>
    </row>
    <row r="11" spans="2:19" x14ac:dyDescent="0.3">
      <c r="B11" s="41" t="s">
        <v>49</v>
      </c>
      <c r="C11" s="5" t="s">
        <v>51</v>
      </c>
      <c r="D11" s="21">
        <v>76</v>
      </c>
      <c r="E11" s="5"/>
      <c r="F11" s="21">
        <v>234</v>
      </c>
      <c r="G11" s="15">
        <f>(F11-D11)/D11</f>
        <v>2.0789473684210527</v>
      </c>
      <c r="H11" s="21">
        <v>513</v>
      </c>
      <c r="I11" s="15">
        <f>(H11-F11)/F11</f>
        <v>1.1923076923076923</v>
      </c>
      <c r="J11" s="21">
        <v>934</v>
      </c>
      <c r="K11" s="15">
        <f>(J11-H11)/H11</f>
        <v>0.82066276803118909</v>
      </c>
      <c r="L11" s="21">
        <v>1291</v>
      </c>
      <c r="M11" s="15">
        <f>(L11-J11)/J11</f>
        <v>0.38222698072805139</v>
      </c>
      <c r="N11" s="22">
        <f>N6-N10</f>
        <v>1735.5</v>
      </c>
      <c r="O11" s="15">
        <f>(N11-L11)/L11</f>
        <v>0.34430673896204494</v>
      </c>
      <c r="P11" s="22">
        <f>P6-P10</f>
        <v>2373.7000000000007</v>
      </c>
      <c r="Q11" s="15">
        <f>(P11-N11)/N11</f>
        <v>0.3677326418899457</v>
      </c>
      <c r="S11" s="2"/>
    </row>
    <row r="12" spans="2:19" x14ac:dyDescent="0.3">
      <c r="B12" s="41">
        <v>5</v>
      </c>
      <c r="C12" s="5" t="s">
        <v>8</v>
      </c>
      <c r="D12" s="21">
        <v>2300</v>
      </c>
      <c r="E12" s="5"/>
      <c r="F12" s="21">
        <v>3539</v>
      </c>
      <c r="G12" s="15">
        <f>(F12-D12)/D12</f>
        <v>0.53869565217391302</v>
      </c>
      <c r="H12" s="21">
        <v>5269</v>
      </c>
      <c r="I12" s="15">
        <f>(H12-F12)/F12</f>
        <v>0.48883865498728457</v>
      </c>
      <c r="J12" s="21">
        <v>7375</v>
      </c>
      <c r="K12" s="15">
        <f>(J12-H12)/H12</f>
        <v>0.39969633706585689</v>
      </c>
      <c r="L12" s="21">
        <v>9478</v>
      </c>
      <c r="M12" s="15">
        <f>(L12-J12)/J12</f>
        <v>0.28515254237288135</v>
      </c>
      <c r="N12" s="22">
        <f>N17*2-L17</f>
        <v>13658.734</v>
      </c>
      <c r="O12" s="15">
        <f>(N12-L12)/L12</f>
        <v>0.44109875501160584</v>
      </c>
      <c r="P12" s="22">
        <f>P17*2-N17</f>
        <v>17915.246411273234</v>
      </c>
      <c r="Q12" s="15">
        <f>(P12-N12)/N12</f>
        <v>0.31163301161536888</v>
      </c>
    </row>
    <row r="13" spans="2:19" x14ac:dyDescent="0.3">
      <c r="B13" s="41" t="s">
        <v>52</v>
      </c>
      <c r="C13" s="5" t="s">
        <v>55</v>
      </c>
      <c r="D13" s="21">
        <v>19</v>
      </c>
      <c r="E13" s="5"/>
      <c r="F13" s="21">
        <v>16</v>
      </c>
      <c r="G13" s="14"/>
      <c r="H13" s="21">
        <v>12</v>
      </c>
      <c r="I13" s="14"/>
      <c r="J13" s="21">
        <v>14</v>
      </c>
      <c r="K13" s="14"/>
      <c r="L13" s="21">
        <v>20</v>
      </c>
      <c r="M13" s="14"/>
      <c r="N13" s="21"/>
      <c r="O13" s="14"/>
      <c r="P13" s="21"/>
      <c r="Q13" s="14"/>
    </row>
    <row r="14" spans="2:19" x14ac:dyDescent="0.3">
      <c r="B14" s="41" t="s">
        <v>53</v>
      </c>
      <c r="C14" s="5" t="s">
        <v>56</v>
      </c>
      <c r="D14" s="42">
        <v>7.1000000000000004E-3</v>
      </c>
      <c r="E14" s="5"/>
      <c r="F14" s="42">
        <v>3.8999999999999998E-3</v>
      </c>
      <c r="G14" s="14"/>
      <c r="H14" s="42">
        <v>2.0999999999999999E-3</v>
      </c>
      <c r="I14" s="14"/>
      <c r="J14" s="42">
        <v>1.6999999999999999E-3</v>
      </c>
      <c r="K14" s="14"/>
      <c r="L14" s="42">
        <v>1.9E-3</v>
      </c>
      <c r="M14" s="14"/>
      <c r="N14" s="21"/>
      <c r="O14" s="14"/>
      <c r="P14" s="21"/>
      <c r="Q14" s="14"/>
    </row>
    <row r="15" spans="2:19" x14ac:dyDescent="0.3">
      <c r="B15" s="41" t="s">
        <v>54</v>
      </c>
      <c r="C15" s="5" t="s">
        <v>57</v>
      </c>
      <c r="D15" s="43" t="s">
        <v>58</v>
      </c>
      <c r="E15" s="5"/>
      <c r="F15" s="43" t="s">
        <v>58</v>
      </c>
      <c r="G15" s="14"/>
      <c r="H15" s="43" t="s">
        <v>58</v>
      </c>
      <c r="I15" s="14"/>
      <c r="J15" s="43" t="s">
        <v>58</v>
      </c>
      <c r="K15" s="14"/>
      <c r="L15" s="43" t="s">
        <v>58</v>
      </c>
      <c r="M15" s="14"/>
      <c r="N15" s="21"/>
      <c r="O15" s="14"/>
      <c r="P15" s="21"/>
      <c r="Q15" s="14"/>
    </row>
    <row r="16" spans="2:19" x14ac:dyDescent="0.3">
      <c r="B16" s="41">
        <v>7</v>
      </c>
      <c r="C16" s="5" t="s">
        <v>9</v>
      </c>
      <c r="D16" s="21">
        <f>2303+46+39</f>
        <v>2388</v>
      </c>
      <c r="E16" s="5"/>
      <c r="F16" s="21">
        <f>3132+118+21</f>
        <v>3271</v>
      </c>
      <c r="G16" s="15">
        <f>(F16-D16)/D16</f>
        <v>0.36976549413735343</v>
      </c>
      <c r="H16" s="21">
        <f>4607+340+20</f>
        <v>4967</v>
      </c>
      <c r="I16" s="15">
        <f>(H16-F16)/F16</f>
        <v>0.51849587282176701</v>
      </c>
      <c r="J16" s="21">
        <f>6234+736+20</f>
        <v>6990</v>
      </c>
      <c r="K16" s="15">
        <f>(J16-H16)/H16</f>
        <v>0.40728810146970001</v>
      </c>
      <c r="L16" s="21">
        <f>8188+1090+24</f>
        <v>9302</v>
      </c>
      <c r="M16" s="15">
        <f>(L16-J16)/J16</f>
        <v>0.33075822603719601</v>
      </c>
      <c r="N16" s="26">
        <f>(N6-L6)+L16</f>
        <v>12009</v>
      </c>
      <c r="O16" s="17">
        <f>(N16-L16)/L16</f>
        <v>0.29101268544399056</v>
      </c>
      <c r="P16" s="26">
        <f>(P6-N6)+N16</f>
        <v>15614</v>
      </c>
      <c r="Q16" s="17">
        <f>(P16-N16)/N16</f>
        <v>0.30019152302439839</v>
      </c>
    </row>
    <row r="17" spans="2:24" x14ac:dyDescent="0.3">
      <c r="B17" s="41">
        <v>8</v>
      </c>
      <c r="C17" s="5" t="s">
        <v>10</v>
      </c>
      <c r="D17" s="21">
        <v>1994</v>
      </c>
      <c r="E17" s="5"/>
      <c r="F17" s="21">
        <v>2798</v>
      </c>
      <c r="G17" s="15">
        <f>(F17-D17)/D17</f>
        <v>0.40320962888665995</v>
      </c>
      <c r="H17" s="21">
        <v>4299</v>
      </c>
      <c r="I17" s="15">
        <f>(H17-F17)/F17</f>
        <v>0.53645461043602571</v>
      </c>
      <c r="J17" s="21">
        <v>6388</v>
      </c>
      <c r="K17" s="15">
        <f>(J17-H17)/H17</f>
        <v>0.48592695975808325</v>
      </c>
      <c r="L17" s="21">
        <v>8401</v>
      </c>
      <c r="M17" s="15">
        <f>(L17-J17)/J17</f>
        <v>0.3151221039448967</v>
      </c>
      <c r="N17" s="26">
        <f>N16-(L39*1.15)</f>
        <v>11029.867</v>
      </c>
      <c r="O17" s="17">
        <f>(N17-L17)/L17</f>
        <v>0.31292310439233428</v>
      </c>
      <c r="P17" s="26">
        <f>P16-(N39*1.15)</f>
        <v>14472.556705636618</v>
      </c>
      <c r="Q17" s="17">
        <f>(P17-N17)/N17</f>
        <v>0.31212431715057104</v>
      </c>
      <c r="X17" s="2"/>
    </row>
    <row r="18" spans="2:24" x14ac:dyDescent="0.3">
      <c r="B18" s="41" t="s">
        <v>61</v>
      </c>
      <c r="C18" s="5" t="s">
        <v>59</v>
      </c>
      <c r="D18" s="22">
        <v>52</v>
      </c>
      <c r="E18" s="5"/>
      <c r="F18" s="22">
        <v>69</v>
      </c>
      <c r="G18" s="15">
        <f>(F18-D18)/D18</f>
        <v>0.32692307692307693</v>
      </c>
      <c r="H18" s="22">
        <v>83</v>
      </c>
      <c r="I18" s="15">
        <f>(H18-F18)/F18</f>
        <v>0.20289855072463769</v>
      </c>
      <c r="J18" s="22">
        <v>107</v>
      </c>
      <c r="K18" s="15">
        <f>(J18-H18)/H18</f>
        <v>0.28915662650602408</v>
      </c>
      <c r="L18" s="22">
        <v>110</v>
      </c>
      <c r="M18" s="15">
        <f>(L18-J18)/J18</f>
        <v>2.8037383177570093E-2</v>
      </c>
      <c r="N18" s="22">
        <v>125</v>
      </c>
      <c r="O18" s="15">
        <f>(N18-L18)/L18</f>
        <v>0.13636363636363635</v>
      </c>
      <c r="P18" s="22"/>
      <c r="Q18" s="14"/>
    </row>
    <row r="19" spans="2:24" x14ac:dyDescent="0.3">
      <c r="B19" s="41" t="s">
        <v>62</v>
      </c>
      <c r="C19" s="5" t="s">
        <v>60</v>
      </c>
      <c r="D19" s="22">
        <v>0</v>
      </c>
      <c r="E19" s="5"/>
      <c r="F19" s="22">
        <v>0</v>
      </c>
      <c r="G19" s="15"/>
      <c r="H19" s="22">
        <v>0</v>
      </c>
      <c r="I19" s="14"/>
      <c r="J19" s="22">
        <v>10</v>
      </c>
      <c r="K19" s="15"/>
      <c r="L19" s="22">
        <v>30</v>
      </c>
      <c r="M19" s="15">
        <f>(L19-J19)/J19</f>
        <v>2</v>
      </c>
      <c r="N19" s="22">
        <v>55</v>
      </c>
      <c r="O19" s="15">
        <f>(N19-L19)/L19</f>
        <v>0.83333333333333337</v>
      </c>
      <c r="P19" s="22"/>
      <c r="Q19" s="14"/>
    </row>
    <row r="20" spans="2:24" x14ac:dyDescent="0.3">
      <c r="B20" s="41">
        <v>10</v>
      </c>
      <c r="C20" s="5" t="s">
        <v>64</v>
      </c>
      <c r="D20" s="21">
        <v>251</v>
      </c>
      <c r="E20" s="5"/>
      <c r="F20" s="21">
        <v>319</v>
      </c>
      <c r="G20" s="15">
        <f>(F20-D20)/D20</f>
        <v>0.27091633466135456</v>
      </c>
      <c r="H20" s="21">
        <v>387</v>
      </c>
      <c r="I20" s="15">
        <f>(H20-F20)/F20</f>
        <v>0.21316614420062696</v>
      </c>
      <c r="J20" s="21">
        <v>491</v>
      </c>
      <c r="K20" s="15">
        <f>(J20-H20)/H20</f>
        <v>0.26873385012919898</v>
      </c>
      <c r="L20" s="21">
        <v>553</v>
      </c>
      <c r="M20" s="15">
        <f>(L20-J20)/J20</f>
        <v>0.12627291242362526</v>
      </c>
      <c r="N20" s="21"/>
      <c r="O20" s="14"/>
      <c r="P20" s="21"/>
      <c r="Q20" s="14"/>
    </row>
    <row r="21" spans="2:24" x14ac:dyDescent="0.3">
      <c r="B21" s="41"/>
      <c r="C21" s="45" t="s">
        <v>65</v>
      </c>
      <c r="D21" s="21"/>
      <c r="E21" s="5"/>
      <c r="F21" s="21"/>
      <c r="G21" s="15"/>
      <c r="H21" s="21"/>
      <c r="I21" s="15"/>
      <c r="J21" s="21"/>
      <c r="K21" s="15"/>
      <c r="L21" s="21"/>
      <c r="M21" s="15"/>
      <c r="N21" s="21"/>
      <c r="O21" s="14"/>
      <c r="P21" s="21"/>
      <c r="Q21" s="14"/>
    </row>
    <row r="22" spans="2:24" x14ac:dyDescent="0.3">
      <c r="B22" s="41">
        <v>11</v>
      </c>
      <c r="C22" s="5" t="s">
        <v>11</v>
      </c>
      <c r="D22" s="21">
        <f>270+6+3</f>
        <v>279</v>
      </c>
      <c r="E22" s="5"/>
      <c r="F22" s="21">
        <f>356+21+1</f>
        <v>378</v>
      </c>
      <c r="G22" s="15">
        <f>(F22-D22)/D22</f>
        <v>0.35483870967741937</v>
      </c>
      <c r="H22" s="21">
        <f>509+47+1</f>
        <v>557</v>
      </c>
      <c r="I22" s="15">
        <f>(H22-F22)/F22</f>
        <v>0.47354497354497355</v>
      </c>
      <c r="J22" s="21">
        <f>686+100+1</f>
        <v>787</v>
      </c>
      <c r="K22" s="15">
        <f>(J22-H22)/H22</f>
        <v>0.41292639138240572</v>
      </c>
      <c r="L22" s="21">
        <f>891+152+1</f>
        <v>1044</v>
      </c>
      <c r="M22" s="15">
        <f>(L22-J22)/J22</f>
        <v>0.32655654383735705</v>
      </c>
      <c r="N22" s="22">
        <f>N16*N58</f>
        <v>1320.99</v>
      </c>
      <c r="O22" s="15">
        <f>(N22-L22)/L22</f>
        <v>0.265316091954023</v>
      </c>
      <c r="P22" s="22">
        <f>P16*P58</f>
        <v>1678.5049999999999</v>
      </c>
      <c r="Q22" s="15">
        <f>(P22-N22)/N22</f>
        <v>0.27064171568293466</v>
      </c>
    </row>
    <row r="23" spans="2:24" x14ac:dyDescent="0.3">
      <c r="B23" s="41">
        <v>12</v>
      </c>
      <c r="C23" s="5" t="s">
        <v>12</v>
      </c>
      <c r="D23" s="21">
        <v>7</v>
      </c>
      <c r="E23" s="5"/>
      <c r="F23" s="21">
        <v>14</v>
      </c>
      <c r="G23" s="15">
        <f>(F23-D23)/D23</f>
        <v>1</v>
      </c>
      <c r="H23" s="21">
        <v>21</v>
      </c>
      <c r="I23" s="15">
        <f>(H23-F23)/F23</f>
        <v>0.5</v>
      </c>
      <c r="J23" s="21">
        <v>28</v>
      </c>
      <c r="K23" s="15">
        <f>(J23-H23)/H23</f>
        <v>0.33333333333333331</v>
      </c>
      <c r="L23" s="21">
        <v>39</v>
      </c>
      <c r="M23" s="15">
        <f>(L23-J23)/J23</f>
        <v>0.39285714285714285</v>
      </c>
      <c r="N23" s="21">
        <v>47</v>
      </c>
      <c r="O23" s="15">
        <f>(N23-L23)/L23</f>
        <v>0.20512820512820512</v>
      </c>
      <c r="P23" s="21">
        <v>57</v>
      </c>
      <c r="Q23" s="15">
        <f>(P23-N23)/N23</f>
        <v>0.21276595744680851</v>
      </c>
    </row>
    <row r="24" spans="2:24" x14ac:dyDescent="0.3">
      <c r="B24" s="41">
        <v>13</v>
      </c>
      <c r="C24" s="5" t="s">
        <v>13</v>
      </c>
      <c r="D24" s="21">
        <v>0.65</v>
      </c>
      <c r="E24" s="5"/>
      <c r="F24" s="21">
        <v>0.21</v>
      </c>
      <c r="G24" s="15"/>
      <c r="H24" s="21">
        <v>0.26</v>
      </c>
      <c r="I24" s="15"/>
      <c r="J24" s="21">
        <v>0.73</v>
      </c>
      <c r="K24" s="15"/>
      <c r="L24" s="21">
        <v>0.61</v>
      </c>
      <c r="M24" s="15"/>
      <c r="N24" s="21">
        <v>0</v>
      </c>
      <c r="O24" s="14"/>
      <c r="P24" s="21">
        <v>0</v>
      </c>
      <c r="Q24" s="14"/>
    </row>
    <row r="25" spans="2:24" x14ac:dyDescent="0.3">
      <c r="B25" s="41">
        <v>14</v>
      </c>
      <c r="C25" s="5" t="s">
        <v>14</v>
      </c>
      <c r="D25" s="24">
        <f>D22+D23+D24</f>
        <v>286.64999999999998</v>
      </c>
      <c r="E25" s="9"/>
      <c r="F25" s="24">
        <f>F22+F23+F24</f>
        <v>392.21</v>
      </c>
      <c r="G25" s="16">
        <f>(F25-D25)/D25</f>
        <v>0.36825396825396828</v>
      </c>
      <c r="H25" s="24">
        <f>H22+H23+H24</f>
        <v>578.26</v>
      </c>
      <c r="I25" s="16">
        <f>(H25-F25)/F25</f>
        <v>0.47436322378317741</v>
      </c>
      <c r="J25" s="24">
        <f>J22+J23+J24</f>
        <v>815.73</v>
      </c>
      <c r="K25" s="16">
        <f>(J25-H25)/H25</f>
        <v>0.41066302355341894</v>
      </c>
      <c r="L25" s="24">
        <f>L22+L23+L24</f>
        <v>1083.6099999999999</v>
      </c>
      <c r="M25" s="16">
        <f t="shared" ref="M25:M36" si="1">(L25-J25)/J25</f>
        <v>0.32839297316514027</v>
      </c>
      <c r="N25" s="24">
        <f>N22+N23+N24</f>
        <v>1367.99</v>
      </c>
      <c r="O25" s="16">
        <f t="shared" ref="O25:O36" si="2">(N25-L25)/L25</f>
        <v>0.26243759286090024</v>
      </c>
      <c r="P25" s="24">
        <f>P22+P23+P24</f>
        <v>1735.5049999999999</v>
      </c>
      <c r="Q25" s="16">
        <f t="shared" ref="Q25:Q36" si="3">(P25-N25)/N25</f>
        <v>0.26865327962923696</v>
      </c>
    </row>
    <row r="26" spans="2:24" x14ac:dyDescent="0.3">
      <c r="B26" s="41">
        <v>15</v>
      </c>
      <c r="C26" s="5" t="s">
        <v>15</v>
      </c>
      <c r="D26" s="21">
        <v>196</v>
      </c>
      <c r="E26" s="5"/>
      <c r="F26" s="21">
        <v>283</v>
      </c>
      <c r="G26" s="15">
        <f>(F26-D26)/D26</f>
        <v>0.44387755102040816</v>
      </c>
      <c r="H26" s="21">
        <v>423</v>
      </c>
      <c r="I26" s="15">
        <f>(H26-F26)/F26</f>
        <v>0.49469964664310956</v>
      </c>
      <c r="J26" s="21">
        <v>610</v>
      </c>
      <c r="K26" s="15">
        <f>(J26-H26)/H26</f>
        <v>0.44208037825059104</v>
      </c>
      <c r="L26" s="21">
        <v>743</v>
      </c>
      <c r="M26" s="15">
        <f t="shared" si="1"/>
        <v>0.21803278688524591</v>
      </c>
      <c r="N26" s="22">
        <f>N17*N59</f>
        <v>920.99389450000012</v>
      </c>
      <c r="O26" s="15">
        <f t="shared" si="2"/>
        <v>0.2395610962314941</v>
      </c>
      <c r="P26" s="22">
        <f>P17*P59</f>
        <v>1157.8045364509294</v>
      </c>
      <c r="Q26" s="15">
        <f t="shared" si="3"/>
        <v>0.257125094275996</v>
      </c>
    </row>
    <row r="27" spans="2:24" x14ac:dyDescent="0.3">
      <c r="B27" s="41">
        <v>16</v>
      </c>
      <c r="C27" s="5" t="s">
        <v>16</v>
      </c>
      <c r="D27" s="33">
        <f>D22-D26</f>
        <v>83</v>
      </c>
      <c r="E27" s="7"/>
      <c r="F27" s="33">
        <f>F22-F26</f>
        <v>95</v>
      </c>
      <c r="G27" s="16">
        <f>(F27-D27)/D27</f>
        <v>0.14457831325301204</v>
      </c>
      <c r="H27" s="33">
        <f>H22-H26</f>
        <v>134</v>
      </c>
      <c r="I27" s="16">
        <f>(H27-F27)/F27</f>
        <v>0.41052631578947368</v>
      </c>
      <c r="J27" s="33">
        <f>J22-J26</f>
        <v>177</v>
      </c>
      <c r="K27" s="16">
        <f>(J27-H27)/H27</f>
        <v>0.32089552238805968</v>
      </c>
      <c r="L27" s="33">
        <f>L22-L26</f>
        <v>301</v>
      </c>
      <c r="M27" s="16">
        <f t="shared" si="1"/>
        <v>0.70056497175141241</v>
      </c>
      <c r="N27" s="24">
        <f>N22-N26</f>
        <v>399.99610549999989</v>
      </c>
      <c r="O27" s="16">
        <f t="shared" si="2"/>
        <v>0.32889071594684349</v>
      </c>
      <c r="P27" s="24">
        <f>P22-P26</f>
        <v>520.70046354907049</v>
      </c>
      <c r="Q27" s="16">
        <f t="shared" si="3"/>
        <v>0.3017638331707973</v>
      </c>
    </row>
    <row r="28" spans="2:24" x14ac:dyDescent="0.3">
      <c r="B28" s="41">
        <v>17</v>
      </c>
      <c r="C28" s="5" t="s">
        <v>17</v>
      </c>
      <c r="D28" s="21">
        <v>11</v>
      </c>
      <c r="E28" s="5"/>
      <c r="F28" s="21">
        <v>16</v>
      </c>
      <c r="G28" s="15">
        <f t="shared" ref="G28:K49" si="4">(F28-D28)/D28</f>
        <v>0.45454545454545453</v>
      </c>
      <c r="H28" s="21">
        <v>18</v>
      </c>
      <c r="I28" s="15">
        <f t="shared" si="4"/>
        <v>0.125</v>
      </c>
      <c r="J28" s="21">
        <v>25</v>
      </c>
      <c r="K28" s="15">
        <f t="shared" si="4"/>
        <v>0.3888888888888889</v>
      </c>
      <c r="L28" s="21">
        <v>33</v>
      </c>
      <c r="M28" s="15">
        <f t="shared" si="1"/>
        <v>0.32</v>
      </c>
      <c r="N28" s="22">
        <f>L28*1.35</f>
        <v>44.550000000000004</v>
      </c>
      <c r="O28" s="15">
        <f t="shared" si="2"/>
        <v>0.35000000000000014</v>
      </c>
      <c r="P28" s="22">
        <f>N28*1.35</f>
        <v>60.142500000000013</v>
      </c>
      <c r="Q28" s="15">
        <f t="shared" si="3"/>
        <v>0.35000000000000014</v>
      </c>
    </row>
    <row r="29" spans="2:24" x14ac:dyDescent="0.3">
      <c r="B29" s="41">
        <v>18</v>
      </c>
      <c r="C29" s="5" t="s">
        <v>18</v>
      </c>
      <c r="D29" s="21">
        <v>9</v>
      </c>
      <c r="E29" s="5"/>
      <c r="F29" s="21">
        <v>15</v>
      </c>
      <c r="G29" s="15">
        <f t="shared" si="4"/>
        <v>0.66666666666666663</v>
      </c>
      <c r="H29" s="21">
        <v>20</v>
      </c>
      <c r="I29" s="15">
        <f t="shared" si="4"/>
        <v>0.33333333333333331</v>
      </c>
      <c r="J29" s="21">
        <v>24</v>
      </c>
      <c r="K29" s="15">
        <f t="shared" si="4"/>
        <v>0.2</v>
      </c>
      <c r="L29" s="21">
        <v>28</v>
      </c>
      <c r="M29" s="15">
        <f t="shared" si="1"/>
        <v>0.16666666666666666</v>
      </c>
      <c r="N29" s="22">
        <f>L29*1.2</f>
        <v>33.6</v>
      </c>
      <c r="O29" s="15">
        <f t="shared" si="2"/>
        <v>0.20000000000000004</v>
      </c>
      <c r="P29" s="22">
        <f>N29*1.2</f>
        <v>40.32</v>
      </c>
      <c r="Q29" s="15">
        <f t="shared" si="3"/>
        <v>0.19999999999999996</v>
      </c>
    </row>
    <row r="30" spans="2:24" x14ac:dyDescent="0.3">
      <c r="B30" s="41">
        <v>19</v>
      </c>
      <c r="C30" s="5" t="s">
        <v>19</v>
      </c>
      <c r="D30" s="21">
        <v>0.55000000000000004</v>
      </c>
      <c r="E30" s="5"/>
      <c r="F30" s="21">
        <v>1.1599999999999999</v>
      </c>
      <c r="G30" s="15">
        <f t="shared" si="4"/>
        <v>1.1090909090909087</v>
      </c>
      <c r="H30" s="21">
        <v>2.0099999999999998</v>
      </c>
      <c r="I30" s="15">
        <f t="shared" si="4"/>
        <v>0.73275862068965514</v>
      </c>
      <c r="J30" s="21">
        <v>3.73</v>
      </c>
      <c r="K30" s="15">
        <f t="shared" si="4"/>
        <v>0.85572139303482608</v>
      </c>
      <c r="L30" s="21">
        <v>3.46</v>
      </c>
      <c r="M30" s="15">
        <f t="shared" si="1"/>
        <v>-7.2386058981233251E-2</v>
      </c>
      <c r="N30" s="21">
        <v>4</v>
      </c>
      <c r="O30" s="15">
        <f t="shared" si="2"/>
        <v>0.15606936416184972</v>
      </c>
      <c r="P30" s="22">
        <v>6</v>
      </c>
      <c r="Q30" s="15">
        <f t="shared" si="3"/>
        <v>0.5</v>
      </c>
    </row>
    <row r="31" spans="2:24" x14ac:dyDescent="0.3">
      <c r="B31" s="41">
        <v>20</v>
      </c>
      <c r="C31" s="5" t="s">
        <v>20</v>
      </c>
      <c r="D31" s="24">
        <f>D28+D29+D30</f>
        <v>20.55</v>
      </c>
      <c r="E31" s="9"/>
      <c r="F31" s="24">
        <f>F28+F29+F30</f>
        <v>32.159999999999997</v>
      </c>
      <c r="G31" s="16">
        <f t="shared" si="4"/>
        <v>0.56496350364963477</v>
      </c>
      <c r="H31" s="24">
        <f>H28+H29+H30</f>
        <v>40.01</v>
      </c>
      <c r="I31" s="16">
        <f t="shared" si="4"/>
        <v>0.24409203980099509</v>
      </c>
      <c r="J31" s="24">
        <f>J28+J29+J30</f>
        <v>52.73</v>
      </c>
      <c r="K31" s="16">
        <f t="shared" si="4"/>
        <v>0.3179205198700325</v>
      </c>
      <c r="L31" s="24">
        <f>L28+L29+L30</f>
        <v>64.459999999999994</v>
      </c>
      <c r="M31" s="16">
        <f t="shared" si="1"/>
        <v>0.22245401099943102</v>
      </c>
      <c r="N31" s="24">
        <f>N28+N29+N30</f>
        <v>82.15</v>
      </c>
      <c r="O31" s="16">
        <f t="shared" si="2"/>
        <v>0.27443375736891118</v>
      </c>
      <c r="P31" s="24">
        <f>P28+P29+P30</f>
        <v>106.46250000000001</v>
      </c>
      <c r="Q31" s="16">
        <f t="shared" si="3"/>
        <v>0.29595252586731585</v>
      </c>
    </row>
    <row r="32" spans="2:24" x14ac:dyDescent="0.3">
      <c r="B32" s="41">
        <v>21</v>
      </c>
      <c r="C32" s="5" t="s">
        <v>21</v>
      </c>
      <c r="D32" s="21">
        <v>2.81</v>
      </c>
      <c r="E32" s="5"/>
      <c r="F32" s="21">
        <v>3.29</v>
      </c>
      <c r="G32" s="15">
        <f t="shared" si="4"/>
        <v>0.17081850533807827</v>
      </c>
      <c r="H32" s="21">
        <v>3.22</v>
      </c>
      <c r="I32" s="15">
        <f t="shared" si="4"/>
        <v>-2.1276595744680802E-2</v>
      </c>
      <c r="J32" s="21">
        <v>2.1</v>
      </c>
      <c r="K32" s="15">
        <f t="shared" si="4"/>
        <v>-0.34782608695652173</v>
      </c>
      <c r="L32" s="21">
        <v>3.29</v>
      </c>
      <c r="M32" s="15">
        <f t="shared" si="1"/>
        <v>0.56666666666666665</v>
      </c>
      <c r="N32" s="27">
        <f>L32*1.5</f>
        <v>4.9350000000000005</v>
      </c>
      <c r="O32" s="15">
        <f t="shared" si="2"/>
        <v>0.50000000000000011</v>
      </c>
      <c r="P32" s="27">
        <f>N32*1.4</f>
        <v>6.9090000000000007</v>
      </c>
      <c r="Q32" s="15">
        <f t="shared" si="3"/>
        <v>0.4</v>
      </c>
    </row>
    <row r="33" spans="2:20" x14ac:dyDescent="0.3">
      <c r="B33" s="41">
        <v>22</v>
      </c>
      <c r="C33" s="5" t="s">
        <v>22</v>
      </c>
      <c r="D33" s="24">
        <f>D26+D31+D32</f>
        <v>219.36</v>
      </c>
      <c r="E33" s="9"/>
      <c r="F33" s="24">
        <f>F26+F31+F32</f>
        <v>318.45</v>
      </c>
      <c r="G33" s="16">
        <f t="shared" si="4"/>
        <v>0.4517231947483587</v>
      </c>
      <c r="H33" s="24">
        <f>H26+H31+H32</f>
        <v>466.23</v>
      </c>
      <c r="I33" s="16">
        <f t="shared" si="4"/>
        <v>0.46406029203956678</v>
      </c>
      <c r="J33" s="24">
        <f>J26+J31+J32</f>
        <v>664.83</v>
      </c>
      <c r="K33" s="16">
        <f t="shared" si="4"/>
        <v>0.42597001479956248</v>
      </c>
      <c r="L33" s="24">
        <f>L26+L31+L32</f>
        <v>810.75</v>
      </c>
      <c r="M33" s="16">
        <f t="shared" si="1"/>
        <v>0.21948468029421048</v>
      </c>
      <c r="N33" s="24">
        <f>N26+N31+N32</f>
        <v>1008.0788945</v>
      </c>
      <c r="O33" s="16">
        <f t="shared" si="2"/>
        <v>0.24339055750847985</v>
      </c>
      <c r="P33" s="24">
        <f>P26+P31+P32</f>
        <v>1271.1760364509296</v>
      </c>
      <c r="Q33" s="16">
        <f t="shared" si="3"/>
        <v>0.26098864224453766</v>
      </c>
    </row>
    <row r="34" spans="2:20" x14ac:dyDescent="0.3">
      <c r="B34" s="41">
        <v>23</v>
      </c>
      <c r="C34" s="5" t="s">
        <v>23</v>
      </c>
      <c r="D34" s="24">
        <f>D25-D33</f>
        <v>67.289999999999964</v>
      </c>
      <c r="E34" s="9"/>
      <c r="F34" s="24">
        <f>F25-F33</f>
        <v>73.759999999999991</v>
      </c>
      <c r="G34" s="16">
        <f t="shared" si="4"/>
        <v>9.61509882597716E-2</v>
      </c>
      <c r="H34" s="24">
        <f>H25-H33</f>
        <v>112.02999999999997</v>
      </c>
      <c r="I34" s="16">
        <f t="shared" si="4"/>
        <v>0.51884490238611691</v>
      </c>
      <c r="J34" s="24">
        <f>J25-J33</f>
        <v>150.89999999999998</v>
      </c>
      <c r="K34" s="16">
        <f t="shared" si="4"/>
        <v>0.34696063554405082</v>
      </c>
      <c r="L34" s="24">
        <f>L25-L33</f>
        <v>272.8599999999999</v>
      </c>
      <c r="M34" s="16">
        <f t="shared" si="1"/>
        <v>0.80821736249171594</v>
      </c>
      <c r="N34" s="24">
        <f>N25-N33</f>
        <v>359.91110549999996</v>
      </c>
      <c r="O34" s="16">
        <f t="shared" si="2"/>
        <v>0.31903212453272778</v>
      </c>
      <c r="P34" s="24">
        <f>P25-P33</f>
        <v>464.32896354907029</v>
      </c>
      <c r="Q34" s="16">
        <f t="shared" si="3"/>
        <v>0.29012124508914422</v>
      </c>
    </row>
    <row r="35" spans="2:20" x14ac:dyDescent="0.3">
      <c r="B35" s="41">
        <v>24</v>
      </c>
      <c r="C35" s="5" t="s">
        <v>24</v>
      </c>
      <c r="D35" s="22">
        <f>11+17.8-3.61-0.58</f>
        <v>24.610000000000003</v>
      </c>
      <c r="E35" s="6"/>
      <c r="F35" s="22">
        <f>6.85-8.24+20.2+0.78</f>
        <v>19.59</v>
      </c>
      <c r="G35" s="15">
        <f t="shared" si="4"/>
        <v>-0.20398212108898831</v>
      </c>
      <c r="H35" s="22">
        <f>8-3.56+30.93+0.24</f>
        <v>35.61</v>
      </c>
      <c r="I35" s="15">
        <f t="shared" si="4"/>
        <v>0.81776416539050534</v>
      </c>
      <c r="J35" s="22">
        <f>12+2.25+43.23+7.98</f>
        <v>65.459999999999994</v>
      </c>
      <c r="K35" s="15">
        <f t="shared" si="4"/>
        <v>0.83824768323504617</v>
      </c>
      <c r="L35" s="22">
        <f>14+5.41+80+16.76</f>
        <v>116.17</v>
      </c>
      <c r="M35" s="15">
        <f t="shared" si="1"/>
        <v>0.77467155514818231</v>
      </c>
      <c r="N35" s="22">
        <f>16+N34*0.29+7+25</f>
        <v>152.374220595</v>
      </c>
      <c r="O35" s="15">
        <f t="shared" si="2"/>
        <v>0.3116486235258672</v>
      </c>
      <c r="P35" s="22">
        <f>17+P34*0.29+10</f>
        <v>161.65539942923039</v>
      </c>
      <c r="Q35" s="15">
        <f t="shared" si="3"/>
        <v>6.0910426960601893E-2</v>
      </c>
    </row>
    <row r="36" spans="2:20" x14ac:dyDescent="0.3">
      <c r="B36" s="41">
        <v>25</v>
      </c>
      <c r="C36" s="5" t="s">
        <v>25</v>
      </c>
      <c r="D36" s="28">
        <f>D34-D35</f>
        <v>42.679999999999964</v>
      </c>
      <c r="E36" s="9"/>
      <c r="F36" s="28">
        <f>F34-F35</f>
        <v>54.169999999999987</v>
      </c>
      <c r="G36" s="16">
        <f t="shared" si="4"/>
        <v>0.26921274601687051</v>
      </c>
      <c r="H36" s="28">
        <f>H34-H35</f>
        <v>76.419999999999973</v>
      </c>
      <c r="I36" s="16">
        <f t="shared" si="4"/>
        <v>0.41074395421820181</v>
      </c>
      <c r="J36" s="28">
        <f>J34-J35</f>
        <v>85.439999999999984</v>
      </c>
      <c r="K36" s="16">
        <f t="shared" si="4"/>
        <v>0.11803192881444666</v>
      </c>
      <c r="L36" s="28">
        <f>L34-L35</f>
        <v>156.68999999999988</v>
      </c>
      <c r="M36" s="16">
        <f t="shared" si="1"/>
        <v>0.8339185393258417</v>
      </c>
      <c r="N36" s="28">
        <f>N34-N35</f>
        <v>207.53688490499997</v>
      </c>
      <c r="O36" s="16">
        <f t="shared" si="2"/>
        <v>0.32450625378135245</v>
      </c>
      <c r="P36" s="28">
        <f>P34-P35</f>
        <v>302.67356411983991</v>
      </c>
      <c r="Q36" s="16">
        <f t="shared" si="3"/>
        <v>0.45840853426314443</v>
      </c>
    </row>
    <row r="37" spans="2:20" x14ac:dyDescent="0.3">
      <c r="B37" s="41">
        <v>26</v>
      </c>
      <c r="C37" s="5" t="s">
        <v>26</v>
      </c>
      <c r="D37" s="21">
        <v>20.49</v>
      </c>
      <c r="E37" s="5"/>
      <c r="F37" s="21">
        <v>20.49</v>
      </c>
      <c r="G37" s="15"/>
      <c r="H37" s="21">
        <v>20.49</v>
      </c>
      <c r="I37" s="15"/>
      <c r="J37" s="21">
        <v>26.62</v>
      </c>
      <c r="K37" s="15"/>
      <c r="L37" s="21">
        <v>26.62</v>
      </c>
      <c r="M37" s="15"/>
      <c r="N37" s="21">
        <f>L37</f>
        <v>26.62</v>
      </c>
      <c r="O37" s="14"/>
      <c r="P37" s="27">
        <f>N37</f>
        <v>26.62</v>
      </c>
      <c r="Q37" s="14"/>
    </row>
    <row r="38" spans="2:20" x14ac:dyDescent="0.3">
      <c r="B38" s="41"/>
      <c r="C38" s="45" t="s">
        <v>66</v>
      </c>
      <c r="D38" s="21"/>
      <c r="E38" s="5"/>
      <c r="F38" s="21"/>
      <c r="G38" s="15"/>
      <c r="H38" s="21"/>
      <c r="I38" s="15"/>
      <c r="J38" s="21"/>
      <c r="K38" s="15"/>
      <c r="L38" s="21"/>
      <c r="M38" s="15"/>
      <c r="N38" s="21"/>
      <c r="O38" s="14"/>
      <c r="P38" s="29"/>
      <c r="Q38" s="14"/>
    </row>
    <row r="39" spans="2:20" x14ac:dyDescent="0.3">
      <c r="B39" s="41">
        <v>27</v>
      </c>
      <c r="C39" s="5" t="s">
        <v>27</v>
      </c>
      <c r="D39" s="22">
        <v>327.08999999999997</v>
      </c>
      <c r="E39" s="5"/>
      <c r="F39" s="22">
        <v>371.68</v>
      </c>
      <c r="G39" s="15">
        <f t="shared" si="4"/>
        <v>0.13632333608486971</v>
      </c>
      <c r="H39" s="22">
        <v>431.81</v>
      </c>
      <c r="I39" s="15">
        <f t="shared" si="4"/>
        <v>0.16177894963409384</v>
      </c>
      <c r="J39" s="22">
        <v>744.86</v>
      </c>
      <c r="K39" s="15">
        <f t="shared" si="4"/>
        <v>0.72497163104143025</v>
      </c>
      <c r="L39" s="22">
        <v>851.42</v>
      </c>
      <c r="M39" s="15">
        <f>(L39-J39)/J39</f>
        <v>0.14306044088822054</v>
      </c>
      <c r="N39" s="22">
        <f>L39+(N36*(L39-J39)/L36)</f>
        <v>992.55938640294085</v>
      </c>
      <c r="O39" s="15">
        <f>(N39-L39)/L39</f>
        <v>0.16576940452766073</v>
      </c>
      <c r="P39" s="22">
        <f>N39+(P36*(N39-L39)/N36)</f>
        <v>1198.3982720536535</v>
      </c>
      <c r="Q39" s="15">
        <f>(P39-N39)/N39</f>
        <v>0.20738193449228035</v>
      </c>
      <c r="S39" s="2"/>
      <c r="T39" s="2"/>
    </row>
    <row r="40" spans="2:20" x14ac:dyDescent="0.3">
      <c r="B40" s="41">
        <v>28</v>
      </c>
      <c r="C40" s="5" t="s">
        <v>28</v>
      </c>
      <c r="D40" s="24">
        <f>D37+D39-6</f>
        <v>341.58</v>
      </c>
      <c r="E40" s="9"/>
      <c r="F40" s="24">
        <f>F37+F39-5</f>
        <v>387.17</v>
      </c>
      <c r="G40" s="16">
        <f t="shared" si="4"/>
        <v>0.13346800163944034</v>
      </c>
      <c r="H40" s="24">
        <f>H37+H39-5</f>
        <v>447.3</v>
      </c>
      <c r="I40" s="16">
        <f t="shared" si="4"/>
        <v>0.15530645452901826</v>
      </c>
      <c r="J40" s="24">
        <f>J37+J39-0</f>
        <v>771.48</v>
      </c>
      <c r="K40" s="16">
        <f t="shared" si="4"/>
        <v>0.72474849094567406</v>
      </c>
      <c r="L40" s="24">
        <f>L37+L39-0</f>
        <v>878.04</v>
      </c>
      <c r="M40" s="16">
        <f>(L40-J40)/J40</f>
        <v>0.13812412505832938</v>
      </c>
      <c r="N40" s="24">
        <f>N37+N39-0</f>
        <v>1019.1793864029408</v>
      </c>
      <c r="O40" s="16">
        <f>(N40-L40)/L40</f>
        <v>0.16074368639576886</v>
      </c>
      <c r="P40" s="24">
        <f>P37+P39-0</f>
        <v>1225.0182720536534</v>
      </c>
      <c r="Q40" s="16">
        <f>(P40-N40)/N40</f>
        <v>0.20196531483745342</v>
      </c>
      <c r="S40" s="2"/>
    </row>
    <row r="41" spans="2:20" x14ac:dyDescent="0.3">
      <c r="B41" s="41">
        <v>29</v>
      </c>
      <c r="C41" s="5" t="s">
        <v>29</v>
      </c>
      <c r="D41" s="21">
        <v>2.0499999999999998</v>
      </c>
      <c r="E41" s="5"/>
      <c r="F41" s="21">
        <v>2.0499999999999998</v>
      </c>
      <c r="G41" s="15"/>
      <c r="H41" s="21">
        <v>2.0499999999999998</v>
      </c>
      <c r="I41" s="15"/>
      <c r="J41" s="21">
        <v>2.66</v>
      </c>
      <c r="K41" s="15"/>
      <c r="L41" s="21">
        <v>2.66</v>
      </c>
      <c r="M41" s="15"/>
      <c r="N41" s="21">
        <v>2.66</v>
      </c>
      <c r="O41" s="14"/>
      <c r="P41" s="27">
        <f>2.66</f>
        <v>2.66</v>
      </c>
      <c r="Q41" s="14"/>
    </row>
    <row r="42" spans="2:20" x14ac:dyDescent="0.3">
      <c r="B42" s="41">
        <v>30</v>
      </c>
      <c r="C42" s="5" t="s">
        <v>30</v>
      </c>
      <c r="D42" s="21">
        <v>11.15</v>
      </c>
      <c r="E42" s="5"/>
      <c r="F42" s="21">
        <v>18</v>
      </c>
      <c r="G42" s="15">
        <f t="shared" si="4"/>
        <v>0.61434977578475336</v>
      </c>
      <c r="H42" s="21">
        <v>26</v>
      </c>
      <c r="I42" s="15">
        <f t="shared" si="4"/>
        <v>0.44444444444444442</v>
      </c>
      <c r="J42" s="21">
        <v>138</v>
      </c>
      <c r="K42" s="15">
        <f t="shared" si="4"/>
        <v>4.3076923076923075</v>
      </c>
      <c r="L42" s="21">
        <v>152</v>
      </c>
      <c r="M42" s="15">
        <f>(L42-J42)/J42</f>
        <v>0.10144927536231885</v>
      </c>
      <c r="N42" s="21"/>
      <c r="O42" s="14"/>
      <c r="P42" s="21"/>
      <c r="Q42" s="14"/>
    </row>
    <row r="43" spans="2:20" x14ac:dyDescent="0.3">
      <c r="B43" s="41" t="s">
        <v>67</v>
      </c>
      <c r="C43" s="5" t="s">
        <v>69</v>
      </c>
      <c r="D43" s="21">
        <v>6.15</v>
      </c>
      <c r="E43" s="5"/>
      <c r="F43" s="27">
        <v>8.1999999999999993</v>
      </c>
      <c r="G43" s="14"/>
      <c r="H43" s="21">
        <v>13.32</v>
      </c>
      <c r="I43" s="14"/>
      <c r="J43" s="21">
        <v>18.64</v>
      </c>
      <c r="K43" s="14"/>
      <c r="L43" s="21">
        <v>26.63</v>
      </c>
      <c r="M43" s="14"/>
      <c r="N43" s="27">
        <v>36</v>
      </c>
      <c r="O43" s="14"/>
      <c r="P43" s="27">
        <v>52</v>
      </c>
      <c r="Q43" s="14"/>
    </row>
    <row r="44" spans="2:20" x14ac:dyDescent="0.3">
      <c r="B44" s="41" t="s">
        <v>68</v>
      </c>
      <c r="C44" s="5" t="s">
        <v>70</v>
      </c>
      <c r="D44" s="46">
        <f>D43/D36</f>
        <v>0.14409559512652309</v>
      </c>
      <c r="E44" s="7"/>
      <c r="F44" s="46">
        <f>F43/F36</f>
        <v>0.15137529998153962</v>
      </c>
      <c r="G44" s="18"/>
      <c r="H44" s="46">
        <f>H43/H36</f>
        <v>0.17429992148652193</v>
      </c>
      <c r="I44" s="18"/>
      <c r="J44" s="46">
        <f>J43/J36</f>
        <v>0.2181647940074907</v>
      </c>
      <c r="K44" s="18"/>
      <c r="L44" s="46">
        <f>L43/L36</f>
        <v>0.16995341119407759</v>
      </c>
      <c r="M44" s="18"/>
      <c r="N44" s="46">
        <f>N43/N36</f>
        <v>0.17346314134221974</v>
      </c>
      <c r="O44" s="18"/>
      <c r="P44" s="46">
        <f>P43/P36</f>
        <v>0.17180225220928522</v>
      </c>
      <c r="Q44" s="18"/>
    </row>
    <row r="45" spans="2:20" x14ac:dyDescent="0.3">
      <c r="B45" s="41">
        <v>32</v>
      </c>
      <c r="C45" s="5" t="s">
        <v>31</v>
      </c>
      <c r="D45" s="24">
        <f>(D37+D39)/D41</f>
        <v>169.55121951219513</v>
      </c>
      <c r="E45" s="9"/>
      <c r="F45" s="24">
        <f>(F37+F39)/F41</f>
        <v>191.30243902439028</v>
      </c>
      <c r="G45" s="16">
        <f t="shared" si="4"/>
        <v>0.12828701306174134</v>
      </c>
      <c r="H45" s="24">
        <f>(H37+H39)/H41</f>
        <v>220.63414634146343</v>
      </c>
      <c r="I45" s="16">
        <f t="shared" si="4"/>
        <v>0.15332636356682039</v>
      </c>
      <c r="J45" s="24">
        <f>(J37+J39)/J41</f>
        <v>290.03007518796994</v>
      </c>
      <c r="K45" s="16">
        <f t="shared" si="4"/>
        <v>0.31452941440490456</v>
      </c>
      <c r="L45" s="24">
        <f>(L37+L39)/L41</f>
        <v>330.09022556390977</v>
      </c>
      <c r="M45" s="16">
        <f>(L45-J45)/J45</f>
        <v>0.13812412505832936</v>
      </c>
      <c r="N45" s="24">
        <f>(N37+N39)/N41</f>
        <v>383.15014526426347</v>
      </c>
      <c r="O45" s="16">
        <f>(N45-L45)/L45</f>
        <v>0.1607436863957688</v>
      </c>
      <c r="P45" s="24">
        <f>(P37+P39)/P41</f>
        <v>460.53318498257642</v>
      </c>
      <c r="Q45" s="16">
        <f>(P45-N45)/N45</f>
        <v>0.20196531483745331</v>
      </c>
    </row>
    <row r="46" spans="2:20" x14ac:dyDescent="0.3">
      <c r="B46" s="41">
        <v>33</v>
      </c>
      <c r="C46" s="5" t="s">
        <v>32</v>
      </c>
      <c r="D46" s="24">
        <f>D36/D41</f>
        <v>20.819512195121934</v>
      </c>
      <c r="E46" s="9"/>
      <c r="F46" s="24">
        <f t="shared" ref="F46:L46" si="5">F36/F41</f>
        <v>26.424390243902437</v>
      </c>
      <c r="G46" s="16">
        <f t="shared" si="4"/>
        <v>0.26921274601687067</v>
      </c>
      <c r="H46" s="24">
        <f t="shared" si="5"/>
        <v>37.278048780487794</v>
      </c>
      <c r="I46" s="16">
        <f t="shared" si="4"/>
        <v>0.41074395421820165</v>
      </c>
      <c r="J46" s="24">
        <f t="shared" si="5"/>
        <v>32.120300751879689</v>
      </c>
      <c r="K46" s="16">
        <f t="shared" si="4"/>
        <v>-0.13835885185352809</v>
      </c>
      <c r="L46" s="24">
        <f t="shared" si="5"/>
        <v>58.906015037593939</v>
      </c>
      <c r="M46" s="16">
        <f>(L46-J46)/J46</f>
        <v>0.83391853932584181</v>
      </c>
      <c r="N46" s="24">
        <f t="shared" ref="N46" si="6">N36/N41</f>
        <v>78.021385302631558</v>
      </c>
      <c r="O46" s="16">
        <f>(N46-L46)/L46</f>
        <v>0.32450625378135239</v>
      </c>
      <c r="P46" s="24">
        <f t="shared" ref="P46" si="7">P36/P41</f>
        <v>113.78705418039094</v>
      </c>
      <c r="Q46" s="16">
        <f>(P46-N46)/N46</f>
        <v>0.45840853426314454</v>
      </c>
    </row>
    <row r="47" spans="2:20" x14ac:dyDescent="0.3">
      <c r="B47" s="41">
        <v>34</v>
      </c>
      <c r="C47" s="5" t="s">
        <v>33</v>
      </c>
      <c r="D47" s="25">
        <f>D36/(D37+D39)</f>
        <v>0.12279187525174051</v>
      </c>
      <c r="E47" s="8"/>
      <c r="F47" s="25">
        <f t="shared" ref="F47:L47" si="8">F36/(F37+F39)</f>
        <v>0.13812887268276508</v>
      </c>
      <c r="G47" s="16"/>
      <c r="H47" s="25">
        <f t="shared" si="8"/>
        <v>0.16895865575945163</v>
      </c>
      <c r="I47" s="16"/>
      <c r="J47" s="25">
        <f t="shared" si="8"/>
        <v>0.11074817234406592</v>
      </c>
      <c r="K47" s="16"/>
      <c r="L47" s="25">
        <f t="shared" si="8"/>
        <v>0.17845428454284532</v>
      </c>
      <c r="M47" s="16"/>
      <c r="N47" s="25">
        <f t="shared" ref="N47" si="9">N36/(N37+N39)</f>
        <v>0.20363136036088211</v>
      </c>
      <c r="O47" s="16"/>
      <c r="P47" s="25">
        <f t="shared" ref="P47" si="10">P36/(P37+P39)</f>
        <v>0.24707677511816201</v>
      </c>
      <c r="Q47" s="16"/>
    </row>
    <row r="48" spans="2:20" x14ac:dyDescent="0.3">
      <c r="B48" s="41">
        <v>35</v>
      </c>
      <c r="C48" s="5" t="s">
        <v>34</v>
      </c>
      <c r="D48" s="30">
        <f>D36/D16</f>
        <v>1.787269681742042E-2</v>
      </c>
      <c r="E48" s="10"/>
      <c r="F48" s="30">
        <f>F36/F16</f>
        <v>1.6560684805869762E-2</v>
      </c>
      <c r="G48" s="18"/>
      <c r="H48" s="30">
        <f>H36/H16</f>
        <v>1.5385544594322523E-2</v>
      </c>
      <c r="I48" s="18"/>
      <c r="J48" s="30">
        <f>J36/J16</f>
        <v>1.2223175965665233E-2</v>
      </c>
      <c r="K48" s="18"/>
      <c r="L48" s="30">
        <f>L36/L16</f>
        <v>1.6844764566759825E-2</v>
      </c>
      <c r="M48" s="18"/>
      <c r="N48" s="30">
        <f>N36/N16</f>
        <v>1.7281779074444163E-2</v>
      </c>
      <c r="O48" s="18"/>
      <c r="P48" s="30">
        <f>P36/P16</f>
        <v>1.9384754971169458E-2</v>
      </c>
      <c r="Q48" s="18"/>
    </row>
    <row r="49" spans="2:17" x14ac:dyDescent="0.3">
      <c r="B49" s="41">
        <v>36</v>
      </c>
      <c r="C49" s="5" t="s">
        <v>35</v>
      </c>
      <c r="D49" s="37">
        <v>112</v>
      </c>
      <c r="E49" s="5"/>
      <c r="F49" s="37">
        <v>135</v>
      </c>
      <c r="G49" s="15">
        <f t="shared" si="4"/>
        <v>0.20535714285714285</v>
      </c>
      <c r="H49" s="37">
        <v>190</v>
      </c>
      <c r="I49" s="15">
        <f t="shared" si="4"/>
        <v>0.40740740740740738</v>
      </c>
      <c r="J49" s="37">
        <v>607</v>
      </c>
      <c r="K49" s="15">
        <f t="shared" si="4"/>
        <v>2.1947368421052631</v>
      </c>
      <c r="L49" s="37">
        <v>1154</v>
      </c>
      <c r="M49" s="15">
        <f>(L49-J49)/J49</f>
        <v>0.90115321252059311</v>
      </c>
      <c r="N49" s="31">
        <f>N46*N50</f>
        <v>1716.4704766578943</v>
      </c>
      <c r="O49" s="15">
        <f>(N49-L49)/L49</f>
        <v>0.48740942518015107</v>
      </c>
      <c r="P49" s="31">
        <f>P46*P50</f>
        <v>2503.3151919686006</v>
      </c>
      <c r="Q49" s="15">
        <f>(P49-N49)/N49</f>
        <v>0.45840853426314448</v>
      </c>
    </row>
    <row r="50" spans="2:17" x14ac:dyDescent="0.3">
      <c r="B50" s="41">
        <v>37</v>
      </c>
      <c r="C50" s="5" t="s">
        <v>36</v>
      </c>
      <c r="D50" s="24">
        <f>D49/D46</f>
        <v>5.3795688847235281</v>
      </c>
      <c r="E50" s="9"/>
      <c r="F50" s="24">
        <f t="shared" ref="F50:L50" si="11">F49/F46</f>
        <v>5.1089163743769621</v>
      </c>
      <c r="G50" s="18"/>
      <c r="H50" s="24">
        <f t="shared" si="11"/>
        <v>5.0968332897147359</v>
      </c>
      <c r="I50" s="18"/>
      <c r="J50" s="24">
        <f t="shared" si="11"/>
        <v>18.897705992509369</v>
      </c>
      <c r="K50" s="18"/>
      <c r="L50" s="24">
        <f t="shared" si="11"/>
        <v>19.590529070138505</v>
      </c>
      <c r="M50" s="18"/>
      <c r="N50" s="23">
        <f>22</f>
        <v>22</v>
      </c>
      <c r="O50" s="18"/>
      <c r="P50" s="23">
        <v>22</v>
      </c>
      <c r="Q50" s="18"/>
    </row>
    <row r="51" spans="2:17" x14ac:dyDescent="0.3">
      <c r="B51" s="41">
        <v>38</v>
      </c>
      <c r="C51" s="5" t="s">
        <v>37</v>
      </c>
      <c r="D51" s="32">
        <f>D49/D45</f>
        <v>0.66056735140111622</v>
      </c>
      <c r="E51" s="11"/>
      <c r="F51" s="32">
        <f t="shared" ref="F51:L51" si="12">F49/F45</f>
        <v>0.70568885942320914</v>
      </c>
      <c r="G51" s="18"/>
      <c r="H51" s="32">
        <f t="shared" si="12"/>
        <v>0.8611541012602254</v>
      </c>
      <c r="I51" s="18"/>
      <c r="J51" s="32">
        <f t="shared" si="12"/>
        <v>2.0928864001659147</v>
      </c>
      <c r="K51" s="18"/>
      <c r="L51" s="32">
        <f t="shared" si="12"/>
        <v>3.4960138490273791</v>
      </c>
      <c r="M51" s="18"/>
      <c r="N51" s="32">
        <f t="shared" ref="N51:P51" si="13">N49/N45</f>
        <v>4.4798899279394062</v>
      </c>
      <c r="O51" s="18"/>
      <c r="P51" s="32">
        <f t="shared" si="13"/>
        <v>5.4356890525995638</v>
      </c>
      <c r="Q51" s="18"/>
    </row>
    <row r="52" spans="2:17" x14ac:dyDescent="0.3">
      <c r="B52" s="41">
        <v>39</v>
      </c>
      <c r="C52" s="5" t="s">
        <v>38</v>
      </c>
      <c r="D52" s="21">
        <v>1961</v>
      </c>
      <c r="E52" s="5"/>
      <c r="F52" s="21">
        <v>2631</v>
      </c>
      <c r="G52" s="15">
        <f t="shared" ref="G52:K52" si="14">(F52-D52)/D52</f>
        <v>0.34166241713411527</v>
      </c>
      <c r="H52" s="21">
        <v>3421</v>
      </c>
      <c r="I52" s="15">
        <f t="shared" si="14"/>
        <v>0.30026605853287724</v>
      </c>
      <c r="J52" s="21">
        <v>4945</v>
      </c>
      <c r="K52" s="15">
        <f t="shared" si="14"/>
        <v>0.44548377667348726</v>
      </c>
      <c r="L52" s="21">
        <v>4979</v>
      </c>
      <c r="M52" s="15">
        <f>(L52-J52)/J52</f>
        <v>6.8756319514661273E-3</v>
      </c>
      <c r="N52" s="21"/>
      <c r="O52" s="14"/>
      <c r="P52" s="21"/>
      <c r="Q52" s="14"/>
    </row>
    <row r="53" spans="2:17" x14ac:dyDescent="0.3">
      <c r="B53" s="41">
        <v>40</v>
      </c>
      <c r="C53" s="5" t="s">
        <v>39</v>
      </c>
      <c r="D53" s="25">
        <f>(D40+D42)/D52</f>
        <v>0.17987251402345741</v>
      </c>
      <c r="E53" s="8"/>
      <c r="F53" s="25">
        <f>(F40+F42)/F52</f>
        <v>0.15399847966552643</v>
      </c>
      <c r="G53" s="18"/>
      <c r="H53" s="25">
        <f>(H40+H42)/H52</f>
        <v>0.13835135925168079</v>
      </c>
      <c r="I53" s="18"/>
      <c r="J53" s="25">
        <f>(J40+J42)/J52</f>
        <v>0.1839191102123357</v>
      </c>
      <c r="K53" s="18"/>
      <c r="L53" s="25">
        <f>(L40+L42)/L52</f>
        <v>0.20687688290821449</v>
      </c>
      <c r="M53" s="18"/>
      <c r="N53" s="33"/>
      <c r="O53" s="18"/>
      <c r="P53" s="33"/>
      <c r="Q53" s="18"/>
    </row>
    <row r="54" spans="2:17" x14ac:dyDescent="0.3">
      <c r="B54" s="41">
        <v>41</v>
      </c>
      <c r="C54" s="5" t="s">
        <v>40</v>
      </c>
      <c r="D54" s="30">
        <f>D27/D16</f>
        <v>3.4757118927973202E-2</v>
      </c>
      <c r="E54" s="10"/>
      <c r="F54" s="30">
        <f>F27/F16</f>
        <v>2.9043106083766434E-2</v>
      </c>
      <c r="G54" s="18"/>
      <c r="H54" s="30">
        <f>H27/H16</f>
        <v>2.6978055164082946E-2</v>
      </c>
      <c r="I54" s="18"/>
      <c r="J54" s="30">
        <f>J27/J16</f>
        <v>2.5321888412017168E-2</v>
      </c>
      <c r="K54" s="18"/>
      <c r="L54" s="30">
        <f>L27/L16</f>
        <v>3.2358632552139326E-2</v>
      </c>
      <c r="M54" s="18"/>
      <c r="N54" s="30">
        <f>N27/N16</f>
        <v>3.3308027770838529E-2</v>
      </c>
      <c r="O54" s="18"/>
      <c r="P54" s="30">
        <f>P27/P16</f>
        <v>3.3348306875180637E-2</v>
      </c>
      <c r="Q54" s="18"/>
    </row>
    <row r="55" spans="2:17" x14ac:dyDescent="0.3">
      <c r="B55" s="41">
        <v>42</v>
      </c>
      <c r="C55" s="5" t="s">
        <v>41</v>
      </c>
      <c r="D55" s="30">
        <f>D31/(D27+D23+D24)</f>
        <v>0.22669608383894096</v>
      </c>
      <c r="E55" s="10"/>
      <c r="F55" s="30">
        <f>F31/(F27+F23+F24)</f>
        <v>0.29447852760736193</v>
      </c>
      <c r="G55" s="18"/>
      <c r="H55" s="30">
        <f>H31/(H27+H23+H24)</f>
        <v>0.25769676671389929</v>
      </c>
      <c r="I55" s="18"/>
      <c r="J55" s="30">
        <f>J31/(J27+J23+J24)</f>
        <v>0.25630680989646626</v>
      </c>
      <c r="K55" s="18"/>
      <c r="L55" s="30">
        <f>L31/(L27+L23+L24)</f>
        <v>0.18924870086022133</v>
      </c>
      <c r="M55" s="18"/>
      <c r="N55" s="30">
        <f>N31/(N27+N23+N24)</f>
        <v>0.18378236183536509</v>
      </c>
      <c r="O55" s="18"/>
      <c r="P55" s="30">
        <f>P31/(P27+P23+P24)</f>
        <v>0.18428667920041744</v>
      </c>
      <c r="Q55" s="18"/>
    </row>
    <row r="56" spans="2:17" x14ac:dyDescent="0.3">
      <c r="B56" s="41">
        <v>43</v>
      </c>
      <c r="C56" s="5" t="s">
        <v>42</v>
      </c>
      <c r="D56" s="21">
        <v>47.94</v>
      </c>
      <c r="E56" s="5"/>
      <c r="F56" s="21">
        <v>49.38</v>
      </c>
      <c r="G56" s="15">
        <f t="shared" ref="G56:K57" si="15">(F56-D56)/D56</f>
        <v>3.0037546933667187E-2</v>
      </c>
      <c r="H56" s="21">
        <v>61.65</v>
      </c>
      <c r="I56" s="15">
        <f t="shared" si="15"/>
        <v>0.24848116646415544</v>
      </c>
      <c r="J56" s="21">
        <v>67.150000000000006</v>
      </c>
      <c r="K56" s="15">
        <f t="shared" si="15"/>
        <v>8.9213300892133127E-2</v>
      </c>
      <c r="L56" s="21">
        <v>86.71</v>
      </c>
      <c r="M56" s="15">
        <f>(L56-J56)/J56</f>
        <v>0.29128816083395365</v>
      </c>
      <c r="N56" s="21"/>
      <c r="O56" s="14"/>
      <c r="P56" s="21"/>
      <c r="Q56" s="14"/>
    </row>
    <row r="57" spans="2:17" x14ac:dyDescent="0.3">
      <c r="B57" s="41">
        <v>44</v>
      </c>
      <c r="C57" s="5" t="s">
        <v>43</v>
      </c>
      <c r="D57" s="21">
        <v>10.88</v>
      </c>
      <c r="E57" s="5"/>
      <c r="F57" s="21">
        <v>11.43</v>
      </c>
      <c r="G57" s="15">
        <f t="shared" si="15"/>
        <v>5.0551470588235191E-2</v>
      </c>
      <c r="H57" s="21">
        <v>13.9</v>
      </c>
      <c r="I57" s="15">
        <f t="shared" si="15"/>
        <v>0.21609798775153111</v>
      </c>
      <c r="J57" s="21">
        <v>15.9</v>
      </c>
      <c r="K57" s="15">
        <f t="shared" si="15"/>
        <v>0.14388489208633093</v>
      </c>
      <c r="L57" s="21">
        <v>18.52</v>
      </c>
      <c r="M57" s="15">
        <f>(L57-J57)/J57</f>
        <v>0.16477987421383641</v>
      </c>
      <c r="N57" s="21"/>
      <c r="O57" s="14"/>
      <c r="P57" s="21"/>
      <c r="Q57" s="14"/>
    </row>
    <row r="58" spans="2:17" x14ac:dyDescent="0.3">
      <c r="B58" s="41">
        <v>45</v>
      </c>
      <c r="C58" s="5" t="s">
        <v>44</v>
      </c>
      <c r="D58" s="30">
        <f>D22/D16</f>
        <v>0.11683417085427136</v>
      </c>
      <c r="E58" s="10"/>
      <c r="F58" s="30">
        <f>F22/F16</f>
        <v>0.11556099052277591</v>
      </c>
      <c r="G58" s="18"/>
      <c r="H58" s="30">
        <f>H22/H16</f>
        <v>0.11214012482383733</v>
      </c>
      <c r="I58" s="18"/>
      <c r="J58" s="30">
        <f>J22/J16</f>
        <v>0.11258941344778255</v>
      </c>
      <c r="K58" s="18"/>
      <c r="L58" s="30">
        <f>L22/L16</f>
        <v>0.11223392818748656</v>
      </c>
      <c r="M58" s="18"/>
      <c r="N58" s="40">
        <v>0.11</v>
      </c>
      <c r="O58" s="18"/>
      <c r="P58" s="40">
        <v>0.1075</v>
      </c>
      <c r="Q58" s="18"/>
    </row>
    <row r="59" spans="2:17" x14ac:dyDescent="0.3">
      <c r="B59" s="41">
        <v>46</v>
      </c>
      <c r="C59" s="5" t="s">
        <v>46</v>
      </c>
      <c r="D59" s="30">
        <f>D26/D17</f>
        <v>9.8294884653961884E-2</v>
      </c>
      <c r="E59" s="10"/>
      <c r="F59" s="30">
        <f>F26/F17</f>
        <v>0.10114367405289493</v>
      </c>
      <c r="G59" s="18"/>
      <c r="H59" s="30">
        <f>H26/H17</f>
        <v>9.8394975575715277E-2</v>
      </c>
      <c r="I59" s="18"/>
      <c r="J59" s="30">
        <f>J26/J17</f>
        <v>9.5491546649968687E-2</v>
      </c>
      <c r="K59" s="18"/>
      <c r="L59" s="30">
        <f>L26/L17</f>
        <v>8.8441852160457093E-2</v>
      </c>
      <c r="M59" s="18"/>
      <c r="N59" s="40">
        <v>8.3500000000000005E-2</v>
      </c>
      <c r="O59" s="18"/>
      <c r="P59" s="40">
        <v>0.08</v>
      </c>
      <c r="Q59" s="18"/>
    </row>
    <row r="60" spans="2:17" x14ac:dyDescent="0.3">
      <c r="B60" s="41">
        <v>47</v>
      </c>
      <c r="C60" s="5" t="s">
        <v>45</v>
      </c>
      <c r="D60" s="34">
        <f>D58-D59</f>
        <v>1.8539286200309479E-2</v>
      </c>
      <c r="E60" s="12"/>
      <c r="F60" s="34">
        <f t="shared" ref="F60:N60" si="16">F58-F59</f>
        <v>1.4417316469880981E-2</v>
      </c>
      <c r="G60" s="18"/>
      <c r="H60" s="34">
        <f t="shared" si="16"/>
        <v>1.3745149248122049E-2</v>
      </c>
      <c r="I60" s="18"/>
      <c r="J60" s="34">
        <f t="shared" si="16"/>
        <v>1.709786679781386E-2</v>
      </c>
      <c r="K60" s="18"/>
      <c r="L60" s="34">
        <f t="shared" si="16"/>
        <v>2.3792076027029471E-2</v>
      </c>
      <c r="M60" s="18"/>
      <c r="N60" s="34">
        <f t="shared" si="16"/>
        <v>2.6499999999999996E-2</v>
      </c>
      <c r="O60" s="18"/>
      <c r="P60" s="34">
        <f t="shared" ref="P60" si="17">P58-P59</f>
        <v>2.7499999999999997E-2</v>
      </c>
      <c r="Q60" s="18"/>
    </row>
    <row r="61" spans="2:17" x14ac:dyDescent="0.3">
      <c r="B61" s="41">
        <v>48</v>
      </c>
      <c r="C61" s="5" t="s">
        <v>47</v>
      </c>
      <c r="D61" s="32">
        <f>D12/D40</f>
        <v>6.7334153053457468</v>
      </c>
      <c r="E61" s="11"/>
      <c r="F61" s="32">
        <f>F12/F40</f>
        <v>9.1406875532711727</v>
      </c>
      <c r="G61" s="18"/>
      <c r="H61" s="32">
        <f>H12/H40</f>
        <v>11.77956628660854</v>
      </c>
      <c r="I61" s="18"/>
      <c r="J61" s="32">
        <f>J12/J40</f>
        <v>9.5595478819930513</v>
      </c>
      <c r="K61" s="18"/>
      <c r="L61" s="32">
        <f>L12/L40</f>
        <v>10.794496833857227</v>
      </c>
      <c r="M61" s="18"/>
      <c r="N61" s="32">
        <f>N12/N40</f>
        <v>13.401697662083512</v>
      </c>
      <c r="O61" s="18"/>
      <c r="P61" s="32">
        <f>P12/P40</f>
        <v>14.624472809895019</v>
      </c>
      <c r="Q61" s="18"/>
    </row>
    <row r="63" spans="2:17" x14ac:dyDescent="0.3">
      <c r="C63" s="1" t="s">
        <v>80</v>
      </c>
    </row>
    <row r="64" spans="2:17" x14ac:dyDescent="0.3">
      <c r="C64" s="47"/>
      <c r="D64" s="35" t="s">
        <v>79</v>
      </c>
    </row>
    <row r="65" spans="3:4" x14ac:dyDescent="0.3">
      <c r="C65" s="48"/>
      <c r="D65" s="35" t="s">
        <v>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 Fin Homes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Patel, Sandeep</cp:lastModifiedBy>
  <dcterms:created xsi:type="dcterms:W3CDTF">2016-04-30T11:44:12Z</dcterms:created>
  <dcterms:modified xsi:type="dcterms:W3CDTF">2016-05-08T10:51:39Z</dcterms:modified>
</cp:coreProperties>
</file>