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970" windowHeight="9060"/>
  </bookViews>
  <sheets>
    <sheet name="Aveek Working" sheetId="1" r:id="rId1"/>
    <sheet name="Recocile Dhiraj" sheetId="2" r:id="rId2"/>
  </sheets>
  <definedNames>
    <definedName name="_MailEndCompose" localSheetId="0">'Aveek Working'!$A$46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F92" i="1"/>
  <c r="E18" i="1" l="1"/>
  <c r="F18" i="1"/>
  <c r="G18" i="1"/>
  <c r="D18" i="1"/>
  <c r="G97" i="1"/>
  <c r="F97" i="1"/>
  <c r="G95" i="1"/>
  <c r="F95" i="1"/>
  <c r="O35" i="2" l="1"/>
  <c r="H13" i="1"/>
  <c r="H14" i="1"/>
  <c r="H12" i="1"/>
  <c r="D40" i="2"/>
  <c r="C40" i="2"/>
  <c r="D39" i="2"/>
  <c r="P39" i="2" s="1"/>
  <c r="C39" i="2"/>
  <c r="D38" i="2"/>
  <c r="C38" i="2"/>
  <c r="D37" i="2"/>
  <c r="P37" i="2" s="1"/>
  <c r="C37" i="2"/>
  <c r="O37" i="2" s="1"/>
  <c r="D36" i="2"/>
  <c r="C36" i="2"/>
  <c r="O36" i="2" s="1"/>
  <c r="D35" i="2"/>
  <c r="D34" i="2"/>
  <c r="C34" i="2"/>
  <c r="O34" i="2" s="1"/>
  <c r="D33" i="2"/>
  <c r="C33" i="2"/>
  <c r="O33" i="2" s="1"/>
  <c r="D32" i="2"/>
  <c r="C32" i="2"/>
  <c r="O32" i="2" s="1"/>
  <c r="R32" i="2" s="1"/>
  <c r="D31" i="2"/>
  <c r="C31" i="2"/>
  <c r="O31" i="2" s="1"/>
  <c r="R31" i="2" s="1"/>
  <c r="D30" i="2"/>
  <c r="C30" i="2"/>
  <c r="O30" i="2" s="1"/>
  <c r="D29" i="2"/>
  <c r="C29" i="2"/>
  <c r="O29" i="2" s="1"/>
  <c r="R29" i="2" s="1"/>
  <c r="D28" i="2"/>
  <c r="C28" i="2"/>
  <c r="D27" i="2"/>
  <c r="P27" i="2" s="1"/>
  <c r="C27" i="2"/>
  <c r="D26" i="2"/>
  <c r="C26" i="2"/>
  <c r="O26" i="2" s="1"/>
  <c r="D25" i="2"/>
  <c r="C25" i="2"/>
  <c r="O25" i="2" s="1"/>
  <c r="D24" i="2"/>
  <c r="C24" i="2"/>
  <c r="O24" i="2" s="1"/>
  <c r="D23" i="2"/>
  <c r="C23" i="2"/>
  <c r="O23" i="2" s="1"/>
  <c r="R23" i="2" s="1"/>
  <c r="D22" i="2"/>
  <c r="C22" i="2"/>
  <c r="O22" i="2" s="1"/>
  <c r="D21" i="2"/>
  <c r="C21" i="2"/>
  <c r="O21" i="2" s="1"/>
  <c r="D20" i="2"/>
  <c r="C20" i="2"/>
  <c r="D19" i="2"/>
  <c r="P19" i="2" s="1"/>
  <c r="C19" i="2"/>
  <c r="D18" i="2"/>
  <c r="P18" i="2" s="1"/>
  <c r="R18" i="2" s="1"/>
  <c r="C18" i="2"/>
  <c r="D17" i="2"/>
  <c r="P17" i="2" s="1"/>
  <c r="C17" i="2"/>
  <c r="D16" i="2"/>
  <c r="P16" i="2" s="1"/>
  <c r="C16" i="2"/>
  <c r="D15" i="2"/>
  <c r="P15" i="2" s="1"/>
  <c r="C15" i="2"/>
  <c r="D14" i="2"/>
  <c r="P14" i="2" s="1"/>
  <c r="R20" i="2" s="1"/>
  <c r="C14" i="2"/>
  <c r="D13" i="2"/>
  <c r="P13" i="2" s="1"/>
  <c r="C13" i="2"/>
  <c r="D12" i="2"/>
  <c r="P12" i="2" s="1"/>
  <c r="C12" i="2"/>
  <c r="O12" i="2" s="1"/>
  <c r="R12" i="2" s="1"/>
  <c r="D11" i="2"/>
  <c r="C11" i="2"/>
  <c r="O11" i="2" s="1"/>
  <c r="D10" i="2"/>
  <c r="C10" i="2"/>
  <c r="O10" i="2" s="1"/>
  <c r="D9" i="2"/>
  <c r="C9" i="2"/>
  <c r="O9" i="2" s="1"/>
  <c r="D8" i="2"/>
  <c r="C8" i="2"/>
  <c r="O8" i="2" s="1"/>
  <c r="D7" i="2"/>
  <c r="C7" i="2"/>
  <c r="O7" i="2" s="1"/>
  <c r="D6" i="2"/>
  <c r="C6" i="2"/>
  <c r="O6" i="2" s="1"/>
  <c r="D5" i="2"/>
  <c r="C5" i="2"/>
  <c r="O5" i="2" s="1"/>
  <c r="D4" i="2"/>
  <c r="C4" i="2"/>
  <c r="D3" i="2"/>
  <c r="P3" i="2" s="1"/>
  <c r="R3" i="2" s="1"/>
  <c r="C3" i="2"/>
  <c r="I60" i="1"/>
  <c r="I56" i="1"/>
  <c r="I24" i="1"/>
  <c r="B25" i="1"/>
  <c r="B24" i="1"/>
  <c r="B51" i="1" s="1"/>
  <c r="B17" i="1"/>
  <c r="B22" i="1" s="1"/>
  <c r="C21" i="1"/>
  <c r="B12" i="1"/>
  <c r="C12" i="1"/>
  <c r="C17" i="1"/>
  <c r="C22" i="1" s="1"/>
  <c r="C74" i="1"/>
  <c r="C75" i="1" s="1"/>
  <c r="C73" i="1"/>
  <c r="G73" i="1"/>
  <c r="F73" i="1"/>
  <c r="E73" i="1"/>
  <c r="D73" i="1"/>
  <c r="D74" i="1"/>
  <c r="B79" i="1"/>
  <c r="B81" i="1" s="1"/>
  <c r="B77" i="1"/>
  <c r="C81" i="1"/>
  <c r="D22" i="1"/>
  <c r="D81" i="1"/>
  <c r="D75" i="1"/>
  <c r="G74" i="1"/>
  <c r="G75" i="1" s="1"/>
  <c r="F74" i="1"/>
  <c r="F75" i="1" s="1"/>
  <c r="E74" i="1"/>
  <c r="E75" i="1" s="1"/>
  <c r="E81" i="1"/>
  <c r="E22" i="1"/>
  <c r="G22" i="1"/>
  <c r="F22" i="1"/>
  <c r="G81" i="1"/>
  <c r="F81" i="1"/>
  <c r="K50" i="1"/>
  <c r="L50" i="1"/>
  <c r="I50" i="1"/>
  <c r="I51" i="1" s="1"/>
  <c r="R22" i="2" l="1"/>
  <c r="R19" i="2"/>
  <c r="R21" i="2" s="1"/>
  <c r="P38" i="2"/>
  <c r="P40" i="2" s="1"/>
  <c r="B21" i="1"/>
  <c r="E63" i="1"/>
  <c r="F63" i="1"/>
  <c r="G63" i="1"/>
  <c r="D63" i="1"/>
  <c r="E62" i="1"/>
  <c r="F62" i="1"/>
  <c r="G62" i="1"/>
  <c r="D62" i="1"/>
  <c r="I62" i="1" l="1"/>
  <c r="I63" i="1"/>
  <c r="I68" i="1"/>
  <c r="E71" i="1"/>
  <c r="F71" i="1"/>
  <c r="G71" i="1"/>
  <c r="D71" i="1"/>
  <c r="E52" i="1" l="1"/>
  <c r="F52" i="1"/>
  <c r="G52" i="1"/>
  <c r="D52" i="1"/>
  <c r="D51" i="1"/>
  <c r="E51" i="1"/>
  <c r="F51" i="1"/>
  <c r="G51" i="1"/>
  <c r="C51" i="1"/>
  <c r="I32" i="1" l="1"/>
  <c r="C28" i="1"/>
  <c r="C27" i="1"/>
  <c r="E27" i="1"/>
  <c r="F27" i="1"/>
  <c r="G27" i="1"/>
  <c r="D27" i="1"/>
  <c r="G30" i="1" l="1"/>
  <c r="G53" i="1" s="1"/>
  <c r="F30" i="1"/>
  <c r="F53" i="1" s="1"/>
  <c r="D30" i="1"/>
  <c r="E30" i="1"/>
  <c r="E53" i="1" s="1"/>
  <c r="E28" i="1"/>
  <c r="F28" i="1"/>
  <c r="G28" i="1"/>
  <c r="I48" i="1" s="1"/>
  <c r="D28" i="1"/>
  <c r="D31" i="1" s="1"/>
  <c r="E21" i="1"/>
  <c r="F21" i="1"/>
  <c r="G21" i="1"/>
  <c r="D21" i="1"/>
  <c r="E9" i="1"/>
  <c r="F9" i="1"/>
  <c r="G9" i="1"/>
  <c r="D9" i="1"/>
  <c r="I8" i="1"/>
  <c r="I7" i="1"/>
  <c r="I6" i="1"/>
  <c r="I5" i="1"/>
  <c r="J56" i="1" s="1"/>
  <c r="I4" i="1"/>
  <c r="I34" i="1" l="1"/>
  <c r="I41" i="1" s="1"/>
  <c r="I43" i="1" s="1"/>
  <c r="I66" i="1" s="1"/>
  <c r="F31" i="1"/>
  <c r="I9" i="1"/>
  <c r="D53" i="1"/>
  <c r="G31" i="1"/>
  <c r="E31" i="1"/>
  <c r="I46" i="1"/>
  <c r="I40" i="1"/>
  <c r="I45" i="1"/>
  <c r="I10" i="1"/>
  <c r="I35" i="1" l="1"/>
  <c r="I38" i="1" s="1"/>
  <c r="I37" i="1"/>
</calcChain>
</file>

<file path=xl/sharedStrings.xml><?xml version="1.0" encoding="utf-8"?>
<sst xmlns="http://schemas.openxmlformats.org/spreadsheetml/2006/main" count="137" uniqueCount="135">
  <si>
    <t>Net Cash From Operation</t>
  </si>
  <si>
    <t xml:space="preserve">Interest </t>
  </si>
  <si>
    <t xml:space="preserve">Proceed from LT borrowing </t>
  </si>
  <si>
    <t>Repayment of LT borrowing</t>
  </si>
  <si>
    <t>Cumulative</t>
  </si>
  <si>
    <t>Rs. In Lacs</t>
  </si>
  <si>
    <t xml:space="preserve">Incremental LT (recheck) </t>
  </si>
  <si>
    <t>Interest as per BS</t>
  </si>
  <si>
    <t>Interest as % of Loan</t>
  </si>
  <si>
    <t>WIP</t>
  </si>
  <si>
    <t>Total NFA + WIP</t>
  </si>
  <si>
    <t>Incremental LTL as % of Inc. NFA</t>
  </si>
  <si>
    <t xml:space="preserve">LTL + STL as per BS </t>
  </si>
  <si>
    <t>Excess LTL over Repayment</t>
  </si>
  <si>
    <t>Total Loan (LTL + STL) as % of NFA</t>
  </si>
  <si>
    <t xml:space="preserve">Cash Flow Statement of Granules India (Consolidated) </t>
  </si>
  <si>
    <t>Total GFA + WIP</t>
  </si>
  <si>
    <t>Incremental NFA</t>
  </si>
  <si>
    <t>Incremental GFA</t>
  </si>
  <si>
    <t>Total Incremental NFA</t>
  </si>
  <si>
    <t>Total Incremental GFA</t>
  </si>
  <si>
    <t>Depreciation</t>
  </si>
  <si>
    <t>Incremental LTL as % of Inc. GFA</t>
  </si>
  <si>
    <t>Total Purchase of FA as % of GFA (BS)</t>
  </si>
  <si>
    <t>Total Purchase of FA as % of NFA (BS)</t>
  </si>
  <si>
    <t xml:space="preserve">Total Incremental Borrowing </t>
  </si>
  <si>
    <t>Total Payment for FA as % of Incremental GFA</t>
  </si>
  <si>
    <t xml:space="preserve">They paid more than GFA addition </t>
  </si>
  <si>
    <t>Amount paid in excess (lakhs)</t>
  </si>
  <si>
    <t>Capital Advance as on 31.03.15</t>
  </si>
  <si>
    <t>Net Excess Outflow for Asset Purchase  (lakhs)</t>
  </si>
  <si>
    <t xml:space="preserve">Cash Out for Purchase of FA </t>
  </si>
  <si>
    <t>GFA (Tangible)</t>
  </si>
  <si>
    <t xml:space="preserve">NFA (Tangible) </t>
  </si>
  <si>
    <t xml:space="preserve">Revenue </t>
  </si>
  <si>
    <t xml:space="preserve">Revenue / GFA </t>
  </si>
  <si>
    <t xml:space="preserve">Incremental Sales </t>
  </si>
  <si>
    <t>Inc Sales / Inc GFA</t>
  </si>
  <si>
    <t>Incremental asset efficiency decreasing or unused</t>
  </si>
  <si>
    <t>PAT of Granules USA</t>
  </si>
  <si>
    <t>PAT %</t>
  </si>
  <si>
    <t>Reason for such low margin ??</t>
  </si>
  <si>
    <t xml:space="preserve">GFA (Intangible) </t>
  </si>
  <si>
    <t xml:space="preserve">NFA (Intangible) </t>
  </si>
  <si>
    <t xml:space="preserve">Total Incremental GFA (Intangible) </t>
  </si>
  <si>
    <t xml:space="preserve">Total Incremental NFA (Intangible) </t>
  </si>
  <si>
    <t>So, excess final FA payment</t>
  </si>
  <si>
    <t xml:space="preserve"> </t>
  </si>
  <si>
    <t>Standalone Sales</t>
  </si>
  <si>
    <t>Exports</t>
  </si>
  <si>
    <t>Domestic</t>
  </si>
  <si>
    <t>Excise duty and sales tax</t>
  </si>
  <si>
    <t>Net Sales check</t>
  </si>
  <si>
    <t>Interest capitalised during the year</t>
  </si>
  <si>
    <t>Total  Interest as % of Loan</t>
  </si>
  <si>
    <t>Amortisation charge for the year</t>
  </si>
  <si>
    <t>Sales of Granules USA INC (Subsidiary) in USA</t>
  </si>
  <si>
    <t>Gross Intangible total</t>
  </si>
  <si>
    <t>Long term debt</t>
  </si>
  <si>
    <t>CPLT in other liabilities</t>
  </si>
  <si>
    <t>Short term debt</t>
  </si>
  <si>
    <t>Gross Intangibles (Non Software and Know how)</t>
  </si>
  <si>
    <t>Auctus Pharma Limited Equity</t>
  </si>
  <si>
    <t xml:space="preserve">Auctus Pharma Limited Loan </t>
  </si>
  <si>
    <t>Standalone Investment in merged companies</t>
  </si>
  <si>
    <t>Auctus became subsidiary in Feb 2014</t>
  </si>
  <si>
    <t>Estimated Sales in FY13 as per VC Link</t>
  </si>
  <si>
    <t>PAT</t>
  </si>
  <si>
    <t>Non Granule USA NPM %</t>
  </si>
  <si>
    <t>Purchase of Granules USA Inc from Parent (Related party transaction on Standalone)</t>
  </si>
  <si>
    <t>Rs Lakhs</t>
  </si>
  <si>
    <t>Investments in Subsidiary companies</t>
  </si>
  <si>
    <t>Increase in Share capital &amp; Share Premium</t>
  </si>
  <si>
    <t>A</t>
  </si>
  <si>
    <t>B</t>
  </si>
  <si>
    <t>C</t>
  </si>
  <si>
    <r>
      <rPr>
        <sz val="10"/>
        <color rgb="FF2B93D1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FLOW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FROM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OPERATING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ACTIVITIES</t>
    </r>
  </si>
  <si>
    <r>
      <rPr>
        <sz val="10"/>
        <color rgb="FF2B93D1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FLOW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FROM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INVESTING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ACTIVITIES</t>
    </r>
  </si>
  <si>
    <r>
      <rPr>
        <sz val="10"/>
        <color rgb="FF2B93D1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FLOW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FROM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FINANCING</t>
    </r>
    <r>
      <rPr>
        <sz val="10"/>
        <color theme="1"/>
        <rFont val="Arial"/>
        <family val="2"/>
      </rPr>
      <t xml:space="preserve"> </t>
    </r>
    <r>
      <rPr>
        <sz val="10"/>
        <color rgb="FF2B93D1"/>
        <rFont val="Arial"/>
        <family val="2"/>
      </rPr>
      <t>ACTIVITIES</t>
    </r>
  </si>
  <si>
    <r>
      <t>Net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Profit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before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tax</t>
    </r>
  </si>
  <si>
    <r>
      <t>Adjustments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for:</t>
    </r>
  </si>
  <si>
    <r>
      <t>Misc.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Expenditure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written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off</t>
    </r>
  </si>
  <si>
    <r>
      <t>(Profit)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/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Loss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sale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of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assets</t>
    </r>
  </si>
  <si>
    <r>
      <rPr>
        <sz val="10"/>
        <color rgb="FF231F20"/>
        <rFont val="Arial"/>
        <family val="2"/>
      </rPr>
      <t>(Profit)</t>
    </r>
    <r>
      <rPr>
        <sz val="10"/>
        <color theme="1"/>
        <rFont val="Arial"/>
        <family val="2"/>
      </rPr>
      <t xml:space="preserve"> </t>
    </r>
    <r>
      <rPr>
        <sz val="10"/>
        <color rgb="FF231F20"/>
        <rFont val="Arial"/>
        <family val="2"/>
      </rPr>
      <t>/</t>
    </r>
    <r>
      <rPr>
        <sz val="10"/>
        <color theme="1"/>
        <rFont val="Arial"/>
        <family val="2"/>
      </rPr>
      <t xml:space="preserve"> </t>
    </r>
    <r>
      <rPr>
        <sz val="10"/>
        <color rgb="FF231F20"/>
        <rFont val="Arial"/>
        <family val="2"/>
      </rPr>
      <t>Loss</t>
    </r>
    <r>
      <rPr>
        <sz val="10"/>
        <color theme="1"/>
        <rFont val="Arial"/>
        <family val="2"/>
      </rPr>
      <t xml:space="preserve"> </t>
    </r>
    <r>
      <rPr>
        <sz val="10"/>
        <color rgb="FF231F20"/>
        <rFont val="Arial"/>
        <family val="2"/>
      </rPr>
      <t>on</t>
    </r>
    <r>
      <rPr>
        <sz val="10"/>
        <color theme="1"/>
        <rFont val="Arial"/>
        <family val="2"/>
      </rPr>
      <t xml:space="preserve"> </t>
    </r>
    <r>
      <rPr>
        <sz val="10"/>
        <color rgb="FF231F20"/>
        <rFont val="Arial"/>
        <family val="2"/>
      </rPr>
      <t>sale</t>
    </r>
    <r>
      <rPr>
        <sz val="10"/>
        <color theme="1"/>
        <rFont val="Arial"/>
        <family val="2"/>
      </rPr>
      <t xml:space="preserve"> </t>
    </r>
    <r>
      <rPr>
        <sz val="10"/>
        <color rgb="FF231F20"/>
        <rFont val="Arial"/>
        <family val="2"/>
      </rPr>
      <t>of</t>
    </r>
    <r>
      <rPr>
        <sz val="10"/>
        <color theme="1"/>
        <rFont val="Arial"/>
        <family val="2"/>
      </rPr>
      <t xml:space="preserve"> </t>
    </r>
    <r>
      <rPr>
        <sz val="10"/>
        <color rgb="FF231F20"/>
        <rFont val="Arial"/>
        <family val="2"/>
      </rPr>
      <t>investments</t>
    </r>
  </si>
  <si>
    <r>
      <t>Foreign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currency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restatement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term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loans</t>
    </r>
  </si>
  <si>
    <r>
      <t>Provision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for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doubtful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debts</t>
    </r>
  </si>
  <si>
    <r>
      <t>Interest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&amp;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dividend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income</t>
    </r>
  </si>
  <si>
    <r>
      <t>Interest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&amp;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finance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charges</t>
    </r>
  </si>
  <si>
    <r>
      <t>Operating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profit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before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working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capital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changes</t>
    </r>
  </si>
  <si>
    <r>
      <t>Increase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Trade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and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other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receivables</t>
    </r>
  </si>
  <si>
    <r>
      <t>Increase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inventories</t>
    </r>
  </si>
  <si>
    <r>
      <t>Increase/(decrease)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Payable</t>
    </r>
  </si>
  <si>
    <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generated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from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operations</t>
    </r>
  </si>
  <si>
    <r>
      <t>Direct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Taxes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paid</t>
    </r>
  </si>
  <si>
    <r>
      <t>Net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from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operating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activities</t>
    </r>
  </si>
  <si>
    <r>
      <t>Purchase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of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fixed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assets</t>
    </r>
  </si>
  <si>
    <r>
      <t>Increase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Miscellaneous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expenditure</t>
    </r>
  </si>
  <si>
    <r>
      <t>Other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investments</t>
    </r>
  </si>
  <si>
    <r>
      <t>Sale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of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Fixed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Assets</t>
    </r>
  </si>
  <si>
    <r>
      <t>Interest/dividends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received</t>
    </r>
  </si>
  <si>
    <r>
      <t>Net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used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investing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activities</t>
    </r>
  </si>
  <si>
    <r>
      <t>Increase/(Decrease)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Working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Capital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Loans</t>
    </r>
  </si>
  <si>
    <r>
      <t>Interest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paid</t>
    </r>
  </si>
  <si>
    <r>
      <t>Dividends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paid</t>
    </r>
  </si>
  <si>
    <r>
      <t>Proceeds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from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term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loans</t>
    </r>
  </si>
  <si>
    <r>
      <t>Repayment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of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term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loans</t>
    </r>
  </si>
  <si>
    <r>
      <t>Repayment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of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short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term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loans</t>
    </r>
  </si>
  <si>
    <r>
      <t>Proceeds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from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Unsecured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Loans</t>
    </r>
  </si>
  <si>
    <r>
      <t>Net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used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Financing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Activities</t>
    </r>
  </si>
  <si>
    <r>
      <t>Net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Increase/(Decrease)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in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&amp;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equivalents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(A+B+C)</t>
    </r>
  </si>
  <si>
    <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equivalents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(Opening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Balance on April 1)</t>
    </r>
  </si>
  <si>
    <r>
      <t>Cash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equivalents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(Closing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Balance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as</t>
    </r>
    <r>
      <rPr>
        <sz val="10"/>
        <color theme="1"/>
        <rFont val="Arial"/>
        <family val="2"/>
      </rPr>
      <t xml:space="preserve"> </t>
    </r>
    <r>
      <rPr>
        <sz val="10"/>
        <color rgb="FF000000"/>
        <rFont val="Arial"/>
        <family val="2"/>
      </rPr>
      <t>March31)</t>
    </r>
  </si>
  <si>
    <t>Dhiraj Cashflow</t>
  </si>
  <si>
    <t>Tax</t>
  </si>
  <si>
    <t>Interest</t>
  </si>
  <si>
    <t>PBT</t>
  </si>
  <si>
    <t>Free cashflow</t>
  </si>
  <si>
    <t>Increase in WC</t>
  </si>
  <si>
    <t>Net cash from op Act</t>
  </si>
  <si>
    <t>Share issue</t>
  </si>
  <si>
    <t>Debt increase</t>
  </si>
  <si>
    <t>Fixed assets addition</t>
  </si>
  <si>
    <t>Investment</t>
  </si>
  <si>
    <t>Dividend</t>
  </si>
  <si>
    <t>Related party Receivable (Standalone)</t>
  </si>
  <si>
    <t>Receivable (Consolidated)</t>
  </si>
  <si>
    <t xml:space="preserve">Total Receiveable (Standalone) </t>
  </si>
  <si>
    <t>Receivable Standalone Related Party</t>
  </si>
  <si>
    <t>Consolidated - Standalone</t>
  </si>
  <si>
    <t>Money lying at US subsidiary (why??) --- Ans.  For ANDA related expenses</t>
  </si>
  <si>
    <t>Non Granule USA Inc;  Sales</t>
  </si>
  <si>
    <t>Non Granule USA Inc;  PAT</t>
  </si>
  <si>
    <t>Total LTL+CPTL+STL</t>
  </si>
  <si>
    <t>Related Party Receivable %</t>
  </si>
  <si>
    <t>Omnichem?? To confirm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</si>
</sst>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B93D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231F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10" fontId="0" fillId="0" borderId="0" xfId="1" applyNumberFormat="1" applyFont="1"/>
    <xf numFmtId="9" fontId="4" fillId="0" borderId="1" xfId="1" applyFont="1" applyBorder="1"/>
    <xf numFmtId="9" fontId="4" fillId="0" borderId="1" xfId="1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5" fillId="0" borderId="0" xfId="0" applyFont="1" applyAlignment="1">
      <alignment horizontal="right"/>
    </xf>
    <xf numFmtId="164" fontId="0" fillId="0" borderId="0" xfId="0" applyNumberFormat="1"/>
    <xf numFmtId="2" fontId="6" fillId="0" borderId="0" xfId="0" applyNumberFormat="1" applyFont="1"/>
    <xf numFmtId="0" fontId="4" fillId="0" borderId="0" xfId="0" applyFont="1"/>
    <xf numFmtId="4" fontId="0" fillId="0" borderId="0" xfId="0" applyNumberFormat="1"/>
    <xf numFmtId="0" fontId="0" fillId="2" borderId="0" xfId="0" applyFill="1"/>
    <xf numFmtId="10" fontId="0" fillId="2" borderId="0" xfId="1" applyNumberFormat="1" applyFont="1" applyFill="1"/>
    <xf numFmtId="0" fontId="7" fillId="0" borderId="0" xfId="0" applyFont="1"/>
    <xf numFmtId="3" fontId="0" fillId="0" borderId="0" xfId="0" applyNumberFormat="1"/>
    <xf numFmtId="165" fontId="0" fillId="0" borderId="0" xfId="2" applyNumberFormat="1" applyFont="1"/>
    <xf numFmtId="165" fontId="0" fillId="2" borderId="0" xfId="2" applyNumberFormat="1" applyFont="1" applyFill="1"/>
    <xf numFmtId="165" fontId="0" fillId="0" borderId="0" xfId="0" applyNumberFormat="1"/>
    <xf numFmtId="165" fontId="4" fillId="0" borderId="0" xfId="0" applyNumberFormat="1" applyFont="1" applyBorder="1"/>
    <xf numFmtId="165" fontId="0" fillId="0" borderId="0" xfId="1" applyNumberFormat="1" applyFont="1"/>
    <xf numFmtId="10" fontId="0" fillId="0" borderId="0" xfId="0" applyNumberFormat="1"/>
    <xf numFmtId="165" fontId="5" fillId="2" borderId="0" xfId="0" applyNumberFormat="1" applyFont="1" applyFill="1"/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/>
    <xf numFmtId="43" fontId="9" fillId="0" borderId="0" xfId="2" applyFont="1" applyFill="1" applyBorder="1" applyAlignment="1">
      <alignment horizontal="right" vertical="top"/>
    </xf>
    <xf numFmtId="43" fontId="10" fillId="0" borderId="0" xfId="2" applyFont="1" applyAlignment="1">
      <alignment horizontal="right"/>
    </xf>
    <xf numFmtId="43" fontId="11" fillId="0" borderId="0" xfId="2" applyFont="1" applyFill="1" applyBorder="1" applyAlignment="1">
      <alignment horizontal="right" vertical="top"/>
    </xf>
    <xf numFmtId="43" fontId="9" fillId="0" borderId="2" xfId="2" applyFont="1" applyFill="1" applyBorder="1" applyAlignment="1">
      <alignment horizontal="right" vertical="top"/>
    </xf>
    <xf numFmtId="43" fontId="9" fillId="0" borderId="0" xfId="2" applyFont="1" applyFill="1" applyBorder="1" applyAlignment="1">
      <alignment horizontal="left" vertical="top"/>
    </xf>
    <xf numFmtId="43" fontId="10" fillId="0" borderId="0" xfId="2" applyFont="1"/>
    <xf numFmtId="43" fontId="10" fillId="0" borderId="0" xfId="2" applyNumberFormat="1" applyFont="1"/>
    <xf numFmtId="43" fontId="8" fillId="0" borderId="0" xfId="2" applyFont="1" applyFill="1" applyBorder="1" applyAlignment="1">
      <alignment horizontal="right" vertical="top"/>
    </xf>
    <xf numFmtId="43" fontId="8" fillId="0" borderId="2" xfId="2" applyFont="1" applyFill="1" applyBorder="1" applyAlignment="1">
      <alignment horizontal="right" vertical="top"/>
    </xf>
    <xf numFmtId="43" fontId="10" fillId="0" borderId="0" xfId="2" applyFont="1" applyAlignment="1">
      <alignment horizontal="right" vertical="top"/>
    </xf>
    <xf numFmtId="43" fontId="11" fillId="0" borderId="2" xfId="2" applyFont="1" applyFill="1" applyBorder="1" applyAlignment="1">
      <alignment horizontal="right" vertical="top"/>
    </xf>
    <xf numFmtId="43" fontId="10" fillId="0" borderId="2" xfId="2" applyFont="1" applyBorder="1" applyAlignment="1">
      <alignment horizontal="right"/>
    </xf>
    <xf numFmtId="43" fontId="10" fillId="0" borderId="2" xfId="2" applyFont="1" applyBorder="1"/>
    <xf numFmtId="43" fontId="10" fillId="0" borderId="0" xfId="0" applyNumberFormat="1" applyFont="1"/>
    <xf numFmtId="43" fontId="10" fillId="0" borderId="2" xfId="0" applyNumberFormat="1" applyFont="1" applyBorder="1"/>
    <xf numFmtId="43" fontId="10" fillId="2" borderId="0" xfId="0" applyNumberFormat="1" applyFont="1" applyFill="1"/>
    <xf numFmtId="43" fontId="10" fillId="0" borderId="0" xfId="0" applyNumberFormat="1" applyFont="1" applyFill="1"/>
    <xf numFmtId="43" fontId="10" fillId="3" borderId="0" xfId="0" applyNumberFormat="1" applyFont="1" applyFill="1"/>
    <xf numFmtId="0" fontId="10" fillId="3" borderId="0" xfId="0" applyFont="1" applyFill="1"/>
    <xf numFmtId="9" fontId="0" fillId="0" borderId="0" xfId="1" applyFont="1"/>
    <xf numFmtId="165" fontId="5" fillId="0" borderId="0" xfId="2" applyNumberFormat="1" applyFont="1"/>
    <xf numFmtId="9" fontId="5" fillId="0" borderId="0" xfId="1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J57" sqref="J57"/>
    </sheetView>
  </sheetViews>
  <sheetFormatPr defaultRowHeight="15" x14ac:dyDescent="0.25"/>
  <cols>
    <col min="1" max="1" width="54.28515625" customWidth="1"/>
    <col min="2" max="2" width="11.140625" customWidth="1"/>
    <col min="3" max="3" width="9.28515625" bestFit="1" customWidth="1"/>
    <col min="4" max="5" width="10" bestFit="1" customWidth="1"/>
    <col min="6" max="7" width="10.85546875" bestFit="1" customWidth="1"/>
    <col min="9" max="9" width="14.28515625" customWidth="1"/>
    <col min="10" max="10" width="46.28515625" customWidth="1"/>
    <col min="11" max="11" width="13.7109375" customWidth="1"/>
  </cols>
  <sheetData>
    <row r="1" spans="1:12" x14ac:dyDescent="0.25">
      <c r="A1" t="s">
        <v>15</v>
      </c>
      <c r="K1" s="1" t="s">
        <v>5</v>
      </c>
    </row>
    <row r="2" spans="1:12" x14ac:dyDescent="0.25"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  <c r="I2" s="6" t="s">
        <v>4</v>
      </c>
    </row>
    <row r="4" spans="1:12" x14ac:dyDescent="0.25">
      <c r="A4" t="s">
        <v>0</v>
      </c>
      <c r="C4" s="21"/>
      <c r="D4" s="21">
        <v>2560</v>
      </c>
      <c r="E4" s="21">
        <v>9219</v>
      </c>
      <c r="F4" s="21">
        <v>10795</v>
      </c>
      <c r="G4" s="21">
        <v>14533</v>
      </c>
      <c r="H4" s="21"/>
      <c r="I4" s="51">
        <f t="shared" ref="I4:I9" si="0">D4+E4+F4+G4</f>
        <v>37107</v>
      </c>
    </row>
    <row r="5" spans="1:12" x14ac:dyDescent="0.25">
      <c r="A5" t="s">
        <v>31</v>
      </c>
      <c r="C5" s="21"/>
      <c r="D5" s="21">
        <v>5502</v>
      </c>
      <c r="E5" s="21">
        <v>11645</v>
      </c>
      <c r="F5" s="21">
        <v>26673</v>
      </c>
      <c r="G5" s="21">
        <v>14808</v>
      </c>
      <c r="H5" s="21"/>
      <c r="I5" s="51">
        <f t="shared" si="0"/>
        <v>58628</v>
      </c>
      <c r="J5" s="6"/>
      <c r="L5" s="16"/>
    </row>
    <row r="6" spans="1:12" x14ac:dyDescent="0.25">
      <c r="A6" t="s">
        <v>1</v>
      </c>
      <c r="C6" s="21"/>
      <c r="D6" s="21">
        <v>1679</v>
      </c>
      <c r="E6" s="21">
        <v>1778</v>
      </c>
      <c r="F6" s="21">
        <v>2049</v>
      </c>
      <c r="G6" s="21">
        <v>3186</v>
      </c>
      <c r="H6" s="21"/>
      <c r="I6" s="21">
        <f t="shared" si="0"/>
        <v>8692</v>
      </c>
    </row>
    <row r="7" spans="1:12" x14ac:dyDescent="0.25">
      <c r="A7" t="s">
        <v>2</v>
      </c>
      <c r="C7" s="21"/>
      <c r="D7" s="21">
        <v>6794</v>
      </c>
      <c r="E7" s="21">
        <v>9904</v>
      </c>
      <c r="F7" s="21">
        <v>16580</v>
      </c>
      <c r="G7" s="21">
        <v>6517</v>
      </c>
      <c r="H7" s="21"/>
      <c r="I7" s="21">
        <f t="shared" si="0"/>
        <v>39795</v>
      </c>
      <c r="K7" s="23"/>
    </row>
    <row r="8" spans="1:12" x14ac:dyDescent="0.25">
      <c r="A8" t="s">
        <v>3</v>
      </c>
      <c r="C8" s="21"/>
      <c r="D8" s="21">
        <v>1772</v>
      </c>
      <c r="E8" s="21">
        <v>1428</v>
      </c>
      <c r="F8" s="21">
        <v>1039</v>
      </c>
      <c r="G8" s="21">
        <v>2639</v>
      </c>
      <c r="H8" s="21"/>
      <c r="I8" s="21">
        <f t="shared" si="0"/>
        <v>6878</v>
      </c>
    </row>
    <row r="9" spans="1:12" x14ac:dyDescent="0.25">
      <c r="A9" t="s">
        <v>13</v>
      </c>
      <c r="C9" s="21"/>
      <c r="D9" s="21">
        <f>D7-D8</f>
        <v>5022</v>
      </c>
      <c r="E9" s="21">
        <f>E7-E8</f>
        <v>8476</v>
      </c>
      <c r="F9" s="21">
        <f>F7-F8</f>
        <v>15541</v>
      </c>
      <c r="G9" s="21">
        <f>G7-G8</f>
        <v>3878</v>
      </c>
      <c r="H9" s="21"/>
      <c r="I9" s="21">
        <f t="shared" si="0"/>
        <v>32917</v>
      </c>
      <c r="J9" s="6" t="s">
        <v>25</v>
      </c>
    </row>
    <row r="10" spans="1:12" x14ac:dyDescent="0.25">
      <c r="A10" t="s">
        <v>6</v>
      </c>
      <c r="C10" s="21"/>
      <c r="D10" s="21"/>
      <c r="E10" s="21"/>
      <c r="F10" s="21"/>
      <c r="G10" s="21"/>
      <c r="H10" s="21"/>
      <c r="I10" s="21">
        <f>I7-I8</f>
        <v>32917</v>
      </c>
      <c r="J10" s="2"/>
    </row>
    <row r="11" spans="1:12" x14ac:dyDescent="0.25">
      <c r="C11" s="21"/>
      <c r="D11" s="21"/>
      <c r="E11" s="21"/>
      <c r="F11" s="21"/>
      <c r="G11" s="21"/>
      <c r="H11" s="21"/>
      <c r="I11" s="21"/>
    </row>
    <row r="12" spans="1:12" x14ac:dyDescent="0.25">
      <c r="A12" t="s">
        <v>58</v>
      </c>
      <c r="B12" s="21">
        <f>6650.52+1000</f>
        <v>7650.52</v>
      </c>
      <c r="C12" s="21">
        <f>5445.7+500</f>
        <v>5945.7</v>
      </c>
      <c r="D12" s="21">
        <v>8683.81</v>
      </c>
      <c r="E12" s="21">
        <v>17345.759999999998</v>
      </c>
      <c r="F12" s="21">
        <v>29542.71</v>
      </c>
      <c r="G12" s="21">
        <v>30241.95</v>
      </c>
      <c r="H12" s="21">
        <f>G12-F12</f>
        <v>699.2400000000016</v>
      </c>
      <c r="I12" s="21"/>
    </row>
    <row r="13" spans="1:12" x14ac:dyDescent="0.25">
      <c r="A13" t="s">
        <v>59</v>
      </c>
      <c r="B13" s="21">
        <v>0</v>
      </c>
      <c r="C13" s="21">
        <v>0</v>
      </c>
      <c r="D13" s="21">
        <v>1280.99</v>
      </c>
      <c r="E13" s="21">
        <v>852.84</v>
      </c>
      <c r="F13" s="21">
        <v>3068.64</v>
      </c>
      <c r="G13" s="21">
        <v>5350.32</v>
      </c>
      <c r="H13" s="21">
        <f>G13-F13</f>
        <v>2281.6799999999998</v>
      </c>
      <c r="I13" s="21"/>
    </row>
    <row r="14" spans="1:12" x14ac:dyDescent="0.25">
      <c r="A14" t="s">
        <v>60</v>
      </c>
      <c r="B14" s="21">
        <v>6905.42</v>
      </c>
      <c r="C14" s="21">
        <v>7686.65</v>
      </c>
      <c r="D14" s="21">
        <v>10205.75</v>
      </c>
      <c r="E14" s="21">
        <v>8545.98</v>
      </c>
      <c r="F14" s="21">
        <v>10090.9</v>
      </c>
      <c r="G14" s="21">
        <v>12496.99</v>
      </c>
      <c r="H14" s="21">
        <f>G14-F14</f>
        <v>2406.09</v>
      </c>
      <c r="I14" s="21"/>
    </row>
    <row r="15" spans="1:12" x14ac:dyDescent="0.25">
      <c r="C15" s="21"/>
      <c r="D15" s="21"/>
      <c r="E15" s="21"/>
      <c r="F15" s="21"/>
      <c r="G15" s="21"/>
      <c r="H15" s="21"/>
      <c r="I15" s="21"/>
    </row>
    <row r="16" spans="1:12" x14ac:dyDescent="0.25">
      <c r="C16" s="21"/>
      <c r="D16" s="21"/>
      <c r="E16" s="21"/>
      <c r="F16" s="21"/>
      <c r="G16" s="21"/>
      <c r="H16" s="21"/>
      <c r="I16" s="21"/>
    </row>
    <row r="17" spans="1:9" x14ac:dyDescent="0.25">
      <c r="A17" t="s">
        <v>12</v>
      </c>
      <c r="B17" s="21">
        <f>6650.52+1000</f>
        <v>7650.52</v>
      </c>
      <c r="C17" s="21">
        <f>5445.7+500</f>
        <v>5945.7</v>
      </c>
      <c r="D17" s="21">
        <v>19011</v>
      </c>
      <c r="E17" s="21">
        <v>26095</v>
      </c>
      <c r="F17" s="21">
        <v>41015</v>
      </c>
      <c r="G17" s="21">
        <v>43312</v>
      </c>
      <c r="H17" s="21"/>
      <c r="I17" s="21"/>
    </row>
    <row r="18" spans="1:9" x14ac:dyDescent="0.25">
      <c r="A18" t="s">
        <v>132</v>
      </c>
      <c r="B18" s="21"/>
      <c r="C18" s="21"/>
      <c r="D18" s="21">
        <f>D12+D13+D14</f>
        <v>20170.55</v>
      </c>
      <c r="E18" s="21">
        <f t="shared" ref="E18:G18" si="1">E12+E13+E14</f>
        <v>26744.579999999998</v>
      </c>
      <c r="F18" s="21">
        <f t="shared" si="1"/>
        <v>42702.25</v>
      </c>
      <c r="G18" s="21">
        <f t="shared" si="1"/>
        <v>48089.26</v>
      </c>
      <c r="H18" s="21"/>
      <c r="I18" s="21"/>
    </row>
    <row r="19" spans="1:9" x14ac:dyDescent="0.25">
      <c r="A19" t="s">
        <v>7</v>
      </c>
      <c r="B19" s="21">
        <v>1754.9</v>
      </c>
      <c r="C19" s="21">
        <v>1258.69</v>
      </c>
      <c r="D19" s="21">
        <v>1699</v>
      </c>
      <c r="E19" s="21">
        <v>1767</v>
      </c>
      <c r="F19" s="21">
        <v>2043</v>
      </c>
      <c r="G19" s="21">
        <v>3235</v>
      </c>
      <c r="H19" s="21"/>
      <c r="I19" s="21"/>
    </row>
    <row r="20" spans="1:9" x14ac:dyDescent="0.25">
      <c r="A20" s="17" t="s">
        <v>53</v>
      </c>
      <c r="B20" s="22">
        <v>0</v>
      </c>
      <c r="C20" s="22">
        <v>44.92</v>
      </c>
      <c r="D20" s="22">
        <v>215.69</v>
      </c>
      <c r="E20" s="22">
        <v>364.2</v>
      </c>
      <c r="F20" s="22">
        <v>358.18</v>
      </c>
      <c r="G20" s="22">
        <v>453.23</v>
      </c>
      <c r="H20" s="22"/>
      <c r="I20" s="22"/>
    </row>
    <row r="21" spans="1:9" x14ac:dyDescent="0.25">
      <c r="A21" t="s">
        <v>8</v>
      </c>
      <c r="B21" s="3">
        <f t="shared" ref="B21:G21" si="2">B19/B17</f>
        <v>0.22938310075654988</v>
      </c>
      <c r="C21" s="3">
        <f t="shared" si="2"/>
        <v>0.21169752930689406</v>
      </c>
      <c r="D21" s="3">
        <f t="shared" si="2"/>
        <v>8.9369312503287571E-2</v>
      </c>
      <c r="E21" s="3">
        <f t="shared" si="2"/>
        <v>6.7714121479210576E-2</v>
      </c>
      <c r="F21" s="3">
        <f t="shared" si="2"/>
        <v>4.9811044739729367E-2</v>
      </c>
      <c r="G21" s="3">
        <f t="shared" si="2"/>
        <v>7.4690616919098632E-2</v>
      </c>
    </row>
    <row r="22" spans="1:9" x14ac:dyDescent="0.25">
      <c r="A22" s="17" t="s">
        <v>54</v>
      </c>
      <c r="B22" s="18">
        <f t="shared" ref="B22:G22" si="3">(B20+B19)/B17</f>
        <v>0.22938310075654988</v>
      </c>
      <c r="C22" s="18">
        <f t="shared" si="3"/>
        <v>0.21925256908353941</v>
      </c>
      <c r="D22" s="18">
        <f t="shared" si="3"/>
        <v>0.10071484929777498</v>
      </c>
      <c r="E22" s="18">
        <f t="shared" si="3"/>
        <v>8.1670818164399306E-2</v>
      </c>
      <c r="F22" s="18">
        <f t="shared" si="3"/>
        <v>5.8543947336340357E-2</v>
      </c>
      <c r="G22" s="18">
        <f t="shared" si="3"/>
        <v>8.5154922423346879E-2</v>
      </c>
      <c r="H22" s="17"/>
      <c r="I22" s="17"/>
    </row>
    <row r="24" spans="1:9" x14ac:dyDescent="0.25">
      <c r="A24" t="s">
        <v>32</v>
      </c>
      <c r="B24" s="23">
        <f>30275.71-3251.48</f>
        <v>27024.23</v>
      </c>
      <c r="C24" s="23">
        <v>28692</v>
      </c>
      <c r="D24" s="23">
        <v>31880</v>
      </c>
      <c r="E24" s="23">
        <v>35173</v>
      </c>
      <c r="F24" s="23">
        <v>51986</v>
      </c>
      <c r="G24" s="23">
        <v>72178</v>
      </c>
      <c r="H24" s="23"/>
      <c r="I24" s="23">
        <f>G24-C24</f>
        <v>43486</v>
      </c>
    </row>
    <row r="25" spans="1:9" x14ac:dyDescent="0.25">
      <c r="A25" t="s">
        <v>33</v>
      </c>
      <c r="B25" s="23">
        <f>23862.08-2094.65</f>
        <v>21767.43</v>
      </c>
      <c r="C25" s="23">
        <v>21769</v>
      </c>
      <c r="D25" s="23">
        <v>23323</v>
      </c>
      <c r="E25" s="23">
        <v>25008</v>
      </c>
      <c r="F25" s="23">
        <v>37465</v>
      </c>
      <c r="G25" s="23">
        <v>52804</v>
      </c>
      <c r="H25" s="23"/>
      <c r="I25" s="23"/>
    </row>
    <row r="26" spans="1:9" x14ac:dyDescent="0.25">
      <c r="A26" t="s">
        <v>9</v>
      </c>
      <c r="C26" s="23"/>
      <c r="D26" s="23"/>
      <c r="E26" s="23"/>
      <c r="F26" s="23"/>
      <c r="G26" s="23">
        <v>6203</v>
      </c>
      <c r="H26" s="23"/>
      <c r="I26" s="23"/>
    </row>
    <row r="27" spans="1:9" x14ac:dyDescent="0.25">
      <c r="A27" t="s">
        <v>16</v>
      </c>
      <c r="C27" s="23">
        <f>C24+C26</f>
        <v>28692</v>
      </c>
      <c r="D27" s="23">
        <f>D24+D26</f>
        <v>31880</v>
      </c>
      <c r="E27" s="23">
        <f>E24+E26</f>
        <v>35173</v>
      </c>
      <c r="F27" s="23">
        <f>F24+F26</f>
        <v>51986</v>
      </c>
      <c r="G27" s="23">
        <f>G24+G26</f>
        <v>78381</v>
      </c>
      <c r="H27" s="23"/>
      <c r="I27" s="23"/>
    </row>
    <row r="28" spans="1:9" x14ac:dyDescent="0.25">
      <c r="A28" t="s">
        <v>10</v>
      </c>
      <c r="C28" s="23">
        <f>C25+C26</f>
        <v>21769</v>
      </c>
      <c r="D28" s="23">
        <f>D25+D26</f>
        <v>23323</v>
      </c>
      <c r="E28" s="23">
        <f>E25+E26</f>
        <v>25008</v>
      </c>
      <c r="F28" s="23">
        <f>F25+F26</f>
        <v>37465</v>
      </c>
      <c r="G28" s="23">
        <f>G25+G26</f>
        <v>59007</v>
      </c>
      <c r="H28" s="23"/>
      <c r="I28" s="23"/>
    </row>
    <row r="29" spans="1:9" x14ac:dyDescent="0.25">
      <c r="C29" s="23"/>
      <c r="D29" s="23"/>
      <c r="E29" s="23"/>
      <c r="F29" s="23"/>
      <c r="G29" s="23"/>
      <c r="H29" s="23"/>
      <c r="I29" s="23"/>
    </row>
    <row r="30" spans="1:9" x14ac:dyDescent="0.25">
      <c r="A30" t="s">
        <v>18</v>
      </c>
      <c r="C30" s="23"/>
      <c r="D30" s="23">
        <f t="shared" ref="D30:G31" si="4">D27-C27</f>
        <v>3188</v>
      </c>
      <c r="E30" s="23">
        <f t="shared" si="4"/>
        <v>3293</v>
      </c>
      <c r="F30" s="23">
        <f t="shared" si="4"/>
        <v>16813</v>
      </c>
      <c r="G30" s="23">
        <f t="shared" si="4"/>
        <v>26395</v>
      </c>
      <c r="H30" s="23"/>
      <c r="I30" s="23"/>
    </row>
    <row r="31" spans="1:9" x14ac:dyDescent="0.25">
      <c r="A31" t="s">
        <v>17</v>
      </c>
      <c r="C31" s="23"/>
      <c r="D31" s="23">
        <f t="shared" si="4"/>
        <v>1554</v>
      </c>
      <c r="E31" s="23">
        <f t="shared" si="4"/>
        <v>1685</v>
      </c>
      <c r="F31" s="23">
        <f t="shared" si="4"/>
        <v>12457</v>
      </c>
      <c r="G31" s="23">
        <f t="shared" si="4"/>
        <v>21542</v>
      </c>
      <c r="H31" s="23"/>
      <c r="I31" s="23"/>
    </row>
    <row r="32" spans="1:9" x14ac:dyDescent="0.25">
      <c r="A32" t="s">
        <v>21</v>
      </c>
      <c r="C32" s="23"/>
      <c r="D32" s="23">
        <v>1834</v>
      </c>
      <c r="E32" s="23">
        <v>1607</v>
      </c>
      <c r="F32" s="23">
        <v>4357</v>
      </c>
      <c r="G32" s="23">
        <v>4853</v>
      </c>
      <c r="H32" s="23"/>
      <c r="I32" s="23">
        <f>D32+E32+F32+G32</f>
        <v>12651</v>
      </c>
    </row>
    <row r="33" spans="1:12" x14ac:dyDescent="0.25">
      <c r="C33" s="23"/>
      <c r="D33" s="23"/>
      <c r="E33" s="23"/>
      <c r="F33" s="23"/>
      <c r="G33" s="23"/>
      <c r="H33" s="23"/>
      <c r="I33" s="23"/>
    </row>
    <row r="34" spans="1:12" x14ac:dyDescent="0.25">
      <c r="A34" t="s">
        <v>20</v>
      </c>
      <c r="C34" s="23"/>
      <c r="D34" s="23"/>
      <c r="E34" s="23"/>
      <c r="F34" s="23"/>
      <c r="G34" s="23"/>
      <c r="H34" s="23"/>
      <c r="I34" s="23">
        <f>D30+E30+F30+G30</f>
        <v>49689</v>
      </c>
    </row>
    <row r="35" spans="1:12" x14ac:dyDescent="0.25">
      <c r="A35" t="s">
        <v>19</v>
      </c>
      <c r="C35" s="23"/>
      <c r="D35" s="23"/>
      <c r="E35" s="23"/>
      <c r="F35" s="23"/>
      <c r="G35" s="23"/>
      <c r="H35" s="23"/>
      <c r="I35" s="23">
        <f>D31+E31+F31+G31</f>
        <v>37238</v>
      </c>
    </row>
    <row r="36" spans="1:12" ht="15.75" thickBot="1" x14ac:dyDescent="0.3"/>
    <row r="37" spans="1:12" ht="15.75" thickBot="1" x14ac:dyDescent="0.3">
      <c r="A37" t="s">
        <v>22</v>
      </c>
      <c r="I37" s="4">
        <f>I10/I34</f>
        <v>0.66246050433697601</v>
      </c>
    </row>
    <row r="38" spans="1:12" ht="15.75" thickBot="1" x14ac:dyDescent="0.3">
      <c r="A38" t="s">
        <v>11</v>
      </c>
      <c r="I38" s="4">
        <f>I10/I35</f>
        <v>0.8839626188302272</v>
      </c>
    </row>
    <row r="39" spans="1:12" ht="15.75" thickBot="1" x14ac:dyDescent="0.3"/>
    <row r="40" spans="1:12" ht="15.75" thickBot="1" x14ac:dyDescent="0.3">
      <c r="A40" t="s">
        <v>26</v>
      </c>
      <c r="I40" s="4">
        <f>I5/I34</f>
        <v>1.179898971603373</v>
      </c>
      <c r="J40" s="12" t="s">
        <v>27</v>
      </c>
    </row>
    <row r="41" spans="1:12" ht="15.75" thickBot="1" x14ac:dyDescent="0.3">
      <c r="A41" t="s">
        <v>28</v>
      </c>
      <c r="I41" s="11">
        <f>I5-I34</f>
        <v>8939</v>
      </c>
      <c r="J41" s="12"/>
    </row>
    <row r="42" spans="1:12" ht="15.75" thickBot="1" x14ac:dyDescent="0.3">
      <c r="A42" t="s">
        <v>29</v>
      </c>
      <c r="I42" s="9">
        <v>3</v>
      </c>
      <c r="J42" s="12"/>
    </row>
    <row r="43" spans="1:12" ht="15.75" thickBot="1" x14ac:dyDescent="0.3">
      <c r="A43" t="s">
        <v>30</v>
      </c>
      <c r="I43" s="11">
        <f>I41-I42</f>
        <v>8936</v>
      </c>
      <c r="J43" s="12"/>
    </row>
    <row r="44" spans="1:12" ht="15.75" thickBot="1" x14ac:dyDescent="0.3"/>
    <row r="45" spans="1:12" ht="15.75" thickBot="1" x14ac:dyDescent="0.3">
      <c r="A45" t="s">
        <v>23</v>
      </c>
      <c r="I45" s="4">
        <f>I5/G27</f>
        <v>0.74798739490437738</v>
      </c>
      <c r="J45" s="6"/>
    </row>
    <row r="46" spans="1:12" ht="15.75" thickBot="1" x14ac:dyDescent="0.3">
      <c r="A46" t="s">
        <v>24</v>
      </c>
      <c r="I46" s="5">
        <f>I5/G28</f>
        <v>0.99357703323334523</v>
      </c>
      <c r="L46" s="8"/>
    </row>
    <row r="47" spans="1:12" ht="15.75" thickBot="1" x14ac:dyDescent="0.3"/>
    <row r="48" spans="1:12" ht="15.75" thickBot="1" x14ac:dyDescent="0.3">
      <c r="A48" t="s">
        <v>14</v>
      </c>
      <c r="I48" s="4">
        <f>G17/G28</f>
        <v>0.73401460843628719</v>
      </c>
    </row>
    <row r="49" spans="1:12" x14ac:dyDescent="0.25">
      <c r="F49" s="23"/>
    </row>
    <row r="50" spans="1:12" x14ac:dyDescent="0.25">
      <c r="A50" t="s">
        <v>34</v>
      </c>
      <c r="B50" s="23">
        <v>46108.92</v>
      </c>
      <c r="C50" s="23">
        <v>47518</v>
      </c>
      <c r="D50" s="23">
        <v>65396</v>
      </c>
      <c r="E50" s="23">
        <v>76437</v>
      </c>
      <c r="F50" s="23">
        <v>109586</v>
      </c>
      <c r="G50" s="23">
        <v>129292</v>
      </c>
      <c r="H50" s="23"/>
      <c r="I50" s="24">
        <f>G50-C50</f>
        <v>81774</v>
      </c>
      <c r="K50" s="16">
        <f>G50-E50</f>
        <v>52855</v>
      </c>
      <c r="L50">
        <f>K50/600</f>
        <v>88.091666666666669</v>
      </c>
    </row>
    <row r="51" spans="1:12" x14ac:dyDescent="0.25">
      <c r="A51" s="7" t="s">
        <v>35</v>
      </c>
      <c r="B51" s="13">
        <f t="shared" ref="B51:G51" si="5">B50/B24</f>
        <v>1.7062066153226196</v>
      </c>
      <c r="C51" s="13">
        <f t="shared" si="5"/>
        <v>1.6561410846228914</v>
      </c>
      <c r="D51" s="13">
        <f t="shared" si="5"/>
        <v>2.0513174404015055</v>
      </c>
      <c r="E51" s="13">
        <f t="shared" si="5"/>
        <v>2.173172603986012</v>
      </c>
      <c r="F51" s="13">
        <f t="shared" si="5"/>
        <v>2.1079906128573076</v>
      </c>
      <c r="G51" s="13">
        <f t="shared" si="5"/>
        <v>1.7912937460167919</v>
      </c>
      <c r="I51" s="13">
        <f>I50/600</f>
        <v>136.29</v>
      </c>
    </row>
    <row r="52" spans="1:12" x14ac:dyDescent="0.25">
      <c r="A52" t="s">
        <v>36</v>
      </c>
      <c r="C52" s="23"/>
      <c r="D52" s="23">
        <f>D50-C50</f>
        <v>17878</v>
      </c>
      <c r="E52" s="23">
        <f>E50-D50</f>
        <v>11041</v>
      </c>
      <c r="F52" s="23">
        <f>F50-E50</f>
        <v>33149</v>
      </c>
      <c r="G52" s="23">
        <f>G50-F50</f>
        <v>19706</v>
      </c>
      <c r="H52" s="23"/>
      <c r="I52" s="24"/>
    </row>
    <row r="53" spans="1:12" x14ac:dyDescent="0.25">
      <c r="A53" s="7" t="s">
        <v>37</v>
      </c>
      <c r="D53" s="14">
        <f>D52/D30</f>
        <v>5.607904642409034</v>
      </c>
      <c r="E53" s="14">
        <f>E52/E30</f>
        <v>3.3528697236562404</v>
      </c>
      <c r="F53" s="14">
        <f>F52/F30</f>
        <v>1.9716290965324452</v>
      </c>
      <c r="G53" s="14">
        <f>G52/G30</f>
        <v>0.74658079181663195</v>
      </c>
      <c r="H53" s="10"/>
      <c r="J53" t="s">
        <v>38</v>
      </c>
    </row>
    <row r="54" spans="1:12" x14ac:dyDescent="0.25">
      <c r="A54" t="s">
        <v>67</v>
      </c>
      <c r="B54" s="23">
        <v>3037.1961999999999</v>
      </c>
      <c r="C54" s="23">
        <v>2089.58</v>
      </c>
      <c r="D54" s="23">
        <v>2995.28</v>
      </c>
      <c r="E54" s="23">
        <v>3256.73</v>
      </c>
      <c r="F54" s="23">
        <v>7523.13</v>
      </c>
      <c r="G54" s="23">
        <v>9090.7800000000007</v>
      </c>
    </row>
    <row r="56" spans="1:12" x14ac:dyDescent="0.25">
      <c r="A56" t="s">
        <v>57</v>
      </c>
      <c r="B56" s="23">
        <v>3251.48</v>
      </c>
      <c r="C56" s="23">
        <v>3570.75</v>
      </c>
      <c r="D56" s="23">
        <v>3568.71</v>
      </c>
      <c r="E56" s="23">
        <v>3568.71</v>
      </c>
      <c r="F56" s="23">
        <v>13404.22</v>
      </c>
      <c r="G56" s="23">
        <v>12197</v>
      </c>
      <c r="H56" s="23"/>
      <c r="I56" s="23">
        <f>G56-C56</f>
        <v>8626.25</v>
      </c>
      <c r="J56" s="23">
        <f>I56+I24-I5</f>
        <v>-6515.75</v>
      </c>
    </row>
    <row r="57" spans="1:12" x14ac:dyDescent="0.25">
      <c r="A57" t="s">
        <v>61</v>
      </c>
      <c r="B57" s="23">
        <v>0</v>
      </c>
      <c r="C57" s="23">
        <v>0</v>
      </c>
      <c r="D57" s="23">
        <v>0</v>
      </c>
      <c r="E57" s="23">
        <v>0</v>
      </c>
      <c r="F57" s="27">
        <v>9835.51</v>
      </c>
      <c r="G57" s="27">
        <v>8088.33</v>
      </c>
      <c r="H57" s="23"/>
      <c r="I57" s="23"/>
    </row>
    <row r="58" spans="1:12" x14ac:dyDescent="0.25">
      <c r="A58" t="s">
        <v>55</v>
      </c>
      <c r="B58" s="20"/>
      <c r="C58" s="20">
        <v>335.77</v>
      </c>
      <c r="D58" s="20">
        <v>373.53</v>
      </c>
      <c r="E58" s="20">
        <v>382.66</v>
      </c>
      <c r="F58" s="20">
        <v>391.08</v>
      </c>
      <c r="G58" s="20">
        <v>173.73</v>
      </c>
    </row>
    <row r="60" spans="1:12" x14ac:dyDescent="0.25">
      <c r="A60" t="s">
        <v>42</v>
      </c>
      <c r="B60" s="23">
        <v>3251.48</v>
      </c>
      <c r="C60" s="23">
        <v>3569</v>
      </c>
      <c r="D60" s="23">
        <v>3569</v>
      </c>
      <c r="E60" s="23">
        <v>3569</v>
      </c>
      <c r="F60" s="23">
        <v>13404</v>
      </c>
      <c r="G60" s="23">
        <v>12197</v>
      </c>
      <c r="I60" s="23">
        <f>G60-F60</f>
        <v>-1207</v>
      </c>
    </row>
    <row r="61" spans="1:12" ht="15.75" thickBot="1" x14ac:dyDescent="0.3">
      <c r="A61" t="s">
        <v>43</v>
      </c>
      <c r="B61" s="23">
        <v>2111.15</v>
      </c>
      <c r="C61" s="23">
        <v>2092</v>
      </c>
      <c r="D61" s="23">
        <v>1719</v>
      </c>
      <c r="E61" s="23">
        <v>1336</v>
      </c>
      <c r="F61" s="23">
        <v>10782</v>
      </c>
      <c r="G61" s="23">
        <v>8851</v>
      </c>
    </row>
    <row r="62" spans="1:12" ht="15.75" thickBot="1" x14ac:dyDescent="0.3">
      <c r="A62" t="s">
        <v>44</v>
      </c>
      <c r="C62" s="23"/>
      <c r="D62" s="23">
        <f t="shared" ref="D62:G63" si="6">D60-C60</f>
        <v>0</v>
      </c>
      <c r="E62" s="23">
        <f t="shared" si="6"/>
        <v>0</v>
      </c>
      <c r="F62" s="23">
        <f t="shared" si="6"/>
        <v>9835</v>
      </c>
      <c r="G62" s="23">
        <f t="shared" si="6"/>
        <v>-1207</v>
      </c>
      <c r="I62" s="11">
        <f>D62+E62+F62+G62</f>
        <v>8628</v>
      </c>
      <c r="J62" s="6" t="s">
        <v>134</v>
      </c>
    </row>
    <row r="63" spans="1:12" x14ac:dyDescent="0.25">
      <c r="A63" t="s">
        <v>45</v>
      </c>
      <c r="C63" s="23"/>
      <c r="D63" s="23">
        <f t="shared" si="6"/>
        <v>-373</v>
      </c>
      <c r="E63" s="23">
        <f t="shared" si="6"/>
        <v>-383</v>
      </c>
      <c r="F63" s="23">
        <f t="shared" si="6"/>
        <v>9446</v>
      </c>
      <c r="G63" s="23">
        <f t="shared" si="6"/>
        <v>-1931</v>
      </c>
      <c r="I63">
        <f>D63+E63+F63+G63</f>
        <v>6759</v>
      </c>
    </row>
    <row r="66" spans="1:10" x14ac:dyDescent="0.25">
      <c r="A66" t="s">
        <v>46</v>
      </c>
      <c r="I66" s="15">
        <f>I43-I62</f>
        <v>308</v>
      </c>
      <c r="J66" t="s">
        <v>47</v>
      </c>
    </row>
    <row r="68" spans="1:10" x14ac:dyDescent="0.25">
      <c r="A68" t="s">
        <v>56</v>
      </c>
      <c r="C68" s="23"/>
      <c r="D68" s="23">
        <v>9745</v>
      </c>
      <c r="E68" s="23">
        <v>7510</v>
      </c>
      <c r="F68" s="23">
        <v>12246</v>
      </c>
      <c r="G68" s="23">
        <v>17775</v>
      </c>
      <c r="I68">
        <f>D68+E68+F68+G68</f>
        <v>47276</v>
      </c>
    </row>
    <row r="69" spans="1:10" x14ac:dyDescent="0.25">
      <c r="A69" t="s">
        <v>69</v>
      </c>
      <c r="B69" s="23">
        <v>9024.5400000000009</v>
      </c>
      <c r="C69" s="23">
        <v>7021.32</v>
      </c>
      <c r="D69" s="23">
        <v>8573.01</v>
      </c>
      <c r="E69" s="23">
        <v>7047.61</v>
      </c>
      <c r="F69" s="23">
        <v>12246.27</v>
      </c>
      <c r="G69" s="23">
        <v>18302.259999999998</v>
      </c>
    </row>
    <row r="70" spans="1:10" x14ac:dyDescent="0.25">
      <c r="A70" t="s">
        <v>39</v>
      </c>
      <c r="C70" s="23">
        <v>-112.11</v>
      </c>
      <c r="D70" s="23">
        <v>358</v>
      </c>
      <c r="E70" s="23">
        <v>271</v>
      </c>
      <c r="F70" s="23">
        <v>86</v>
      </c>
      <c r="G70" s="23">
        <v>-41</v>
      </c>
    </row>
    <row r="71" spans="1:10" x14ac:dyDescent="0.25">
      <c r="A71" t="s">
        <v>40</v>
      </c>
      <c r="C71" s="3"/>
      <c r="D71" s="3">
        <f>D70/D68</f>
        <v>3.6736788096459722E-2</v>
      </c>
      <c r="E71" s="3">
        <f>E70/E68</f>
        <v>3.6085219707057255E-2</v>
      </c>
      <c r="F71" s="3">
        <f>F70/F68</f>
        <v>7.0227012902172141E-3</v>
      </c>
      <c r="G71" s="3">
        <f>G70/G68</f>
        <v>-2.3066104078762308E-3</v>
      </c>
      <c r="J71" t="s">
        <v>41</v>
      </c>
    </row>
    <row r="72" spans="1:10" x14ac:dyDescent="0.25">
      <c r="D72" s="3"/>
      <c r="E72" s="3"/>
      <c r="F72" s="3"/>
      <c r="G72" s="3"/>
    </row>
    <row r="73" spans="1:10" x14ac:dyDescent="0.25">
      <c r="A73" t="s">
        <v>130</v>
      </c>
      <c r="C73" s="25">
        <f>C50-C69</f>
        <v>40496.68</v>
      </c>
      <c r="D73" s="25">
        <f>D50-D69</f>
        <v>56822.99</v>
      </c>
      <c r="E73" s="25">
        <f>E50-E69</f>
        <v>69389.39</v>
      </c>
      <c r="F73" s="25">
        <f>F50-F69</f>
        <v>97339.73</v>
      </c>
      <c r="G73" s="25">
        <f>G50-G69</f>
        <v>110989.74</v>
      </c>
    </row>
    <row r="74" spans="1:10" x14ac:dyDescent="0.25">
      <c r="A74" t="s">
        <v>131</v>
      </c>
      <c r="C74" s="25">
        <f>C54-C70</f>
        <v>2201.69</v>
      </c>
      <c r="D74" s="25">
        <f>D54-D70</f>
        <v>2637.28</v>
      </c>
      <c r="E74" s="25">
        <f>E54-E70</f>
        <v>2985.73</v>
      </c>
      <c r="F74" s="25">
        <f>F54-F70</f>
        <v>7437.13</v>
      </c>
      <c r="G74" s="25">
        <f>G54-G70</f>
        <v>9131.7800000000007</v>
      </c>
    </row>
    <row r="75" spans="1:10" x14ac:dyDescent="0.25">
      <c r="A75" t="s">
        <v>68</v>
      </c>
      <c r="C75" s="26">
        <f>C74/C73</f>
        <v>5.4367172815154234E-2</v>
      </c>
      <c r="D75" s="26">
        <f>D74/D73</f>
        <v>4.6412200413952172E-2</v>
      </c>
      <c r="E75" s="26">
        <f>E74/E73</f>
        <v>4.3028624404970274E-2</v>
      </c>
      <c r="F75" s="26">
        <f>F74/F73</f>
        <v>7.6403848664877136E-2</v>
      </c>
      <c r="G75" s="26">
        <f>G74/G73</f>
        <v>8.2275893249231874E-2</v>
      </c>
    </row>
    <row r="77" spans="1:10" x14ac:dyDescent="0.25">
      <c r="A77" t="s">
        <v>48</v>
      </c>
      <c r="B77" s="20">
        <f>B78+B79</f>
        <v>39390.160000000003</v>
      </c>
      <c r="C77" s="20">
        <v>40567.699999999997</v>
      </c>
      <c r="D77" s="20">
        <v>67979.7</v>
      </c>
      <c r="E77" s="20">
        <v>67979.7</v>
      </c>
      <c r="F77" s="20">
        <v>100167.99</v>
      </c>
      <c r="G77" s="20">
        <v>121331.13</v>
      </c>
    </row>
    <row r="78" spans="1:10" x14ac:dyDescent="0.25">
      <c r="A78" t="s">
        <v>49</v>
      </c>
      <c r="B78" s="20">
        <v>30592.14</v>
      </c>
      <c r="C78" s="20">
        <v>33487.94</v>
      </c>
      <c r="D78" s="20">
        <v>57837.85</v>
      </c>
      <c r="E78" s="20">
        <v>57837.85</v>
      </c>
      <c r="F78" s="20">
        <v>86799.67</v>
      </c>
      <c r="G78" s="20">
        <v>97478.62</v>
      </c>
    </row>
    <row r="79" spans="1:10" x14ac:dyDescent="0.25">
      <c r="A79" t="s">
        <v>50</v>
      </c>
      <c r="B79" s="20">
        <f>8507.62+256.54+33.86</f>
        <v>8798.0200000000023</v>
      </c>
      <c r="C79" s="20">
        <v>7808.26</v>
      </c>
      <c r="D79" s="20">
        <v>12065.23</v>
      </c>
      <c r="E79" s="20">
        <v>12065.23</v>
      </c>
      <c r="F79" s="20">
        <v>15327.15</v>
      </c>
      <c r="G79" s="20">
        <v>27348.97</v>
      </c>
    </row>
    <row r="80" spans="1:10" x14ac:dyDescent="0.25">
      <c r="A80" t="s">
        <v>51</v>
      </c>
      <c r="B80" s="20">
        <v>770.67</v>
      </c>
      <c r="C80" s="20">
        <v>728.51</v>
      </c>
      <c r="D80" s="20">
        <v>1923.38</v>
      </c>
      <c r="E80" s="20">
        <v>1923.38</v>
      </c>
      <c r="F80" s="20">
        <v>1958.83</v>
      </c>
      <c r="G80" s="20">
        <v>3496.46</v>
      </c>
    </row>
    <row r="81" spans="1:7" x14ac:dyDescent="0.25">
      <c r="A81" t="s">
        <v>52</v>
      </c>
      <c r="B81" s="20">
        <f t="shared" ref="B81:G81" si="7">B78+B79-B80</f>
        <v>38619.490000000005</v>
      </c>
      <c r="C81" s="20">
        <f t="shared" si="7"/>
        <v>40567.69</v>
      </c>
      <c r="D81" s="20">
        <f t="shared" si="7"/>
        <v>67979.7</v>
      </c>
      <c r="E81" s="20">
        <f t="shared" si="7"/>
        <v>67979.7</v>
      </c>
      <c r="F81" s="20">
        <f t="shared" si="7"/>
        <v>100167.98999999999</v>
      </c>
      <c r="G81" s="20">
        <f t="shared" si="7"/>
        <v>121331.12999999999</v>
      </c>
    </row>
    <row r="84" spans="1:7" x14ac:dyDescent="0.25">
      <c r="A84" s="19" t="s">
        <v>64</v>
      </c>
    </row>
    <row r="85" spans="1:7" x14ac:dyDescent="0.25">
      <c r="A85" t="s">
        <v>62</v>
      </c>
      <c r="F85" s="20">
        <v>10225.51</v>
      </c>
    </row>
    <row r="86" spans="1:7" x14ac:dyDescent="0.25">
      <c r="A86" t="s">
        <v>63</v>
      </c>
      <c r="F86" s="20">
        <v>2805.76</v>
      </c>
    </row>
    <row r="87" spans="1:7" x14ac:dyDescent="0.25">
      <c r="A87" t="s">
        <v>65</v>
      </c>
      <c r="F87" s="20"/>
    </row>
    <row r="88" spans="1:7" x14ac:dyDescent="0.25">
      <c r="A88" t="s">
        <v>66</v>
      </c>
      <c r="F88" s="20">
        <v>12100</v>
      </c>
    </row>
    <row r="89" spans="1:7" x14ac:dyDescent="0.25">
      <c r="F89" s="20"/>
    </row>
    <row r="90" spans="1:7" x14ac:dyDescent="0.25">
      <c r="A90" t="s">
        <v>126</v>
      </c>
      <c r="F90" s="21">
        <v>12182</v>
      </c>
      <c r="G90" s="21">
        <v>18981</v>
      </c>
    </row>
    <row r="91" spans="1:7" x14ac:dyDescent="0.25">
      <c r="A91" t="s">
        <v>124</v>
      </c>
      <c r="F91" s="21">
        <v>6816</v>
      </c>
      <c r="G91" s="21">
        <v>11428</v>
      </c>
    </row>
    <row r="92" spans="1:7" x14ac:dyDescent="0.25">
      <c r="A92" t="s">
        <v>133</v>
      </c>
      <c r="F92" s="52">
        <f>F91/F69</f>
        <v>0.55657763547594485</v>
      </c>
      <c r="G92" s="52">
        <f>G91/G69</f>
        <v>0.6244037621583346</v>
      </c>
    </row>
    <row r="93" spans="1:7" x14ac:dyDescent="0.25">
      <c r="A93" t="s">
        <v>125</v>
      </c>
      <c r="F93" s="21">
        <v>11091</v>
      </c>
      <c r="G93" s="21">
        <v>13263</v>
      </c>
    </row>
    <row r="95" spans="1:7" x14ac:dyDescent="0.25">
      <c r="A95" t="s">
        <v>127</v>
      </c>
      <c r="F95" s="50">
        <f>F91/F90</f>
        <v>0.55951403710392378</v>
      </c>
      <c r="G95" s="50">
        <f>G91/G90</f>
        <v>0.60207575997049678</v>
      </c>
    </row>
    <row r="97" spans="1:9" x14ac:dyDescent="0.25">
      <c r="A97" t="s">
        <v>128</v>
      </c>
      <c r="F97" s="23">
        <f>F93-F90</f>
        <v>-1091</v>
      </c>
      <c r="G97" s="23">
        <f>G93-G90</f>
        <v>-5718</v>
      </c>
      <c r="I97" s="10" t="s">
        <v>129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="115" zoomScaleNormal="115" workbookViewId="0">
      <pane xSplit="2" ySplit="1" topLeftCell="K14" activePane="bottomRight" state="frozen"/>
      <selection pane="topRight" activeCell="C1" sqref="C1"/>
      <selection pane="bottomLeft" activeCell="A2" sqref="A2"/>
      <selection pane="bottomRight" activeCell="T28" sqref="T28"/>
    </sheetView>
  </sheetViews>
  <sheetFormatPr defaultRowHeight="12.75" x14ac:dyDescent="0.2"/>
  <cols>
    <col min="1" max="1" width="9.140625" style="30"/>
    <col min="2" max="2" width="40.7109375" style="30" bestFit="1" customWidth="1"/>
    <col min="3" max="3" width="15.85546875" style="30" bestFit="1" customWidth="1"/>
    <col min="4" max="4" width="15.140625" style="30" bestFit="1" customWidth="1"/>
    <col min="5" max="5" width="15.85546875" style="30" bestFit="1" customWidth="1"/>
    <col min="6" max="6" width="15.140625" style="30" bestFit="1" customWidth="1"/>
    <col min="7" max="7" width="11.42578125" style="30" bestFit="1" customWidth="1"/>
    <col min="8" max="8" width="9.85546875" style="30" bestFit="1" customWidth="1"/>
    <col min="9" max="9" width="11.42578125" style="30" bestFit="1" customWidth="1"/>
    <col min="10" max="14" width="10.85546875" style="30" bestFit="1" customWidth="1"/>
    <col min="15" max="16" width="10.28515625" style="30" bestFit="1" customWidth="1"/>
    <col min="17" max="17" width="18.85546875" style="30" bestFit="1" customWidth="1"/>
    <col min="18" max="18" width="13.28515625" style="30" customWidth="1"/>
    <col min="19" max="16384" width="9.140625" style="30"/>
  </cols>
  <sheetData>
    <row r="1" spans="1:18" x14ac:dyDescent="0.2">
      <c r="B1" s="30" t="s">
        <v>70</v>
      </c>
      <c r="C1" s="54">
        <v>40268</v>
      </c>
      <c r="D1" s="54"/>
      <c r="E1" s="54">
        <v>40633</v>
      </c>
      <c r="F1" s="54"/>
      <c r="G1" s="54">
        <v>40999</v>
      </c>
      <c r="H1" s="54"/>
      <c r="I1" s="54">
        <v>41364</v>
      </c>
      <c r="J1" s="54"/>
      <c r="K1" s="54">
        <v>41729</v>
      </c>
      <c r="L1" s="54"/>
      <c r="M1" s="54">
        <v>42094</v>
      </c>
      <c r="N1" s="54"/>
      <c r="O1" s="53" t="s">
        <v>4</v>
      </c>
      <c r="P1" s="53"/>
      <c r="R1" s="30" t="s">
        <v>112</v>
      </c>
    </row>
    <row r="2" spans="1:18" x14ac:dyDescent="0.2">
      <c r="A2" s="28" t="s">
        <v>73</v>
      </c>
      <c r="B2" s="29" t="s">
        <v>76</v>
      </c>
    </row>
    <row r="3" spans="1:18" x14ac:dyDescent="0.2">
      <c r="A3" s="29"/>
      <c r="B3" s="29" t="s">
        <v>79</v>
      </c>
      <c r="C3" s="31">
        <f>0/(10^5)</f>
        <v>0</v>
      </c>
      <c r="D3" s="31">
        <f>375963310/(10^5)</f>
        <v>3759.6331</v>
      </c>
      <c r="E3" s="31"/>
      <c r="F3" s="38">
        <v>2675.54</v>
      </c>
      <c r="G3" s="32"/>
      <c r="H3" s="33">
        <v>4297.63</v>
      </c>
      <c r="I3" s="31"/>
      <c r="J3" s="32">
        <v>4632.45</v>
      </c>
      <c r="K3" s="32"/>
      <c r="L3" s="36">
        <v>11236.16</v>
      </c>
      <c r="M3" s="36"/>
      <c r="N3" s="36">
        <v>12796.04</v>
      </c>
      <c r="P3" s="44">
        <f>D3+F3+H3+J3+L3+N3</f>
        <v>39397.453099999999</v>
      </c>
      <c r="Q3" s="30" t="s">
        <v>115</v>
      </c>
      <c r="R3" s="44">
        <f>P3</f>
        <v>39397.453099999999</v>
      </c>
    </row>
    <row r="4" spans="1:18" x14ac:dyDescent="0.2">
      <c r="A4" s="29"/>
      <c r="B4" s="29" t="s">
        <v>80</v>
      </c>
      <c r="C4" s="31">
        <f>0/(10^5)</f>
        <v>0</v>
      </c>
      <c r="D4" s="31">
        <f t="shared" ref="D4:D11" si="0">0/(10^5)</f>
        <v>0</v>
      </c>
      <c r="E4" s="31"/>
      <c r="F4" s="31"/>
      <c r="G4" s="32"/>
      <c r="H4" s="32"/>
      <c r="I4" s="31"/>
      <c r="J4" s="32"/>
      <c r="K4" s="32"/>
      <c r="L4" s="36"/>
      <c r="M4" s="36"/>
      <c r="N4" s="36"/>
    </row>
    <row r="5" spans="1:18" x14ac:dyDescent="0.2">
      <c r="A5" s="29"/>
      <c r="B5" s="29" t="s">
        <v>21</v>
      </c>
      <c r="C5" s="31">
        <f>185743509/(10^5)</f>
        <v>1857.4350899999999</v>
      </c>
      <c r="D5" s="31">
        <f t="shared" si="0"/>
        <v>0</v>
      </c>
      <c r="E5" s="38">
        <v>1831.47</v>
      </c>
      <c r="F5" s="31"/>
      <c r="G5" s="33">
        <v>2069.54</v>
      </c>
      <c r="H5" s="32"/>
      <c r="I5" s="31">
        <v>2308.46</v>
      </c>
      <c r="J5" s="32"/>
      <c r="K5" s="32">
        <v>2981.25</v>
      </c>
      <c r="L5" s="36"/>
      <c r="M5" s="36">
        <v>5265.1</v>
      </c>
      <c r="N5" s="36"/>
      <c r="O5" s="44">
        <f>C5+E5+G5+I5+K5+M5</f>
        <v>16313.255090000001</v>
      </c>
    </row>
    <row r="6" spans="1:18" x14ac:dyDescent="0.2">
      <c r="A6" s="29"/>
      <c r="B6" s="29" t="s">
        <v>81</v>
      </c>
      <c r="C6" s="31">
        <f>6295156/(10^5)</f>
        <v>62.951560000000001</v>
      </c>
      <c r="D6" s="31">
        <f t="shared" si="0"/>
        <v>0</v>
      </c>
      <c r="E6" s="38">
        <v>55.69</v>
      </c>
      <c r="F6" s="31"/>
      <c r="G6" s="33">
        <v>72.959999999999994</v>
      </c>
      <c r="H6" s="32"/>
      <c r="I6" s="33">
        <v>108.64</v>
      </c>
      <c r="J6" s="32"/>
      <c r="K6" s="32">
        <v>118.35</v>
      </c>
      <c r="L6" s="36"/>
      <c r="M6" s="36">
        <v>119.65</v>
      </c>
      <c r="N6" s="36"/>
      <c r="O6" s="44">
        <f t="shared" ref="O6:P18" si="1">C6+E6+G6+I6+K6+M6</f>
        <v>538.24155999999994</v>
      </c>
    </row>
    <row r="7" spans="1:18" x14ac:dyDescent="0.2">
      <c r="A7" s="29"/>
      <c r="B7" s="29" t="s">
        <v>82</v>
      </c>
      <c r="C7" s="31">
        <f>-90947/(10^5)</f>
        <v>-0.90947</v>
      </c>
      <c r="D7" s="31">
        <f t="shared" si="0"/>
        <v>0</v>
      </c>
      <c r="E7" s="38">
        <v>41.23</v>
      </c>
      <c r="F7" s="31"/>
      <c r="G7" s="33">
        <v>1.19</v>
      </c>
      <c r="H7" s="32"/>
      <c r="I7" s="31">
        <v>68.150000000000006</v>
      </c>
      <c r="J7" s="32"/>
      <c r="K7" s="32">
        <v>32.909999999999997</v>
      </c>
      <c r="L7" s="36"/>
      <c r="M7" s="36">
        <v>17.8</v>
      </c>
      <c r="N7" s="36"/>
      <c r="O7" s="44">
        <f t="shared" si="1"/>
        <v>160.37053</v>
      </c>
    </row>
    <row r="8" spans="1:18" x14ac:dyDescent="0.2">
      <c r="A8" s="29"/>
      <c r="B8" s="29" t="s">
        <v>83</v>
      </c>
      <c r="C8" s="31">
        <f>0/(10^5)</f>
        <v>0</v>
      </c>
      <c r="D8" s="31">
        <f t="shared" si="0"/>
        <v>0</v>
      </c>
      <c r="E8" s="38">
        <v>0</v>
      </c>
      <c r="F8" s="31"/>
      <c r="G8" s="33">
        <v>-4.96</v>
      </c>
      <c r="H8" s="32"/>
      <c r="I8" s="31">
        <v>0</v>
      </c>
      <c r="J8" s="32"/>
      <c r="K8" s="32">
        <v>0</v>
      </c>
      <c r="L8" s="36"/>
      <c r="M8" s="36">
        <v>0</v>
      </c>
      <c r="N8" s="36"/>
      <c r="O8" s="44">
        <f t="shared" si="1"/>
        <v>-4.96</v>
      </c>
    </row>
    <row r="9" spans="1:18" x14ac:dyDescent="0.2">
      <c r="A9" s="29"/>
      <c r="B9" s="29" t="s">
        <v>84</v>
      </c>
      <c r="C9" s="31">
        <f>-80985680/(10^5)</f>
        <v>-809.85680000000002</v>
      </c>
      <c r="D9" s="31">
        <f t="shared" si="0"/>
        <v>0</v>
      </c>
      <c r="E9" s="38">
        <v>-59.62</v>
      </c>
      <c r="F9" s="31"/>
      <c r="G9" s="33">
        <v>-89.91</v>
      </c>
      <c r="H9" s="32"/>
      <c r="I9" s="32"/>
      <c r="J9" s="32"/>
      <c r="K9" s="32">
        <v>0</v>
      </c>
      <c r="L9" s="36"/>
      <c r="M9" s="36">
        <v>0</v>
      </c>
      <c r="N9" s="36"/>
      <c r="O9" s="44">
        <f t="shared" si="1"/>
        <v>-959.38679999999999</v>
      </c>
    </row>
    <row r="10" spans="1:18" x14ac:dyDescent="0.2">
      <c r="A10" s="29"/>
      <c r="B10" s="29" t="s">
        <v>85</v>
      </c>
      <c r="C10" s="31">
        <f>1046008/(10^5)</f>
        <v>10.46008</v>
      </c>
      <c r="D10" s="31">
        <f t="shared" si="0"/>
        <v>0</v>
      </c>
      <c r="E10" s="38">
        <v>225.29</v>
      </c>
      <c r="F10" s="31"/>
      <c r="G10" s="33">
        <v>-2.09</v>
      </c>
      <c r="H10" s="32"/>
      <c r="I10" s="31">
        <v>11.48</v>
      </c>
      <c r="J10" s="32"/>
      <c r="K10" s="32">
        <v>6.5</v>
      </c>
      <c r="L10" s="36"/>
      <c r="M10" s="36">
        <v>45.84</v>
      </c>
      <c r="N10" s="36"/>
      <c r="O10" s="44">
        <f t="shared" si="1"/>
        <v>297.48007999999999</v>
      </c>
    </row>
    <row r="11" spans="1:18" x14ac:dyDescent="0.2">
      <c r="A11" s="29"/>
      <c r="B11" s="29" t="s">
        <v>86</v>
      </c>
      <c r="C11" s="31">
        <f>-4770223/(10^5)</f>
        <v>-47.70223</v>
      </c>
      <c r="D11" s="31">
        <f t="shared" si="0"/>
        <v>0</v>
      </c>
      <c r="E11" s="38">
        <v>-41.76</v>
      </c>
      <c r="F11" s="31"/>
      <c r="G11" s="33">
        <v>-63.43</v>
      </c>
      <c r="H11" s="32"/>
      <c r="I11" s="31">
        <v>-118.16</v>
      </c>
      <c r="J11" s="32"/>
      <c r="K11" s="32">
        <v>-142.37</v>
      </c>
      <c r="L11" s="36"/>
      <c r="M11" s="36">
        <v>-145.53</v>
      </c>
      <c r="N11" s="36"/>
      <c r="O11" s="44">
        <f t="shared" si="1"/>
        <v>-558.95222999999999</v>
      </c>
    </row>
    <row r="12" spans="1:18" x14ac:dyDescent="0.2">
      <c r="A12" s="29"/>
      <c r="B12" s="29" t="s">
        <v>87</v>
      </c>
      <c r="C12" s="34">
        <f>142079088/(10^5)</f>
        <v>1420.79088</v>
      </c>
      <c r="D12" s="31">
        <f>249316911/(10^5)</f>
        <v>2493.1691099999998</v>
      </c>
      <c r="E12" s="39">
        <v>1258.69</v>
      </c>
      <c r="F12" s="38">
        <v>3310.99</v>
      </c>
      <c r="G12" s="41">
        <v>1698.87</v>
      </c>
      <c r="H12" s="33">
        <v>3682.18</v>
      </c>
      <c r="I12" s="34">
        <v>1767.11</v>
      </c>
      <c r="J12" s="32">
        <v>4145.68</v>
      </c>
      <c r="K12" s="42">
        <v>2042.73</v>
      </c>
      <c r="L12" s="36">
        <v>5039.37</v>
      </c>
      <c r="M12" s="43">
        <v>3234.59</v>
      </c>
      <c r="N12" s="36">
        <v>8537.4500000000007</v>
      </c>
      <c r="O12" s="46">
        <f t="shared" si="1"/>
        <v>11422.78088</v>
      </c>
      <c r="P12" s="47">
        <f t="shared" si="1"/>
        <v>27208.839110000001</v>
      </c>
      <c r="Q12" s="30" t="s">
        <v>114</v>
      </c>
      <c r="R12" s="44">
        <f>O12</f>
        <v>11422.78088</v>
      </c>
    </row>
    <row r="13" spans="1:18" x14ac:dyDescent="0.2">
      <c r="A13" s="29"/>
      <c r="B13" s="29" t="s">
        <v>88</v>
      </c>
      <c r="C13" s="31">
        <f t="shared" ref="C13:C20" si="2">0/(10^5)</f>
        <v>0</v>
      </c>
      <c r="D13" s="31">
        <f>625280221/(10^5)</f>
        <v>6252.8022099999998</v>
      </c>
      <c r="E13" s="31"/>
      <c r="F13" s="38">
        <v>5986.52</v>
      </c>
      <c r="G13" s="32"/>
      <c r="H13" s="33">
        <v>7979.82</v>
      </c>
      <c r="I13" s="31"/>
      <c r="J13" s="32">
        <v>8778.1299999999992</v>
      </c>
      <c r="K13" s="32"/>
      <c r="L13" s="36">
        <v>16275.53</v>
      </c>
      <c r="M13" s="36"/>
      <c r="N13" s="36">
        <v>21333.49</v>
      </c>
      <c r="P13" s="44">
        <f t="shared" si="1"/>
        <v>66606.29221</v>
      </c>
    </row>
    <row r="14" spans="1:18" x14ac:dyDescent="0.2">
      <c r="A14" s="29"/>
      <c r="B14" s="29" t="s">
        <v>89</v>
      </c>
      <c r="C14" s="31">
        <f t="shared" si="2"/>
        <v>0</v>
      </c>
      <c r="D14" s="31">
        <f>-28604408/(10^5)</f>
        <v>-286.04408000000001</v>
      </c>
      <c r="E14" s="31"/>
      <c r="F14" s="38">
        <v>-795.44</v>
      </c>
      <c r="G14" s="32"/>
      <c r="H14" s="33">
        <v>-2650.04</v>
      </c>
      <c r="I14" s="31"/>
      <c r="J14" s="32">
        <v>2878.03</v>
      </c>
      <c r="K14" s="32"/>
      <c r="L14" s="36">
        <v>-5376.36</v>
      </c>
      <c r="M14" s="36"/>
      <c r="N14" s="36">
        <v>-4693.07</v>
      </c>
      <c r="P14" s="44">
        <f t="shared" si="1"/>
        <v>-10922.924079999999</v>
      </c>
    </row>
    <row r="15" spans="1:18" x14ac:dyDescent="0.2">
      <c r="A15" s="29"/>
      <c r="B15" s="29" t="s">
        <v>90</v>
      </c>
      <c r="C15" s="31">
        <f t="shared" si="2"/>
        <v>0</v>
      </c>
      <c r="D15" s="31">
        <f>-91228371/(10^5)</f>
        <v>-912.28371000000004</v>
      </c>
      <c r="E15" s="31"/>
      <c r="F15" s="38">
        <v>-649.44000000000005</v>
      </c>
      <c r="G15" s="32"/>
      <c r="H15" s="33">
        <v>-3478.27</v>
      </c>
      <c r="I15" s="31"/>
      <c r="J15" s="32">
        <v>-2657.18</v>
      </c>
      <c r="K15" s="32"/>
      <c r="L15" s="36">
        <v>-2543</v>
      </c>
      <c r="M15" s="36"/>
      <c r="N15" s="36">
        <v>-5035.32</v>
      </c>
      <c r="P15" s="44">
        <f t="shared" si="1"/>
        <v>-15275.493710000001</v>
      </c>
    </row>
    <row r="16" spans="1:18" x14ac:dyDescent="0.2">
      <c r="A16" s="29"/>
      <c r="B16" s="29" t="s">
        <v>91</v>
      </c>
      <c r="C16" s="31">
        <f t="shared" si="2"/>
        <v>0</v>
      </c>
      <c r="D16" s="31">
        <f>154449554/(10^5)</f>
        <v>1544.4955399999999</v>
      </c>
      <c r="E16" s="31"/>
      <c r="F16" s="38">
        <v>874.48</v>
      </c>
      <c r="G16" s="32"/>
      <c r="H16" s="33">
        <v>2416.16</v>
      </c>
      <c r="I16" s="31"/>
      <c r="J16" s="32">
        <v>1340.03</v>
      </c>
      <c r="K16" s="32"/>
      <c r="L16" s="36">
        <v>4816.84</v>
      </c>
      <c r="M16" s="36"/>
      <c r="N16" s="36">
        <v>6100.3</v>
      </c>
      <c r="P16" s="44">
        <f t="shared" si="1"/>
        <v>17092.305539999998</v>
      </c>
    </row>
    <row r="17" spans="1:18" x14ac:dyDescent="0.2">
      <c r="A17" s="29"/>
      <c r="B17" s="29" t="s">
        <v>92</v>
      </c>
      <c r="C17" s="31">
        <f t="shared" si="2"/>
        <v>0</v>
      </c>
      <c r="D17" s="31">
        <f>659896996/(10^5)</f>
        <v>6598.9699600000004</v>
      </c>
      <c r="E17" s="31"/>
      <c r="F17" s="38">
        <v>5416.13</v>
      </c>
      <c r="G17" s="32"/>
      <c r="H17" s="33">
        <v>4267.66</v>
      </c>
      <c r="I17" s="31"/>
      <c r="J17" s="32">
        <v>10339.01</v>
      </c>
      <c r="K17" s="32"/>
      <c r="L17" s="36">
        <v>13173.01</v>
      </c>
      <c r="M17" s="36"/>
      <c r="N17" s="36">
        <v>17705.400000000001</v>
      </c>
      <c r="P17" s="44">
        <f t="shared" si="1"/>
        <v>57500.179960000001</v>
      </c>
    </row>
    <row r="18" spans="1:18" x14ac:dyDescent="0.2">
      <c r="A18" s="29"/>
      <c r="B18" s="29" t="s">
        <v>93</v>
      </c>
      <c r="C18" s="31">
        <f t="shared" si="2"/>
        <v>0</v>
      </c>
      <c r="D18" s="31">
        <f>62642196/(10^5)</f>
        <v>626.42196000000001</v>
      </c>
      <c r="E18" s="31"/>
      <c r="F18" s="38">
        <v>559.91</v>
      </c>
      <c r="G18" s="32"/>
      <c r="H18" s="33">
        <v>1153.1500000000001</v>
      </c>
      <c r="I18" s="31"/>
      <c r="J18" s="32">
        <v>1120.22</v>
      </c>
      <c r="K18" s="32"/>
      <c r="L18" s="36">
        <v>2378.17</v>
      </c>
      <c r="M18" s="36"/>
      <c r="N18" s="36">
        <v>3172.14</v>
      </c>
      <c r="P18" s="44">
        <f t="shared" si="1"/>
        <v>9010.0119599999998</v>
      </c>
      <c r="Q18" s="30" t="s">
        <v>113</v>
      </c>
      <c r="R18" s="44">
        <f>P18</f>
        <v>9010.0119599999998</v>
      </c>
    </row>
    <row r="19" spans="1:18" x14ac:dyDescent="0.2">
      <c r="A19" s="29"/>
      <c r="B19" s="29" t="s">
        <v>94</v>
      </c>
      <c r="C19" s="31">
        <f t="shared" si="2"/>
        <v>0</v>
      </c>
      <c r="D19" s="31">
        <f>597254800/(10^5)</f>
        <v>5972.5479999999998</v>
      </c>
      <c r="E19" s="31"/>
      <c r="F19" s="38">
        <v>4856.22</v>
      </c>
      <c r="G19" s="32"/>
      <c r="H19" s="33">
        <v>3114.52</v>
      </c>
      <c r="I19" s="31"/>
      <c r="J19" s="32">
        <v>9218.7900000000009</v>
      </c>
      <c r="K19" s="32"/>
      <c r="L19" s="36">
        <v>10794.84</v>
      </c>
      <c r="M19" s="36"/>
      <c r="N19" s="36">
        <v>14533.26</v>
      </c>
      <c r="P19" s="44">
        <f>D19+F19+H19+J19+L19+N19</f>
        <v>48490.178000000007</v>
      </c>
      <c r="Q19" s="30" t="s">
        <v>116</v>
      </c>
      <c r="R19" s="44">
        <f>R3-R12-R18</f>
        <v>18964.660260000001</v>
      </c>
    </row>
    <row r="20" spans="1:18" x14ac:dyDescent="0.2">
      <c r="A20" s="28" t="s">
        <v>74</v>
      </c>
      <c r="B20" s="29" t="s">
        <v>77</v>
      </c>
      <c r="C20" s="31">
        <f t="shared" si="2"/>
        <v>0</v>
      </c>
      <c r="D20" s="31">
        <f t="shared" ref="D20:D26" si="3">0/(10^5)</f>
        <v>0</v>
      </c>
      <c r="E20" s="31"/>
      <c r="F20" s="31"/>
      <c r="G20" s="32"/>
      <c r="H20" s="32"/>
      <c r="I20" s="31"/>
      <c r="J20" s="32"/>
      <c r="K20" s="32"/>
      <c r="L20" s="36"/>
      <c r="M20" s="36"/>
      <c r="N20" s="36"/>
      <c r="Q20" s="30" t="s">
        <v>117</v>
      </c>
      <c r="R20" s="44">
        <f>P14+P15+P16</f>
        <v>-9106.1122500000019</v>
      </c>
    </row>
    <row r="21" spans="1:18" x14ac:dyDescent="0.2">
      <c r="A21" s="29"/>
      <c r="B21" s="29" t="s">
        <v>95</v>
      </c>
      <c r="C21" s="31">
        <f>-127898379/(10^5)</f>
        <v>-1278.98379</v>
      </c>
      <c r="D21" s="31">
        <f t="shared" si="3"/>
        <v>0</v>
      </c>
      <c r="E21" s="38">
        <v>-2496.2600000000002</v>
      </c>
      <c r="F21" s="40"/>
      <c r="G21" s="33">
        <v>-5777.94</v>
      </c>
      <c r="H21" s="32"/>
      <c r="I21" s="31">
        <v>-11644.61</v>
      </c>
      <c r="J21" s="32"/>
      <c r="K21" s="32">
        <v>-26673.34</v>
      </c>
      <c r="L21" s="36"/>
      <c r="M21" s="36">
        <v>-14808.41</v>
      </c>
      <c r="N21" s="36"/>
      <c r="O21" s="44">
        <f t="shared" ref="O21:O26" si="4">C21+E21+G21+I21+K21+M21</f>
        <v>-62679.543789999996</v>
      </c>
      <c r="Q21" s="30" t="s">
        <v>118</v>
      </c>
      <c r="R21" s="48">
        <f>R19+R20</f>
        <v>9858.5480099999986</v>
      </c>
    </row>
    <row r="22" spans="1:18" x14ac:dyDescent="0.2">
      <c r="A22" s="29"/>
      <c r="B22" s="29" t="s">
        <v>96</v>
      </c>
      <c r="C22" s="31">
        <f>-2410565/(10^5)</f>
        <v>-24.105650000000001</v>
      </c>
      <c r="D22" s="31">
        <f t="shared" si="3"/>
        <v>0</v>
      </c>
      <c r="E22" s="38">
        <v>-15.57</v>
      </c>
      <c r="F22" s="31"/>
      <c r="G22" s="33">
        <v>-24.36</v>
      </c>
      <c r="H22" s="32"/>
      <c r="I22" s="31">
        <v>-517.04</v>
      </c>
      <c r="J22" s="32"/>
      <c r="K22" s="32">
        <v>-14.32</v>
      </c>
      <c r="L22" s="36"/>
      <c r="M22" s="36">
        <v>-23.57</v>
      </c>
      <c r="N22" s="36"/>
      <c r="O22" s="44">
        <f t="shared" si="4"/>
        <v>-618.9656500000001</v>
      </c>
      <c r="Q22" s="30" t="s">
        <v>121</v>
      </c>
      <c r="R22" s="48">
        <f>O21+O5+O25</f>
        <v>-46080.509469999997</v>
      </c>
    </row>
    <row r="23" spans="1:18" x14ac:dyDescent="0.2">
      <c r="A23" s="29"/>
      <c r="B23" s="29" t="s">
        <v>71</v>
      </c>
      <c r="C23" s="31">
        <f>0/(10^5)</f>
        <v>0</v>
      </c>
      <c r="D23" s="31">
        <f t="shared" si="3"/>
        <v>0</v>
      </c>
      <c r="E23" s="38">
        <v>0</v>
      </c>
      <c r="F23" s="31"/>
      <c r="G23" s="33">
        <v>-1025.5</v>
      </c>
      <c r="H23" s="32"/>
      <c r="I23" s="31">
        <v>-945.92</v>
      </c>
      <c r="J23" s="32"/>
      <c r="K23" s="32">
        <v>945.92</v>
      </c>
      <c r="L23" s="36"/>
      <c r="M23" s="36">
        <v>0</v>
      </c>
      <c r="N23" s="36"/>
      <c r="O23" s="44">
        <f t="shared" si="4"/>
        <v>-1025.5</v>
      </c>
      <c r="Q23" s="30" t="s">
        <v>122</v>
      </c>
      <c r="R23" s="48">
        <f>O23</f>
        <v>-1025.5</v>
      </c>
    </row>
    <row r="24" spans="1:18" x14ac:dyDescent="0.2">
      <c r="A24" s="29"/>
      <c r="B24" s="29" t="s">
        <v>97</v>
      </c>
      <c r="C24" s="31">
        <f>-57587/(10^5)</f>
        <v>-0.57586999999999999</v>
      </c>
      <c r="D24" s="31">
        <f t="shared" si="3"/>
        <v>0</v>
      </c>
      <c r="E24" s="38">
        <v>-0.02</v>
      </c>
      <c r="F24" s="31"/>
      <c r="G24" s="32">
        <v>15.63</v>
      </c>
      <c r="H24" s="32"/>
      <c r="I24" s="31">
        <v>0</v>
      </c>
      <c r="J24" s="32"/>
      <c r="K24" s="32"/>
      <c r="L24" s="36"/>
      <c r="M24" s="36">
        <v>0</v>
      </c>
      <c r="N24" s="36"/>
      <c r="O24" s="44">
        <f t="shared" si="4"/>
        <v>15.034130000000001</v>
      </c>
    </row>
    <row r="25" spans="1:18" x14ac:dyDescent="0.2">
      <c r="A25" s="29"/>
      <c r="B25" s="29" t="s">
        <v>98</v>
      </c>
      <c r="C25" s="31">
        <f>494923/(10^5)</f>
        <v>4.94923</v>
      </c>
      <c r="D25" s="31">
        <f t="shared" si="3"/>
        <v>0</v>
      </c>
      <c r="E25" s="38">
        <v>-1.08</v>
      </c>
      <c r="F25" s="31"/>
      <c r="G25" s="32">
        <v>6.5</v>
      </c>
      <c r="H25" s="32"/>
      <c r="I25" s="31">
        <v>13.68</v>
      </c>
      <c r="J25" s="32"/>
      <c r="K25" s="32">
        <v>182.48</v>
      </c>
      <c r="L25" s="36"/>
      <c r="M25" s="36">
        <v>79.25</v>
      </c>
      <c r="N25" s="36"/>
      <c r="O25" s="44">
        <f t="shared" si="4"/>
        <v>285.77922999999998</v>
      </c>
    </row>
    <row r="26" spans="1:18" x14ac:dyDescent="0.2">
      <c r="A26" s="29"/>
      <c r="B26" s="29" t="s">
        <v>99</v>
      </c>
      <c r="C26" s="34">
        <f>-3744753/(10^5)</f>
        <v>-37.44753</v>
      </c>
      <c r="D26" s="31">
        <f t="shared" si="3"/>
        <v>0</v>
      </c>
      <c r="E26" s="39">
        <v>4.3899999999999997</v>
      </c>
      <c r="F26" s="31"/>
      <c r="G26" s="39">
        <v>57.58</v>
      </c>
      <c r="H26" s="32"/>
      <c r="I26" s="34">
        <v>214.75</v>
      </c>
      <c r="J26" s="32"/>
      <c r="K26" s="42">
        <v>96.09</v>
      </c>
      <c r="L26" s="36"/>
      <c r="M26" s="43">
        <v>197.47</v>
      </c>
      <c r="N26" s="36"/>
      <c r="O26" s="45">
        <f t="shared" si="4"/>
        <v>532.83247000000006</v>
      </c>
    </row>
    <row r="27" spans="1:18" x14ac:dyDescent="0.2">
      <c r="A27" s="29"/>
      <c r="B27" s="29" t="s">
        <v>100</v>
      </c>
      <c r="C27" s="31">
        <f>0/(10^5)</f>
        <v>0</v>
      </c>
      <c r="D27" s="31">
        <f>-133616361/(10^5)</f>
        <v>-1336.1636100000001</v>
      </c>
      <c r="E27" s="31"/>
      <c r="F27" s="38">
        <v>-2508.54</v>
      </c>
      <c r="G27" s="32"/>
      <c r="H27" s="32">
        <v>-6748.08</v>
      </c>
      <c r="I27" s="31"/>
      <c r="J27" s="32">
        <v>-12879.13</v>
      </c>
      <c r="K27" s="32"/>
      <c r="L27" s="36">
        <v>-25463.17</v>
      </c>
      <c r="M27" s="36"/>
      <c r="N27" s="36">
        <v>-14555.26</v>
      </c>
      <c r="P27" s="44">
        <f>D27+F27+H27+J27+L27+N27</f>
        <v>-63490.343610000004</v>
      </c>
    </row>
    <row r="28" spans="1:18" x14ac:dyDescent="0.2">
      <c r="A28" s="28" t="s">
        <v>75</v>
      </c>
      <c r="B28" s="29" t="s">
        <v>78</v>
      </c>
      <c r="C28" s="31">
        <f>0/(10^5)</f>
        <v>0</v>
      </c>
      <c r="D28" s="31">
        <f t="shared" ref="D28:D36" si="5">0/(10^5)</f>
        <v>0</v>
      </c>
      <c r="E28" s="31"/>
      <c r="F28" s="31"/>
      <c r="G28" s="32"/>
      <c r="H28" s="32"/>
      <c r="I28" s="31"/>
      <c r="J28" s="32"/>
      <c r="K28" s="32"/>
      <c r="L28" s="36"/>
      <c r="M28" s="36"/>
      <c r="N28" s="36"/>
    </row>
    <row r="29" spans="1:18" x14ac:dyDescent="0.2">
      <c r="A29" s="29"/>
      <c r="B29" s="29" t="s">
        <v>101</v>
      </c>
      <c r="C29" s="31">
        <f>-75201628/(10^5)</f>
        <v>-752.01628000000005</v>
      </c>
      <c r="D29" s="31">
        <f t="shared" si="5"/>
        <v>0</v>
      </c>
      <c r="E29" s="38">
        <v>1281.23</v>
      </c>
      <c r="F29" s="31"/>
      <c r="G29" s="32">
        <v>2941.43</v>
      </c>
      <c r="H29" s="32"/>
      <c r="I29" s="31">
        <v>-1659.77</v>
      </c>
      <c r="J29" s="32"/>
      <c r="K29" s="32">
        <v>1544.93</v>
      </c>
      <c r="L29" s="36"/>
      <c r="M29" s="36">
        <v>2406.09</v>
      </c>
      <c r="N29" s="36"/>
      <c r="O29" s="44">
        <f t="shared" ref="O29:O37" si="6">C29+E29+G29+I29+K29+M29</f>
        <v>5761.89372</v>
      </c>
      <c r="Q29" s="30" t="s">
        <v>120</v>
      </c>
      <c r="R29" s="48">
        <f>O29+O33+O34+O35+O36</f>
        <v>34128.850490000004</v>
      </c>
    </row>
    <row r="30" spans="1:18" x14ac:dyDescent="0.2">
      <c r="A30" s="29"/>
      <c r="B30" s="29" t="s">
        <v>102</v>
      </c>
      <c r="C30" s="31">
        <f>-144554364/(10^5)</f>
        <v>-1445.5436400000001</v>
      </c>
      <c r="D30" s="31">
        <f t="shared" si="5"/>
        <v>0</v>
      </c>
      <c r="E30" s="38">
        <v>-1317.09</v>
      </c>
      <c r="F30" s="40"/>
      <c r="G30" s="32">
        <v>-1678.97</v>
      </c>
      <c r="H30" s="32"/>
      <c r="I30" s="31">
        <v>-1778.64</v>
      </c>
      <c r="J30" s="32"/>
      <c r="K30" s="32">
        <v>-2049.71</v>
      </c>
      <c r="L30" s="36"/>
      <c r="M30" s="36">
        <v>-3185.72</v>
      </c>
      <c r="N30" s="36"/>
      <c r="O30" s="46">
        <f t="shared" si="6"/>
        <v>-11455.673639999999</v>
      </c>
      <c r="R30" s="49"/>
    </row>
    <row r="31" spans="1:18" x14ac:dyDescent="0.2">
      <c r="A31" s="29"/>
      <c r="B31" s="29" t="s">
        <v>103</v>
      </c>
      <c r="C31" s="31">
        <f>-29563623/(10^5)</f>
        <v>-295.63623000000001</v>
      </c>
      <c r="D31" s="31">
        <f t="shared" si="5"/>
        <v>0</v>
      </c>
      <c r="E31" s="38">
        <v>-293.3</v>
      </c>
      <c r="F31" s="31"/>
      <c r="G31" s="32">
        <v>-349.15</v>
      </c>
      <c r="H31" s="32"/>
      <c r="I31" s="31">
        <v>-465.3</v>
      </c>
      <c r="J31" s="32"/>
      <c r="K31" s="32">
        <v>-469.99</v>
      </c>
      <c r="L31" s="36"/>
      <c r="M31" s="36">
        <v>-831.24</v>
      </c>
      <c r="N31" s="36"/>
      <c r="O31" s="44">
        <f t="shared" si="6"/>
        <v>-2704.6162300000001</v>
      </c>
      <c r="Q31" s="30" t="s">
        <v>123</v>
      </c>
      <c r="R31" s="48">
        <f>O31</f>
        <v>-2704.6162300000001</v>
      </c>
    </row>
    <row r="32" spans="1:18" x14ac:dyDescent="0.2">
      <c r="A32" s="29"/>
      <c r="B32" s="29" t="s">
        <v>72</v>
      </c>
      <c r="C32" s="31">
        <f>0/(10^5)</f>
        <v>0</v>
      </c>
      <c r="D32" s="31">
        <f t="shared" si="5"/>
        <v>0</v>
      </c>
      <c r="E32" s="38"/>
      <c r="F32" s="31"/>
      <c r="G32" s="32">
        <v>2.0299999999999998</v>
      </c>
      <c r="H32" s="32"/>
      <c r="I32" s="31">
        <v>60.53</v>
      </c>
      <c r="J32" s="32"/>
      <c r="K32" s="32">
        <v>105.3</v>
      </c>
      <c r="L32" s="36"/>
      <c r="M32" s="36">
        <v>110.57</v>
      </c>
      <c r="N32" s="36"/>
      <c r="O32" s="44">
        <f t="shared" si="6"/>
        <v>278.43</v>
      </c>
      <c r="Q32" s="30" t="s">
        <v>119</v>
      </c>
      <c r="R32" s="48">
        <f>O32</f>
        <v>278.43</v>
      </c>
    </row>
    <row r="33" spans="1:16" x14ac:dyDescent="0.2">
      <c r="A33" s="29"/>
      <c r="B33" s="29" t="s">
        <v>104</v>
      </c>
      <c r="C33" s="31">
        <f>16438550/(10^5)</f>
        <v>164.38550000000001</v>
      </c>
      <c r="D33" s="31">
        <f t="shared" si="5"/>
        <v>0</v>
      </c>
      <c r="E33" s="38">
        <v>-3064.02</v>
      </c>
      <c r="F33" s="31"/>
      <c r="G33" s="32">
        <v>6489.82</v>
      </c>
      <c r="H33" s="32"/>
      <c r="I33" s="31">
        <v>9904.1200000000008</v>
      </c>
      <c r="J33" s="32"/>
      <c r="K33" s="32">
        <v>16580.96</v>
      </c>
      <c r="L33" s="36"/>
      <c r="M33" s="36">
        <v>6517.23</v>
      </c>
      <c r="N33" s="36"/>
      <c r="O33" s="44">
        <f t="shared" si="6"/>
        <v>36592.495500000005</v>
      </c>
    </row>
    <row r="34" spans="1:16" x14ac:dyDescent="0.2">
      <c r="A34" s="29"/>
      <c r="B34" s="29" t="s">
        <v>105</v>
      </c>
      <c r="C34" s="31">
        <f>-159761029/(10^5)</f>
        <v>-1597.6102900000001</v>
      </c>
      <c r="D34" s="31">
        <f t="shared" si="5"/>
        <v>0</v>
      </c>
      <c r="E34" s="38">
        <v>1896.86</v>
      </c>
      <c r="F34" s="31"/>
      <c r="G34" s="32">
        <v>-1772.18</v>
      </c>
      <c r="H34" s="32"/>
      <c r="I34" s="31">
        <v>-1428.24</v>
      </c>
      <c r="J34" s="32"/>
      <c r="K34" s="32">
        <v>-1039</v>
      </c>
      <c r="L34" s="36"/>
      <c r="M34" s="36">
        <v>-2638.98</v>
      </c>
      <c r="N34" s="36"/>
      <c r="O34" s="44">
        <f t="shared" si="6"/>
        <v>-6579.1502899999996</v>
      </c>
    </row>
    <row r="35" spans="1:16" x14ac:dyDescent="0.2">
      <c r="A35" s="29"/>
      <c r="B35" s="29" t="s">
        <v>106</v>
      </c>
      <c r="C35" s="31">
        <v>0</v>
      </c>
      <c r="D35" s="31">
        <f t="shared" si="5"/>
        <v>0</v>
      </c>
      <c r="E35" s="38">
        <v>-1000</v>
      </c>
      <c r="F35" s="31"/>
      <c r="G35" s="32"/>
      <c r="H35" s="32"/>
      <c r="I35" s="31"/>
      <c r="J35" s="32"/>
      <c r="K35" s="32"/>
      <c r="L35" s="36"/>
      <c r="M35" s="36">
        <v>0</v>
      </c>
      <c r="N35" s="36"/>
      <c r="O35" s="44">
        <f t="shared" si="6"/>
        <v>-1000</v>
      </c>
    </row>
    <row r="36" spans="1:16" x14ac:dyDescent="0.2">
      <c r="A36" s="29"/>
      <c r="B36" s="29" t="s">
        <v>107</v>
      </c>
      <c r="C36" s="31">
        <f>-64638844/(10^5)</f>
        <v>-646.38843999999995</v>
      </c>
      <c r="D36" s="31">
        <f t="shared" si="5"/>
        <v>0</v>
      </c>
      <c r="E36" s="38"/>
      <c r="F36" s="31"/>
      <c r="G36" s="32"/>
      <c r="H36" s="32"/>
      <c r="I36" s="31"/>
      <c r="J36" s="32"/>
      <c r="K36" s="32"/>
      <c r="L36" s="36"/>
      <c r="M36" s="36"/>
      <c r="N36" s="36"/>
      <c r="O36" s="44">
        <f t="shared" si="6"/>
        <v>-646.38843999999995</v>
      </c>
    </row>
    <row r="37" spans="1:16" x14ac:dyDescent="0.2">
      <c r="A37" s="29"/>
      <c r="B37" s="29" t="s">
        <v>108</v>
      </c>
      <c r="C37" s="34">
        <f>0/(10^5)</f>
        <v>0</v>
      </c>
      <c r="D37" s="31">
        <f>-457280938/(10^5)</f>
        <v>-4572.8093799999997</v>
      </c>
      <c r="E37" s="34"/>
      <c r="F37" s="38">
        <v>-2496.3200000000002</v>
      </c>
      <c r="G37" s="34"/>
      <c r="H37" s="32">
        <v>5632.97</v>
      </c>
      <c r="I37" s="34"/>
      <c r="J37" s="32">
        <v>4632.7</v>
      </c>
      <c r="K37" s="42"/>
      <c r="L37" s="36">
        <v>14672.49</v>
      </c>
      <c r="M37" s="43"/>
      <c r="N37" s="36">
        <v>2377.9499999999998</v>
      </c>
      <c r="O37" s="45">
        <f t="shared" si="6"/>
        <v>0</v>
      </c>
      <c r="P37" s="44">
        <f>D37+F37+H37+J37+L37+N37</f>
        <v>20246.980619999998</v>
      </c>
    </row>
    <row r="38" spans="1:16" x14ac:dyDescent="0.2">
      <c r="A38" s="29"/>
      <c r="B38" s="29" t="s">
        <v>109</v>
      </c>
      <c r="C38" s="31">
        <f>0/(10^5)</f>
        <v>0</v>
      </c>
      <c r="D38" s="31">
        <f>6357502/(10^5)</f>
        <v>63.575020000000002</v>
      </c>
      <c r="E38" s="31"/>
      <c r="F38" s="38">
        <v>-148.65</v>
      </c>
      <c r="G38" s="32"/>
      <c r="H38" s="32">
        <v>1999.41</v>
      </c>
      <c r="I38" s="31"/>
      <c r="J38" s="32">
        <v>972.36</v>
      </c>
      <c r="K38" s="32"/>
      <c r="L38" s="36">
        <v>4.16</v>
      </c>
      <c r="M38" s="36"/>
      <c r="N38" s="36">
        <v>2355.9499999999998</v>
      </c>
      <c r="P38" s="44">
        <f>P19+P27+P37</f>
        <v>5246.8150100000021</v>
      </c>
    </row>
    <row r="39" spans="1:16" x14ac:dyDescent="0.2">
      <c r="A39" s="29"/>
      <c r="B39" s="29" t="s">
        <v>110</v>
      </c>
      <c r="C39" s="31">
        <f>0/(10^5)</f>
        <v>0</v>
      </c>
      <c r="D39" s="31">
        <f>128385790/(10^5)</f>
        <v>1283.8579</v>
      </c>
      <c r="E39" s="31"/>
      <c r="F39" s="38">
        <v>1347.43</v>
      </c>
      <c r="G39" s="32"/>
      <c r="H39" s="32">
        <v>1198.79</v>
      </c>
      <c r="I39" s="31"/>
      <c r="J39" s="32">
        <v>3198.19</v>
      </c>
      <c r="K39" s="32"/>
      <c r="L39" s="36">
        <v>4170.55</v>
      </c>
      <c r="M39" s="36"/>
      <c r="N39" s="36">
        <v>4174.71</v>
      </c>
      <c r="P39" s="44">
        <f>D39</f>
        <v>1283.8579</v>
      </c>
    </row>
    <row r="40" spans="1:16" x14ac:dyDescent="0.2">
      <c r="A40" s="29"/>
      <c r="B40" s="29" t="s">
        <v>111</v>
      </c>
      <c r="C40" s="31">
        <f>0/(10^5)</f>
        <v>0</v>
      </c>
      <c r="D40" s="31">
        <f>134743292/(10^5)</f>
        <v>1347.43292</v>
      </c>
      <c r="E40" s="31"/>
      <c r="F40" s="38">
        <v>1198.79</v>
      </c>
      <c r="G40" s="32"/>
      <c r="H40" s="32">
        <v>3198.18</v>
      </c>
      <c r="I40" s="31"/>
      <c r="J40" s="32">
        <v>4170.55</v>
      </c>
      <c r="K40" s="32"/>
      <c r="L40" s="36">
        <v>4174.71</v>
      </c>
      <c r="M40" s="36"/>
      <c r="N40" s="36">
        <v>6530.66</v>
      </c>
      <c r="P40" s="44">
        <f>P38+P39</f>
        <v>6530.672910000002</v>
      </c>
    </row>
    <row r="41" spans="1:16" x14ac:dyDescent="0.2">
      <c r="E41" s="36"/>
      <c r="F41" s="36"/>
      <c r="G41" s="36"/>
      <c r="H41" s="36"/>
      <c r="I41" s="35"/>
      <c r="J41" s="36"/>
      <c r="K41" s="36"/>
      <c r="L41" s="36"/>
      <c r="M41" s="36"/>
      <c r="N41" s="36"/>
    </row>
    <row r="42" spans="1:16" x14ac:dyDescent="0.2">
      <c r="E42" s="36"/>
      <c r="F42" s="36"/>
      <c r="G42" s="36"/>
      <c r="H42" s="36"/>
      <c r="I42" s="35"/>
      <c r="J42" s="36"/>
      <c r="K42" s="36"/>
      <c r="L42" s="36"/>
      <c r="M42" s="36"/>
      <c r="N42" s="36"/>
    </row>
    <row r="43" spans="1:16" x14ac:dyDescent="0.2">
      <c r="E43" s="36"/>
      <c r="F43" s="36"/>
      <c r="G43" s="36"/>
      <c r="H43" s="36"/>
      <c r="I43" s="35"/>
      <c r="J43" s="36"/>
      <c r="K43" s="36"/>
      <c r="L43" s="36"/>
      <c r="M43" s="36"/>
      <c r="N43" s="36"/>
    </row>
    <row r="44" spans="1:16" x14ac:dyDescent="0.2">
      <c r="E44" s="36"/>
      <c r="F44" s="36"/>
      <c r="G44" s="36"/>
      <c r="H44" s="36"/>
      <c r="I44" s="35"/>
      <c r="J44" s="36"/>
      <c r="K44" s="36"/>
      <c r="L44" s="36"/>
      <c r="M44" s="36"/>
      <c r="N44" s="36"/>
    </row>
    <row r="45" spans="1:16" x14ac:dyDescent="0.2">
      <c r="E45" s="36"/>
      <c r="F45" s="36"/>
      <c r="G45" s="36"/>
      <c r="H45" s="36"/>
      <c r="I45" s="35"/>
      <c r="J45" s="36"/>
      <c r="K45" s="36"/>
      <c r="L45" s="36"/>
      <c r="M45" s="36"/>
      <c r="N45" s="36"/>
    </row>
    <row r="46" spans="1:16" x14ac:dyDescent="0.2">
      <c r="E46" s="36"/>
      <c r="F46" s="36"/>
      <c r="G46" s="36"/>
      <c r="H46" s="36"/>
      <c r="I46" s="35"/>
      <c r="J46" s="36"/>
      <c r="K46" s="36"/>
      <c r="L46" s="36"/>
      <c r="M46" s="36"/>
      <c r="N46" s="36"/>
    </row>
    <row r="47" spans="1:16" x14ac:dyDescent="0.2">
      <c r="E47" s="36"/>
      <c r="F47" s="36"/>
      <c r="G47" s="36"/>
      <c r="H47" s="36"/>
      <c r="I47" s="35"/>
      <c r="J47" s="36"/>
      <c r="K47" s="36"/>
      <c r="L47" s="36"/>
      <c r="M47" s="36"/>
      <c r="N47" s="36"/>
    </row>
    <row r="48" spans="1:16" x14ac:dyDescent="0.2">
      <c r="E48" s="36"/>
      <c r="F48" s="36"/>
      <c r="G48" s="36"/>
      <c r="H48" s="36"/>
      <c r="I48" s="35"/>
      <c r="J48" s="36"/>
      <c r="K48" s="36"/>
      <c r="L48" s="36"/>
      <c r="M48" s="36"/>
      <c r="N48" s="36"/>
    </row>
    <row r="49" spans="9:14" x14ac:dyDescent="0.2">
      <c r="I49" s="37"/>
      <c r="J49" s="37"/>
      <c r="K49" s="36"/>
      <c r="L49" s="36"/>
      <c r="M49" s="36"/>
      <c r="N49" s="36"/>
    </row>
  </sheetData>
  <mergeCells count="7">
    <mergeCell ref="O1:P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Aveek Working</vt:lpstr>
      <vt:lpstr>Recocile Dhiraj</vt:lpstr>
      <vt:lpstr>'Aveek Working'!_MailEndCompose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Aveek</dc:creator>
  <cp:lastModifiedBy>Aveek</cp:lastModifiedBy>
  <dcterms:created xsi:type="dcterms:W3CDTF">2015-08-10T16:25:09Z</dcterms:created>
  <dcterms:modified xsi:type="dcterms:W3CDTF">2016-08-29T15:20:52Z</dcterms:modified>
</cp:coreProperties>
</file>