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4"/>
  </bookViews>
  <sheets>
    <sheet name="Basic Info" sheetId="1" r:id="rId1"/>
    <sheet name="Balance Sheet" sheetId="2" r:id="rId2"/>
    <sheet name="Profit &amp; Loss St" sheetId="3" r:id="rId3"/>
    <sheet name="Ratio" sheetId="4" r:id="rId4"/>
    <sheet name="Cash Flow Statement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>Copal Institute</author>
  </authors>
  <commentList>
    <comment ref="A36" authorId="0">
      <text>
        <r>
          <rPr>
            <b/>
            <sz val="9"/>
            <rFont val="Tahoma"/>
            <family val="2"/>
          </rPr>
          <t>Copal Institute:</t>
        </r>
        <r>
          <rPr>
            <sz val="9"/>
            <rFont val="Tahoma"/>
            <family val="2"/>
          </rPr>
          <t xml:space="preserve">
Dividend/ Adjusted Net Income</t>
        </r>
      </text>
    </comment>
  </commentList>
</comments>
</file>

<file path=xl/sharedStrings.xml><?xml version="1.0" encoding="utf-8"?>
<sst xmlns="http://schemas.openxmlformats.org/spreadsheetml/2006/main" count="189" uniqueCount="185">
  <si>
    <t>Company Details</t>
  </si>
  <si>
    <t>(Enter values only in red cells)</t>
  </si>
  <si>
    <t>Parameters</t>
  </si>
  <si>
    <t>Details</t>
  </si>
  <si>
    <t>Company</t>
  </si>
  <si>
    <t>kirloskar ferrous industries ltd</t>
  </si>
  <si>
    <t>Industry</t>
  </si>
  <si>
    <t>Steel-Pig Iron</t>
  </si>
  <si>
    <t>Current Stock Price (Rs)</t>
  </si>
  <si>
    <t>Face Value (Rs)</t>
  </si>
  <si>
    <t>No. of Shares (Crore)</t>
  </si>
  <si>
    <t>Market Capitalization (Rs Crore)</t>
  </si>
  <si>
    <t>Promoter Shareholding (Latest Quarter)</t>
  </si>
  <si>
    <t>Promoter Pledged Shareholding (Latest Quarter)</t>
  </si>
  <si>
    <t>Year / Rs Crore</t>
  </si>
  <si>
    <t>SOURCES OF FUNDS / EQUITY &amp; LIABILITIES</t>
  </si>
  <si>
    <t>Share Capital</t>
  </si>
  <si>
    <t>Reserves &amp; Surplus</t>
  </si>
  <si>
    <t>Shareholder's Funds / Equity</t>
  </si>
  <si>
    <t>Minority Interest</t>
  </si>
  <si>
    <t>Non-Current Liabilities</t>
  </si>
  <si>
    <t>Long-Term Borrowings</t>
  </si>
  <si>
    <t>Current Liabilities</t>
  </si>
  <si>
    <t>Short-Term Borrowings</t>
  </si>
  <si>
    <t>Trade Payables</t>
  </si>
  <si>
    <t>Other Current Liabilities</t>
  </si>
  <si>
    <t>Short-Term Provisions</t>
  </si>
  <si>
    <t>Total Liabilities &amp; Equity</t>
  </si>
  <si>
    <t>APPLICATION OF FUNDS / ASSETS</t>
  </si>
  <si>
    <t>Non-Current Assets</t>
  </si>
  <si>
    <t xml:space="preserve">Net Block </t>
  </si>
  <si>
    <t>Intangible Assets</t>
  </si>
  <si>
    <t>Capital Work-in-Progress</t>
  </si>
  <si>
    <t>Non-Current Investments</t>
  </si>
  <si>
    <t>Current Assets</t>
  </si>
  <si>
    <t>Current Investments</t>
  </si>
  <si>
    <t>Inventories</t>
  </si>
  <si>
    <t>Trade Receivables</t>
  </si>
  <si>
    <t>Cash and Bank Balance</t>
  </si>
  <si>
    <t>Short-Term Loans and Advances</t>
  </si>
  <si>
    <t>Other Current Assets</t>
  </si>
  <si>
    <t xml:space="preserve">Total Assets </t>
  </si>
  <si>
    <t>Capital Employed</t>
  </si>
  <si>
    <t>Average Capital Employed</t>
  </si>
  <si>
    <t>Working Capital</t>
  </si>
  <si>
    <t>Average Working Capital</t>
  </si>
  <si>
    <t>Profit and Loss Statement</t>
  </si>
  <si>
    <t>Net Sales</t>
  </si>
  <si>
    <t>Other Operating Income</t>
  </si>
  <si>
    <t>Total Operating Income</t>
  </si>
  <si>
    <t>Expenditure</t>
  </si>
  <si>
    <t>Increase/Decrease in Stock</t>
  </si>
  <si>
    <t>Raw Material Consumed</t>
  </si>
  <si>
    <t>operating &amp; direct exp</t>
  </si>
  <si>
    <t>Employee Cost</t>
  </si>
  <si>
    <t>Other Expenses</t>
  </si>
  <si>
    <t>General and Administration Expenses</t>
  </si>
  <si>
    <t>Selling and Distribution Expenses</t>
  </si>
  <si>
    <t>Miscellaneous Expenses</t>
  </si>
  <si>
    <t>Total Expenditure</t>
  </si>
  <si>
    <t>Gross Profit</t>
  </si>
  <si>
    <t>Operating Profit / EBITDA</t>
  </si>
  <si>
    <t>Other Income</t>
  </si>
  <si>
    <t>Depreciation</t>
  </si>
  <si>
    <t>Profit Before Interest &amp; Tax (EBIT)</t>
  </si>
  <si>
    <t>Interest</t>
  </si>
  <si>
    <t>Exceptional Income / Expenses</t>
  </si>
  <si>
    <t>Profit Before Tax</t>
  </si>
  <si>
    <t>Provision for Tax</t>
  </si>
  <si>
    <t>Profit After Tax</t>
  </si>
  <si>
    <t>Adjusted PAT</t>
  </si>
  <si>
    <t>Share of Associate</t>
  </si>
  <si>
    <t>Consolidated Profit After Tax (PAT)</t>
  </si>
  <si>
    <t>EPS (Rs)</t>
  </si>
  <si>
    <t>Interim Equity Dividend</t>
  </si>
  <si>
    <t>Proposed Equity Dividend</t>
  </si>
  <si>
    <t>Total Equity Dividend</t>
  </si>
  <si>
    <t>perference dividend</t>
  </si>
  <si>
    <t>segmental revenue as a % of sales</t>
  </si>
  <si>
    <t>product as a %of sales</t>
  </si>
  <si>
    <t>pig iron</t>
  </si>
  <si>
    <t>casting</t>
  </si>
  <si>
    <t>other</t>
  </si>
  <si>
    <t>details of raw material consumed</t>
  </si>
  <si>
    <t>Iron Ore Lumps</t>
  </si>
  <si>
    <t>Coke</t>
  </si>
  <si>
    <t>M.S / C.I. Scrap</t>
  </si>
  <si>
    <t>Others</t>
  </si>
  <si>
    <t>kirloskar ferrous ltd</t>
  </si>
  <si>
    <t>Ratio Snapshot</t>
  </si>
  <si>
    <t>GROWTH RATIOS</t>
  </si>
  <si>
    <t>Trade rec/sales</t>
  </si>
  <si>
    <t>Revenue growth (%)</t>
  </si>
  <si>
    <t>Gross Profit growth (%)</t>
  </si>
  <si>
    <t>EBITDA growth (%)</t>
  </si>
  <si>
    <t>EBIT growth (%)</t>
  </si>
  <si>
    <t>Pre-tax growth (%)</t>
  </si>
  <si>
    <t>Adjusted Net income growth (%)</t>
  </si>
  <si>
    <t>MARGINS</t>
  </si>
  <si>
    <t>Gross Profit Margin (%)</t>
  </si>
  <si>
    <t>EBITDA margin (%)</t>
  </si>
  <si>
    <t>EBIT margin (%)</t>
  </si>
  <si>
    <t>Pre-tax margin (%)</t>
  </si>
  <si>
    <t>Adjusted Net margin (%)</t>
  </si>
  <si>
    <t>Effective tax rate (%)</t>
  </si>
  <si>
    <t>LIQUIDITY RATIOS</t>
  </si>
  <si>
    <t>Capex/depreciation (x)</t>
  </si>
  <si>
    <t>R.T</t>
  </si>
  <si>
    <t>Current ratio (x)</t>
  </si>
  <si>
    <t>I.T</t>
  </si>
  <si>
    <t>Quick ratio (x)</t>
  </si>
  <si>
    <t>P.T</t>
  </si>
  <si>
    <t>Working capital/revenue (%)</t>
  </si>
  <si>
    <t>Receivable days</t>
  </si>
  <si>
    <t>Inventory days</t>
  </si>
  <si>
    <t>net debt</t>
  </si>
  <si>
    <t xml:space="preserve">Payable days </t>
  </si>
  <si>
    <t>Cash operating cycle (days)</t>
  </si>
  <si>
    <t>NOPAT</t>
  </si>
  <si>
    <t>RISK MEASURES</t>
  </si>
  <si>
    <t>invested capital</t>
  </si>
  <si>
    <t>Payout ratio (%)</t>
  </si>
  <si>
    <t>Interest cover (x)</t>
  </si>
  <si>
    <t>NPM</t>
  </si>
  <si>
    <t>Net debt/equity (excl MI) (%)</t>
  </si>
  <si>
    <t>Asset turnover</t>
  </si>
  <si>
    <t>Interest expense to CFO (%)</t>
  </si>
  <si>
    <t>Financial leverage</t>
  </si>
  <si>
    <t>Net debt to FCF (x)</t>
  </si>
  <si>
    <t>Net debt to EBITDA (x)</t>
  </si>
  <si>
    <t>Fixed Asset Turn</t>
  </si>
  <si>
    <t>RETURNS</t>
  </si>
  <si>
    <t>average NFA</t>
  </si>
  <si>
    <t>Return on avg cap employed (%)</t>
  </si>
  <si>
    <t>average DEP</t>
  </si>
  <si>
    <t>average net profit</t>
  </si>
  <si>
    <t>Return on equity (excl MI) (%)</t>
  </si>
  <si>
    <t>avearge payout</t>
  </si>
  <si>
    <t>average net block</t>
  </si>
  <si>
    <t>Debt/Equity</t>
  </si>
  <si>
    <t>av dep/av nb</t>
  </si>
  <si>
    <t>1-dep</t>
  </si>
  <si>
    <t>debt/asset</t>
  </si>
  <si>
    <t>NFAT*NPM</t>
  </si>
  <si>
    <t>1-DVD Pay</t>
  </si>
  <si>
    <t>ROA</t>
  </si>
  <si>
    <t>ssgr</t>
  </si>
  <si>
    <t>Closing Price</t>
  </si>
  <si>
    <t>no. of share</t>
  </si>
  <si>
    <t>Mrkt Cap.</t>
  </si>
  <si>
    <t>Debt</t>
  </si>
  <si>
    <t>Cash</t>
  </si>
  <si>
    <t>EV</t>
  </si>
  <si>
    <t>EBIT</t>
  </si>
  <si>
    <t>EV/EBIT</t>
  </si>
  <si>
    <t>EPS</t>
  </si>
  <si>
    <t>P/E</t>
  </si>
  <si>
    <t>Earning Yield</t>
  </si>
  <si>
    <t>Equity</t>
  </si>
  <si>
    <t>P/BV</t>
  </si>
  <si>
    <t>BV/no. share</t>
  </si>
  <si>
    <t>Retained Earning</t>
  </si>
  <si>
    <t>Mrkt cap/RE</t>
  </si>
  <si>
    <t>EV/sales</t>
  </si>
  <si>
    <t>Cash Flow Statement</t>
  </si>
  <si>
    <t>Net cash (used in) / generated from operating activities</t>
  </si>
  <si>
    <t>Purchase/Sales of fixed assets (NET)</t>
  </si>
  <si>
    <t>Sale of fixed assets</t>
  </si>
  <si>
    <t>Free Cash Flow</t>
  </si>
  <si>
    <t>Net cash (used in) / generated from investing activities</t>
  </si>
  <si>
    <t>Net cash (used in) / generated from financing activities</t>
  </si>
  <si>
    <t>Net increase in cash and cash equivalents</t>
  </si>
  <si>
    <t>net income</t>
  </si>
  <si>
    <t>depreciation</t>
  </si>
  <si>
    <t>working capital</t>
  </si>
  <si>
    <t>capex</t>
  </si>
  <si>
    <t>interst(1-tax)</t>
  </si>
  <si>
    <t>free cash flow</t>
  </si>
  <si>
    <t>free cash flow through CFO</t>
  </si>
  <si>
    <t>NFA+CWI</t>
  </si>
  <si>
    <t>NFA+CWI (ending-beginning)</t>
  </si>
  <si>
    <t>DEP</t>
  </si>
  <si>
    <t>CAPEX</t>
  </si>
  <si>
    <t>FCF=CFO-CAPEx</t>
  </si>
  <si>
    <t>CFO/NI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</si>
</sst>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0.0%"/>
    <numFmt numFmtId="167" formatCode="&quot;FY&quot;yyyy\ &quot;A&quot;"/>
    <numFmt numFmtId="168" formatCode="&quot;FY&quot;yyyy\ &quot;E&quot;"/>
    <numFmt numFmtId="169" formatCode="0;\(0\)"/>
    <numFmt numFmtId="170" formatCode="0.0;\(0.0\)"/>
    <numFmt numFmtId="171" formatCode="0.00;\(0.00\)"/>
    <numFmt numFmtId="172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i/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sz val="8"/>
      <color indexed="8"/>
      <name val="Aerial"/>
      <family val="0"/>
    </font>
    <font>
      <b/>
      <sz val="12"/>
      <color indexed="8"/>
      <name val="Baskerville Old Face"/>
      <family val="1"/>
    </font>
    <font>
      <b/>
      <sz val="12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8"/>
      <color theme="1"/>
      <name val="Aerial"/>
      <family val="0"/>
    </font>
    <font>
      <b/>
      <sz val="12"/>
      <color theme="1"/>
      <name val="Baskerville Old Face"/>
      <family val="1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1"/>
      <name val="Calibri"/>
      <family val="2"/>
    </font>
    <font>
      <i/>
      <sz val="12"/>
      <color rgb="FFC00000"/>
      <name val="Calibri"/>
      <family val="2"/>
    </font>
    <font>
      <b/>
      <sz val="15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3" tint="0.3999499976634979"/>
      </bottom>
    </border>
    <border>
      <left/>
      <right/>
      <top/>
      <bottom style="medium">
        <color theme="3" tint="0.3999499976634979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left"/>
    </xf>
    <xf numFmtId="9" fontId="60" fillId="33" borderId="11" xfId="60" applyFont="1" applyFill="1" applyBorder="1" applyAlignment="1">
      <alignment horizontal="center"/>
    </xf>
    <xf numFmtId="0" fontId="31" fillId="0" borderId="10" xfId="0" applyFont="1" applyBorder="1" applyAlignment="1">
      <alignment horizontal="left"/>
    </xf>
    <xf numFmtId="9" fontId="61" fillId="0" borderId="11" xfId="60" applyFont="1" applyFill="1" applyBorder="1" applyAlignment="1">
      <alignment horizontal="right"/>
    </xf>
    <xf numFmtId="164" fontId="61" fillId="0" borderId="11" xfId="42" applyNumberFormat="1" applyFont="1" applyFill="1" applyBorder="1" applyAlignment="1">
      <alignment horizontal="left"/>
    </xf>
    <xf numFmtId="165" fontId="61" fillId="0" borderId="11" xfId="42" applyNumberFormat="1" applyFont="1" applyFill="1" applyBorder="1" applyAlignment="1">
      <alignment horizontal="right"/>
    </xf>
    <xf numFmtId="164" fontId="62" fillId="0" borderId="11" xfId="42" applyNumberFormat="1" applyFont="1" applyFill="1" applyBorder="1" applyAlignment="1">
      <alignment horizontal="right"/>
    </xf>
    <xf numFmtId="166" fontId="61" fillId="0" borderId="11" xfId="60" applyNumberFormat="1" applyFont="1" applyFill="1" applyBorder="1" applyAlignment="1">
      <alignment horizontal="right" indent="5"/>
    </xf>
    <xf numFmtId="0" fontId="31" fillId="0" borderId="12" xfId="0" applyFont="1" applyBorder="1" applyAlignment="1">
      <alignment horizontal="left"/>
    </xf>
    <xf numFmtId="10" fontId="61" fillId="0" borderId="13" xfId="60" applyNumberFormat="1" applyFont="1" applyFill="1" applyBorder="1" applyAlignment="1">
      <alignment horizontal="right" indent="5"/>
    </xf>
    <xf numFmtId="0" fontId="2" fillId="34" borderId="14" xfId="0" applyFont="1" applyFill="1" applyBorder="1" applyAlignment="1">
      <alignment/>
    </xf>
    <xf numFmtId="0" fontId="2" fillId="34" borderId="14" xfId="0" applyNumberFormat="1" applyFont="1" applyFill="1" applyBorder="1" applyAlignment="1">
      <alignment horizontal="right"/>
    </xf>
    <xf numFmtId="2" fontId="2" fillId="11" borderId="14" xfId="0" applyNumberFormat="1" applyFont="1" applyFill="1" applyBorder="1" applyAlignment="1">
      <alignment wrapText="1"/>
    </xf>
    <xf numFmtId="2" fontId="2" fillId="11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63" fillId="0" borderId="14" xfId="0" applyNumberFormat="1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2" fontId="63" fillId="33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63" fillId="0" borderId="14" xfId="0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64" fontId="3" fillId="0" borderId="14" xfId="42" applyNumberFormat="1" applyFont="1" applyBorder="1" applyAlignment="1">
      <alignment/>
    </xf>
    <xf numFmtId="2" fontId="0" fillId="0" borderId="15" xfId="0" applyNumberFormat="1" applyFill="1" applyBorder="1" applyAlignment="1">
      <alignment/>
    </xf>
    <xf numFmtId="2" fontId="2" fillId="0" borderId="14" xfId="0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2" fontId="2" fillId="35" borderId="14" xfId="0" applyNumberFormat="1" applyFont="1" applyFill="1" applyBorder="1" applyAlignment="1">
      <alignment/>
    </xf>
    <xf numFmtId="164" fontId="2" fillId="35" borderId="14" xfId="42" applyNumberFormat="1" applyFont="1" applyFill="1" applyBorder="1" applyAlignment="1">
      <alignment/>
    </xf>
    <xf numFmtId="2" fontId="3" fillId="0" borderId="14" xfId="0" applyNumberFormat="1" applyFont="1" applyBorder="1" applyAlignment="1">
      <alignment horizontal="left"/>
    </xf>
    <xf numFmtId="2" fontId="64" fillId="33" borderId="14" xfId="0" applyNumberFormat="1" applyFont="1" applyFill="1" applyBorder="1" applyAlignment="1">
      <alignment/>
    </xf>
    <xf numFmtId="9" fontId="3" fillId="0" borderId="14" xfId="60" applyFont="1" applyBorder="1" applyAlignment="1">
      <alignment/>
    </xf>
    <xf numFmtId="0" fontId="3" fillId="33" borderId="14" xfId="0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  <xf numFmtId="0" fontId="65" fillId="34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5" fillId="0" borderId="14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64" fontId="6" fillId="33" borderId="14" xfId="42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4" xfId="42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37" fillId="36" borderId="15" xfId="0" applyNumberFormat="1" applyFont="1" applyFill="1" applyBorder="1" applyAlignment="1">
      <alignment/>
    </xf>
    <xf numFmtId="2" fontId="63" fillId="36" borderId="14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63" fillId="37" borderId="14" xfId="0" applyNumberFormat="1" applyFont="1" applyFill="1" applyBorder="1" applyAlignment="1">
      <alignment/>
    </xf>
    <xf numFmtId="164" fontId="4" fillId="0" borderId="14" xfId="42" applyNumberFormat="1" applyFont="1" applyBorder="1" applyAlignment="1">
      <alignment/>
    </xf>
    <xf numFmtId="2" fontId="6" fillId="33" borderId="12" xfId="0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0" fontId="66" fillId="38" borderId="0" xfId="0" applyFont="1" applyFill="1" applyAlignment="1">
      <alignment horizontal="right" vertical="center" wrapText="1"/>
    </xf>
    <xf numFmtId="0" fontId="66" fillId="38" borderId="0" xfId="0" applyFont="1" applyFill="1" applyAlignment="1">
      <alignment horizontal="left" vertical="center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60" applyFont="1" applyAlignment="1">
      <alignment/>
    </xf>
    <xf numFmtId="165" fontId="67" fillId="39" borderId="18" xfId="0" applyNumberFormat="1" applyFont="1" applyFill="1" applyBorder="1" applyAlignment="1">
      <alignment/>
    </xf>
    <xf numFmtId="165" fontId="67" fillId="39" borderId="19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67" fillId="34" borderId="0" xfId="0" applyFont="1" applyFill="1" applyBorder="1" applyAlignment="1">
      <alignment/>
    </xf>
    <xf numFmtId="165" fontId="40" fillId="34" borderId="20" xfId="0" applyNumberFormat="1" applyFont="1" applyFill="1" applyBorder="1" applyAlignment="1">
      <alignment vertical="center"/>
    </xf>
    <xf numFmtId="0" fontId="42" fillId="0" borderId="0" xfId="55" applyFont="1" applyFill="1" applyAlignment="1">
      <alignment/>
    </xf>
    <xf numFmtId="167" fontId="69" fillId="40" borderId="18" xfId="0" applyNumberFormat="1" applyFont="1" applyFill="1" applyBorder="1" applyAlignment="1">
      <alignment horizontal="center"/>
    </xf>
    <xf numFmtId="168" fontId="69" fillId="40" borderId="18" xfId="0" applyNumberFormat="1" applyFont="1" applyFill="1" applyBorder="1" applyAlignment="1">
      <alignment horizontal="center"/>
    </xf>
    <xf numFmtId="165" fontId="67" fillId="41" borderId="21" xfId="0" applyNumberFormat="1" applyFont="1" applyFill="1" applyBorder="1" applyAlignment="1">
      <alignment horizontal="center"/>
    </xf>
    <xf numFmtId="165" fontId="67" fillId="41" borderId="22" xfId="0" applyNumberFormat="1" applyFont="1" applyFill="1" applyBorder="1" applyAlignment="1">
      <alignment horizontal="center"/>
    </xf>
    <xf numFmtId="0" fontId="42" fillId="42" borderId="22" xfId="55" applyFont="1" applyFill="1" applyBorder="1" applyAlignment="1">
      <alignment/>
    </xf>
    <xf numFmtId="10" fontId="0" fillId="0" borderId="0" xfId="60" applyNumberFormat="1" applyFont="1" applyAlignment="1">
      <alignment/>
    </xf>
    <xf numFmtId="169" fontId="42" fillId="42" borderId="23" xfId="56" applyNumberFormat="1" applyFont="1" applyFill="1" applyBorder="1">
      <alignment/>
      <protection/>
    </xf>
    <xf numFmtId="166" fontId="42" fillId="42" borderId="23" xfId="61" applyNumberFormat="1" applyFont="1" applyFill="1" applyBorder="1" applyAlignment="1">
      <alignment/>
    </xf>
    <xf numFmtId="169" fontId="42" fillId="42" borderId="24" xfId="56" applyNumberFormat="1" applyFont="1" applyFill="1" applyBorder="1">
      <alignment/>
      <protection/>
    </xf>
    <xf numFmtId="166" fontId="42" fillId="42" borderId="24" xfId="61" applyNumberFormat="1" applyFont="1" applyFill="1" applyBorder="1" applyAlignment="1">
      <alignment/>
    </xf>
    <xf numFmtId="169" fontId="42" fillId="0" borderId="25" xfId="56" applyNumberFormat="1" applyFont="1" applyFill="1" applyBorder="1">
      <alignment/>
      <protection/>
    </xf>
    <xf numFmtId="169" fontId="42" fillId="0" borderId="0" xfId="56" applyNumberFormat="1" applyFont="1" applyFill="1" applyBorder="1">
      <alignment/>
      <protection/>
    </xf>
    <xf numFmtId="169" fontId="42" fillId="42" borderId="23" xfId="57" applyNumberFormat="1" applyFont="1" applyFill="1" applyBorder="1" applyAlignment="1" applyProtection="1">
      <alignment horizontal="left"/>
      <protection/>
    </xf>
    <xf numFmtId="166" fontId="42" fillId="42" borderId="23" xfId="61" applyNumberFormat="1" applyFont="1" applyFill="1" applyBorder="1" applyAlignment="1" applyProtection="1">
      <alignment horizontal="right"/>
      <protection/>
    </xf>
    <xf numFmtId="169" fontId="42" fillId="0" borderId="0" xfId="57" applyNumberFormat="1" applyFont="1" applyFill="1" applyBorder="1" applyAlignment="1" applyProtection="1">
      <alignment horizontal="left"/>
      <protection/>
    </xf>
    <xf numFmtId="170" fontId="42" fillId="42" borderId="23" xfId="56" applyNumberFormat="1" applyFont="1" applyFill="1" applyBorder="1">
      <alignment/>
      <protection/>
    </xf>
    <xf numFmtId="170" fontId="42" fillId="42" borderId="24" xfId="56" applyNumberFormat="1" applyFont="1" applyFill="1" applyBorder="1">
      <alignment/>
      <protection/>
    </xf>
    <xf numFmtId="0" fontId="42" fillId="0" borderId="0" xfId="56" applyFont="1" applyFill="1">
      <alignment/>
      <protection/>
    </xf>
    <xf numFmtId="169" fontId="42" fillId="0" borderId="23" xfId="56" applyNumberFormat="1" applyFont="1" applyFill="1" applyBorder="1">
      <alignment/>
      <protection/>
    </xf>
    <xf numFmtId="166" fontId="42" fillId="0" borderId="23" xfId="61" applyNumberFormat="1" applyFont="1" applyFill="1" applyBorder="1" applyAlignment="1">
      <alignment/>
    </xf>
    <xf numFmtId="169" fontId="42" fillId="0" borderId="24" xfId="56" applyNumberFormat="1" applyFont="1" applyFill="1" applyBorder="1">
      <alignment/>
      <protection/>
    </xf>
    <xf numFmtId="171" fontId="42" fillId="0" borderId="24" xfId="56" applyNumberFormat="1" applyFont="1" applyFill="1" applyBorder="1">
      <alignment/>
      <protection/>
    </xf>
    <xf numFmtId="166" fontId="0" fillId="0" borderId="0" xfId="0" applyNumberFormat="1" applyAlignment="1">
      <alignment/>
    </xf>
    <xf numFmtId="166" fontId="42" fillId="0" borderId="25" xfId="61" applyNumberFormat="1" applyFont="1" applyFill="1" applyBorder="1" applyAlignment="1">
      <alignment/>
    </xf>
    <xf numFmtId="172" fontId="42" fillId="0" borderId="24" xfId="61" applyNumberFormat="1" applyFont="1" applyFill="1" applyBorder="1" applyAlignment="1">
      <alignment/>
    </xf>
    <xf numFmtId="169" fontId="42" fillId="42" borderId="24" xfId="57" applyNumberFormat="1" applyFont="1" applyFill="1" applyBorder="1" applyAlignment="1" applyProtection="1">
      <alignment horizontal="left"/>
      <protection/>
    </xf>
    <xf numFmtId="169" fontId="42" fillId="0" borderId="0" xfId="57" applyNumberFormat="1" applyFont="1" applyFill="1" applyBorder="1" applyAlignment="1" applyProtection="1" quotePrefix="1">
      <alignment horizontal="left"/>
      <protection/>
    </xf>
    <xf numFmtId="166" fontId="42" fillId="0" borderId="24" xfId="61" applyNumberFormat="1" applyFont="1" applyFill="1" applyBorder="1" applyAlignment="1">
      <alignment/>
    </xf>
    <xf numFmtId="169" fontId="42" fillId="42" borderId="0" xfId="56" applyNumberFormat="1" applyFont="1" applyFill="1" applyBorder="1">
      <alignment/>
      <protection/>
    </xf>
    <xf numFmtId="9" fontId="42" fillId="42" borderId="0" xfId="60" applyFont="1" applyFill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0" fontId="58" fillId="0" borderId="0" xfId="60" applyNumberFormat="1" applyFont="1" applyAlignment="1">
      <alignment/>
    </xf>
    <xf numFmtId="0" fontId="4" fillId="0" borderId="1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43" fontId="5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1" fillId="36" borderId="26" xfId="0" applyFont="1" applyFill="1" applyBorder="1" applyAlignment="1">
      <alignment/>
    </xf>
    <xf numFmtId="0" fontId="11" fillId="36" borderId="27" xfId="0" applyFont="1" applyFill="1" applyBorder="1" applyAlignment="1">
      <alignment/>
    </xf>
    <xf numFmtId="0" fontId="70" fillId="34" borderId="28" xfId="0" applyFont="1" applyFill="1" applyBorder="1" applyAlignment="1">
      <alignment horizontal="center"/>
    </xf>
    <xf numFmtId="0" fontId="70" fillId="34" borderId="29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/>
    </xf>
    <xf numFmtId="0" fontId="72" fillId="33" borderId="32" xfId="0" applyFont="1" applyFill="1" applyBorder="1" applyAlignment="1">
      <alignment horizontal="center"/>
    </xf>
    <xf numFmtId="0" fontId="72" fillId="33" borderId="33" xfId="0" applyFont="1" applyFill="1" applyBorder="1" applyAlignment="1">
      <alignment horizontal="center"/>
    </xf>
    <xf numFmtId="0" fontId="72" fillId="33" borderId="34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CE-OUT" xfId="56"/>
    <cellStyle name="Normal_SSEM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ntitative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"/>
      <sheetName val="Balance sheet"/>
      <sheetName val="P&amp;L"/>
      <sheetName val="Ratio Analysis"/>
      <sheetName val="Cash Flow Statement"/>
      <sheetName val="Sheet1"/>
      <sheetName val="Sheet2"/>
    </sheetNames>
    <sheetDataSet>
      <sheetData sheetId="0">
        <row r="8">
          <cell r="B8">
            <v>13.73</v>
          </cell>
        </row>
      </sheetData>
      <sheetData sheetId="1">
        <row r="5">
          <cell r="B5">
            <v>380.16999999999996</v>
          </cell>
          <cell r="C5">
            <v>406.66999999999996</v>
          </cell>
          <cell r="D5">
            <v>426.42999999999995</v>
          </cell>
          <cell r="E5">
            <v>455.03</v>
          </cell>
          <cell r="F5">
            <v>492.03</v>
          </cell>
        </row>
        <row r="10">
          <cell r="B10">
            <v>0</v>
          </cell>
          <cell r="C10">
            <v>80.46</v>
          </cell>
          <cell r="D10">
            <v>60.23</v>
          </cell>
          <cell r="E10">
            <v>10</v>
          </cell>
          <cell r="F10">
            <v>0</v>
          </cell>
        </row>
        <row r="12">
          <cell r="B12">
            <v>332.24</v>
          </cell>
          <cell r="C12">
            <v>351.53000000000003</v>
          </cell>
          <cell r="D12">
            <v>440.74</v>
          </cell>
          <cell r="E12">
            <v>389.40000000000003</v>
          </cell>
          <cell r="F12">
            <v>285.61</v>
          </cell>
        </row>
        <row r="13">
          <cell r="B13">
            <v>54.97</v>
          </cell>
          <cell r="C13">
            <v>79.72</v>
          </cell>
          <cell r="D13">
            <v>94.16</v>
          </cell>
          <cell r="E13">
            <v>72.5</v>
          </cell>
          <cell r="F13">
            <v>98.24</v>
          </cell>
        </row>
        <row r="14">
          <cell r="B14">
            <v>205.81</v>
          </cell>
          <cell r="C14">
            <v>199.76</v>
          </cell>
          <cell r="D14">
            <v>247.59</v>
          </cell>
          <cell r="E14">
            <v>201.71</v>
          </cell>
          <cell r="F14">
            <v>136.77</v>
          </cell>
        </row>
        <row r="22">
          <cell r="B22">
            <v>362.3</v>
          </cell>
          <cell r="C22">
            <v>367.18</v>
          </cell>
          <cell r="D22">
            <v>544.99</v>
          </cell>
          <cell r="E22">
            <v>538.67</v>
          </cell>
          <cell r="F22">
            <v>546.02</v>
          </cell>
        </row>
        <row r="24">
          <cell r="B24">
            <v>21.38</v>
          </cell>
          <cell r="C24">
            <v>119.8</v>
          </cell>
          <cell r="D24">
            <v>22.67</v>
          </cell>
          <cell r="E24">
            <v>30.43</v>
          </cell>
          <cell r="F24">
            <v>8.08</v>
          </cell>
        </row>
        <row r="27">
          <cell r="B27">
            <v>347.26000000000005</v>
          </cell>
          <cell r="C27">
            <v>364.40999999999997</v>
          </cell>
          <cell r="D27">
            <v>410.91999999999996</v>
          </cell>
          <cell r="E27">
            <v>341.09000000000003</v>
          </cell>
          <cell r="F27">
            <v>281.11</v>
          </cell>
        </row>
        <row r="29">
          <cell r="B29">
            <v>126.77</v>
          </cell>
          <cell r="C29">
            <v>154.78</v>
          </cell>
          <cell r="D29">
            <v>162.28</v>
          </cell>
          <cell r="E29">
            <v>118.34</v>
          </cell>
          <cell r="F29">
            <v>92.98</v>
          </cell>
        </row>
        <row r="30">
          <cell r="B30">
            <v>159.77</v>
          </cell>
          <cell r="C30">
            <v>153.17</v>
          </cell>
          <cell r="D30">
            <v>190.28</v>
          </cell>
          <cell r="E30">
            <v>176.5</v>
          </cell>
          <cell r="F30">
            <v>139.45</v>
          </cell>
        </row>
        <row r="31">
          <cell r="B31">
            <v>13.62</v>
          </cell>
          <cell r="C31">
            <v>14.58</v>
          </cell>
          <cell r="D31">
            <v>11.52</v>
          </cell>
          <cell r="E31">
            <v>10.11</v>
          </cell>
          <cell r="F31">
            <v>6.02</v>
          </cell>
        </row>
        <row r="35">
          <cell r="B35">
            <v>732.44</v>
          </cell>
          <cell r="C35">
            <v>852.5799999999999</v>
          </cell>
          <cell r="D35">
            <v>979.9699999999999</v>
          </cell>
          <cell r="E35">
            <v>913.38</v>
          </cell>
          <cell r="F35">
            <v>839.37</v>
          </cell>
        </row>
        <row r="39">
          <cell r="B39">
            <v>1.4000000000000732</v>
          </cell>
          <cell r="C39">
            <v>-1.6999999999999744</v>
          </cell>
          <cell r="D39">
            <v>-41.34</v>
          </cell>
          <cell r="E39">
            <v>-58.42</v>
          </cell>
          <cell r="F39">
            <v>-10.519999999999985</v>
          </cell>
        </row>
      </sheetData>
      <sheetData sheetId="2">
        <row r="3">
          <cell r="B3">
            <v>1089.65</v>
          </cell>
          <cell r="C3">
            <v>1183.82</v>
          </cell>
          <cell r="D3">
            <v>1218.1</v>
          </cell>
          <cell r="E3">
            <v>1354.65</v>
          </cell>
          <cell r="F3">
            <v>1105.93</v>
          </cell>
        </row>
        <row r="9">
          <cell r="B9">
            <v>706.84</v>
          </cell>
          <cell r="C9">
            <v>767.2</v>
          </cell>
          <cell r="D9">
            <v>786.18</v>
          </cell>
          <cell r="E9">
            <v>826.69</v>
          </cell>
          <cell r="F9">
            <v>581.96</v>
          </cell>
        </row>
        <row r="17">
          <cell r="B17">
            <v>377.96000000000015</v>
          </cell>
          <cell r="C17">
            <v>433.3499999999999</v>
          </cell>
          <cell r="D17">
            <v>421.86</v>
          </cell>
          <cell r="E17">
            <v>531.02</v>
          </cell>
          <cell r="F17">
            <v>513.53</v>
          </cell>
        </row>
        <row r="18">
          <cell r="B18">
            <v>93.25000000000011</v>
          </cell>
          <cell r="C18">
            <v>94.00999999999976</v>
          </cell>
          <cell r="D18">
            <v>88.94000000000005</v>
          </cell>
          <cell r="E18">
            <v>138.51</v>
          </cell>
          <cell r="F18">
            <v>143.17999999999995</v>
          </cell>
        </row>
        <row r="20">
          <cell r="B20">
            <v>29.2</v>
          </cell>
          <cell r="C20">
            <v>33.2</v>
          </cell>
          <cell r="D20">
            <v>33.79</v>
          </cell>
          <cell r="E20">
            <v>50.42</v>
          </cell>
          <cell r="F20">
            <v>44.37</v>
          </cell>
        </row>
        <row r="21">
          <cell r="B21">
            <v>64.05000000000011</v>
          </cell>
          <cell r="C21">
            <v>60.80999999999976</v>
          </cell>
          <cell r="D21">
            <v>55.150000000000055</v>
          </cell>
          <cell r="E21">
            <v>88.08999999999999</v>
          </cell>
          <cell r="F21">
            <v>98.80999999999995</v>
          </cell>
        </row>
        <row r="22">
          <cell r="B22">
            <v>10.47</v>
          </cell>
          <cell r="C22">
            <v>15.18</v>
          </cell>
          <cell r="D22">
            <v>14.3</v>
          </cell>
          <cell r="E22">
            <v>29.8</v>
          </cell>
          <cell r="F22">
            <v>23.83</v>
          </cell>
        </row>
        <row r="24">
          <cell r="B24">
            <v>53.58000000000011</v>
          </cell>
          <cell r="C24">
            <v>45.62999999999976</v>
          </cell>
          <cell r="D24">
            <v>40.85000000000005</v>
          </cell>
          <cell r="E24">
            <v>58.28999999999999</v>
          </cell>
          <cell r="F24">
            <v>74.97999999999995</v>
          </cell>
        </row>
        <row r="25">
          <cell r="B25">
            <v>18.58</v>
          </cell>
          <cell r="C25">
            <v>23.33</v>
          </cell>
          <cell r="D25">
            <v>18.15</v>
          </cell>
          <cell r="E25">
            <v>22.57</v>
          </cell>
          <cell r="F25">
            <v>27.49</v>
          </cell>
        </row>
        <row r="27">
          <cell r="B27">
            <v>35.000000000000114</v>
          </cell>
          <cell r="C27">
            <v>22.299999999999763</v>
          </cell>
          <cell r="D27">
            <v>22.700000000000053</v>
          </cell>
          <cell r="E27">
            <v>35.71999999999999</v>
          </cell>
          <cell r="F27">
            <v>47.48999999999995</v>
          </cell>
        </row>
        <row r="31">
          <cell r="B31">
            <v>2.549162418062645</v>
          </cell>
          <cell r="C31">
            <v>1.6241806263656053</v>
          </cell>
          <cell r="D31">
            <v>1.6533139111434851</v>
          </cell>
          <cell r="E31">
            <v>2.6016023306627813</v>
          </cell>
          <cell r="F31">
            <v>3.458849235251271</v>
          </cell>
        </row>
        <row r="32">
          <cell r="B32">
            <v>23.45</v>
          </cell>
          <cell r="C32">
            <v>20.08</v>
          </cell>
          <cell r="D32">
            <v>20.08</v>
          </cell>
          <cell r="E32">
            <v>20.67</v>
          </cell>
          <cell r="F32">
            <v>20.73</v>
          </cell>
        </row>
      </sheetData>
      <sheetData sheetId="3">
        <row r="21">
          <cell r="C21">
            <v>0.3467711832773415</v>
          </cell>
          <cell r="D21">
            <v>0.5112864343633601</v>
          </cell>
          <cell r="E21">
            <v>0.44430844553243515</v>
          </cell>
          <cell r="F21">
            <v>0.3872019214273461</v>
          </cell>
          <cell r="G21">
            <v>0.3666311016271008</v>
          </cell>
        </row>
      </sheetData>
      <sheetData sheetId="4">
        <row r="3">
          <cell r="B3">
            <v>27.8</v>
          </cell>
          <cell r="C3">
            <v>74.21</v>
          </cell>
          <cell r="D3">
            <v>96.27</v>
          </cell>
          <cell r="E3">
            <v>160.9</v>
          </cell>
          <cell r="F3">
            <v>116.46</v>
          </cell>
        </row>
        <row r="4">
          <cell r="B4">
            <v>-62.86</v>
          </cell>
          <cell r="C4">
            <v>-159.27</v>
          </cell>
          <cell r="D4">
            <v>-87.38</v>
          </cell>
          <cell r="E4">
            <v>-57.45</v>
          </cell>
          <cell r="F4">
            <v>-33.66</v>
          </cell>
        </row>
        <row r="19">
          <cell r="B19">
            <v>-28.220694288913766</v>
          </cell>
          <cell r="C19">
            <v>-77.64132807363582</v>
          </cell>
          <cell r="D19">
            <v>16.83638922888618</v>
          </cell>
          <cell r="E19">
            <v>121.71138274146509</v>
          </cell>
          <cell r="F19">
            <v>97.89318084822618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7.00390625" style="0" customWidth="1"/>
    <col min="2" max="2" width="39.28125" style="0" customWidth="1"/>
  </cols>
  <sheetData>
    <row r="1" spans="1:2" ht="19.5">
      <c r="A1" s="110" t="s">
        <v>0</v>
      </c>
      <c r="B1" s="111"/>
    </row>
    <row r="2" spans="1:2" ht="15.75">
      <c r="A2" s="112" t="s">
        <v>1</v>
      </c>
      <c r="B2" s="113"/>
    </row>
    <row r="3" spans="1:2" ht="15.75">
      <c r="A3" s="1" t="s">
        <v>2</v>
      </c>
      <c r="B3" s="2" t="s">
        <v>3</v>
      </c>
    </row>
    <row r="4" spans="1:2" ht="15.75">
      <c r="A4" s="3" t="s">
        <v>4</v>
      </c>
      <c r="B4" s="4" t="s">
        <v>5</v>
      </c>
    </row>
    <row r="5" spans="1:2" ht="15.75">
      <c r="A5" s="3" t="s">
        <v>6</v>
      </c>
      <c r="B5" s="4" t="s">
        <v>7</v>
      </c>
    </row>
    <row r="6" spans="1:2" ht="15.75">
      <c r="A6" s="3" t="s">
        <v>8</v>
      </c>
      <c r="B6" s="5">
        <v>83.4</v>
      </c>
    </row>
    <row r="7" spans="1:2" ht="15.75">
      <c r="A7" s="3" t="s">
        <v>9</v>
      </c>
      <c r="B7" s="5">
        <v>5</v>
      </c>
    </row>
    <row r="8" spans="1:2" ht="15.75">
      <c r="A8" s="3" t="s">
        <v>10</v>
      </c>
      <c r="B8" s="6">
        <v>13.73</v>
      </c>
    </row>
    <row r="9" spans="1:2" ht="15.75">
      <c r="A9" s="3" t="s">
        <v>11</v>
      </c>
      <c r="B9" s="7">
        <f>B6*B8</f>
        <v>1145.082</v>
      </c>
    </row>
    <row r="10" spans="1:2" ht="15.75">
      <c r="A10" s="3" t="s">
        <v>12</v>
      </c>
      <c r="B10" s="8">
        <v>0.5954</v>
      </c>
    </row>
    <row r="11" spans="1:2" ht="16.5" thickBot="1">
      <c r="A11" s="9" t="s">
        <v>13</v>
      </c>
      <c r="B11" s="10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0.421875" style="0" customWidth="1"/>
    <col min="2" max="2" width="10.8515625" style="0" customWidth="1"/>
    <col min="3" max="3" width="11.28125" style="0" customWidth="1"/>
    <col min="4" max="4" width="10.57421875" style="0" customWidth="1"/>
    <col min="5" max="5" width="10.7109375" style="0" customWidth="1"/>
    <col min="6" max="6" width="11.140625" style="0" customWidth="1"/>
  </cols>
  <sheetData>
    <row r="1" spans="1:6" ht="15.75">
      <c r="A1" s="11" t="s">
        <v>14</v>
      </c>
      <c r="B1" s="12">
        <v>2012</v>
      </c>
      <c r="C1" s="12">
        <v>2013</v>
      </c>
      <c r="D1" s="12">
        <v>2014</v>
      </c>
      <c r="E1" s="12">
        <v>2015</v>
      </c>
      <c r="F1" s="12">
        <v>2016</v>
      </c>
    </row>
    <row r="2" spans="1:6" ht="38.25" customHeight="1">
      <c r="A2" s="13" t="s">
        <v>15</v>
      </c>
      <c r="B2" s="14"/>
      <c r="C2" s="14"/>
      <c r="D2" s="14"/>
      <c r="E2" s="14"/>
      <c r="F2" s="14"/>
    </row>
    <row r="3" spans="1:6" ht="15.75">
      <c r="A3" s="15" t="s">
        <v>16</v>
      </c>
      <c r="B3" s="16">
        <v>68.65</v>
      </c>
      <c r="C3" s="16">
        <v>68.65</v>
      </c>
      <c r="D3" s="16">
        <v>68.65</v>
      </c>
      <c r="E3" s="16">
        <v>68.65</v>
      </c>
      <c r="F3" s="16">
        <v>68.65</v>
      </c>
    </row>
    <row r="4" spans="1:6" ht="15.75">
      <c r="A4" s="15" t="s">
        <v>17</v>
      </c>
      <c r="B4" s="16">
        <v>311.52</v>
      </c>
      <c r="C4" s="16">
        <v>338.02</v>
      </c>
      <c r="D4" s="16">
        <v>357.78</v>
      </c>
      <c r="E4" s="16">
        <v>386.38</v>
      </c>
      <c r="F4" s="16">
        <v>423.38</v>
      </c>
    </row>
    <row r="5" spans="1:6" ht="15.75">
      <c r="A5" s="17" t="s">
        <v>18</v>
      </c>
      <c r="B5" s="18">
        <f>B3+B4</f>
        <v>380.16999999999996</v>
      </c>
      <c r="C5" s="18">
        <f>C3+C4</f>
        <v>406.66999999999996</v>
      </c>
      <c r="D5" s="18">
        <f>D3+D4</f>
        <v>426.42999999999995</v>
      </c>
      <c r="E5" s="18">
        <f>E3+E4</f>
        <v>455.03</v>
      </c>
      <c r="F5" s="18">
        <f>F3+F4</f>
        <v>492.03</v>
      </c>
    </row>
    <row r="6" spans="1:6" ht="15.75">
      <c r="A6" s="19"/>
      <c r="B6" s="20"/>
      <c r="C6" s="20"/>
      <c r="D6" s="20"/>
      <c r="E6" s="20"/>
      <c r="F6" s="20"/>
    </row>
    <row r="7" spans="1:6" ht="15.75">
      <c r="A7" s="17" t="s">
        <v>19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</row>
    <row r="8" spans="1:6" ht="15.75">
      <c r="A8" s="19"/>
      <c r="B8" s="20"/>
      <c r="C8" s="20"/>
      <c r="D8" s="20"/>
      <c r="E8" s="20"/>
      <c r="F8" s="20"/>
    </row>
    <row r="9" spans="1:6" ht="15.75">
      <c r="A9" s="17" t="s">
        <v>20</v>
      </c>
      <c r="B9" s="18">
        <f>B10</f>
        <v>0</v>
      </c>
      <c r="C9" s="18">
        <f>C10</f>
        <v>80.46</v>
      </c>
      <c r="D9" s="18">
        <f>D10</f>
        <v>60.23</v>
      </c>
      <c r="E9" s="18">
        <f>E10</f>
        <v>10</v>
      </c>
      <c r="F9" s="18">
        <f>F10</f>
        <v>0</v>
      </c>
    </row>
    <row r="10" spans="1:6" ht="15.75">
      <c r="A10" s="22" t="s">
        <v>21</v>
      </c>
      <c r="B10" s="23">
        <v>0</v>
      </c>
      <c r="C10" s="23">
        <v>80.46</v>
      </c>
      <c r="D10" s="23">
        <v>60.23</v>
      </c>
      <c r="E10" s="24">
        <v>10</v>
      </c>
      <c r="F10" s="23">
        <v>0</v>
      </c>
    </row>
    <row r="11" spans="1:6" ht="15.75">
      <c r="A11" s="15"/>
      <c r="B11" s="25"/>
      <c r="C11" s="25"/>
      <c r="D11" s="25"/>
      <c r="E11" s="25"/>
      <c r="F11" s="25"/>
    </row>
    <row r="12" spans="1:6" ht="15.75">
      <c r="A12" s="17" t="s">
        <v>22</v>
      </c>
      <c r="B12" s="18">
        <f>SUM(B13:B16)</f>
        <v>332.24</v>
      </c>
      <c r="C12" s="18">
        <f>SUM(C13:C16)</f>
        <v>351.53000000000003</v>
      </c>
      <c r="D12" s="18">
        <f>SUM(D13:D16)</f>
        <v>440.74</v>
      </c>
      <c r="E12" s="18">
        <f>SUM(E13:E16)</f>
        <v>389.40000000000003</v>
      </c>
      <c r="F12" s="18">
        <f>SUM(F13:F16)</f>
        <v>285.61</v>
      </c>
    </row>
    <row r="13" spans="1:6" ht="15.75">
      <c r="A13" s="15" t="s">
        <v>23</v>
      </c>
      <c r="B13" s="16">
        <v>54.97</v>
      </c>
      <c r="C13" s="16">
        <v>79.72</v>
      </c>
      <c r="D13" s="16">
        <v>94.16</v>
      </c>
      <c r="E13" s="16">
        <v>72.5</v>
      </c>
      <c r="F13" s="16">
        <v>98.24</v>
      </c>
    </row>
    <row r="14" spans="1:6" ht="15.75">
      <c r="A14" s="15" t="s">
        <v>24</v>
      </c>
      <c r="B14" s="16">
        <v>205.81</v>
      </c>
      <c r="C14" s="16">
        <v>199.76</v>
      </c>
      <c r="D14" s="16">
        <v>247.59</v>
      </c>
      <c r="E14" s="16">
        <v>201.71</v>
      </c>
      <c r="F14" s="16">
        <v>136.77</v>
      </c>
    </row>
    <row r="15" spans="1:6" ht="15.75">
      <c r="A15" s="15" t="s">
        <v>25</v>
      </c>
      <c r="B15" s="16">
        <v>43.8</v>
      </c>
      <c r="C15" s="16">
        <v>46.55</v>
      </c>
      <c r="D15" s="16">
        <v>74.68</v>
      </c>
      <c r="E15" s="16">
        <v>88.43</v>
      </c>
      <c r="F15" s="16">
        <v>43.22</v>
      </c>
    </row>
    <row r="16" spans="1:6" ht="15.75">
      <c r="A16" s="22" t="s">
        <v>26</v>
      </c>
      <c r="B16" s="26">
        <v>27.66</v>
      </c>
      <c r="C16" s="26">
        <v>25.5</v>
      </c>
      <c r="D16" s="26">
        <v>24.31</v>
      </c>
      <c r="E16" s="26">
        <v>26.76</v>
      </c>
      <c r="F16" s="26">
        <v>7.38</v>
      </c>
    </row>
    <row r="17" spans="1:6" ht="15.75">
      <c r="A17" s="27"/>
      <c r="B17" s="28"/>
      <c r="C17" s="28"/>
      <c r="D17" s="28"/>
      <c r="E17" s="28"/>
      <c r="F17" s="28"/>
    </row>
    <row r="18" spans="1:6" ht="15.75">
      <c r="A18" s="17" t="s">
        <v>27</v>
      </c>
      <c r="B18" s="18">
        <f>B12+B10+B5+B7</f>
        <v>712.41</v>
      </c>
      <c r="C18" s="18">
        <f>C12+C10+C5+C7</f>
        <v>838.66</v>
      </c>
      <c r="D18" s="18">
        <f>D12+D10+D5+D7</f>
        <v>927.4</v>
      </c>
      <c r="E18" s="18">
        <f>E12+E10+E5+E7</f>
        <v>854.4300000000001</v>
      </c>
      <c r="F18" s="18">
        <f>F12+F10+F5+F7</f>
        <v>777.64</v>
      </c>
    </row>
    <row r="19" spans="1:6" ht="15.75">
      <c r="A19" s="19"/>
      <c r="B19" s="20"/>
      <c r="C19" s="20"/>
      <c r="D19" s="20"/>
      <c r="E19" s="20"/>
      <c r="F19" s="20"/>
    </row>
    <row r="20" spans="1:6" ht="15.75">
      <c r="A20" s="29" t="s">
        <v>28</v>
      </c>
      <c r="B20" s="30"/>
      <c r="C20" s="30"/>
      <c r="D20" s="30"/>
      <c r="E20" s="30"/>
      <c r="F20" s="30"/>
    </row>
    <row r="21" spans="1:6" ht="15.75">
      <c r="A21" s="17" t="s">
        <v>29</v>
      </c>
      <c r="B21" s="18">
        <f>SUM(B22:B25)</f>
        <v>385.18</v>
      </c>
      <c r="C21" s="18">
        <f>SUM(C22:C25)</f>
        <v>488.17</v>
      </c>
      <c r="D21" s="18">
        <f>SUM(D22:D25)</f>
        <v>569.05</v>
      </c>
      <c r="E21" s="18">
        <f>SUM(E22:E25)</f>
        <v>572.29</v>
      </c>
      <c r="F21" s="18">
        <f>SUM(F22:F25)</f>
        <v>558.26</v>
      </c>
    </row>
    <row r="22" spans="1:6" ht="15.75">
      <c r="A22" s="22" t="s">
        <v>30</v>
      </c>
      <c r="B22" s="23">
        <v>362.3</v>
      </c>
      <c r="C22" s="23">
        <v>367.18</v>
      </c>
      <c r="D22" s="23">
        <v>544.99</v>
      </c>
      <c r="E22" s="23">
        <v>538.67</v>
      </c>
      <c r="F22" s="23">
        <v>546.02</v>
      </c>
    </row>
    <row r="23" spans="1:6" ht="15.75">
      <c r="A23" s="31" t="s">
        <v>31</v>
      </c>
      <c r="B23" s="16">
        <v>1.5</v>
      </c>
      <c r="C23" s="16">
        <v>1.19</v>
      </c>
      <c r="D23" s="16">
        <v>1.39</v>
      </c>
      <c r="E23" s="16">
        <v>3.19</v>
      </c>
      <c r="F23" s="16">
        <v>4.16</v>
      </c>
    </row>
    <row r="24" spans="1:6" ht="15.75">
      <c r="A24" s="31" t="s">
        <v>32</v>
      </c>
      <c r="B24" s="16">
        <v>21.38</v>
      </c>
      <c r="C24" s="16">
        <v>119.8</v>
      </c>
      <c r="D24" s="16">
        <v>22.67</v>
      </c>
      <c r="E24" s="16">
        <v>30.43</v>
      </c>
      <c r="F24" s="16">
        <v>8.08</v>
      </c>
    </row>
    <row r="25" spans="1:6" ht="15.75">
      <c r="A25" s="15" t="s">
        <v>33</v>
      </c>
      <c r="B25" s="16"/>
      <c r="C25" s="16"/>
      <c r="D25" s="16"/>
      <c r="E25" s="16"/>
      <c r="F25" s="16"/>
    </row>
    <row r="26" spans="1:6" ht="15.75">
      <c r="A26" s="15"/>
      <c r="B26" s="25"/>
      <c r="C26" s="25"/>
      <c r="D26" s="25"/>
      <c r="E26" s="25"/>
      <c r="F26" s="25"/>
    </row>
    <row r="27" spans="1:6" ht="15.75">
      <c r="A27" s="17" t="s">
        <v>34</v>
      </c>
      <c r="B27" s="18">
        <f>SUM(B28:B33)</f>
        <v>347.26000000000005</v>
      </c>
      <c r="C27" s="18">
        <f>SUM(C28:C33)</f>
        <v>364.40999999999997</v>
      </c>
      <c r="D27" s="18">
        <f>SUM(D28:D33)</f>
        <v>410.91999999999996</v>
      </c>
      <c r="E27" s="18">
        <f>SUM(E28:E33)</f>
        <v>341.09000000000003</v>
      </c>
      <c r="F27" s="18">
        <f>SUM(F28:F33)</f>
        <v>281.11</v>
      </c>
    </row>
    <row r="28" spans="1:6" ht="15.75">
      <c r="A28" s="15" t="s">
        <v>35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ht="15.75">
      <c r="A29" s="31" t="s">
        <v>36</v>
      </c>
      <c r="B29" s="16">
        <v>126.77</v>
      </c>
      <c r="C29" s="16">
        <v>154.78</v>
      </c>
      <c r="D29" s="16">
        <v>162.28</v>
      </c>
      <c r="E29" s="16">
        <v>118.34</v>
      </c>
      <c r="F29" s="16">
        <v>92.98</v>
      </c>
    </row>
    <row r="30" spans="1:6" ht="15.75">
      <c r="A30" s="15" t="s">
        <v>37</v>
      </c>
      <c r="B30" s="16">
        <v>159.77</v>
      </c>
      <c r="C30" s="16">
        <v>153.17</v>
      </c>
      <c r="D30" s="16">
        <v>190.28</v>
      </c>
      <c r="E30" s="16">
        <v>176.5</v>
      </c>
      <c r="F30" s="16">
        <v>139.45</v>
      </c>
    </row>
    <row r="31" spans="1:6" ht="15.75">
      <c r="A31" s="15" t="s">
        <v>38</v>
      </c>
      <c r="B31" s="16">
        <v>13.62</v>
      </c>
      <c r="C31" s="16">
        <v>14.58</v>
      </c>
      <c r="D31" s="16">
        <v>11.52</v>
      </c>
      <c r="E31" s="16">
        <v>10.11</v>
      </c>
      <c r="F31" s="16">
        <v>6.02</v>
      </c>
    </row>
    <row r="32" spans="1:6" ht="15.75">
      <c r="A32" s="22" t="s">
        <v>39</v>
      </c>
      <c r="B32" s="23">
        <v>46.6</v>
      </c>
      <c r="C32" s="23">
        <v>41.63</v>
      </c>
      <c r="D32" s="23">
        <v>46.57</v>
      </c>
      <c r="E32" s="23">
        <v>35.86</v>
      </c>
      <c r="F32" s="23">
        <v>41.94</v>
      </c>
    </row>
    <row r="33" spans="1:6" ht="15.75">
      <c r="A33" s="15" t="s">
        <v>40</v>
      </c>
      <c r="B33" s="16">
        <v>0.5</v>
      </c>
      <c r="C33" s="16">
        <v>0.25</v>
      </c>
      <c r="D33" s="16">
        <v>0.27</v>
      </c>
      <c r="E33" s="16">
        <v>0.28</v>
      </c>
      <c r="F33" s="16">
        <v>0.72</v>
      </c>
    </row>
    <row r="34" spans="1:6" ht="15.75">
      <c r="A34" s="15"/>
      <c r="B34" s="16"/>
      <c r="C34" s="16"/>
      <c r="D34" s="16"/>
      <c r="E34" s="16"/>
      <c r="F34" s="16"/>
    </row>
    <row r="35" spans="1:6" ht="15.75">
      <c r="A35" s="17" t="s">
        <v>41</v>
      </c>
      <c r="B35" s="32">
        <f>B21+B27</f>
        <v>732.44</v>
      </c>
      <c r="C35" s="32">
        <f>C21+C27</f>
        <v>852.5799999999999</v>
      </c>
      <c r="D35" s="32">
        <f>D21+D27</f>
        <v>979.9699999999999</v>
      </c>
      <c r="E35" s="32">
        <f>E21+E27</f>
        <v>913.38</v>
      </c>
      <c r="F35" s="32">
        <f>F21+F27</f>
        <v>839.37</v>
      </c>
    </row>
    <row r="36" spans="1:6" ht="15.75">
      <c r="A36" s="15"/>
      <c r="B36" s="33">
        <v>0</v>
      </c>
      <c r="C36" s="33">
        <v>0</v>
      </c>
      <c r="D36" s="33">
        <v>0</v>
      </c>
      <c r="E36" s="33">
        <v>0</v>
      </c>
      <c r="F36" s="33">
        <v>0</v>
      </c>
    </row>
    <row r="37" spans="1:6" ht="15.75">
      <c r="A37" s="34" t="s">
        <v>42</v>
      </c>
      <c r="B37" s="35">
        <f>B18-B28-B31</f>
        <v>698.79</v>
      </c>
      <c r="C37" s="35">
        <f>C18-C28-C31</f>
        <v>824.0799999999999</v>
      </c>
      <c r="D37" s="35">
        <f>D18-D28-D31</f>
        <v>915.88</v>
      </c>
      <c r="E37" s="35">
        <f>E18-E28-E31</f>
        <v>844.32</v>
      </c>
      <c r="F37" s="35">
        <f>F18-F28-F31</f>
        <v>771.62</v>
      </c>
    </row>
    <row r="38" spans="1:6" ht="15.75">
      <c r="A38" s="34" t="s">
        <v>43</v>
      </c>
      <c r="B38" s="34"/>
      <c r="C38" s="35">
        <f>AVERAGE(B37:C37)</f>
        <v>761.435</v>
      </c>
      <c r="D38" s="35">
        <f>AVERAGE(C37:D37)</f>
        <v>869.98</v>
      </c>
      <c r="E38" s="35">
        <f>AVERAGE(D37:E37)</f>
        <v>880.1</v>
      </c>
      <c r="F38" s="35">
        <f>AVERAGE(E37:F37)</f>
        <v>807.97</v>
      </c>
    </row>
    <row r="39" spans="1:6" ht="15.75">
      <c r="A39" s="34" t="s">
        <v>44</v>
      </c>
      <c r="B39" s="35">
        <f>B28+B29+B30+B32+B33-B13-B14-B15-B16</f>
        <v>1.4000000000000732</v>
      </c>
      <c r="C39" s="35">
        <f>C28+C29+C30+C32+C33-C13-C14-C15-C16</f>
        <v>-1.6999999999999744</v>
      </c>
      <c r="D39" s="35">
        <f>D28+D29+D30+D32+D33-D13-D14-D15-D16</f>
        <v>-41.34</v>
      </c>
      <c r="E39" s="35">
        <f>E28+E29+E30+E32+E33-E13-E14-E15-E16</f>
        <v>-58.42</v>
      </c>
      <c r="F39" s="35">
        <f>F28+F29+F30+F32+F33-F13-F14-F15-F16</f>
        <v>-10.519999999999985</v>
      </c>
    </row>
    <row r="40" spans="1:6" ht="15.75">
      <c r="A40" s="34" t="s">
        <v>45</v>
      </c>
      <c r="B40" s="34"/>
      <c r="C40" s="35">
        <f>AVERAGE(B39:C39)</f>
        <v>-0.14999999999995062</v>
      </c>
      <c r="D40" s="35">
        <f>AVERAGE(C39:D39)</f>
        <v>-21.51999999999999</v>
      </c>
      <c r="E40" s="35">
        <f>AVERAGE(D39:E39)</f>
        <v>-49.88</v>
      </c>
      <c r="F40" s="35">
        <f>AVERAGE(E39:F39)</f>
        <v>-34.46999999999999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43.421875" style="0" customWidth="1"/>
    <col min="2" max="2" width="10.7109375" style="0" customWidth="1"/>
    <col min="3" max="3" width="11.140625" style="0" customWidth="1"/>
    <col min="4" max="4" width="12.28125" style="0" customWidth="1"/>
    <col min="5" max="5" width="10.8515625" style="0" customWidth="1"/>
    <col min="6" max="6" width="11.8515625" style="0" customWidth="1"/>
    <col min="10" max="10" width="16.140625" style="0" customWidth="1"/>
    <col min="11" max="11" width="14.421875" style="0" customWidth="1"/>
  </cols>
  <sheetData>
    <row r="1" spans="1:6" ht="19.5">
      <c r="A1" s="114" t="s">
        <v>46</v>
      </c>
      <c r="B1" s="115"/>
      <c r="C1" s="115"/>
      <c r="D1" s="115"/>
      <c r="E1" s="115"/>
      <c r="F1" s="116"/>
    </row>
    <row r="2" spans="1:6" ht="15.75">
      <c r="A2" s="36" t="s">
        <v>14</v>
      </c>
      <c r="B2" s="12">
        <v>2012</v>
      </c>
      <c r="C2" s="12">
        <v>2013</v>
      </c>
      <c r="D2" s="12">
        <v>2014</v>
      </c>
      <c r="E2" s="12">
        <v>2015</v>
      </c>
      <c r="F2" s="12">
        <v>2016</v>
      </c>
    </row>
    <row r="3" spans="1:6" ht="15.75">
      <c r="A3" s="37" t="s">
        <v>47</v>
      </c>
      <c r="B3" s="16">
        <v>1089.65</v>
      </c>
      <c r="C3" s="16">
        <v>1183.82</v>
      </c>
      <c r="D3" s="16">
        <v>1218.1</v>
      </c>
      <c r="E3" s="16">
        <v>1354.65</v>
      </c>
      <c r="F3" s="16">
        <v>1105.93</v>
      </c>
    </row>
    <row r="4" spans="1:6" ht="15.75">
      <c r="A4" s="37" t="s">
        <v>48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</row>
    <row r="5" spans="1:6" ht="15.75">
      <c r="A5" s="39" t="s">
        <v>49</v>
      </c>
      <c r="B5" s="40">
        <f>B3+B4</f>
        <v>1089.65</v>
      </c>
      <c r="C5" s="40">
        <f>C3+C4</f>
        <v>1183.82</v>
      </c>
      <c r="D5" s="40">
        <f>D3+D4</f>
        <v>1218.1</v>
      </c>
      <c r="E5" s="40">
        <f>E3+E4</f>
        <v>1354.65</v>
      </c>
      <c r="F5" s="40">
        <f>F3+F4</f>
        <v>1105.93</v>
      </c>
    </row>
    <row r="6" spans="1:6" ht="15.75">
      <c r="A6" s="41"/>
      <c r="B6" s="42"/>
      <c r="C6" s="42"/>
      <c r="D6" s="42"/>
      <c r="E6" s="42"/>
      <c r="F6" s="42"/>
    </row>
    <row r="7" spans="1:6" ht="15.75">
      <c r="A7" s="43" t="s">
        <v>50</v>
      </c>
      <c r="B7" s="42"/>
      <c r="C7" s="42"/>
      <c r="D7" s="42"/>
      <c r="E7" s="42"/>
      <c r="F7" s="42"/>
    </row>
    <row r="8" spans="1:6" ht="15.75">
      <c r="A8" s="37" t="s">
        <v>51</v>
      </c>
      <c r="B8" s="23">
        <v>4.85</v>
      </c>
      <c r="C8" s="23">
        <v>-16.73</v>
      </c>
      <c r="D8" s="23">
        <v>10.06</v>
      </c>
      <c r="E8" s="23">
        <v>-3.06</v>
      </c>
      <c r="F8" s="23">
        <v>10.44</v>
      </c>
    </row>
    <row r="9" spans="1:6" ht="15.75">
      <c r="A9" s="41" t="s">
        <v>52</v>
      </c>
      <c r="B9" s="16">
        <v>706.84</v>
      </c>
      <c r="C9" s="16">
        <v>767.2</v>
      </c>
      <c r="D9" s="16">
        <v>786.18</v>
      </c>
      <c r="E9" s="16">
        <v>826.69</v>
      </c>
      <c r="F9" s="16">
        <v>581.96</v>
      </c>
    </row>
    <row r="10" spans="1:6" ht="15.75">
      <c r="A10" s="44" t="s">
        <v>53</v>
      </c>
      <c r="B10" s="45">
        <v>199.78</v>
      </c>
      <c r="C10" s="45">
        <v>244.73</v>
      </c>
      <c r="D10" s="45">
        <v>234.16</v>
      </c>
      <c r="E10" s="45">
        <v>286.25</v>
      </c>
      <c r="F10" s="45">
        <v>260.41</v>
      </c>
    </row>
    <row r="11" spans="1:6" ht="15.75">
      <c r="A11" s="41" t="s">
        <v>54</v>
      </c>
      <c r="B11" s="16">
        <v>41.77</v>
      </c>
      <c r="C11" s="16">
        <v>51.18</v>
      </c>
      <c r="D11" s="16">
        <v>49.56</v>
      </c>
      <c r="E11" s="16">
        <v>65.19</v>
      </c>
      <c r="F11" s="16">
        <v>70.92</v>
      </c>
    </row>
    <row r="12" spans="1:6" ht="15.75">
      <c r="A12" s="37" t="s">
        <v>55</v>
      </c>
      <c r="B12" s="23">
        <v>43.16</v>
      </c>
      <c r="C12" s="23">
        <v>43.43</v>
      </c>
      <c r="D12" s="23">
        <v>49.2</v>
      </c>
      <c r="E12" s="23">
        <v>41.07</v>
      </c>
      <c r="F12" s="23">
        <v>39.02</v>
      </c>
    </row>
    <row r="13" spans="1:6" ht="15.75">
      <c r="A13" s="44" t="s">
        <v>56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</row>
    <row r="14" spans="1:6" ht="15.75">
      <c r="A14" s="41" t="s">
        <v>57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ht="15.75">
      <c r="A15" s="37" t="s">
        <v>58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ht="15.75">
      <c r="A16" s="39" t="s">
        <v>59</v>
      </c>
      <c r="B16" s="40">
        <f>SUM(B8:B15)</f>
        <v>996.4</v>
      </c>
      <c r="C16" s="40">
        <f>SUM(C8:C15)</f>
        <v>1089.8100000000002</v>
      </c>
      <c r="D16" s="40">
        <f>SUM(D8:D15)</f>
        <v>1129.1599999999999</v>
      </c>
      <c r="E16" s="40">
        <f>SUM(E8:E15)</f>
        <v>1216.14</v>
      </c>
      <c r="F16" s="40">
        <f>SUM(F8:F15)</f>
        <v>962.7500000000001</v>
      </c>
    </row>
    <row r="17" spans="1:6" ht="15.75">
      <c r="A17" s="39" t="s">
        <v>60</v>
      </c>
      <c r="B17" s="40">
        <f>B5-B8-B9</f>
        <v>377.96000000000015</v>
      </c>
      <c r="C17" s="40">
        <f>C5-C8-C9</f>
        <v>433.3499999999999</v>
      </c>
      <c r="D17" s="40">
        <f>D5-D8-D9</f>
        <v>421.86</v>
      </c>
      <c r="E17" s="40">
        <f>E5-E8-E9</f>
        <v>531.02</v>
      </c>
      <c r="F17" s="40">
        <f>F5-F8-F9</f>
        <v>513.53</v>
      </c>
    </row>
    <row r="18" spans="1:6" ht="15.75">
      <c r="A18" s="39" t="s">
        <v>61</v>
      </c>
      <c r="B18" s="40">
        <f>B5-B16</f>
        <v>93.25000000000011</v>
      </c>
      <c r="C18" s="40">
        <f>C5-C16</f>
        <v>94.00999999999976</v>
      </c>
      <c r="D18" s="40">
        <f>D5-D16</f>
        <v>88.94000000000005</v>
      </c>
      <c r="E18" s="40">
        <f>E5-E16</f>
        <v>138.51</v>
      </c>
      <c r="F18" s="40">
        <f>F5-F16</f>
        <v>143.17999999999995</v>
      </c>
    </row>
    <row r="19" spans="1:6" ht="15.75">
      <c r="A19" s="47" t="s">
        <v>62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</row>
    <row r="20" spans="1:6" ht="15.75">
      <c r="A20" s="41" t="s">
        <v>63</v>
      </c>
      <c r="B20" s="16">
        <v>29.2</v>
      </c>
      <c r="C20" s="16">
        <v>33.2</v>
      </c>
      <c r="D20" s="16">
        <v>33.79</v>
      </c>
      <c r="E20" s="16">
        <v>50.42</v>
      </c>
      <c r="F20" s="16">
        <v>44.37</v>
      </c>
    </row>
    <row r="21" spans="1:6" ht="15.75">
      <c r="A21" s="39" t="s">
        <v>64</v>
      </c>
      <c r="B21" s="40">
        <f>B18+B19-B20</f>
        <v>64.05000000000011</v>
      </c>
      <c r="C21" s="40">
        <f>C18+C19-C20</f>
        <v>60.80999999999976</v>
      </c>
      <c r="D21" s="40">
        <f>D18+D19-D20</f>
        <v>55.150000000000055</v>
      </c>
      <c r="E21" s="40">
        <f>E18+E19-E20</f>
        <v>88.08999999999999</v>
      </c>
      <c r="F21" s="40">
        <f>F18+F19-F20</f>
        <v>98.80999999999995</v>
      </c>
    </row>
    <row r="22" spans="1:6" ht="15.75">
      <c r="A22" s="41" t="s">
        <v>65</v>
      </c>
      <c r="B22" s="16">
        <v>10.47</v>
      </c>
      <c r="C22" s="16">
        <v>15.18</v>
      </c>
      <c r="D22" s="16">
        <v>14.3</v>
      </c>
      <c r="E22" s="16">
        <v>29.8</v>
      </c>
      <c r="F22" s="16">
        <v>23.83</v>
      </c>
    </row>
    <row r="23" spans="1:6" ht="15.75">
      <c r="A23" s="41" t="s">
        <v>66</v>
      </c>
      <c r="B23" s="16"/>
      <c r="C23" s="16">
        <v>0</v>
      </c>
      <c r="D23" s="16">
        <v>0</v>
      </c>
      <c r="E23" s="16">
        <v>0</v>
      </c>
      <c r="F23" s="16">
        <v>0</v>
      </c>
    </row>
    <row r="24" spans="1:6" ht="15.75">
      <c r="A24" s="39" t="s">
        <v>67</v>
      </c>
      <c r="B24" s="40">
        <f>B21-B22+B23</f>
        <v>53.58000000000011</v>
      </c>
      <c r="C24" s="40">
        <f>C21-C22+C23</f>
        <v>45.62999999999976</v>
      </c>
      <c r="D24" s="40">
        <f>D21-D22+D23</f>
        <v>40.85000000000005</v>
      </c>
      <c r="E24" s="40">
        <f>E21-E22+E23</f>
        <v>58.28999999999999</v>
      </c>
      <c r="F24" s="40">
        <f>F21-F22+F23</f>
        <v>74.97999999999995</v>
      </c>
    </row>
    <row r="25" spans="1:6" ht="15.75">
      <c r="A25" s="41" t="s">
        <v>68</v>
      </c>
      <c r="B25" s="16">
        <v>18.58</v>
      </c>
      <c r="C25" s="16">
        <v>23.33</v>
      </c>
      <c r="D25" s="16">
        <v>18.15</v>
      </c>
      <c r="E25" s="16">
        <v>22.57</v>
      </c>
      <c r="F25" s="16">
        <v>27.49</v>
      </c>
    </row>
    <row r="26" spans="1:6" ht="15.75">
      <c r="A26" s="39" t="s">
        <v>69</v>
      </c>
      <c r="B26" s="40">
        <f>B24-B25</f>
        <v>35.000000000000114</v>
      </c>
      <c r="C26" s="40">
        <f>C24-C25</f>
        <v>22.299999999999763</v>
      </c>
      <c r="D26" s="40">
        <f>D24-D25</f>
        <v>22.700000000000053</v>
      </c>
      <c r="E26" s="40">
        <f>E24-E25</f>
        <v>35.71999999999999</v>
      </c>
      <c r="F26" s="40">
        <f>F24-F25</f>
        <v>47.48999999999995</v>
      </c>
    </row>
    <row r="27" spans="1:6" ht="15.75">
      <c r="A27" s="39" t="s">
        <v>70</v>
      </c>
      <c r="B27" s="40">
        <f>B26-B23</f>
        <v>35.000000000000114</v>
      </c>
      <c r="C27" s="40">
        <f>C26-C23</f>
        <v>22.299999999999763</v>
      </c>
      <c r="D27" s="40">
        <f>D26-D23</f>
        <v>22.700000000000053</v>
      </c>
      <c r="E27" s="40">
        <f>E26-E23</f>
        <v>35.71999999999999</v>
      </c>
      <c r="F27" s="40">
        <f>F26-F23</f>
        <v>47.48999999999995</v>
      </c>
    </row>
    <row r="28" spans="1:6" ht="15.75">
      <c r="A28" s="41" t="s">
        <v>19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ht="15.75">
      <c r="A29" s="41" t="s">
        <v>71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ht="15.75">
      <c r="A30" s="39" t="s">
        <v>72</v>
      </c>
      <c r="B30" s="40">
        <f>B27+B28+B29</f>
        <v>35.000000000000114</v>
      </c>
      <c r="C30" s="40">
        <f>C27+C28+C29</f>
        <v>22.299999999999763</v>
      </c>
      <c r="D30" s="40">
        <f>D27+D28+D29</f>
        <v>22.700000000000053</v>
      </c>
      <c r="E30" s="40">
        <f>E27+E28+E29</f>
        <v>35.71999999999999</v>
      </c>
      <c r="F30" s="40">
        <f>F27+F28+F29</f>
        <v>47.48999999999995</v>
      </c>
    </row>
    <row r="31" spans="1:6" ht="15.75">
      <c r="A31" s="39" t="s">
        <v>73</v>
      </c>
      <c r="B31" s="40">
        <f>(B30-B35)/'[1]Basic Info'!$B$8</f>
        <v>2.549162418062645</v>
      </c>
      <c r="C31" s="40">
        <f>(C30-C35)/'[1]Basic Info'!$B$8</f>
        <v>1.6241806263656053</v>
      </c>
      <c r="D31" s="40">
        <f>(D30-D35)/'[1]Basic Info'!$B$8</f>
        <v>1.6533139111434851</v>
      </c>
      <c r="E31" s="40">
        <f>(E30-E35)/'[1]Basic Info'!$B$8</f>
        <v>2.6016023306627813</v>
      </c>
      <c r="F31" s="40">
        <f>(F30-F35)/'[1]Basic Info'!$B$8</f>
        <v>3.458849235251271</v>
      </c>
    </row>
    <row r="32" spans="1:6" ht="15.75">
      <c r="A32" s="41" t="s">
        <v>74</v>
      </c>
      <c r="B32" s="49">
        <v>23.45</v>
      </c>
      <c r="C32" s="49">
        <v>20.08</v>
      </c>
      <c r="D32" s="49">
        <v>20.08</v>
      </c>
      <c r="E32" s="49">
        <v>20.67</v>
      </c>
      <c r="F32" s="49">
        <v>20.73</v>
      </c>
    </row>
    <row r="33" spans="1:6" ht="15.75">
      <c r="A33" s="41" t="s">
        <v>75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</row>
    <row r="34" spans="1:6" ht="16.5" thickBot="1">
      <c r="A34" s="50" t="s">
        <v>76</v>
      </c>
      <c r="B34" s="51">
        <f>B32+B33</f>
        <v>23.45</v>
      </c>
      <c r="C34" s="51">
        <f>C32+C33</f>
        <v>20.08</v>
      </c>
      <c r="D34" s="51">
        <f>D32+D33</f>
        <v>20.08</v>
      </c>
      <c r="E34" s="51">
        <f>E32+E33</f>
        <v>20.67</v>
      </c>
      <c r="F34" s="51">
        <f>F32+F33</f>
        <v>20.73</v>
      </c>
    </row>
    <row r="35" ht="15.75">
      <c r="A35" s="52" t="s">
        <v>77</v>
      </c>
    </row>
    <row r="37" ht="15">
      <c r="A37" t="s">
        <v>78</v>
      </c>
    </row>
    <row r="38" spans="2:11" ht="15">
      <c r="B38" s="53">
        <v>2016</v>
      </c>
      <c r="C38" s="53">
        <v>2015</v>
      </c>
      <c r="D38" s="53">
        <v>2014</v>
      </c>
      <c r="E38" s="53">
        <v>2013</v>
      </c>
      <c r="F38" s="53">
        <v>2012</v>
      </c>
      <c r="J38" s="55"/>
      <c r="K38" s="56"/>
    </row>
    <row r="39" spans="1:11" ht="15">
      <c r="A39" s="54" t="s">
        <v>79</v>
      </c>
      <c r="J39" s="55"/>
      <c r="K39" s="56"/>
    </row>
    <row r="40" spans="1:11" ht="15">
      <c r="A40" s="54" t="s">
        <v>80</v>
      </c>
      <c r="B40" s="57">
        <v>0.56</v>
      </c>
      <c r="C40" s="58">
        <v>0.618</v>
      </c>
      <c r="D40" s="57">
        <v>0.58</v>
      </c>
      <c r="E40" s="57">
        <v>0.57</v>
      </c>
      <c r="F40" s="57">
        <v>0.52</v>
      </c>
      <c r="J40" s="55"/>
      <c r="K40" s="56"/>
    </row>
    <row r="41" spans="1:11" ht="15">
      <c r="A41" s="54" t="s">
        <v>81</v>
      </c>
      <c r="B41" s="57">
        <v>0.41</v>
      </c>
      <c r="C41" s="57">
        <v>0.35</v>
      </c>
      <c r="D41" s="57">
        <v>0.37</v>
      </c>
      <c r="E41" s="57">
        <v>0.37</v>
      </c>
      <c r="F41" s="57">
        <v>0.41</v>
      </c>
      <c r="J41" s="55"/>
      <c r="K41" s="56"/>
    </row>
    <row r="42" spans="1:11" ht="15">
      <c r="A42" s="54" t="s">
        <v>82</v>
      </c>
      <c r="B42" s="57">
        <v>0.03</v>
      </c>
      <c r="C42" s="58">
        <v>0.032</v>
      </c>
      <c r="D42" s="57">
        <v>0.05</v>
      </c>
      <c r="E42" s="57">
        <v>0.06</v>
      </c>
      <c r="F42" s="57">
        <v>0.07</v>
      </c>
      <c r="J42" s="56"/>
      <c r="K42" s="56"/>
    </row>
    <row r="43" spans="10:11" ht="15">
      <c r="J43" s="60"/>
      <c r="K43" s="60"/>
    </row>
    <row r="44" spans="1:6" ht="15">
      <c r="A44" s="54" t="s">
        <v>83</v>
      </c>
      <c r="B44">
        <v>2016</v>
      </c>
      <c r="C44">
        <v>2015</v>
      </c>
      <c r="D44">
        <v>2014</v>
      </c>
      <c r="E44">
        <v>2013</v>
      </c>
      <c r="F44" s="59">
        <v>2012</v>
      </c>
    </row>
    <row r="45" spans="1:6" ht="15">
      <c r="A45" t="s">
        <v>84</v>
      </c>
      <c r="B45" s="61">
        <v>0.27</v>
      </c>
      <c r="C45" s="61">
        <v>0.33</v>
      </c>
      <c r="D45" s="57">
        <v>0.29</v>
      </c>
      <c r="E45" s="57">
        <v>0.33</v>
      </c>
      <c r="F45" s="57">
        <v>0.29</v>
      </c>
    </row>
    <row r="46" spans="1:6" ht="15">
      <c r="A46" t="s">
        <v>85</v>
      </c>
      <c r="B46" s="61">
        <v>0.56</v>
      </c>
      <c r="C46" s="61">
        <v>0.51</v>
      </c>
      <c r="D46" s="57">
        <v>0.54</v>
      </c>
      <c r="E46" s="57">
        <v>0.52</v>
      </c>
      <c r="F46" s="57">
        <v>0.53</v>
      </c>
    </row>
    <row r="47" spans="1:6" ht="15">
      <c r="A47" t="s">
        <v>86</v>
      </c>
      <c r="B47" s="61">
        <v>0.14</v>
      </c>
      <c r="C47" s="61">
        <v>0.14</v>
      </c>
      <c r="D47" s="57">
        <v>0.14</v>
      </c>
      <c r="E47" s="57">
        <v>0.13</v>
      </c>
      <c r="F47" s="57">
        <v>0.15</v>
      </c>
    </row>
    <row r="48" spans="1:6" ht="15">
      <c r="A48" t="s">
        <v>87</v>
      </c>
      <c r="B48" s="61">
        <v>0.04</v>
      </c>
      <c r="C48" s="61">
        <v>0.02</v>
      </c>
      <c r="D48" s="57">
        <v>0.03</v>
      </c>
      <c r="E48" s="57">
        <v>0.02</v>
      </c>
      <c r="F48" s="57">
        <v>0.03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B53" sqref="B53"/>
    </sheetView>
  </sheetViews>
  <sheetFormatPr defaultColWidth="9.140625" defaultRowHeight="15"/>
  <cols>
    <col min="8" max="8" width="2.421875" style="0" customWidth="1"/>
    <col min="9" max="9" width="1.7109375" style="0" customWidth="1"/>
    <col min="10" max="10" width="12.140625" style="0" customWidth="1"/>
  </cols>
  <sheetData>
    <row r="1" spans="1:7" ht="15">
      <c r="A1" s="62" t="s">
        <v>88</v>
      </c>
      <c r="B1" s="62"/>
      <c r="C1" s="63"/>
      <c r="D1" s="63"/>
      <c r="E1" s="63"/>
      <c r="F1" s="64"/>
      <c r="G1" s="64"/>
    </row>
    <row r="2" spans="1:7" ht="15">
      <c r="A2" s="65" t="s">
        <v>89</v>
      </c>
      <c r="B2" s="65"/>
      <c r="C2" s="65"/>
      <c r="D2" s="65"/>
      <c r="E2" s="65"/>
      <c r="F2" s="64"/>
      <c r="G2" s="64"/>
    </row>
    <row r="3" spans="1:7" ht="15.75" thickBot="1">
      <c r="A3" s="66"/>
      <c r="B3" s="66"/>
      <c r="C3" s="66"/>
      <c r="D3" s="66"/>
      <c r="E3" s="66"/>
      <c r="F3" s="64"/>
      <c r="G3" s="64"/>
    </row>
    <row r="4" spans="1:7" ht="15">
      <c r="A4" s="67"/>
      <c r="B4" s="67"/>
      <c r="C4" s="67"/>
      <c r="D4" s="67"/>
      <c r="E4" s="67"/>
      <c r="F4" s="67"/>
      <c r="G4" s="67"/>
    </row>
    <row r="5" spans="1:15" ht="15">
      <c r="A5" s="67"/>
      <c r="B5" s="67"/>
      <c r="C5" s="68">
        <v>40999</v>
      </c>
      <c r="D5" s="68">
        <v>41364</v>
      </c>
      <c r="E5" s="68">
        <v>41729</v>
      </c>
      <c r="F5" s="69">
        <v>42094</v>
      </c>
      <c r="G5" s="69">
        <v>42460</v>
      </c>
      <c r="K5" s="98">
        <v>2012</v>
      </c>
      <c r="L5" s="98">
        <v>2013</v>
      </c>
      <c r="M5" s="98">
        <v>2014</v>
      </c>
      <c r="N5" s="98">
        <v>2015</v>
      </c>
      <c r="O5" s="98">
        <v>2016</v>
      </c>
    </row>
    <row r="6" spans="1:15" ht="15.75" thickBot="1">
      <c r="A6" s="70" t="s">
        <v>90</v>
      </c>
      <c r="B6" s="71"/>
      <c r="C6" s="72"/>
      <c r="D6" s="72"/>
      <c r="E6" s="72"/>
      <c r="F6" s="72"/>
      <c r="G6" s="72"/>
      <c r="J6" t="s">
        <v>91</v>
      </c>
      <c r="K6" s="73">
        <f>'[1]Balance sheet'!B30/'[1]P&amp;L'!B3</f>
        <v>0.14662506309365392</v>
      </c>
      <c r="L6" s="73">
        <f>'[1]Balance sheet'!C30/'[1]P&amp;L'!C3</f>
        <v>0.1293862242570661</v>
      </c>
      <c r="M6" s="73">
        <f>'[1]Balance sheet'!D30/'[1]P&amp;L'!D3</f>
        <v>0.15621049174944587</v>
      </c>
      <c r="N6" s="73">
        <f>'[1]Balance sheet'!E30/'[1]P&amp;L'!E3</f>
        <v>0.1302919573321522</v>
      </c>
      <c r="O6" s="73">
        <f>'[1]Balance sheet'!F30/'[1]P&amp;L'!F3</f>
        <v>0.12609297152622678</v>
      </c>
    </row>
    <row r="7" spans="1:7" ht="15">
      <c r="A7" s="74" t="s">
        <v>92</v>
      </c>
      <c r="B7" s="74"/>
      <c r="C7" s="75"/>
      <c r="D7" s="75">
        <f>('[1]P&amp;L'!C3-'[1]P&amp;L'!B3)/'[1]P&amp;L'!B3</f>
        <v>0.08642224567521667</v>
      </c>
      <c r="E7" s="75">
        <f>('[1]P&amp;L'!D3-'[1]P&amp;L'!C3)/'[1]P&amp;L'!C3</f>
        <v>0.028957104965281862</v>
      </c>
      <c r="F7" s="75">
        <f>('[1]P&amp;L'!E3-'[1]P&amp;L'!D3)/'[1]P&amp;L'!D3</f>
        <v>0.11210081274115441</v>
      </c>
      <c r="G7" s="75">
        <f>('[1]P&amp;L'!F3-'[1]P&amp;L'!E3)/'[1]P&amp;L'!E3</f>
        <v>-0.18360462111984646</v>
      </c>
    </row>
    <row r="8" spans="1:7" ht="15">
      <c r="A8" s="74" t="s">
        <v>93</v>
      </c>
      <c r="B8" s="74"/>
      <c r="C8" s="75"/>
      <c r="D8" s="75">
        <f>('[1]P&amp;L'!C17-'[1]P&amp;L'!B17)/'[1]P&amp;L'!B17</f>
        <v>0.14654989946025965</v>
      </c>
      <c r="E8" s="75">
        <f>('[1]P&amp;L'!D17-'[1]P&amp;L'!C17)/'[1]P&amp;L'!C17</f>
        <v>-0.026514364832121606</v>
      </c>
      <c r="F8" s="75">
        <f>('[1]P&amp;L'!E17-'[1]P&amp;L'!D17)/'[1]P&amp;L'!D17</f>
        <v>0.25875882994358307</v>
      </c>
      <c r="G8" s="75">
        <f>('[1]P&amp;L'!F17-'[1]P&amp;L'!E17)/'[1]P&amp;L'!E17</f>
        <v>-0.03293661255696586</v>
      </c>
    </row>
    <row r="9" spans="1:7" ht="15">
      <c r="A9" s="76" t="s">
        <v>94</v>
      </c>
      <c r="B9" s="76"/>
      <c r="C9" s="77"/>
      <c r="D9" s="77">
        <f>('[1]P&amp;L'!C18-'[1]P&amp;L'!B18)/'[1]P&amp;L'!B18</f>
        <v>0.008150134048253608</v>
      </c>
      <c r="E9" s="77">
        <f>('[1]P&amp;L'!D18-'[1]P&amp;L'!C18)/'[1]P&amp;L'!C18</f>
        <v>-0.05393043293266378</v>
      </c>
      <c r="F9" s="77">
        <f>('[1]P&amp;L'!E18-'[1]P&amp;L'!D18)/'[1]P&amp;L'!D18</f>
        <v>0.557342028333707</v>
      </c>
      <c r="G9" s="77">
        <f>('[1]P&amp;L'!F18-'[1]P&amp;L'!E18)/'[1]P&amp;L'!E18</f>
        <v>0.03371597718576247</v>
      </c>
    </row>
    <row r="10" spans="1:7" ht="15">
      <c r="A10" s="76" t="s">
        <v>95</v>
      </c>
      <c r="B10" s="76"/>
      <c r="C10" s="77"/>
      <c r="D10" s="77">
        <f>('[1]P&amp;L'!C21-'[1]P&amp;L'!B21)/'[1]P&amp;L'!B21</f>
        <v>-0.050585480093682196</v>
      </c>
      <c r="E10" s="77">
        <f>('[1]P&amp;L'!D21-'[1]P&amp;L'!C21)/'[1]P&amp;L'!C21</f>
        <v>-0.09307679657950547</v>
      </c>
      <c r="F10" s="77">
        <f>('[1]P&amp;L'!E21-'[1]P&amp;L'!D21)/'[1]P&amp;L'!D21</f>
        <v>0.5972801450589283</v>
      </c>
      <c r="G10" s="77">
        <f>('[1]P&amp;L'!F21-'[1]P&amp;L'!E21)/'[1]P&amp;L'!E21</f>
        <v>0.12169372232943532</v>
      </c>
    </row>
    <row r="11" spans="1:7" ht="15">
      <c r="A11" s="76" t="s">
        <v>96</v>
      </c>
      <c r="B11" s="76"/>
      <c r="C11" s="77"/>
      <c r="D11" s="77">
        <f>('[1]P&amp;L'!C24-'[1]P&amp;L'!B24)/'[1]P&amp;L'!B24</f>
        <v>-0.1483762597984385</v>
      </c>
      <c r="E11" s="77">
        <f>('[1]P&amp;L'!D24-'[1]P&amp;L'!C24)/'[1]P&amp;L'!C24</f>
        <v>-0.10475564321717587</v>
      </c>
      <c r="F11" s="77">
        <f>('[1]P&amp;L'!E24-'[1]P&amp;L'!D24)/'[1]P&amp;L'!D24</f>
        <v>0.4269277845777214</v>
      </c>
      <c r="G11" s="77">
        <f>('[1]P&amp;L'!F24-'[1]P&amp;L'!E24)/'[1]P&amp;L'!E24</f>
        <v>0.2863269857608502</v>
      </c>
    </row>
    <row r="12" spans="1:7" ht="15">
      <c r="A12" s="76" t="s">
        <v>97</v>
      </c>
      <c r="B12" s="76"/>
      <c r="C12" s="77"/>
      <c r="D12" s="77">
        <f>('[1]P&amp;L'!C27-'[1]P&amp;L'!B27)/'[1]P&amp;L'!B27</f>
        <v>-0.3628571428571517</v>
      </c>
      <c r="E12" s="77">
        <f>('[1]P&amp;L'!D27-'[1]P&amp;L'!C27)/'[1]P&amp;L'!C27</f>
        <v>0.017937219730954895</v>
      </c>
      <c r="F12" s="77">
        <f>('[1]P&amp;L'!E27-'[1]P&amp;L'!D27)/'[1]P&amp;L'!D27</f>
        <v>0.573568281938322</v>
      </c>
      <c r="G12" s="77">
        <f>('[1]P&amp;L'!F27-'[1]P&amp;L'!E27)/'[1]P&amp;L'!E27</f>
        <v>0.32950727883538533</v>
      </c>
    </row>
    <row r="13" spans="1:7" ht="15">
      <c r="A13" s="78"/>
      <c r="B13" s="78"/>
      <c r="C13" s="78"/>
      <c r="D13" s="78"/>
      <c r="E13" s="78"/>
      <c r="F13" s="78"/>
      <c r="G13" s="78"/>
    </row>
    <row r="14" spans="1:7" ht="15">
      <c r="A14" s="79"/>
      <c r="B14" s="79"/>
      <c r="C14" s="79"/>
      <c r="D14" s="79"/>
      <c r="E14" s="79"/>
      <c r="F14" s="79"/>
      <c r="G14" s="79"/>
    </row>
    <row r="15" spans="1:7" ht="15.75" thickBot="1">
      <c r="A15" s="70" t="s">
        <v>98</v>
      </c>
      <c r="B15" s="71"/>
      <c r="C15" s="72"/>
      <c r="D15" s="72"/>
      <c r="E15" s="72"/>
      <c r="F15" s="72"/>
      <c r="G15" s="72"/>
    </row>
    <row r="16" spans="1:7" ht="15">
      <c r="A16" s="74" t="s">
        <v>99</v>
      </c>
      <c r="B16" s="74"/>
      <c r="C16" s="75">
        <f>'[1]P&amp;L'!B17/'[1]P&amp;L'!B3</f>
        <v>0.3468636718212271</v>
      </c>
      <c r="D16" s="75">
        <f>'[1]P&amp;L'!C17/'[1]P&amp;L'!C3</f>
        <v>0.3660607186903414</v>
      </c>
      <c r="E16" s="75">
        <f>'[1]P&amp;L'!D17/'[1]P&amp;L'!D3</f>
        <v>0.3463262457926279</v>
      </c>
      <c r="F16" s="75">
        <f>'[1]P&amp;L'!E17/'[1]P&amp;L'!E3</f>
        <v>0.39199793304543606</v>
      </c>
      <c r="G16" s="75">
        <f>'[1]P&amp;L'!F17/'[1]P&amp;L'!F3</f>
        <v>0.4643422278082699</v>
      </c>
    </row>
    <row r="17" spans="1:7" ht="15">
      <c r="A17" s="76" t="s">
        <v>100</v>
      </c>
      <c r="B17" s="76"/>
      <c r="C17" s="77">
        <f>'[1]P&amp;L'!B18/'[1]P&amp;L'!B3</f>
        <v>0.08557793786995833</v>
      </c>
      <c r="D17" s="77">
        <f>'[1]P&amp;L'!C18/'[1]P&amp;L'!C3</f>
        <v>0.07941241067054093</v>
      </c>
      <c r="E17" s="77">
        <f>'[1]P&amp;L'!D18/'[1]P&amp;L'!D3</f>
        <v>0.07301535177735823</v>
      </c>
      <c r="F17" s="77">
        <f>'[1]P&amp;L'!E18/'[1]P&amp;L'!E3</f>
        <v>0.10224781308825157</v>
      </c>
      <c r="G17" s="77">
        <f>'[1]P&amp;L'!F18/'[1]P&amp;L'!F3</f>
        <v>0.12946569855234955</v>
      </c>
    </row>
    <row r="18" spans="1:7" ht="15">
      <c r="A18" s="76" t="s">
        <v>101</v>
      </c>
      <c r="B18" s="76"/>
      <c r="C18" s="77">
        <f>'[1]P&amp;L'!B21/'[1]P&amp;L'!B3</f>
        <v>0.058780342311751575</v>
      </c>
      <c r="D18" s="77">
        <f>'[1]P&amp;L'!C21/'[1]P&amp;L'!C3</f>
        <v>0.051367606561808186</v>
      </c>
      <c r="E18" s="77">
        <f>'[1]P&amp;L'!D21/'[1]P&amp;L'!D3</f>
        <v>0.045275428946720354</v>
      </c>
      <c r="F18" s="77">
        <f>'[1]P&amp;L'!E21/'[1]P&amp;L'!E3</f>
        <v>0.06502786697670984</v>
      </c>
      <c r="G18" s="77">
        <f>'[1]P&amp;L'!F21/'[1]P&amp;L'!F3</f>
        <v>0.08934561861962324</v>
      </c>
    </row>
    <row r="19" spans="1:7" ht="15">
      <c r="A19" s="76" t="s">
        <v>102</v>
      </c>
      <c r="B19" s="76"/>
      <c r="C19" s="77">
        <f>'[1]P&amp;L'!B24/'[1]P&amp;L'!B3</f>
        <v>0.04917175239755895</v>
      </c>
      <c r="D19" s="77">
        <f>'[1]P&amp;L'!C24/'[1]P&amp;L'!C3</f>
        <v>0.03854471118920086</v>
      </c>
      <c r="E19" s="77">
        <f>'[1]P&amp;L'!D24/'[1]P&amp;L'!D3</f>
        <v>0.03353583449634681</v>
      </c>
      <c r="F19" s="77">
        <f>'[1]P&amp;L'!E24/'[1]P&amp;L'!E3</f>
        <v>0.04302956483224448</v>
      </c>
      <c r="G19" s="77">
        <f>'[1]P&amp;L'!F24/'[1]P&amp;L'!F3</f>
        <v>0.06779814273959468</v>
      </c>
    </row>
    <row r="20" spans="1:7" ht="15">
      <c r="A20" s="76" t="s">
        <v>103</v>
      </c>
      <c r="B20" s="76"/>
      <c r="C20" s="77">
        <f>'[1]P&amp;L'!B27/'[1]P&amp;L'!B3</f>
        <v>0.03212040563483698</v>
      </c>
      <c r="D20" s="77">
        <f>'[1]P&amp;L'!C27/'[1]P&amp;L'!C3</f>
        <v>0.018837323241708843</v>
      </c>
      <c r="E20" s="77">
        <f>'[1]P&amp;L'!D27/'[1]P&amp;L'!D3</f>
        <v>0.018635580001641946</v>
      </c>
      <c r="F20" s="77">
        <f>'[1]P&amp;L'!E27/'[1]P&amp;L'!E3</f>
        <v>0.02636843465101686</v>
      </c>
      <c r="G20" s="77">
        <f>'[1]P&amp;L'!F27/'[1]P&amp;L'!F3</f>
        <v>0.04294123497870566</v>
      </c>
    </row>
    <row r="21" spans="1:7" ht="15">
      <c r="A21" s="80" t="s">
        <v>104</v>
      </c>
      <c r="B21" s="80"/>
      <c r="C21" s="81">
        <f>'[1]P&amp;L'!B25/'[1]P&amp;L'!B24</f>
        <v>0.3467711832773415</v>
      </c>
      <c r="D21" s="81">
        <f>'[1]P&amp;L'!C25/'[1]P&amp;L'!C24</f>
        <v>0.5112864343633601</v>
      </c>
      <c r="E21" s="81">
        <f>'[1]P&amp;L'!D25/'[1]P&amp;L'!D24</f>
        <v>0.44430844553243515</v>
      </c>
      <c r="F21" s="81">
        <f>'[1]P&amp;L'!E25/'[1]P&amp;L'!E24</f>
        <v>0.3872019214273461</v>
      </c>
      <c r="G21" s="81">
        <f>'[1]P&amp;L'!F25/'[1]P&amp;L'!F24</f>
        <v>0.3666311016271008</v>
      </c>
    </row>
    <row r="22" spans="1:7" ht="15">
      <c r="A22" s="82"/>
      <c r="B22" s="82"/>
      <c r="C22" s="82"/>
      <c r="D22" s="82"/>
      <c r="E22" s="82"/>
      <c r="F22" s="82"/>
      <c r="G22" s="82"/>
    </row>
    <row r="23" spans="1:7" ht="15">
      <c r="A23" s="82"/>
      <c r="B23" s="82"/>
      <c r="C23" s="82"/>
      <c r="D23" s="82"/>
      <c r="E23" s="82"/>
      <c r="F23" s="82"/>
      <c r="G23" s="82"/>
    </row>
    <row r="24" spans="1:15" ht="15.75" thickBot="1">
      <c r="A24" s="70" t="s">
        <v>105</v>
      </c>
      <c r="B24" s="71"/>
      <c r="C24" s="72"/>
      <c r="D24" s="72"/>
      <c r="E24" s="72"/>
      <c r="F24" s="72"/>
      <c r="G24" s="72"/>
      <c r="K24" s="98">
        <v>2012</v>
      </c>
      <c r="L24" s="98">
        <v>2013</v>
      </c>
      <c r="M24" s="98">
        <v>2014</v>
      </c>
      <c r="N24" s="98">
        <v>2015</v>
      </c>
      <c r="O24" s="98">
        <v>2016</v>
      </c>
    </row>
    <row r="25" spans="1:15" ht="15">
      <c r="A25" s="74" t="s">
        <v>106</v>
      </c>
      <c r="B25" s="74"/>
      <c r="C25" s="83">
        <f>ABS('[1]Cash Flow Statement'!B4/'[1]P&amp;L'!B20)</f>
        <v>2.1527397260273973</v>
      </c>
      <c r="D25" s="83">
        <f>ABS('[1]Cash Flow Statement'!C4/'[1]P&amp;L'!C20)</f>
        <v>4.797289156626506</v>
      </c>
      <c r="E25" s="83">
        <f>ABS('[1]Cash Flow Statement'!D4/'[1]P&amp;L'!D20)</f>
        <v>2.585972181118674</v>
      </c>
      <c r="F25" s="83">
        <f>ABS('[1]Cash Flow Statement'!E4/'[1]P&amp;L'!E20)</f>
        <v>1.1394287980959936</v>
      </c>
      <c r="G25" s="83">
        <f>ABS('[1]Cash Flow Statement'!F4/'[1]P&amp;L'!F20)</f>
        <v>0.7586206896551724</v>
      </c>
      <c r="J25" t="s">
        <v>107</v>
      </c>
      <c r="K25">
        <f>'[1]P&amp;L'!B3/'[1]Balance sheet'!B30</f>
        <v>6.820116417349941</v>
      </c>
      <c r="L25">
        <f>'[1]P&amp;L'!C3/'[1]Balance sheet'!C30</f>
        <v>7.728798067506692</v>
      </c>
      <c r="M25">
        <f>'[1]P&amp;L'!D3/'[1]Balance sheet'!D30</f>
        <v>6.401618667227243</v>
      </c>
      <c r="N25">
        <f>'[1]P&amp;L'!E3/'[1]Balance sheet'!E30</f>
        <v>7.675070821529745</v>
      </c>
      <c r="O25">
        <f>'[1]P&amp;L'!F3/'[1]Balance sheet'!F30</f>
        <v>7.9306561491574055</v>
      </c>
    </row>
    <row r="26" spans="1:15" ht="15">
      <c r="A26" s="76" t="s">
        <v>108</v>
      </c>
      <c r="B26" s="76"/>
      <c r="C26" s="84">
        <f>'[1]Balance sheet'!B27/'[1]Balance sheet'!B12</f>
        <v>1.0452082831687937</v>
      </c>
      <c r="D26" s="84">
        <f>'[1]Balance sheet'!C27/'[1]Balance sheet'!C12</f>
        <v>1.0366398315933205</v>
      </c>
      <c r="E26" s="84">
        <f>'[1]Balance sheet'!D27/'[1]Balance sheet'!D12</f>
        <v>0.9323410627580886</v>
      </c>
      <c r="F26" s="84">
        <f>'[1]Balance sheet'!E27/'[1]Balance sheet'!E12</f>
        <v>0.8759373394966615</v>
      </c>
      <c r="G26" s="84">
        <f>'[1]Balance sheet'!F27/'[1]Balance sheet'!F12</f>
        <v>0.9842442491509401</v>
      </c>
      <c r="J26" t="s">
        <v>109</v>
      </c>
      <c r="K26">
        <f>'[1]P&amp;L'!B9/'[1]Balance sheet'!B29</f>
        <v>5.575767137335332</v>
      </c>
      <c r="L26">
        <f>'[1]P&amp;L'!C9/'[1]Balance sheet'!C29</f>
        <v>4.956712753585735</v>
      </c>
      <c r="M26">
        <f>'[1]P&amp;L'!D9/'[1]Balance sheet'!D29</f>
        <v>4.844589598225289</v>
      </c>
      <c r="N26">
        <f>'[1]P&amp;L'!E9/'[1]Balance sheet'!E29</f>
        <v>6.9857191144160895</v>
      </c>
      <c r="O26">
        <f>'[1]P&amp;L'!F9/'[1]Balance sheet'!F29</f>
        <v>6.258980425898042</v>
      </c>
    </row>
    <row r="27" spans="1:15" ht="15">
      <c r="A27" s="76" t="s">
        <v>110</v>
      </c>
      <c r="B27" s="76"/>
      <c r="C27" s="84"/>
      <c r="D27" s="84"/>
      <c r="E27" s="84"/>
      <c r="F27" s="84"/>
      <c r="G27" s="84"/>
      <c r="J27" t="s">
        <v>111</v>
      </c>
      <c r="K27">
        <f>'[1]P&amp;L'!B3/'[1]Balance sheet'!B14</f>
        <v>5.294446333997376</v>
      </c>
      <c r="L27">
        <f>'[1]P&amp;L'!C3/'[1]Balance sheet'!C14</f>
        <v>5.926211453744493</v>
      </c>
      <c r="M27">
        <f>'[1]P&amp;L'!D3/'[1]Balance sheet'!D14</f>
        <v>4.919827133567591</v>
      </c>
      <c r="N27">
        <f>'[1]P&amp;L'!E3/'[1]Balance sheet'!E14</f>
        <v>6.71582965643746</v>
      </c>
      <c r="O27">
        <f>'[1]P&amp;L'!F3/'[1]Balance sheet'!F14</f>
        <v>8.08605688381955</v>
      </c>
    </row>
    <row r="28" spans="1:7" ht="15">
      <c r="A28" s="76" t="s">
        <v>112</v>
      </c>
      <c r="B28" s="76"/>
      <c r="C28" s="77">
        <f>'[1]Balance sheet'!B39/'[1]P&amp;L'!B3</f>
        <v>0.001284816225393542</v>
      </c>
      <c r="D28" s="77">
        <f>'[1]Balance sheet'!C39/'[1]P&amp;L'!C3</f>
        <v>-0.0014360291260495468</v>
      </c>
      <c r="E28" s="77">
        <f>'[1]Balance sheet'!D39/'[1]P&amp;L'!D3</f>
        <v>-0.033938100320170764</v>
      </c>
      <c r="F28" s="77">
        <f>'[1]Balance sheet'!E39/'[1]P&amp;L'!E3</f>
        <v>-0.043125530579854576</v>
      </c>
      <c r="G28" s="77">
        <f>'[1]Balance sheet'!F39/'[1]P&amp;L'!F3</f>
        <v>-0.00951235611657156</v>
      </c>
    </row>
    <row r="29" spans="1:7" ht="15">
      <c r="A29" s="76" t="s">
        <v>113</v>
      </c>
      <c r="B29" s="76"/>
      <c r="C29" s="76">
        <f aca="true" t="shared" si="0" ref="C29:G31">365/K25</f>
        <v>53.51814802918368</v>
      </c>
      <c r="D29" s="76">
        <f t="shared" si="0"/>
        <v>47.22597185382913</v>
      </c>
      <c r="E29" s="76">
        <f t="shared" si="0"/>
        <v>57.01682948854774</v>
      </c>
      <c r="F29" s="76">
        <f t="shared" si="0"/>
        <v>47.55656442623555</v>
      </c>
      <c r="G29" s="76">
        <f t="shared" si="0"/>
        <v>46.023934607072775</v>
      </c>
    </row>
    <row r="30" spans="1:15" ht="15">
      <c r="A30" s="76" t="s">
        <v>114</v>
      </c>
      <c r="B30" s="76"/>
      <c r="C30" s="76">
        <f t="shared" si="0"/>
        <v>65.46184426461433</v>
      </c>
      <c r="D30" s="76">
        <f t="shared" si="0"/>
        <v>73.63751303441084</v>
      </c>
      <c r="E30" s="76">
        <f t="shared" si="0"/>
        <v>75.34177923630722</v>
      </c>
      <c r="F30" s="76">
        <f t="shared" si="0"/>
        <v>52.249452636417516</v>
      </c>
      <c r="G30" s="76">
        <f t="shared" si="0"/>
        <v>58.316207299470754</v>
      </c>
      <c r="J30" t="s">
        <v>115</v>
      </c>
      <c r="K30">
        <f>('[1]Balance sheet'!B10+'[1]Balance sheet'!B13-'[1]Balance sheet'!B31)</f>
        <v>41.35</v>
      </c>
      <c r="L30">
        <f>('[1]Balance sheet'!C10+'[1]Balance sheet'!C13-'[1]Balance sheet'!C31)</f>
        <v>145.6</v>
      </c>
      <c r="M30">
        <f>('[1]Balance sheet'!D10+'[1]Balance sheet'!D13-'[1]Balance sheet'!D31)</f>
        <v>142.86999999999998</v>
      </c>
      <c r="N30">
        <f>('[1]Balance sheet'!E10+'[1]Balance sheet'!E13-'[1]Balance sheet'!E31)</f>
        <v>72.39</v>
      </c>
      <c r="O30">
        <f>('[1]Balance sheet'!F10+'[1]Balance sheet'!F13-'[1]Balance sheet'!F31)</f>
        <v>92.22</v>
      </c>
    </row>
    <row r="31" spans="1:7" ht="15">
      <c r="A31" s="76" t="s">
        <v>116</v>
      </c>
      <c r="B31" s="76"/>
      <c r="C31" s="76">
        <f t="shared" si="0"/>
        <v>68.94016427293168</v>
      </c>
      <c r="D31" s="76">
        <f t="shared" si="0"/>
        <v>61.590782382456794</v>
      </c>
      <c r="E31" s="76">
        <f t="shared" si="0"/>
        <v>74.18959855512684</v>
      </c>
      <c r="F31" s="76">
        <f t="shared" si="0"/>
        <v>54.34920459159192</v>
      </c>
      <c r="G31" s="76">
        <f t="shared" si="0"/>
        <v>45.13943016284937</v>
      </c>
    </row>
    <row r="32" spans="1:7" ht="15">
      <c r="A32" s="76" t="s">
        <v>117</v>
      </c>
      <c r="B32" s="76"/>
      <c r="C32" s="76">
        <f>C29+C30-C31</f>
        <v>50.039828020866324</v>
      </c>
      <c r="D32" s="76">
        <f>D29+D30-D31</f>
        <v>59.27270250578319</v>
      </c>
      <c r="E32" s="76">
        <f>E29+E30-E31</f>
        <v>58.16901016972811</v>
      </c>
      <c r="F32" s="76">
        <f>F29+F30-F31</f>
        <v>45.45681247106115</v>
      </c>
      <c r="G32" s="76">
        <f>G29+G30-G31</f>
        <v>59.20071174369415</v>
      </c>
    </row>
    <row r="33" spans="1:7" ht="15">
      <c r="A33" s="85"/>
      <c r="B33" s="85"/>
      <c r="C33" s="85"/>
      <c r="D33" s="85"/>
      <c r="E33" s="85"/>
      <c r="F33" s="85"/>
      <c r="G33" s="85"/>
    </row>
    <row r="34" spans="1:15" ht="15">
      <c r="A34" s="85"/>
      <c r="B34" s="85"/>
      <c r="C34" s="85"/>
      <c r="D34" s="85"/>
      <c r="E34" s="85"/>
      <c r="F34" s="85"/>
      <c r="G34" s="85"/>
      <c r="J34" t="s">
        <v>118</v>
      </c>
      <c r="K34">
        <f>'[1]P&amp;L'!B21*(1-C21)</f>
        <v>41.839305711086354</v>
      </c>
      <c r="L34">
        <f>'[1]P&amp;L'!C21*(1-D21)</f>
        <v>29.718671926363957</v>
      </c>
      <c r="M34">
        <f>'[1]P&amp;L'!D21*(1-E21)</f>
        <v>30.646389228886235</v>
      </c>
      <c r="N34">
        <f>'[1]P&amp;L'!E21*(1-F21)</f>
        <v>53.981382741465076</v>
      </c>
      <c r="O34">
        <f>'[1]P&amp;L'!F21*(1-G21)</f>
        <v>62.583180848226135</v>
      </c>
    </row>
    <row r="35" spans="1:15" ht="15.75" thickBot="1">
      <c r="A35" s="70" t="s">
        <v>119</v>
      </c>
      <c r="B35" s="71"/>
      <c r="C35" s="72"/>
      <c r="D35" s="72"/>
      <c r="E35" s="72"/>
      <c r="F35" s="72"/>
      <c r="G35" s="72"/>
      <c r="J35" t="s">
        <v>120</v>
      </c>
      <c r="K35" s="60">
        <f>'[1]Balance sheet'!B5+'[1]Balance sheet'!B10+'[1]Balance sheet'!B13-'[1]Balance sheet'!B31</f>
        <v>421.52</v>
      </c>
      <c r="L35" s="60">
        <f>'[1]Balance sheet'!C5+'[1]Balance sheet'!C10+'[1]Balance sheet'!C13-'[1]Balance sheet'!C31</f>
        <v>552.2699999999999</v>
      </c>
      <c r="M35" s="60">
        <f>'[1]Balance sheet'!D5+'[1]Balance sheet'!D10+'[1]Balance sheet'!D13-'[1]Balance sheet'!D31</f>
        <v>569.3</v>
      </c>
      <c r="N35" s="60">
        <f>'[1]Balance sheet'!E5+'[1]Balance sheet'!E10+'[1]Balance sheet'!E13-'[1]Balance sheet'!E31</f>
        <v>527.42</v>
      </c>
      <c r="O35" s="60">
        <f>'[1]Balance sheet'!F5+'[1]Balance sheet'!F10+'[1]Balance sheet'!F13-'[1]Balance sheet'!F31</f>
        <v>584.25</v>
      </c>
    </row>
    <row r="36" spans="1:7" ht="15">
      <c r="A36" s="86" t="s">
        <v>121</v>
      </c>
      <c r="B36" s="86"/>
      <c r="C36" s="87">
        <f>'[1]P&amp;L'!B32/'[1]P&amp;L'!B27</f>
        <v>0.6699999999999978</v>
      </c>
      <c r="D36" s="87">
        <f>'[1]P&amp;L'!C32/'[1]P&amp;L'!C27</f>
        <v>0.900448430493283</v>
      </c>
      <c r="E36" s="87">
        <f>'[1]P&amp;L'!D32/'[1]P&amp;L'!D27</f>
        <v>0.8845814977973547</v>
      </c>
      <c r="F36" s="87">
        <f>'[1]P&amp;L'!E32/'[1]P&amp;L'!E27</f>
        <v>0.5786674132138859</v>
      </c>
      <c r="G36" s="87">
        <f>'[1]P&amp;L'!F32/'[1]P&amp;L'!F27</f>
        <v>0.4365129500947572</v>
      </c>
    </row>
    <row r="37" spans="1:15" ht="15">
      <c r="A37" s="88" t="s">
        <v>122</v>
      </c>
      <c r="B37" s="88"/>
      <c r="C37" s="89">
        <f>'[1]P&amp;L'!B21/'[1]P&amp;L'!B22</f>
        <v>6.117478510028664</v>
      </c>
      <c r="D37" s="89">
        <f>'[1]P&amp;L'!C21/'[1]P&amp;L'!C22</f>
        <v>4.005928853754925</v>
      </c>
      <c r="E37" s="89">
        <f>'[1]P&amp;L'!D21/'[1]P&amp;L'!D22</f>
        <v>3.85664335664336</v>
      </c>
      <c r="F37" s="89">
        <f>'[1]P&amp;L'!E21/'[1]P&amp;L'!E22</f>
        <v>2.9560402684563756</v>
      </c>
      <c r="G37" s="89">
        <f>'[1]P&amp;L'!F21/'[1]P&amp;L'!F22</f>
        <v>4.146454049517413</v>
      </c>
      <c r="J37" t="s">
        <v>123</v>
      </c>
      <c r="K37" s="90">
        <f>C20</f>
        <v>0.03212040563483698</v>
      </c>
      <c r="L37" s="90">
        <f>D20</f>
        <v>0.018837323241708843</v>
      </c>
      <c r="M37" s="90">
        <f>E20</f>
        <v>0.018635580001641946</v>
      </c>
      <c r="N37" s="90">
        <f>F20</f>
        <v>0.02636843465101686</v>
      </c>
      <c r="O37" s="90">
        <f>G20</f>
        <v>0.04294123497870566</v>
      </c>
    </row>
    <row r="38" spans="1:15" ht="15">
      <c r="A38" s="78" t="s">
        <v>124</v>
      </c>
      <c r="B38" s="78"/>
      <c r="C38" s="91">
        <f>K30/'[1]Balance sheet'!B5</f>
        <v>0.10876713049425259</v>
      </c>
      <c r="D38" s="91">
        <f>L30/'[1]Balance sheet'!C5</f>
        <v>0.35802985221432615</v>
      </c>
      <c r="E38" s="91">
        <f>M30/'[1]Balance sheet'!D5</f>
        <v>0.33503740355978706</v>
      </c>
      <c r="F38" s="91">
        <f>N30/'[1]Balance sheet'!E5</f>
        <v>0.15908841175307123</v>
      </c>
      <c r="G38" s="91">
        <f>O30/'[1]Balance sheet'!F5</f>
        <v>0.1874275958783001</v>
      </c>
      <c r="J38" t="s">
        <v>125</v>
      </c>
      <c r="K38">
        <f>'[1]P&amp;L'!B3/'[1]Balance sheet'!B35</f>
        <v>1.4876986510840478</v>
      </c>
      <c r="L38">
        <f>'[1]P&amp;L'!C3/'[1]Balance sheet'!C35</f>
        <v>1.3885148607755284</v>
      </c>
      <c r="M38">
        <f>'[1]P&amp;L'!D3/'[1]Balance sheet'!D35</f>
        <v>1.2429972346092228</v>
      </c>
      <c r="N38">
        <f>'[1]P&amp;L'!E3/'[1]Balance sheet'!E35</f>
        <v>1.4831176509229456</v>
      </c>
      <c r="O38">
        <f>'[1]P&amp;L'!F3/'[1]Balance sheet'!F35</f>
        <v>1.3175715119673088</v>
      </c>
    </row>
    <row r="39" spans="1:15" ht="15">
      <c r="A39" s="76" t="s">
        <v>126</v>
      </c>
      <c r="B39" s="76"/>
      <c r="C39" s="77">
        <f>'[1]P&amp;L'!B22/'[1]Cash Flow Statement'!B3</f>
        <v>0.3766187050359712</v>
      </c>
      <c r="D39" s="77">
        <f>'[1]P&amp;L'!C22/'[1]Cash Flow Statement'!C3</f>
        <v>0.2045546422315052</v>
      </c>
      <c r="E39" s="77">
        <f>'[1]P&amp;L'!D22/'[1]Cash Flow Statement'!D3</f>
        <v>0.14854056299989613</v>
      </c>
      <c r="F39" s="77">
        <f>'[1]P&amp;L'!E22/'[1]Cash Flow Statement'!E3</f>
        <v>0.18520820385332504</v>
      </c>
      <c r="G39" s="77">
        <f>'[1]P&amp;L'!F22/'[1]Cash Flow Statement'!F3</f>
        <v>0.20461961188390865</v>
      </c>
      <c r="J39" t="s">
        <v>127</v>
      </c>
      <c r="K39">
        <f>'[1]Balance sheet'!B35/'[1]Balance sheet'!B5</f>
        <v>1.9266117789410004</v>
      </c>
      <c r="L39">
        <f>'[1]Balance sheet'!C35/'[1]Balance sheet'!C5</f>
        <v>2.0964910123687512</v>
      </c>
      <c r="M39">
        <f>'[1]Balance sheet'!D35/'[1]Balance sheet'!D5</f>
        <v>2.298079403419084</v>
      </c>
      <c r="N39">
        <f>'[1]Balance sheet'!E35/'[1]Balance sheet'!E5</f>
        <v>2.007296222227106</v>
      </c>
      <c r="O39">
        <f>'[1]Balance sheet'!F35/'[1]Balance sheet'!F5</f>
        <v>1.7059325650874948</v>
      </c>
    </row>
    <row r="40" spans="1:7" ht="15">
      <c r="A40" s="76" t="s">
        <v>128</v>
      </c>
      <c r="B40" s="76"/>
      <c r="C40" s="92">
        <f>K30/'[1]Cash Flow Statement'!B19</f>
        <v>-1.4652368073114332</v>
      </c>
      <c r="D40" s="92">
        <f>L30/'[1]Cash Flow Statement'!C19</f>
        <v>-1.8752899211346756</v>
      </c>
      <c r="E40" s="92">
        <f>M30/'[1]Cash Flow Statement'!D19</f>
        <v>8.485786237044106</v>
      </c>
      <c r="F40" s="92">
        <f>N30/'[1]Cash Flow Statement'!E19</f>
        <v>0.5947677067622198</v>
      </c>
      <c r="G40" s="92">
        <f>O30/'[1]Cash Flow Statement'!F19</f>
        <v>0.9420472314918248</v>
      </c>
    </row>
    <row r="41" spans="1:7" ht="15">
      <c r="A41" s="93" t="s">
        <v>129</v>
      </c>
      <c r="B41" s="93"/>
      <c r="C41" s="92">
        <f>K30/'[1]P&amp;L'!B18</f>
        <v>0.4434316353887394</v>
      </c>
      <c r="D41" s="92">
        <f>L30/'[1]P&amp;L'!C18</f>
        <v>1.5487714072971</v>
      </c>
      <c r="E41" s="92">
        <f>M30/'[1]P&amp;L'!D18</f>
        <v>1.6063638407915437</v>
      </c>
      <c r="F41" s="92">
        <f>N30/'[1]P&amp;L'!E18</f>
        <v>0.5226337448559671</v>
      </c>
      <c r="G41" s="92">
        <f>O30/'[1]P&amp;L'!F18</f>
        <v>0.644084369325325</v>
      </c>
    </row>
    <row r="42" spans="1:15" ht="15">
      <c r="A42" s="82"/>
      <c r="B42" s="82"/>
      <c r="C42" s="94"/>
      <c r="D42" s="94"/>
      <c r="E42" s="94"/>
      <c r="F42" s="94"/>
      <c r="G42" s="94"/>
      <c r="J42" t="s">
        <v>130</v>
      </c>
      <c r="K42">
        <f>'[1]P&amp;L'!B3/'[1]Balance sheet'!B22</f>
        <v>3.0075903947005247</v>
      </c>
      <c r="L42">
        <f>'[1]P&amp;L'!C3/'[1]Balance sheet'!C22</f>
        <v>3.224086279209107</v>
      </c>
      <c r="M42">
        <f>'[1]P&amp;L'!D3/'[1]Balance sheet'!D22</f>
        <v>2.235086882328116</v>
      </c>
      <c r="N42">
        <f>'[1]P&amp;L'!E3/'[1]Balance sheet'!E22</f>
        <v>2.5148049826424344</v>
      </c>
      <c r="O42">
        <f>'[1]P&amp;L'!F3/'[1]Balance sheet'!F22</f>
        <v>2.0254386286216626</v>
      </c>
    </row>
    <row r="43" spans="1:7" ht="15">
      <c r="A43" s="94"/>
      <c r="B43" s="94"/>
      <c r="C43" s="94"/>
      <c r="D43" s="94"/>
      <c r="E43" s="94"/>
      <c r="F43" s="94"/>
      <c r="G43" s="94"/>
    </row>
    <row r="44" spans="1:15" ht="15.75" thickBot="1">
      <c r="A44" s="70" t="s">
        <v>131</v>
      </c>
      <c r="B44" s="71"/>
      <c r="C44" s="72"/>
      <c r="D44" s="72"/>
      <c r="E44" s="72"/>
      <c r="F44" s="72"/>
      <c r="G44" s="72"/>
      <c r="J44" t="s">
        <v>132</v>
      </c>
      <c r="L44">
        <f>AVERAGE(K42:L42)</f>
        <v>3.115838336954816</v>
      </c>
      <c r="M44">
        <f>AVERAGE(L42:M42)</f>
        <v>2.7295865807686113</v>
      </c>
      <c r="N44">
        <f>AVERAGE(M42:N42)</f>
        <v>2.374945932485275</v>
      </c>
      <c r="O44">
        <f>AVERAGE(N42:O42)</f>
        <v>2.2701218056320487</v>
      </c>
    </row>
    <row r="45" spans="1:15" ht="15">
      <c r="A45" s="74" t="s">
        <v>133</v>
      </c>
      <c r="B45" s="74"/>
      <c r="C45" s="75">
        <f>K34/K35</f>
        <v>0.09925817449014603</v>
      </c>
      <c r="D45" s="75">
        <f>L34/L35</f>
        <v>0.053811852764705605</v>
      </c>
      <c r="E45" s="75">
        <f>M34/M35</f>
        <v>0.05383170424887799</v>
      </c>
      <c r="F45" s="75">
        <f>N34/N35</f>
        <v>0.1023498971246162</v>
      </c>
      <c r="G45" s="75">
        <f>O34/O35</f>
        <v>0.10711712597043412</v>
      </c>
      <c r="J45" t="s">
        <v>134</v>
      </c>
      <c r="L45" s="60">
        <f>AVERAGE('[1]P&amp;L'!B20:C20)</f>
        <v>31.200000000000003</v>
      </c>
      <c r="M45" s="60">
        <f>AVERAGE('[1]P&amp;L'!C20:D20)</f>
        <v>33.495000000000005</v>
      </c>
      <c r="N45" s="60">
        <f>AVERAGE('[1]P&amp;L'!D20:E20)</f>
        <v>42.105000000000004</v>
      </c>
      <c r="O45" s="60">
        <f>AVERAGE('[1]P&amp;L'!E20:F20)</f>
        <v>47.394999999999996</v>
      </c>
    </row>
    <row r="46" spans="1:15" ht="15">
      <c r="A46" s="76"/>
      <c r="B46" s="76"/>
      <c r="C46" s="95"/>
      <c r="D46" s="95"/>
      <c r="E46" s="95"/>
      <c r="F46" s="95"/>
      <c r="G46" s="95"/>
      <c r="J46" t="s">
        <v>135</v>
      </c>
      <c r="L46" s="90">
        <f>AVERAGE(C20:D20)</f>
        <v>0.02547886443827291</v>
      </c>
      <c r="M46" s="90">
        <f>AVERAGE(D20:E20)</f>
        <v>0.018736451621675393</v>
      </c>
      <c r="N46" s="90">
        <f>AVERAGE(E20:F20)</f>
        <v>0.022502007326329405</v>
      </c>
      <c r="O46" s="90">
        <f>AVERAGE(F20:G20)</f>
        <v>0.03465483481486126</v>
      </c>
    </row>
    <row r="47" spans="1:15" ht="15">
      <c r="A47" s="76" t="s">
        <v>136</v>
      </c>
      <c r="B47" s="96"/>
      <c r="C47" s="97">
        <f>K37*K38*K39</f>
        <v>0.09206407659731204</v>
      </c>
      <c r="D47" s="97">
        <f>L37*L38*L39</f>
        <v>0.05483561610150679</v>
      </c>
      <c r="E47" s="97">
        <f>M37*M38*M39</f>
        <v>0.05323265248692648</v>
      </c>
      <c r="F47" s="97">
        <f>N37*N38*N39</f>
        <v>0.07850031866030809</v>
      </c>
      <c r="G47" s="97">
        <f>O37*O38*O39</f>
        <v>0.0965185049692091</v>
      </c>
      <c r="J47" t="s">
        <v>137</v>
      </c>
      <c r="L47" s="90">
        <f>AVERAGE(C36:D36)</f>
        <v>0.7852242152466404</v>
      </c>
      <c r="M47" s="90">
        <f>AVERAGE(D36:E36)</f>
        <v>0.892514964145319</v>
      </c>
      <c r="N47" s="90">
        <f>AVERAGE(E36:F36)</f>
        <v>0.7316244555056204</v>
      </c>
      <c r="O47" s="90">
        <f>AVERAGE(F36:G36)</f>
        <v>0.5075901816543216</v>
      </c>
    </row>
    <row r="48" spans="1:15" ht="15">
      <c r="A48" s="88"/>
      <c r="B48" s="88"/>
      <c r="C48" s="95"/>
      <c r="D48" s="95"/>
      <c r="E48" s="95"/>
      <c r="F48" s="95"/>
      <c r="G48" s="95"/>
      <c r="J48" t="s">
        <v>138</v>
      </c>
      <c r="L48" s="60">
        <f>AVERAGE('[1]Balance sheet'!B22:C22)</f>
        <v>364.74</v>
      </c>
      <c r="M48" s="60">
        <f>AVERAGE('[1]Balance sheet'!C22:D22)</f>
        <v>456.08500000000004</v>
      </c>
      <c r="N48" s="60">
        <f>AVERAGE('[1]Balance sheet'!D22:E22)</f>
        <v>541.8299999999999</v>
      </c>
      <c r="O48" s="60">
        <f>AVERAGE('[1]Balance sheet'!E22:F22)</f>
        <v>542.345</v>
      </c>
    </row>
    <row r="49" spans="1:15" ht="15">
      <c r="A49" s="76" t="s">
        <v>139</v>
      </c>
      <c r="B49" s="76"/>
      <c r="C49" s="84">
        <f>('[1]Balance sheet'!B10+'[1]Balance sheet'!B13)/'[1]Balance sheet'!B5</f>
        <v>0.14459320830154931</v>
      </c>
      <c r="D49" s="84">
        <f>('[1]Balance sheet'!C10+'[1]Balance sheet'!C13)/'[1]Balance sheet'!C5</f>
        <v>0.3938820173605135</v>
      </c>
      <c r="E49" s="84">
        <f>('[1]Balance sheet'!D10+'[1]Balance sheet'!D13)/'[1]Balance sheet'!D5</f>
        <v>0.3620523884342096</v>
      </c>
      <c r="F49" s="84">
        <f>('[1]Balance sheet'!E10+'[1]Balance sheet'!E13)/'[1]Balance sheet'!E5</f>
        <v>0.18130672702898712</v>
      </c>
      <c r="G49" s="84">
        <f>('[1]Balance sheet'!F10+'[1]Balance sheet'!F13)/'[1]Balance sheet'!F5</f>
        <v>0.19966262219783346</v>
      </c>
      <c r="J49" t="s">
        <v>140</v>
      </c>
      <c r="L49">
        <f>L45/L48</f>
        <v>0.0855403849317322</v>
      </c>
      <c r="M49">
        <f>M45/M48</f>
        <v>0.07344025784667332</v>
      </c>
      <c r="N49">
        <f>N45/N48</f>
        <v>0.07770887547754833</v>
      </c>
      <c r="O49">
        <f>O45/O48</f>
        <v>0.08738902359199402</v>
      </c>
    </row>
    <row r="50" spans="1:7" ht="15">
      <c r="A50" s="88"/>
      <c r="B50" s="88"/>
      <c r="C50" s="95"/>
      <c r="D50" s="95"/>
      <c r="E50" s="95"/>
      <c r="F50" s="95"/>
      <c r="G50" s="95"/>
    </row>
    <row r="51" spans="10:15" ht="15">
      <c r="J51" t="s">
        <v>141</v>
      </c>
      <c r="L51">
        <f>1-L49</f>
        <v>0.9144596150682678</v>
      </c>
      <c r="M51">
        <f>1-M49</f>
        <v>0.9265597421533267</v>
      </c>
      <c r="N51">
        <f>1-N49</f>
        <v>0.9222911245224517</v>
      </c>
      <c r="O51">
        <f>1-O49</f>
        <v>0.9126109764080059</v>
      </c>
    </row>
    <row r="52" spans="1:15" ht="15">
      <c r="A52" t="s">
        <v>142</v>
      </c>
      <c r="C52" s="61">
        <f>('[1]Balance sheet'!B10+'[1]Balance sheet'!B13)/'[1]Balance sheet'!B35</f>
        <v>0.07505051608322866</v>
      </c>
      <c r="D52" s="61">
        <f>('[1]Balance sheet'!C10+'[1]Balance sheet'!C13)/'[1]Balance sheet'!C35</f>
        <v>0.18787679748528</v>
      </c>
      <c r="E52" s="61">
        <f>('[1]Balance sheet'!D10+'[1]Balance sheet'!D13)/'[1]Balance sheet'!D35</f>
        <v>0.15754563915221895</v>
      </c>
      <c r="F52" s="61">
        <f>('[1]Balance sheet'!E10+'[1]Balance sheet'!E13)/'[1]Balance sheet'!E35</f>
        <v>0.09032385206595284</v>
      </c>
      <c r="G52" s="61">
        <f>('[1]Balance sheet'!F10+'[1]Balance sheet'!F13)/'[1]Balance sheet'!F35</f>
        <v>0.11704016107318584</v>
      </c>
      <c r="J52" t="s">
        <v>143</v>
      </c>
      <c r="L52">
        <f>L44*L46</f>
        <v>0.07938802259884548</v>
      </c>
      <c r="M52">
        <f>M44*M46</f>
        <v>0.051142766917745434</v>
      </c>
      <c r="N52">
        <f>N44*N46</f>
        <v>0.05344105077241988</v>
      </c>
      <c r="O52">
        <f>O44*O46</f>
        <v>0.07867069618379322</v>
      </c>
    </row>
    <row r="53" spans="10:15" ht="15">
      <c r="J53" t="s">
        <v>144</v>
      </c>
      <c r="L53" s="61">
        <f>1-L47</f>
        <v>0.21477578475335957</v>
      </c>
      <c r="M53" s="61">
        <f>1-M47</f>
        <v>0.10748503585468105</v>
      </c>
      <c r="N53" s="61">
        <f>1-N47</f>
        <v>0.2683755444943796</v>
      </c>
      <c r="O53" s="61">
        <f>1-O47</f>
        <v>0.49240981834567843</v>
      </c>
    </row>
    <row r="54" spans="1:15" ht="15">
      <c r="A54" t="s">
        <v>145</v>
      </c>
      <c r="C54" s="73">
        <f>K37*K38</f>
        <v>0.04778548413521942</v>
      </c>
      <c r="D54" s="73">
        <f>L37*L38</f>
        <v>0.026155903258344982</v>
      </c>
      <c r="E54" s="73">
        <f>M37*M38</f>
        <v>0.023163974407379877</v>
      </c>
      <c r="F54" s="73">
        <f>N37*N38</f>
        <v>0.039107490858131325</v>
      </c>
      <c r="G54" s="73">
        <f>O37*O38</f>
        <v>0.056578147896636705</v>
      </c>
      <c r="L54">
        <f>(L52*L53)+L51</f>
        <v>0.9315102399219523</v>
      </c>
      <c r="M54">
        <f>(M52*M53)+M51</f>
        <v>0.9320568242891881</v>
      </c>
      <c r="N54">
        <f>(N52*N53)+N51</f>
        <v>0.9366333956218517</v>
      </c>
      <c r="O54">
        <f>(O52*O53)+O51</f>
        <v>0.9513491996249956</v>
      </c>
    </row>
    <row r="55" spans="10:15" ht="15">
      <c r="J55" t="s">
        <v>146</v>
      </c>
      <c r="L55" s="73">
        <f>L54-1</f>
        <v>-0.06848976007804775</v>
      </c>
      <c r="M55" s="73">
        <f>M54-1</f>
        <v>-0.06794317571081188</v>
      </c>
      <c r="N55" s="73">
        <f>N54-1</f>
        <v>-0.06336660437814834</v>
      </c>
      <c r="O55" s="73">
        <f>O54-1</f>
        <v>-0.048650800375004355</v>
      </c>
    </row>
    <row r="56" spans="1:7" ht="15">
      <c r="A56" t="s">
        <v>147</v>
      </c>
      <c r="C56">
        <v>25</v>
      </c>
      <c r="D56">
        <v>25.45</v>
      </c>
      <c r="E56">
        <v>25.9</v>
      </c>
      <c r="F56">
        <v>56.35</v>
      </c>
      <c r="G56">
        <v>63.7</v>
      </c>
    </row>
    <row r="57" spans="1:7" ht="15">
      <c r="A57" t="s">
        <v>148</v>
      </c>
      <c r="C57">
        <v>13.73</v>
      </c>
      <c r="D57">
        <v>13.73</v>
      </c>
      <c r="E57">
        <v>13.73</v>
      </c>
      <c r="F57">
        <v>13.73</v>
      </c>
      <c r="G57">
        <v>13.73</v>
      </c>
    </row>
    <row r="58" spans="1:7" ht="15">
      <c r="A58" t="s">
        <v>149</v>
      </c>
      <c r="C58">
        <f>C56*C57</f>
        <v>343.25</v>
      </c>
      <c r="D58">
        <f>D56*D57</f>
        <v>349.4285</v>
      </c>
      <c r="E58">
        <f>E56*E57</f>
        <v>355.60699999999997</v>
      </c>
      <c r="F58">
        <f>F56*F57</f>
        <v>773.6855</v>
      </c>
      <c r="G58">
        <f>G56*G57</f>
        <v>874.6010000000001</v>
      </c>
    </row>
    <row r="59" spans="1:7" ht="15">
      <c r="A59" t="s">
        <v>150</v>
      </c>
      <c r="C59" s="60">
        <f>'[1]Balance sheet'!B10+'[1]Balance sheet'!B13</f>
        <v>54.97</v>
      </c>
      <c r="D59" s="60">
        <f>'[1]Balance sheet'!C10+'[1]Balance sheet'!C13</f>
        <v>160.18</v>
      </c>
      <c r="E59" s="60">
        <f>'[1]Balance sheet'!D10+'[1]Balance sheet'!D13</f>
        <v>154.39</v>
      </c>
      <c r="F59" s="60">
        <f>'[1]Balance sheet'!E10+'[1]Balance sheet'!E13</f>
        <v>82.5</v>
      </c>
      <c r="G59" s="60">
        <f>'[1]Balance sheet'!F10+'[1]Balance sheet'!F13</f>
        <v>98.24</v>
      </c>
    </row>
    <row r="60" spans="1:7" ht="15">
      <c r="A60" t="s">
        <v>151</v>
      </c>
      <c r="C60" s="60">
        <f>'[1]Balance sheet'!B31</f>
        <v>13.62</v>
      </c>
      <c r="D60" s="60">
        <f>'[1]Balance sheet'!C31</f>
        <v>14.58</v>
      </c>
      <c r="E60" s="60">
        <f>'[1]Balance sheet'!D31</f>
        <v>11.52</v>
      </c>
      <c r="F60" s="60">
        <f>'[1]Balance sheet'!E31</f>
        <v>10.11</v>
      </c>
      <c r="G60" s="60">
        <f>'[1]Balance sheet'!F31</f>
        <v>6.02</v>
      </c>
    </row>
    <row r="61" spans="1:7" ht="15">
      <c r="A61" t="s">
        <v>19</v>
      </c>
      <c r="C61" s="60">
        <f>'[1]Balance sheet'!B7</f>
        <v>0</v>
      </c>
      <c r="D61" s="60">
        <f>'[1]Balance sheet'!C7</f>
        <v>0</v>
      </c>
      <c r="E61" s="60">
        <f>'[1]Balance sheet'!D7</f>
        <v>0</v>
      </c>
      <c r="F61" s="60">
        <f>'[1]Balance sheet'!E7</f>
        <v>0</v>
      </c>
      <c r="G61" s="60">
        <f>'[1]Balance sheet'!F7</f>
        <v>0</v>
      </c>
    </row>
    <row r="63" spans="1:7" ht="15">
      <c r="A63" s="98" t="s">
        <v>152</v>
      </c>
      <c r="B63" s="98"/>
      <c r="C63" s="99">
        <f>C58+C59-C60+C61</f>
        <v>384.6</v>
      </c>
      <c r="D63" s="99">
        <f>D58+D59-D60+D61</f>
        <v>495.0285</v>
      </c>
      <c r="E63" s="99">
        <f>E58+E59-E60+E61</f>
        <v>498.477</v>
      </c>
      <c r="F63" s="99">
        <f>F58+F59-F60+F61</f>
        <v>846.0755</v>
      </c>
      <c r="G63" s="99">
        <f>G58+G59-G60+G61</f>
        <v>966.8210000000001</v>
      </c>
    </row>
    <row r="64" spans="1:7" ht="15">
      <c r="A64" t="s">
        <v>153</v>
      </c>
      <c r="C64">
        <f>'[1]P&amp;L'!B21</f>
        <v>64.05000000000011</v>
      </c>
      <c r="D64">
        <f>'[1]P&amp;L'!C21</f>
        <v>60.80999999999976</v>
      </c>
      <c r="E64">
        <f>'[1]P&amp;L'!D21</f>
        <v>55.150000000000055</v>
      </c>
      <c r="F64">
        <f>'[1]P&amp;L'!E21</f>
        <v>88.08999999999999</v>
      </c>
      <c r="G64">
        <f>'[1]P&amp;L'!F21</f>
        <v>98.80999999999995</v>
      </c>
    </row>
    <row r="65" spans="1:7" ht="15">
      <c r="A65" t="s">
        <v>154</v>
      </c>
      <c r="C65">
        <f>C63/C64</f>
        <v>6.004683840749404</v>
      </c>
      <c r="D65">
        <f>D63/D64</f>
        <v>8.140577207696134</v>
      </c>
      <c r="E65">
        <f>E63/E64</f>
        <v>9.03856754306436</v>
      </c>
      <c r="F65">
        <f>F63/F64</f>
        <v>9.604671358837553</v>
      </c>
      <c r="G65">
        <f>G63/G64</f>
        <v>9.78464730290457</v>
      </c>
    </row>
    <row r="66" spans="1:7" ht="15">
      <c r="A66" t="s">
        <v>155</v>
      </c>
      <c r="C66">
        <f>'[1]P&amp;L'!B31</f>
        <v>2.549162418062645</v>
      </c>
      <c r="D66">
        <f>'[1]P&amp;L'!C31</f>
        <v>1.6241806263656053</v>
      </c>
      <c r="E66">
        <f>'[1]P&amp;L'!D31</f>
        <v>1.6533139111434851</v>
      </c>
      <c r="F66">
        <f>'[1]P&amp;L'!E31</f>
        <v>2.6016023306627813</v>
      </c>
      <c r="G66">
        <f>'[1]P&amp;L'!F31</f>
        <v>3.458849235251271</v>
      </c>
    </row>
    <row r="67" spans="1:7" ht="15">
      <c r="A67" s="98" t="s">
        <v>156</v>
      </c>
      <c r="B67" s="98"/>
      <c r="C67" s="98">
        <f>C56/C66</f>
        <v>9.807142857142825</v>
      </c>
      <c r="D67" s="98">
        <f>D56/D66</f>
        <v>15.669439461883576</v>
      </c>
      <c r="E67" s="98">
        <f>E56/E66</f>
        <v>15.66550660792948</v>
      </c>
      <c r="F67" s="98">
        <f>F56/F66</f>
        <v>21.659728443449055</v>
      </c>
      <c r="G67" s="98">
        <f>G56/G66</f>
        <v>18.41652979574649</v>
      </c>
    </row>
    <row r="68" spans="1:7" ht="15">
      <c r="A68" s="98" t="s">
        <v>157</v>
      </c>
      <c r="B68" s="98"/>
      <c r="C68" s="100">
        <f>C66/C56</f>
        <v>0.1019664967225058</v>
      </c>
      <c r="D68" s="100">
        <f>D66/D56</f>
        <v>0.0638184921951122</v>
      </c>
      <c r="E68" s="100">
        <f>E66/E56</f>
        <v>0.06383451394376391</v>
      </c>
      <c r="F68" s="100">
        <f>F66/F56</f>
        <v>0.046168630535275625</v>
      </c>
      <c r="G68" s="100">
        <f>G66/G56</f>
        <v>0.05429904607929782</v>
      </c>
    </row>
    <row r="69" spans="1:7" ht="15">
      <c r="A69" t="s">
        <v>158</v>
      </c>
      <c r="C69">
        <f>'[1]Balance sheet'!B5</f>
        <v>380.16999999999996</v>
      </c>
      <c r="D69">
        <f>'[1]Balance sheet'!C5</f>
        <v>406.66999999999996</v>
      </c>
      <c r="E69">
        <f>'[1]Balance sheet'!D5</f>
        <v>426.42999999999995</v>
      </c>
      <c r="F69">
        <f>'[1]Balance sheet'!E5</f>
        <v>455.03</v>
      </c>
      <c r="G69">
        <f>'[1]Balance sheet'!F5</f>
        <v>492.03</v>
      </c>
    </row>
    <row r="70" spans="1:7" ht="15">
      <c r="A70" t="s">
        <v>159</v>
      </c>
      <c r="C70" s="73">
        <f>C56/C69</f>
        <v>0.06576005471236553</v>
      </c>
      <c r="D70" s="73">
        <f>D56/D69</f>
        <v>0.06258145425037501</v>
      </c>
      <c r="E70" s="73">
        <f>E56/E69</f>
        <v>0.060736814952043715</v>
      </c>
      <c r="F70" s="73">
        <f>F56/F69</f>
        <v>0.1238379887040415</v>
      </c>
      <c r="G70" s="73">
        <f>G56/G69</f>
        <v>0.12946365059041118</v>
      </c>
    </row>
    <row r="71" spans="1:7" ht="15">
      <c r="A71" t="s">
        <v>160</v>
      </c>
      <c r="C71">
        <f>C69/C57</f>
        <v>27.689002184996355</v>
      </c>
      <c r="D71">
        <f>D69/D57</f>
        <v>29.619082301529495</v>
      </c>
      <c r="E71">
        <f>E69/E57</f>
        <v>31.058266569555713</v>
      </c>
      <c r="F71">
        <f>F69/F57</f>
        <v>33.14129643117261</v>
      </c>
      <c r="G71">
        <f>G69/G57</f>
        <v>35.836125273124544</v>
      </c>
    </row>
    <row r="72" spans="1:7" ht="15">
      <c r="A72" t="s">
        <v>161</v>
      </c>
      <c r="C72">
        <v>13.63</v>
      </c>
      <c r="D72">
        <v>19</v>
      </c>
      <c r="E72">
        <v>19.76</v>
      </c>
      <c r="F72">
        <v>28.62</v>
      </c>
      <c r="G72">
        <v>37</v>
      </c>
    </row>
    <row r="73" spans="1:7" ht="15">
      <c r="A73" s="98" t="s">
        <v>162</v>
      </c>
      <c r="B73" s="98"/>
      <c r="C73" s="98">
        <f>C58/C72</f>
        <v>25.183418928833454</v>
      </c>
      <c r="D73" s="98">
        <f>D58/D72</f>
        <v>18.390973684210525</v>
      </c>
      <c r="E73" s="98">
        <f>E58/E72</f>
        <v>17.99630566801619</v>
      </c>
      <c r="F73" s="98">
        <f>F58/F72</f>
        <v>27.033036338225017</v>
      </c>
      <c r="G73" s="98">
        <f>G58/G72</f>
        <v>23.637864864864866</v>
      </c>
    </row>
    <row r="74" spans="1:7" ht="15">
      <c r="A74" t="s">
        <v>163</v>
      </c>
      <c r="C74" s="73">
        <f>C63/'[1]P&amp;L'!B3</f>
        <v>0.3529573716330932</v>
      </c>
      <c r="D74" s="73">
        <f>D63/'[1]P&amp;L'!C3</f>
        <v>0.4181619671909581</v>
      </c>
      <c r="E74" s="73">
        <f>E63/'[1]P&amp;L'!D3</f>
        <v>0.4092250225761432</v>
      </c>
      <c r="F74" s="73">
        <f>F63/'[1]P&amp;L'!E3</f>
        <v>0.6245712914775033</v>
      </c>
      <c r="G74" s="73">
        <f>G63/'[1]P&amp;L'!F3</f>
        <v>0.874215366252837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8.28125" style="0" customWidth="1"/>
    <col min="2" max="2" width="11.57421875" style="0" customWidth="1"/>
    <col min="3" max="3" width="11.421875" style="0" customWidth="1"/>
    <col min="4" max="4" width="11.7109375" style="0" customWidth="1"/>
    <col min="5" max="5" width="10.7109375" style="0" customWidth="1"/>
    <col min="6" max="6" width="11.7109375" style="0" customWidth="1"/>
  </cols>
  <sheetData>
    <row r="1" spans="1:11" ht="19.5">
      <c r="A1" s="117" t="s">
        <v>164</v>
      </c>
      <c r="B1" s="118"/>
      <c r="C1" s="118"/>
      <c r="D1" s="118"/>
      <c r="E1" s="118"/>
      <c r="F1" s="118"/>
      <c r="G1" s="108"/>
      <c r="H1" s="108"/>
      <c r="I1" s="108"/>
      <c r="J1" s="108"/>
      <c r="K1" s="109"/>
    </row>
    <row r="2" spans="1:6" ht="15.75">
      <c r="A2" s="36" t="s">
        <v>14</v>
      </c>
      <c r="B2" s="12">
        <v>2012</v>
      </c>
      <c r="C2" s="12">
        <v>2013</v>
      </c>
      <c r="D2" s="12">
        <v>2014</v>
      </c>
      <c r="E2" s="12">
        <v>2015</v>
      </c>
      <c r="F2" s="12">
        <v>2016</v>
      </c>
    </row>
    <row r="3" spans="1:7" ht="15.75">
      <c r="A3" s="41" t="s">
        <v>165</v>
      </c>
      <c r="B3" s="16">
        <v>27.8</v>
      </c>
      <c r="C3" s="16">
        <v>74.21</v>
      </c>
      <c r="D3" s="16">
        <v>96.27</v>
      </c>
      <c r="E3" s="16">
        <v>160.9</v>
      </c>
      <c r="F3" s="16">
        <v>116.46</v>
      </c>
      <c r="G3" s="60">
        <f>SUM(B3:F3)</f>
        <v>475.63999999999993</v>
      </c>
    </row>
    <row r="4" spans="1:6" ht="15.75">
      <c r="A4" s="41" t="s">
        <v>166</v>
      </c>
      <c r="B4" s="49">
        <v>-62.86</v>
      </c>
      <c r="C4" s="49">
        <v>-159.27</v>
      </c>
      <c r="D4" s="49">
        <v>-87.38</v>
      </c>
      <c r="E4" s="49">
        <v>-57.45</v>
      </c>
      <c r="F4" s="49">
        <v>-33.66</v>
      </c>
    </row>
    <row r="5" spans="1:6" ht="15.75">
      <c r="A5" s="41" t="s">
        <v>167</v>
      </c>
      <c r="B5" s="49"/>
      <c r="C5" s="49"/>
      <c r="D5" s="49"/>
      <c r="E5" s="49"/>
      <c r="F5" s="49"/>
    </row>
    <row r="6" spans="1:6" ht="15.75">
      <c r="A6" s="39" t="s">
        <v>168</v>
      </c>
      <c r="B6" s="40">
        <f>B3+B4</f>
        <v>-35.06</v>
      </c>
      <c r="C6" s="40">
        <f>C3+C4</f>
        <v>-85.06000000000002</v>
      </c>
      <c r="D6" s="40">
        <f>D3+D4</f>
        <v>8.89</v>
      </c>
      <c r="E6" s="40">
        <f>E3+E4</f>
        <v>103.45</v>
      </c>
      <c r="F6" s="40">
        <f>F3+F4</f>
        <v>82.8</v>
      </c>
    </row>
    <row r="7" spans="1:6" ht="15.75">
      <c r="A7" s="101" t="s">
        <v>169</v>
      </c>
      <c r="B7" s="16">
        <v>-61.56</v>
      </c>
      <c r="C7" s="16">
        <v>-158.02</v>
      </c>
      <c r="D7" s="16">
        <v>-85.37</v>
      </c>
      <c r="E7" s="16">
        <v>-56.59</v>
      </c>
      <c r="F7" s="16">
        <v>-32.36</v>
      </c>
    </row>
    <row r="8" spans="1:6" ht="15.75">
      <c r="A8" s="101" t="s">
        <v>170</v>
      </c>
      <c r="B8" s="16">
        <v>28.97</v>
      </c>
      <c r="C8" s="16">
        <v>84.41</v>
      </c>
      <c r="D8" s="16">
        <v>-13.95</v>
      </c>
      <c r="E8" s="16">
        <v>-105.73</v>
      </c>
      <c r="F8" s="16">
        <v>-88.19</v>
      </c>
    </row>
    <row r="9" spans="1:6" ht="16.5" thickBot="1">
      <c r="A9" s="102" t="s">
        <v>171</v>
      </c>
      <c r="B9" s="51">
        <f>B3+B7+B8</f>
        <v>-4.790000000000006</v>
      </c>
      <c r="C9" s="51">
        <f>C3+C7+C8</f>
        <v>0.5999999999999801</v>
      </c>
      <c r="D9" s="51">
        <f>D3+D7+D8</f>
        <v>-3.050000000000008</v>
      </c>
      <c r="E9" s="51">
        <f>E3+E7+E8</f>
        <v>-1.4200000000000017</v>
      </c>
      <c r="F9" s="51">
        <f>F3+F7+F8</f>
        <v>-4.090000000000003</v>
      </c>
    </row>
    <row r="13" spans="1:7" ht="15.75">
      <c r="A13" s="103" t="s">
        <v>172</v>
      </c>
      <c r="B13">
        <f>'[1]P&amp;L'!B27</f>
        <v>35.000000000000114</v>
      </c>
      <c r="C13">
        <f>'[1]P&amp;L'!C27</f>
        <v>22.299999999999763</v>
      </c>
      <c r="D13">
        <f>'[1]P&amp;L'!D27</f>
        <v>22.700000000000053</v>
      </c>
      <c r="E13">
        <f>'[1]P&amp;L'!E27</f>
        <v>35.71999999999999</v>
      </c>
      <c r="F13">
        <f>'[1]P&amp;L'!F27</f>
        <v>47.48999999999995</v>
      </c>
      <c r="G13">
        <f>SUM(B13:F13)</f>
        <v>163.20999999999987</v>
      </c>
    </row>
    <row r="14" spans="1:9" ht="15.75">
      <c r="A14" s="103" t="s">
        <v>173</v>
      </c>
      <c r="B14" s="60">
        <f>'[1]P&amp;L'!B20</f>
        <v>29.2</v>
      </c>
      <c r="C14" s="60">
        <f>'[1]P&amp;L'!C20</f>
        <v>33.2</v>
      </c>
      <c r="D14" s="60">
        <f>'[1]P&amp;L'!D20</f>
        <v>33.79</v>
      </c>
      <c r="E14" s="60">
        <f>'[1]P&amp;L'!E20</f>
        <v>50.42</v>
      </c>
      <c r="F14" s="60">
        <f>'[1]P&amp;L'!F20</f>
        <v>44.37</v>
      </c>
      <c r="G14" s="60">
        <f>SUM(B14:F14)</f>
        <v>190.98000000000002</v>
      </c>
      <c r="I14" s="60">
        <f>G13+G14</f>
        <v>354.1899999999999</v>
      </c>
    </row>
    <row r="15" spans="1:6" ht="15.75">
      <c r="A15" s="103" t="s">
        <v>174</v>
      </c>
      <c r="B15">
        <f>('[1]Balance sheet'!B39)</f>
        <v>1.4000000000000732</v>
      </c>
      <c r="C15">
        <f>('[1]Balance sheet'!C39)</f>
        <v>-1.6999999999999744</v>
      </c>
      <c r="D15">
        <f>('[1]Balance sheet'!D39)</f>
        <v>-41.34</v>
      </c>
      <c r="E15">
        <f>('[1]Balance sheet'!E39)</f>
        <v>-58.42</v>
      </c>
      <c r="F15">
        <f>('[1]Balance sheet'!F39)</f>
        <v>-10.519999999999985</v>
      </c>
    </row>
    <row r="16" spans="1:6" ht="15.75">
      <c r="A16" s="103" t="s">
        <v>175</v>
      </c>
      <c r="B16" s="104">
        <f>SUM(B4:B5)</f>
        <v>-62.86</v>
      </c>
      <c r="C16" s="104">
        <f>SUM(C4:C5)</f>
        <v>-159.27</v>
      </c>
      <c r="D16" s="104">
        <f>SUM(D4:D5)</f>
        <v>-87.38</v>
      </c>
      <c r="E16" s="104">
        <f>SUM(E4:E5)</f>
        <v>-57.45</v>
      </c>
      <c r="F16" s="104">
        <f>SUM(F4:F5)</f>
        <v>-33.66</v>
      </c>
    </row>
    <row r="17" spans="1:6" ht="15.75">
      <c r="A17" s="103" t="s">
        <v>176</v>
      </c>
      <c r="B17">
        <f>'[1]P&amp;L'!B22*(1-'[1]Ratio Analysis'!C21)</f>
        <v>6.839305711086236</v>
      </c>
      <c r="C17">
        <f>'[1]P&amp;L'!C22*(1-'[1]Ratio Analysis'!D21)</f>
        <v>7.418671926364194</v>
      </c>
      <c r="D17">
        <f>'[1]P&amp;L'!D22*(1-'[1]Ratio Analysis'!E21)</f>
        <v>7.946389228886178</v>
      </c>
      <c r="E17">
        <f>'[1]P&amp;L'!E22*(1-'[1]Ratio Analysis'!F21)</f>
        <v>18.261382741465088</v>
      </c>
      <c r="F17">
        <f>'[1]P&amp;L'!F22*(1-'[1]Ratio Analysis'!G21)</f>
        <v>15.093180848226188</v>
      </c>
    </row>
    <row r="18" spans="1:6" ht="15.75">
      <c r="A18" s="105" t="s">
        <v>177</v>
      </c>
      <c r="B18" s="98">
        <f>SUM(B13:B17)</f>
        <v>9.57930571108643</v>
      </c>
      <c r="C18" s="98">
        <f>SUM(C13:C17)</f>
        <v>-98.05132807363603</v>
      </c>
      <c r="D18" s="98">
        <f>SUM(D13:D17)</f>
        <v>-64.28361077111377</v>
      </c>
      <c r="E18" s="98">
        <f>SUM(E13:E17)</f>
        <v>-11.46861725853493</v>
      </c>
      <c r="F18" s="98">
        <f>SUM(F13:F17)</f>
        <v>62.77318084822617</v>
      </c>
    </row>
    <row r="19" spans="1:7" ht="15.75">
      <c r="A19" s="105" t="s">
        <v>178</v>
      </c>
      <c r="B19" s="106">
        <f>B3+B16+B17</f>
        <v>-28.220694288913766</v>
      </c>
      <c r="C19" s="106">
        <f>C3+C16+C17</f>
        <v>-77.64132807363582</v>
      </c>
      <c r="D19" s="106">
        <f>D3+D16+D17</f>
        <v>16.83638922888618</v>
      </c>
      <c r="E19" s="106">
        <f>E3+E16+E17</f>
        <v>121.71138274146509</v>
      </c>
      <c r="F19" s="106">
        <f>F3+F16+F17</f>
        <v>97.89318084822618</v>
      </c>
      <c r="G19" s="107">
        <f>SUM(B19:F19)</f>
        <v>130.57893045602788</v>
      </c>
    </row>
    <row r="23" spans="1:6" ht="15">
      <c r="A23" t="s">
        <v>179</v>
      </c>
      <c r="B23" s="60">
        <f>'[1]Balance sheet'!B22+'[1]Balance sheet'!B24</f>
        <v>383.68</v>
      </c>
      <c r="C23" s="60">
        <f>'[1]Balance sheet'!C22+'[1]Balance sheet'!C24</f>
        <v>486.98</v>
      </c>
      <c r="D23" s="60">
        <f>'[1]Balance sheet'!D22+'[1]Balance sheet'!D24</f>
        <v>567.66</v>
      </c>
      <c r="E23" s="60">
        <f>'[1]Balance sheet'!E22+'[1]Balance sheet'!E24</f>
        <v>569.0999999999999</v>
      </c>
      <c r="F23" s="60">
        <f>'[1]Balance sheet'!F22+'[1]Balance sheet'!F24</f>
        <v>554.1</v>
      </c>
    </row>
    <row r="24" spans="1:6" ht="15">
      <c r="A24" t="s">
        <v>180</v>
      </c>
      <c r="C24" s="60">
        <f>C23-B23</f>
        <v>103.30000000000001</v>
      </c>
      <c r="D24" s="60">
        <f>D23-C23</f>
        <v>80.67999999999995</v>
      </c>
      <c r="E24" s="60">
        <f>E23-D23</f>
        <v>1.4399999999999409</v>
      </c>
      <c r="F24" s="60">
        <f>F23-E23</f>
        <v>-14.999999999999886</v>
      </c>
    </row>
    <row r="25" spans="1:6" ht="15">
      <c r="A25" t="s">
        <v>181</v>
      </c>
      <c r="B25" s="60">
        <f>'[1]P&amp;L'!B20</f>
        <v>29.2</v>
      </c>
      <c r="C25" s="60">
        <f>'[1]P&amp;L'!C20</f>
        <v>33.2</v>
      </c>
      <c r="D25" s="60">
        <f>'[1]P&amp;L'!D20</f>
        <v>33.79</v>
      </c>
      <c r="E25" s="60">
        <f>'[1]P&amp;L'!E20</f>
        <v>50.42</v>
      </c>
      <c r="F25" s="60">
        <f>'[1]P&amp;L'!F20</f>
        <v>44.37</v>
      </c>
    </row>
    <row r="26" spans="1:6" ht="15">
      <c r="A26" t="s">
        <v>182</v>
      </c>
      <c r="C26" s="60">
        <f>C24+C25</f>
        <v>136.5</v>
      </c>
      <c r="D26" s="60">
        <f>D24+D25</f>
        <v>114.46999999999994</v>
      </c>
      <c r="E26" s="60">
        <f>E24+E25</f>
        <v>51.85999999999994</v>
      </c>
      <c r="F26" s="60">
        <f>F24+F25</f>
        <v>29.37000000000011</v>
      </c>
    </row>
    <row r="27" spans="1:7" ht="15">
      <c r="A27" s="98" t="s">
        <v>183</v>
      </c>
      <c r="B27" s="98"/>
      <c r="C27" s="99">
        <f>C3-C26</f>
        <v>-62.290000000000006</v>
      </c>
      <c r="D27" s="99">
        <f>D3-D26</f>
        <v>-18.199999999999946</v>
      </c>
      <c r="E27" s="99">
        <f>E3-E26</f>
        <v>109.04000000000006</v>
      </c>
      <c r="F27" s="99">
        <f>F3-F26</f>
        <v>87.08999999999989</v>
      </c>
      <c r="G27" s="60">
        <f>SUM(C27:F27)</f>
        <v>115.64</v>
      </c>
    </row>
    <row r="28" spans="1:6" ht="15">
      <c r="A28" t="s">
        <v>184</v>
      </c>
      <c r="B28">
        <f>B3/B13</f>
        <v>0.7942857142857117</v>
      </c>
      <c r="C28">
        <f>C3/C13</f>
        <v>3.327802690582995</v>
      </c>
      <c r="D28">
        <f>D3/D13</f>
        <v>4.240969162995585</v>
      </c>
      <c r="E28">
        <f>E3/E13</f>
        <v>4.504479283314671</v>
      </c>
      <c r="F28">
        <f>F3/F13</f>
        <v>2.4523057485786506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2016-10-06T08:28:21Z</cp:lastPrinted>
  <dcterms:created xsi:type="dcterms:W3CDTF">2016-10-06T08:13:33Z</dcterms:created>
  <dcterms:modified xsi:type="dcterms:W3CDTF">2016-10-06T09:08:37Z</dcterms:modified>
  <cp:category/>
  <cp:version/>
  <cp:contentType/>
  <cp:contentStatus/>
</cp:coreProperties>
</file>