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" yWindow="690" windowWidth="26940" windowHeight="15135" activeTab="2"/>
  </bookViews>
  <sheets>
    <sheet name="ERP" sheetId="1" r:id="rId1"/>
    <sheet name="Beta" sheetId="2" r:id="rId2"/>
    <sheet name="Valuation" sheetId="3" r:id="rId3"/>
  </sheets>
  <definedNames>
    <definedName name="beta">OFFSET('Beta'!$A$1,COUNT('Beta'!$A:$A),8)</definedName>
    <definedName name="CAPM_Disc_Rate" localSheetId="2">'Valuation'!$C$45</definedName>
    <definedName name="curr_price">'Valuation'!$O$44</definedName>
    <definedName name="dil_factor" localSheetId="2">'Valuation'!$C$39</definedName>
    <definedName name="discount_rate" localSheetId="2">'Valuation'!$C$40</definedName>
    <definedName name="discount_rate">'Valuation'!$C$40</definedName>
    <definedName name="div_growth_factor_hg" localSheetId="2">'Valuation'!$C$38</definedName>
    <definedName name="dividend_growth_factor" localSheetId="2">'Valuation'!$D$38</definedName>
    <definedName name="erp">OFFSET('ERP'!$A$1,COUNT('ERP'!$A:$A),6)</definedName>
    <definedName name="exit_pe" localSheetId="2">'Valuation'!$I$36</definedName>
    <definedName name="fair_pb">'Valuation'!$J$44</definedName>
    <definedName name="fair_pe">'Valuation'!$J$43</definedName>
    <definedName name="growth_phase_roe" localSheetId="2">'Valuation'!$C$37</definedName>
    <definedName name="growth_phase_years">'Valuation'!$C$36</definedName>
    <definedName name="high_growth_payout" localSheetId="2">'Valuation'!$K$31</definedName>
    <definedName name="high_growth_rate" localSheetId="2">'Valuation'!$F$31</definedName>
    <definedName name="rfr">OFFSET('ERP'!$J$1,COUNTA('ERP'!$J:$J)-1,0)</definedName>
    <definedName name="slowdown_phase_years">'Valuation'!$D$36</definedName>
    <definedName name="term_disc_rate">'Valuation'!$E$40</definedName>
    <definedName name="terminal_growth_rate">'Valuation'!$J$28</definedName>
    <definedName name="terminal_roe">'Valuation'!$E$37</definedName>
    <definedName name="ttm_eps">'Valuation'!$O$40</definedName>
  </definedNames>
  <calcPr fullCalcOnLoad="1"/>
</workbook>
</file>

<file path=xl/comments3.xml><?xml version="1.0" encoding="utf-8"?>
<comments xmlns="http://schemas.openxmlformats.org/spreadsheetml/2006/main">
  <authors>
    <author>Yogesh Sane</author>
  </authors>
  <commentList>
    <comment ref="I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Dividend Discount Model</t>
        </r>
      </text>
    </comment>
    <comment ref="J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Residual Income Model</t>
        </r>
      </text>
    </comment>
    <comment ref="K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Capital Asset Pricing Model</t>
        </r>
      </text>
    </comment>
    <comment ref="D8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This value determines expected ROE in future years. Value Adjusted to account for additional equity capital raised during 2017.</t>
        </r>
      </text>
    </comment>
  </commentList>
</comments>
</file>

<file path=xl/sharedStrings.xml><?xml version="1.0" encoding="utf-8"?>
<sst xmlns="http://schemas.openxmlformats.org/spreadsheetml/2006/main" count="446" uniqueCount="410">
  <si>
    <t>Date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</si>
  <si>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</si>
  <si>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</si>
  <si>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</si>
  <si>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</si>
  <si>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</si>
  <si>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</si>
  <si>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</si>
  <si>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</si>
  <si>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</si>
  <si>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</si>
  <si>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</si>
  <si>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</si>
  <si>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</si>
  <si>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</si>
  <si>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</si>
  <si>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</si>
  <si>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</si>
  <si>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</si>
  <si>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</si>
  <si>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</si>
  <si>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</si>
  <si>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</si>
  <si>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</si>
  <si>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</si>
  <si>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</si>
  <si>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</si>
  <si>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</si>
  <si>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</si>
  <si>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</si>
  <si>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</si>
  <si>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</si>
  <si>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</si>
  <si>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</si>
  <si>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</si>
  <si>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</si>
  <si>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</si>
  <si>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</si>
  <si>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</si>
  <si>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</si>
  <si>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</si>
  <si>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</si>
  <si>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</si>
  <si>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</si>
  <si>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</si>
  <si>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</si>
  <si>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</si>
  <si>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</si>
  <si>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</si>
  <si>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</si>
  <si>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</si>
  <si>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</si>
  <si>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</si>
  <si>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</si>
  <si>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</si>
  <si>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</si>
  <si>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</si>
  <si>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</si>
  <si>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</si>
  <si>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</si>
  <si>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</si>
  <si>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</si>
  <si>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</si>
  <si>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</si>
  <si>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</si>
  <si>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</si>
  <si>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</si>
  <si>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</si>
  <si>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</si>
  <si>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</si>
  <si>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</si>
  <si>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</si>
  <si>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</si>
  <si>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</si>
  <si>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</si>
  <si>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</si>
  <si>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</si>
  <si>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</si>
  <si>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</si>
  <si>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</si>
  <si>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</si>
  <si>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</si>
  <si>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</si>
  <si>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</si>
  <si>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</si>
  <si>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</si>
  <si>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</si>
  <si>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</si>
  <si>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</si>
  <si>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</si>
  <si>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</si>
  <si>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</si>
  <si>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</si>
  <si>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</si>
  <si>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</si>
  <si>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</si>
  <si>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</si>
  <si>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</si>
  <si>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</si>
  <si>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</si>
  <si>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</si>
  <si>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</si>
  <si>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</si>
  <si>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</si>
  <si>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</si>
  <si>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</si>
  <si>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</si>
  <si>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</si>
  <si>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</si>
  <si>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</si>
  <si>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</si>
  <si>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</si>
  <si>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</si>
  <si>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</si>
  <si>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</si>
  <si>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</si>
  <si>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</si>
  <si>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</si>
  <si>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</si>
  <si>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</si>
  <si>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</si>
  <si>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</si>
  <si>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</si>
  <si>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</si>
  <si>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</si>
  <si>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</si>
  <si>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</si>
  <si>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</si>
  <si>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</si>
  <si>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</si>
  <si>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</si>
  <si>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</si>
  <si>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</si>
  <si>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</si>
  <si>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</si>
  <si>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</si>
  <si>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</si>
  <si>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</si>
  <si>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</si>
  <si>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</si>
  <si>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</si>
  <si>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</si>
  <si>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</si>
  <si>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</si>
  <si>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</si>
  <si>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</si>
  <si>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</si>
  <si>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</si>
  <si>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</si>
  <si>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</si>
  <si>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</si>
  <si>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</si>
  <si>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</si>
  <si>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</si>
  <si>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</si>
  <si>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</si>
  <si>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</si>
  <si>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</si>
  <si>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</si>
  <si>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</si>
  <si>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</si>
  <si>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</si>
  <si>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</si>
  <si>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</si>
  <si>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</si>
  <si>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</si>
  <si>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</si>
  <si>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</si>
  <si>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</si>
  <si>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</si>
  <si>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</si>
  <si>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</si>
  <si>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</si>
  <si>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</si>
  <si>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</si>
  <si>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</si>
  <si>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</si>
  <si>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</si>
  <si>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</si>
  <si>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</si>
  <si>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</si>
  <si>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</si>
  <si>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</si>
  <si>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</si>
  <si>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</si>
  <si>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</si>
  <si>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</si>
  <si>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</si>
  <si>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</si>
  <si>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</si>
  <si>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</si>
  <si>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</si>
  <si>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</si>
  <si>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</si>
  <si>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</si>
  <si>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</si>
  <si>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</si>
  <si>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</si>
  <si>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</si>
  <si>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</si>
  <si>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</si>
  <si>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</si>
  <si>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</si>
  <si>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</si>
  <si>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</si>
  <si>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</si>
  <si>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</si>
  <si>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</si>
  <si>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</si>
  <si>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</si>
  <si>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</si>
  <si>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</si>
  <si>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</si>
  <si>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</si>
  <si>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</si>
  <si>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</si>
  <si>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</si>
  <si>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</si>
  <si>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</si>
  <si>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</si>
  <si>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</si>
  <si>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</si>
  <si>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</si>
  <si>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</si>
  <si>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</si>
  <si>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</si>
  <si>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</si>
  <si>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</si>
  <si>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</si>
  <si>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</si>
  <si>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</si>
  <si>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</si>
  <si>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</si>
  <si>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</si>
  <si>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</si>
  <si>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</si>
  <si>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</si>
  <si>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</si>
  <si>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</si>
  <si>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</si>
  <si>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</si>
  <si>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</si>
  <si>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</si>
  <si>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</si>
  <si>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</si>
  <si>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</si>
  <si>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</si>
  <si>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</si>
  <si>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</si>
  <si>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</si>
  <si>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</si>
  <si>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</si>
  <si>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</si>
  <si>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</si>
  <si>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</si>
  <si>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</si>
  <si>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</si>
  <si>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</si>
  <si>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</si>
  <si>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</si>
  <si>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</si>
  <si>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</si>
  <si>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</si>
  <si>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</si>
  <si>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</si>
  <si>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</si>
  <si>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</si>
  <si>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</si>
  <si>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</si>
  <si>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</si>
  <si>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</si>
  <si>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</si>
  <si>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</si>
  <si>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</si>
  <si>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</si>
  <si>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</si>
  <si>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</si>
  <si>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</si>
  <si>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</si>
  <si>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</si>
  <si>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</si>
  <si>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</si>
  <si>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</si>
  <si>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</si>
  <si>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</si>
  <si>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</si>
  <si>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</si>
  <si>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</si>
  <si>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</si>
  <si>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</si>
  <si>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</si>
  <si>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</si>
  <si>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</si>
  <si>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</si>
  <si>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</si>
  <si>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</si>
  <si>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</si>
  <si>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</si>
  <si>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</si>
  <si>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</si>
  <si>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</si>
  <si>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</si>
  <si>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</si>
  <si>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</si>
  <si>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</si>
  <si>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</si>
  <si>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</si>
  <si>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</si>
  <si>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</si>
  <si>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</si>
  <si>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</si>
  <si>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</si>
  <si>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</si>
  <si>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</si>
  <si>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</si>
  <si>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</si>
  <si>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</si>
  <si>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</si>
  <si>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Beta</t>
  </si>
  <si>
    <t>Effective Date</t>
  </si>
  <si>
    <t>Risk Free Rate</t>
  </si>
  <si>
    <t>Bse200</t>
  </si>
  <si>
    <t>Equity Risk Premium</t>
  </si>
  <si>
    <t>2017-06</t>
  </si>
  <si>
    <t>2017-07</t>
  </si>
  <si>
    <t>Mean Reversion Period (Y)</t>
  </si>
  <si>
    <t>Required Rtn Equity</t>
  </si>
  <si>
    <t>RBI Reverse Repo Rate %</t>
  </si>
  <si>
    <t>Stock Price</t>
  </si>
  <si>
    <t>BSE200 Index</t>
  </si>
  <si>
    <t>BSE200 Returns</t>
  </si>
  <si>
    <t>Week</t>
  </si>
  <si>
    <t>Moving Avg</t>
  </si>
  <si>
    <t>Stock Returns</t>
  </si>
  <si>
    <t>Beta Forecast</t>
  </si>
  <si>
    <t>Ph</t>
  </si>
  <si>
    <t>Book Value</t>
  </si>
  <si>
    <t>Ret on Equity</t>
  </si>
  <si>
    <t>Div + Buyback</t>
  </si>
  <si>
    <t>Earnings</t>
  </si>
  <si>
    <t>Shares Out</t>
  </si>
  <si>
    <t>Price / Book</t>
  </si>
  <si>
    <t>EPS Growth</t>
  </si>
  <si>
    <t>Sust Growth Rate</t>
  </si>
  <si>
    <t>Payout Ratio</t>
  </si>
  <si>
    <t>Disc Rate</t>
  </si>
  <si>
    <t>PV Factor</t>
  </si>
  <si>
    <t>PV of Div</t>
  </si>
  <si>
    <t>Eco Value Added</t>
  </si>
  <si>
    <t>PV of EVA</t>
  </si>
  <si>
    <t>P/E</t>
  </si>
  <si>
    <t>Avg Price</t>
  </si>
  <si>
    <t>Ann Rtn</t>
  </si>
  <si>
    <t>Growth Rates</t>
  </si>
  <si>
    <t>Last 3 Years</t>
  </si>
  <si>
    <t xml:space="preserve">High Growth Phase </t>
  </si>
  <si>
    <t>Slowdown Phase</t>
  </si>
  <si>
    <t>Perpetual</t>
  </si>
  <si>
    <t>High Growth</t>
  </si>
  <si>
    <t>Slowdown</t>
  </si>
  <si>
    <t>RIM</t>
  </si>
  <si>
    <t>Curr / TTM</t>
  </si>
  <si>
    <t>In 20 Years</t>
  </si>
  <si>
    <t>20 Yr CAGR</t>
  </si>
  <si>
    <t>Years</t>
  </si>
  <si>
    <t>Exit PE</t>
  </si>
  <si>
    <t>ROE</t>
  </si>
  <si>
    <t>Terminal Value</t>
  </si>
  <si>
    <t>Div Growth Factor</t>
  </si>
  <si>
    <t>PV of Term Val</t>
  </si>
  <si>
    <t>Dilution Rate</t>
  </si>
  <si>
    <t>Intrinsic Value</t>
  </si>
  <si>
    <t>Discount Rate</t>
  </si>
  <si>
    <t>EPS</t>
  </si>
  <si>
    <t>BVPS</t>
  </si>
  <si>
    <t>Current</t>
  </si>
  <si>
    <t>Fair</t>
  </si>
  <si>
    <t>Terminal</t>
  </si>
  <si>
    <t>SPS</t>
  </si>
  <si>
    <t>P/B</t>
  </si>
  <si>
    <t>Price</t>
  </si>
  <si>
    <t>CAPM Disc Rate</t>
  </si>
  <si>
    <t>P/S</t>
  </si>
  <si>
    <t>Div Yield</t>
  </si>
  <si>
    <t>Checklist</t>
  </si>
  <si>
    <t>High Growth Phase</t>
  </si>
  <si>
    <t>&gt;=</t>
  </si>
  <si>
    <t>Growth Rate</t>
  </si>
  <si>
    <t>&lt;=</t>
  </si>
  <si>
    <t>Perpetual Phase</t>
  </si>
  <si>
    <t>Terminal Value / Present Value</t>
  </si>
  <si>
    <t>Overall Valuation</t>
  </si>
  <si>
    <t>DDM / RIM Ratio</t>
  </si>
  <si>
    <t>&lt;</t>
  </si>
  <si>
    <t>Month</t>
  </si>
  <si>
    <t>Serial</t>
  </si>
  <si>
    <t>CAPM</t>
  </si>
  <si>
    <t>Sales (Rs Cr)</t>
  </si>
  <si>
    <t>Profits (Rs Cr)</t>
  </si>
  <si>
    <t>Book Value (Rs Cr)</t>
  </si>
  <si>
    <t>Shares (Cr)</t>
  </si>
  <si>
    <t>Mcap Rs. Cr</t>
  </si>
  <si>
    <t>DDM</t>
  </si>
  <si>
    <t>Term Val / IV</t>
  </si>
  <si>
    <t>Div Dist Tax</t>
  </si>
  <si>
    <t>Inputs to the model.</t>
  </si>
  <si>
    <t>Key ratios</t>
  </si>
  <si>
    <t>Company</t>
  </si>
  <si>
    <t>Yes Bank Ltd</t>
  </si>
  <si>
    <t>Financial Year Ended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</si>
</sst>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\-yy;@"/>
    <numFmt numFmtId="166" formatCode="0.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_)"/>
    <numFmt numFmtId="171" formatCode="&quot;$&quot;#,##0;[Red]\-&quot;$&quot;#,##0"/>
    <numFmt numFmtId="172" formatCode="&quot;$&quot;#,##0.00;[Red]\-&quot;$&quot;#,##0.00"/>
    <numFmt numFmtId="173" formatCode="&quot;$&quot;#,##0\ ;\(&quot;$&quot;#,##0\)"/>
    <numFmt numFmtId="174" formatCode="#,##0.0%_);[Red]\(#,##0.0%\)"/>
    <numFmt numFmtId="175" formatCode="&quot;$&quot;#,##0.00000_);[Red]\(&quot;$&quot;#,##0.00000\)"/>
    <numFmt numFmtId="176" formatCode="0.000"/>
    <numFmt numFmtId="177" formatCode="0.0000"/>
    <numFmt numFmtId="178" formatCode="0.00000"/>
    <numFmt numFmtId="179" formatCode="0.000%"/>
    <numFmt numFmtId="180" formatCode="_(* #,##0.0_);_(* \(#,##0.0\);_(* &quot;-&quot;?_);_(@_)"/>
    <numFmt numFmtId="181" formatCode="yyyy"/>
    <numFmt numFmtId="182" formatCode="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22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10" fontId="5" fillId="22" borderId="8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70" fontId="23" fillId="0" borderId="0">
      <alignment/>
      <protection/>
    </xf>
    <xf numFmtId="0" fontId="11" fillId="0" borderId="0">
      <alignment/>
      <protection/>
    </xf>
    <xf numFmtId="0" fontId="0" fillId="22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75" applyNumberForma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43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3" applyNumberFormat="1" applyAlignment="1">
      <alignment/>
    </xf>
    <xf numFmtId="169" fontId="0" fillId="0" borderId="0" xfId="43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14" xfId="0" applyNumberFormat="1" applyBorder="1" applyAlignment="1">
      <alignment/>
    </xf>
    <xf numFmtId="9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5" xfId="75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169" fontId="0" fillId="0" borderId="25" xfId="43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27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0" xfId="75" applyBorder="1" applyAlignment="1">
      <alignment/>
    </xf>
    <xf numFmtId="168" fontId="0" fillId="0" borderId="0" xfId="43" applyNumberFormat="1" applyBorder="1" applyAlignment="1">
      <alignment/>
    </xf>
    <xf numFmtId="0" fontId="0" fillId="0" borderId="28" xfId="0" applyBorder="1" applyAlignment="1">
      <alignment/>
    </xf>
    <xf numFmtId="9" fontId="0" fillId="0" borderId="29" xfId="75" applyBorder="1" applyAlignment="1">
      <alignment/>
    </xf>
    <xf numFmtId="164" fontId="0" fillId="0" borderId="30" xfId="0" applyNumberFormat="1" applyBorder="1" applyAlignment="1">
      <alignment/>
    </xf>
    <xf numFmtId="9" fontId="0" fillId="24" borderId="0" xfId="75" applyFill="1" applyBorder="1" applyAlignment="1">
      <alignment/>
    </xf>
    <xf numFmtId="9" fontId="0" fillId="0" borderId="31" xfId="75" applyBorder="1" applyAlignment="1">
      <alignment/>
    </xf>
    <xf numFmtId="164" fontId="0" fillId="0" borderId="18" xfId="0" applyNumberFormat="1" applyBorder="1" applyAlignment="1">
      <alignment/>
    </xf>
    <xf numFmtId="169" fontId="0" fillId="0" borderId="18" xfId="43" applyNumberFormat="1" applyBorder="1" applyAlignment="1">
      <alignment/>
    </xf>
    <xf numFmtId="168" fontId="0" fillId="0" borderId="25" xfId="43" applyNumberFormat="1" applyBorder="1" applyAlignment="1">
      <alignment/>
    </xf>
    <xf numFmtId="166" fontId="0" fillId="0" borderId="25" xfId="0" applyNumberFormat="1" applyBorder="1" applyAlignment="1">
      <alignment/>
    </xf>
    <xf numFmtId="9" fontId="0" fillId="0" borderId="25" xfId="75" applyNumberFormat="1" applyBorder="1" applyAlignment="1">
      <alignment/>
    </xf>
    <xf numFmtId="167" fontId="0" fillId="0" borderId="25" xfId="75" applyNumberFormat="1" applyBorder="1" applyAlignment="1">
      <alignment/>
    </xf>
    <xf numFmtId="2" fontId="0" fillId="0" borderId="25" xfId="0" applyNumberFormat="1" applyBorder="1" applyAlignment="1">
      <alignment/>
    </xf>
    <xf numFmtId="168" fontId="0" fillId="0" borderId="25" xfId="43" applyNumberFormat="1" applyBorder="1" applyAlignment="1">
      <alignment/>
    </xf>
    <xf numFmtId="168" fontId="0" fillId="0" borderId="18" xfId="43" applyNumberFormat="1" applyBorder="1" applyAlignment="1">
      <alignment/>
    </xf>
    <xf numFmtId="169" fontId="0" fillId="0" borderId="0" xfId="43" applyNumberFormat="1" applyAlignment="1">
      <alignment/>
    </xf>
    <xf numFmtId="164" fontId="0" fillId="0" borderId="26" xfId="0" applyNumberFormat="1" applyBorder="1" applyAlignment="1">
      <alignment/>
    </xf>
    <xf numFmtId="169" fontId="0" fillId="0" borderId="26" xfId="43" applyNumberFormat="1" applyBorder="1" applyAlignment="1">
      <alignment/>
    </xf>
    <xf numFmtId="168" fontId="0" fillId="0" borderId="0" xfId="43" applyNumberFormat="1" applyBorder="1" applyAlignment="1">
      <alignment/>
    </xf>
    <xf numFmtId="9" fontId="0" fillId="0" borderId="0" xfId="75" applyNumberFormat="1" applyBorder="1" applyAlignment="1">
      <alignment/>
    </xf>
    <xf numFmtId="167" fontId="0" fillId="0" borderId="0" xfId="75" applyNumberFormat="1" applyBorder="1" applyAlignment="1">
      <alignment/>
    </xf>
    <xf numFmtId="2" fontId="0" fillId="0" borderId="0" xfId="0" applyNumberFormat="1" applyBorder="1" applyAlignment="1">
      <alignment/>
    </xf>
    <xf numFmtId="168" fontId="0" fillId="0" borderId="26" xfId="43" applyNumberFormat="1" applyBorder="1" applyAlignment="1">
      <alignment/>
    </xf>
    <xf numFmtId="169" fontId="0" fillId="0" borderId="32" xfId="43" applyNumberFormat="1" applyBorder="1" applyAlignment="1">
      <alignment/>
    </xf>
    <xf numFmtId="9" fontId="0" fillId="0" borderId="33" xfId="75" applyBorder="1" applyAlignment="1">
      <alignment/>
    </xf>
    <xf numFmtId="168" fontId="0" fillId="0" borderId="33" xfId="43" applyNumberFormat="1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67" fontId="0" fillId="24" borderId="33" xfId="75" applyNumberFormat="1" applyFill="1" applyBorder="1" applyAlignment="1">
      <alignment/>
    </xf>
    <xf numFmtId="9" fontId="0" fillId="24" borderId="33" xfId="75" applyFill="1" applyBorder="1" applyAlignment="1">
      <alignment/>
    </xf>
    <xf numFmtId="167" fontId="0" fillId="0" borderId="33" xfId="75" applyNumberFormat="1" applyBorder="1" applyAlignment="1">
      <alignment/>
    </xf>
    <xf numFmtId="2" fontId="0" fillId="0" borderId="33" xfId="0" applyNumberFormat="1" applyBorder="1" applyAlignment="1">
      <alignment/>
    </xf>
    <xf numFmtId="168" fontId="0" fillId="0" borderId="33" xfId="43" applyNumberFormat="1" applyBorder="1" applyAlignment="1">
      <alignment/>
    </xf>
    <xf numFmtId="168" fontId="0" fillId="0" borderId="32" xfId="43" applyNumberFormat="1" applyBorder="1" applyAlignment="1">
      <alignment/>
    </xf>
    <xf numFmtId="169" fontId="0" fillId="0" borderId="33" xfId="43" applyNumberFormat="1" applyBorder="1" applyAlignment="1">
      <alignment/>
    </xf>
    <xf numFmtId="0" fontId="0" fillId="2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9" fontId="0" fillId="0" borderId="0" xfId="75" applyNumberFormat="1" applyFill="1" applyBorder="1" applyAlignment="1">
      <alignment/>
    </xf>
    <xf numFmtId="0" fontId="0" fillId="0" borderId="31" xfId="0" applyBorder="1" applyAlignment="1">
      <alignment/>
    </xf>
    <xf numFmtId="9" fontId="0" fillId="0" borderId="32" xfId="75" applyNumberFormat="1" applyFill="1" applyBorder="1" applyAlignment="1">
      <alignment/>
    </xf>
    <xf numFmtId="9" fontId="0" fillId="0" borderId="33" xfId="0" applyNumberFormat="1" applyFill="1" applyBorder="1" applyAlignment="1">
      <alignment/>
    </xf>
    <xf numFmtId="9" fontId="0" fillId="0" borderId="33" xfId="75" applyFill="1" applyBorder="1" applyAlignment="1">
      <alignment/>
    </xf>
    <xf numFmtId="0" fontId="0" fillId="0" borderId="33" xfId="0" applyFill="1" applyBorder="1" applyAlignment="1">
      <alignment/>
    </xf>
    <xf numFmtId="9" fontId="0" fillId="0" borderId="33" xfId="75" applyNumberFormat="1" applyFill="1" applyBorder="1" applyAlignment="1">
      <alignment/>
    </xf>
    <xf numFmtId="166" fontId="0" fillId="0" borderId="34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/>
    </xf>
    <xf numFmtId="9" fontId="0" fillId="0" borderId="0" xfId="0" applyNumberFormat="1" applyBorder="1" applyAlignment="1">
      <alignment/>
    </xf>
    <xf numFmtId="9" fontId="31" fillId="0" borderId="28" xfId="0" applyNumberFormat="1" applyFont="1" applyFill="1" applyBorder="1" applyAlignment="1">
      <alignment/>
    </xf>
    <xf numFmtId="9" fontId="0" fillId="25" borderId="0" xfId="0" applyNumberFormat="1" applyFill="1" applyBorder="1" applyAlignment="1">
      <alignment/>
    </xf>
    <xf numFmtId="9" fontId="0" fillId="25" borderId="28" xfId="0" applyNumberFormat="1" applyFill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43" applyNumberFormat="1" applyBorder="1" applyAlignment="1">
      <alignment/>
    </xf>
    <xf numFmtId="167" fontId="0" fillId="25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9" fontId="0" fillId="0" borderId="22" xfId="75" applyFill="1" applyBorder="1" applyAlignment="1">
      <alignment/>
    </xf>
    <xf numFmtId="9" fontId="0" fillId="0" borderId="8" xfId="75" applyBorder="1" applyAlignment="1">
      <alignment/>
    </xf>
    <xf numFmtId="168" fontId="0" fillId="0" borderId="25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9" fontId="0" fillId="0" borderId="33" xfId="0" applyNumberFormat="1" applyBorder="1" applyAlignment="1">
      <alignment/>
    </xf>
    <xf numFmtId="169" fontId="0" fillId="0" borderId="33" xfId="0" applyNumberFormat="1" applyBorder="1" applyAlignment="1">
      <alignment/>
    </xf>
    <xf numFmtId="10" fontId="0" fillId="20" borderId="26" xfId="0" applyNumberFormat="1" applyFill="1" applyBorder="1" applyAlignment="1">
      <alignment/>
    </xf>
    <xf numFmtId="166" fontId="0" fillId="23" borderId="20" xfId="0" applyNumberFormat="1" applyFill="1" applyBorder="1" applyAlignment="1">
      <alignment/>
    </xf>
    <xf numFmtId="169" fontId="0" fillId="0" borderId="28" xfId="0" applyNumberFormat="1" applyBorder="1" applyAlignment="1">
      <alignment/>
    </xf>
    <xf numFmtId="9" fontId="0" fillId="0" borderId="25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8" fontId="0" fillId="25" borderId="26" xfId="43" applyNumberFormat="1" applyFill="1" applyBorder="1" applyAlignment="1">
      <alignment/>
    </xf>
    <xf numFmtId="0" fontId="0" fillId="25" borderId="28" xfId="0" applyFill="1" applyBorder="1" applyAlignment="1">
      <alignment/>
    </xf>
    <xf numFmtId="168" fontId="0" fillId="0" borderId="0" xfId="43" applyNumberFormat="1" applyFont="1" applyBorder="1" applyAlignment="1">
      <alignment/>
    </xf>
    <xf numFmtId="166" fontId="31" fillId="23" borderId="29" xfId="0" applyNumberFormat="1" applyFont="1" applyFill="1" applyBorder="1" applyAlignment="1">
      <alignment/>
    </xf>
    <xf numFmtId="166" fontId="0" fillId="0" borderId="28" xfId="0" applyNumberFormat="1" applyBorder="1" applyAlignment="1">
      <alignment/>
    </xf>
    <xf numFmtId="167" fontId="31" fillId="0" borderId="33" xfId="75" applyNumberFormat="1" applyFont="1" applyFill="1" applyBorder="1" applyAlignment="1">
      <alignment/>
    </xf>
    <xf numFmtId="166" fontId="0" fillId="23" borderId="29" xfId="0" applyNumberFormat="1" applyFill="1" applyBorder="1" applyAlignment="1">
      <alignment/>
    </xf>
    <xf numFmtId="167" fontId="0" fillId="0" borderId="33" xfId="75" applyNumberFormat="1" applyBorder="1" applyAlignment="1">
      <alignment/>
    </xf>
    <xf numFmtId="167" fontId="0" fillId="23" borderId="31" xfId="75" applyNumberFormat="1" applyFill="1" applyBorder="1" applyAlignment="1">
      <alignment/>
    </xf>
    <xf numFmtId="167" fontId="0" fillId="0" borderId="34" xfId="75" applyNumberFormat="1" applyBorder="1" applyAlignment="1">
      <alignment/>
    </xf>
    <xf numFmtId="14" fontId="32" fillId="0" borderId="0" xfId="0" applyNumberFormat="1" applyFont="1" applyAlignment="1">
      <alignment/>
    </xf>
    <xf numFmtId="169" fontId="30" fillId="0" borderId="0" xfId="43" applyNumberFormat="1" applyFont="1" applyAlignment="1">
      <alignment/>
    </xf>
    <xf numFmtId="0" fontId="0" fillId="0" borderId="28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9" fontId="0" fillId="0" borderId="0" xfId="75" applyBorder="1" applyAlignment="1">
      <alignment horizontal="center"/>
    </xf>
    <xf numFmtId="9" fontId="0" fillId="0" borderId="28" xfId="75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Fill="1" applyBorder="1" applyAlignment="1">
      <alignment horizontal="center"/>
    </xf>
    <xf numFmtId="9" fontId="0" fillId="0" borderId="0" xfId="75" applyFill="1" applyBorder="1" applyAlignment="1">
      <alignment horizontal="center"/>
    </xf>
    <xf numFmtId="9" fontId="0" fillId="0" borderId="28" xfId="75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0" xfId="0" applyNumberFormat="1" applyAlignment="1">
      <alignment/>
    </xf>
    <xf numFmtId="167" fontId="0" fillId="0" borderId="0" xfId="75" applyNumberFormat="1" applyBorder="1" applyAlignment="1">
      <alignment/>
    </xf>
    <xf numFmtId="167" fontId="0" fillId="0" borderId="0" xfId="75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0" fontId="0" fillId="0" borderId="0" xfId="75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75" applyNumberFormat="1" applyFill="1" applyBorder="1" applyAlignment="1">
      <alignment/>
    </xf>
    <xf numFmtId="167" fontId="0" fillId="23" borderId="0" xfId="75" applyNumberFormat="1" applyFill="1" applyBorder="1" applyAlignment="1">
      <alignment/>
    </xf>
    <xf numFmtId="9" fontId="0" fillId="25" borderId="34" xfId="0" applyNumberFormat="1" applyFill="1" applyBorder="1" applyAlignment="1">
      <alignment/>
    </xf>
    <xf numFmtId="167" fontId="0" fillId="24" borderId="32" xfId="75" applyNumberFormat="1" applyFill="1" applyBorder="1" applyAlignment="1">
      <alignment/>
    </xf>
    <xf numFmtId="167" fontId="0" fillId="24" borderId="34" xfId="75" applyNumberFormat="1" applyFill="1" applyBorder="1" applyAlignment="1">
      <alignment/>
    </xf>
    <xf numFmtId="9" fontId="0" fillId="25" borderId="19" xfId="0" applyNumberFormat="1" applyFill="1" applyBorder="1" applyAlignment="1">
      <alignment/>
    </xf>
    <xf numFmtId="169" fontId="0" fillId="25" borderId="26" xfId="43" applyNumberFormat="1" applyFill="1" applyBorder="1" applyAlignment="1">
      <alignment/>
    </xf>
    <xf numFmtId="169" fontId="32" fillId="0" borderId="0" xfId="0" applyNumberFormat="1" applyFont="1" applyAlignment="1">
      <alignment/>
    </xf>
    <xf numFmtId="166" fontId="0" fillId="0" borderId="19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31" fillId="25" borderId="18" xfId="0" applyNumberFormat="1" applyFont="1" applyFill="1" applyBorder="1" applyAlignment="1">
      <alignment/>
    </xf>
    <xf numFmtId="169" fontId="0" fillId="25" borderId="32" xfId="43" applyNumberFormat="1" applyFont="1" applyFill="1" applyBorder="1" applyAlignment="1">
      <alignment/>
    </xf>
    <xf numFmtId="169" fontId="0" fillId="25" borderId="32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32" xfId="43" applyNumberFormat="1" applyFill="1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9" fontId="0" fillId="0" borderId="0" xfId="75" applyAlignment="1">
      <alignment/>
    </xf>
    <xf numFmtId="10" fontId="0" fillId="0" borderId="0" xfId="75" applyNumberFormat="1" applyAlignment="1">
      <alignment/>
    </xf>
    <xf numFmtId="169" fontId="31" fillId="10" borderId="29" xfId="43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8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34" xfId="0" applyNumberFormat="1" applyFont="1" applyFill="1" applyBorder="1" applyAlignment="1">
      <alignment/>
    </xf>
    <xf numFmtId="167" fontId="0" fillId="0" borderId="34" xfId="75" applyNumberFormat="1" applyFont="1" applyFill="1" applyBorder="1" applyAlignment="1">
      <alignment/>
    </xf>
    <xf numFmtId="9" fontId="31" fillId="23" borderId="0" xfId="0" applyNumberFormat="1" applyFont="1" applyFill="1" applyBorder="1" applyAlignment="1">
      <alignment/>
    </xf>
    <xf numFmtId="9" fontId="31" fillId="23" borderId="25" xfId="0" applyNumberFormat="1" applyFont="1" applyFill="1" applyBorder="1" applyAlignment="1">
      <alignment/>
    </xf>
    <xf numFmtId="167" fontId="0" fillId="23" borderId="34" xfId="0" applyNumberFormat="1" applyFill="1" applyBorder="1" applyAlignment="1">
      <alignment/>
    </xf>
    <xf numFmtId="168" fontId="0" fillId="20" borderId="26" xfId="43" applyNumberFormat="1" applyFill="1" applyBorder="1" applyAlignment="1">
      <alignment/>
    </xf>
    <xf numFmtId="169" fontId="0" fillId="0" borderId="18" xfId="43" applyNumberFormat="1" applyFill="1" applyBorder="1" applyAlignment="1">
      <alignment/>
    </xf>
    <xf numFmtId="169" fontId="0" fillId="0" borderId="26" xfId="43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169" fontId="0" fillId="23" borderId="29" xfId="43" applyNumberFormat="1" applyFill="1" applyBorder="1" applyAlignment="1">
      <alignment/>
    </xf>
    <xf numFmtId="169" fontId="0" fillId="25" borderId="0" xfId="43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15" fontId="0" fillId="25" borderId="0" xfId="0" applyNumberForma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4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1" fillId="0" borderId="18" xfId="0" applyFont="1" applyBorder="1" applyAlignment="1">
      <alignment/>
    </xf>
    <xf numFmtId="3" fontId="0" fillId="25" borderId="15" xfId="0" applyNumberFormat="1" applyFill="1" applyBorder="1" applyAlignment="1">
      <alignment/>
    </xf>
    <xf numFmtId="166" fontId="0" fillId="25" borderId="0" xfId="0" applyNumberFormat="1" applyFill="1" applyBorder="1" applyAlignment="1">
      <alignment/>
    </xf>
    <xf numFmtId="166" fontId="0" fillId="25" borderId="27" xfId="0" applyNumberForma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0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Input_Book1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ERCENTAGE" xfId="77"/>
    <cellStyle name="Standard_muster" xfId="78"/>
    <cellStyle name="Title" xfId="79"/>
    <cellStyle name="Total" xfId="80"/>
    <cellStyle name="Warning Text" xfId="81"/>
  </cellStyles>
  <dxfs count="6">
    <dxf>
      <font>
        <color rgb="FFFFFFFF"/>
      </font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62"/>
          <c:w val="0.95175"/>
          <c:h val="0.8155"/>
        </c:manualLayout>
      </c:layout>
      <c:lineChart>
        <c:grouping val="standard"/>
        <c:varyColors val="0"/>
        <c:ser>
          <c:idx val="0"/>
          <c:order val="0"/>
          <c:tx>
            <c:v>Equity Risk Premium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1"/>
              <c:pt idx="0">
                <c:v>2007-07</c:v>
              </c:pt>
              <c:pt idx="1">
                <c:v>2007-08</c:v>
              </c:pt>
              <c:pt idx="2">
                <c:v>2007-09</c:v>
              </c:pt>
              <c:pt idx="3">
                <c:v>2007-10</c:v>
              </c:pt>
              <c:pt idx="4">
                <c:v>2007-11</c:v>
              </c:pt>
              <c:pt idx="5">
                <c:v>2007-12</c:v>
              </c:pt>
              <c:pt idx="6">
                <c:v>2008-01</c:v>
              </c:pt>
              <c:pt idx="7">
                <c:v>2008-02</c:v>
              </c:pt>
              <c:pt idx="8">
                <c:v>2008-03</c:v>
              </c:pt>
              <c:pt idx="9">
                <c:v>2008-04</c:v>
              </c:pt>
              <c:pt idx="10">
                <c:v>2008-05</c:v>
              </c:pt>
              <c:pt idx="11">
                <c:v>2008-06</c:v>
              </c:pt>
              <c:pt idx="12">
                <c:v>2008-07</c:v>
              </c:pt>
              <c:pt idx="13">
                <c:v>2008-08</c:v>
              </c:pt>
              <c:pt idx="14">
                <c:v>2008-09</c:v>
              </c:pt>
              <c:pt idx="15">
                <c:v>2008-10</c:v>
              </c:pt>
              <c:pt idx="16">
                <c:v>2008-11</c:v>
              </c:pt>
              <c:pt idx="17">
                <c:v>2008-12</c:v>
              </c:pt>
              <c:pt idx="18">
                <c:v>2009-01</c:v>
              </c:pt>
              <c:pt idx="19">
                <c:v>2009-02</c:v>
              </c:pt>
              <c:pt idx="20">
                <c:v>2009-03</c:v>
              </c:pt>
              <c:pt idx="21">
                <c:v>2009-04</c:v>
              </c:pt>
              <c:pt idx="22">
                <c:v>2009-05</c:v>
              </c:pt>
              <c:pt idx="23">
                <c:v>2009-06</c:v>
              </c:pt>
              <c:pt idx="24">
                <c:v>2009-07</c:v>
              </c:pt>
              <c:pt idx="25">
                <c:v>2009-08</c:v>
              </c:pt>
              <c:pt idx="26">
                <c:v>2009-09</c:v>
              </c:pt>
              <c:pt idx="27">
                <c:v>2009-10</c:v>
              </c:pt>
              <c:pt idx="28">
                <c:v>2009-11</c:v>
              </c:pt>
              <c:pt idx="29">
                <c:v>2009-12</c:v>
              </c:pt>
              <c:pt idx="30">
                <c:v>2010-01</c:v>
              </c:pt>
              <c:pt idx="31">
                <c:v>2010-02</c:v>
              </c:pt>
              <c:pt idx="32">
                <c:v>2010-03</c:v>
              </c:pt>
              <c:pt idx="33">
                <c:v>2010-04</c:v>
              </c:pt>
              <c:pt idx="34">
                <c:v>2010-05</c:v>
              </c:pt>
              <c:pt idx="35">
                <c:v>2010-06</c:v>
              </c:pt>
              <c:pt idx="36">
                <c:v>2010-07</c:v>
              </c:pt>
              <c:pt idx="37">
                <c:v>2010-08</c:v>
              </c:pt>
              <c:pt idx="38">
                <c:v>2010-09</c:v>
              </c:pt>
              <c:pt idx="39">
                <c:v>2010-10</c:v>
              </c:pt>
              <c:pt idx="40">
                <c:v>2010-11</c:v>
              </c:pt>
              <c:pt idx="41">
                <c:v>2010-12</c:v>
              </c:pt>
              <c:pt idx="42">
                <c:v>2011-01</c:v>
              </c:pt>
              <c:pt idx="43">
                <c:v>2011-02</c:v>
              </c:pt>
              <c:pt idx="44">
                <c:v>2011-03</c:v>
              </c:pt>
              <c:pt idx="45">
                <c:v>2011-04</c:v>
              </c:pt>
              <c:pt idx="46">
                <c:v>2011-05</c:v>
              </c:pt>
              <c:pt idx="47">
                <c:v>2011-06</c:v>
              </c:pt>
              <c:pt idx="48">
                <c:v>2011-07</c:v>
              </c:pt>
              <c:pt idx="49">
                <c:v>2011-08</c:v>
              </c:pt>
              <c:pt idx="50">
                <c:v>2011-09</c:v>
              </c:pt>
              <c:pt idx="51">
                <c:v>2011-10</c:v>
              </c:pt>
              <c:pt idx="52">
                <c:v>2011-11</c:v>
              </c:pt>
              <c:pt idx="53">
                <c:v>2011-12</c:v>
              </c:pt>
              <c:pt idx="54">
                <c:v>2012-01</c:v>
              </c:pt>
              <c:pt idx="55">
                <c:v>2012-02</c:v>
              </c:pt>
              <c:pt idx="56">
                <c:v>2012-03</c:v>
              </c:pt>
              <c:pt idx="57">
                <c:v>2012-04</c:v>
              </c:pt>
              <c:pt idx="58">
                <c:v>2012-05</c:v>
              </c:pt>
              <c:pt idx="59">
                <c:v>2012-06</c:v>
              </c:pt>
              <c:pt idx="60">
                <c:v>2012-07</c:v>
              </c:pt>
              <c:pt idx="61">
                <c:v>2012-08</c:v>
              </c:pt>
              <c:pt idx="62">
                <c:v>2012-09</c:v>
              </c:pt>
              <c:pt idx="63">
                <c:v>2012-10</c:v>
              </c:pt>
              <c:pt idx="64">
                <c:v>2012-11</c:v>
              </c:pt>
              <c:pt idx="65">
                <c:v>2012-12</c:v>
              </c:pt>
              <c:pt idx="66">
                <c:v>2013-01</c:v>
              </c:pt>
              <c:pt idx="67">
                <c:v>2013-02</c:v>
              </c:pt>
              <c:pt idx="68">
                <c:v>2013-03</c:v>
              </c:pt>
              <c:pt idx="69">
                <c:v>2013-04</c:v>
              </c:pt>
              <c:pt idx="70">
                <c:v>2013-05</c:v>
              </c:pt>
              <c:pt idx="71">
                <c:v>2013-06</c:v>
              </c:pt>
              <c:pt idx="72">
                <c:v>2013-07</c:v>
              </c:pt>
              <c:pt idx="73">
                <c:v>2013-08</c:v>
              </c:pt>
              <c:pt idx="74">
                <c:v>2013-09</c:v>
              </c:pt>
              <c:pt idx="75">
                <c:v>2013-10</c:v>
              </c:pt>
              <c:pt idx="76">
                <c:v>2013-11</c:v>
              </c:pt>
              <c:pt idx="77">
                <c:v>2013-12</c:v>
              </c:pt>
              <c:pt idx="78">
                <c:v>2014-01</c:v>
              </c:pt>
              <c:pt idx="79">
                <c:v>2014-02</c:v>
              </c:pt>
              <c:pt idx="80">
                <c:v>2014-03</c:v>
              </c:pt>
              <c:pt idx="81">
                <c:v>2014-04</c:v>
              </c:pt>
              <c:pt idx="82">
                <c:v>2014-05</c:v>
              </c:pt>
              <c:pt idx="83">
                <c:v>2014-06</c:v>
              </c:pt>
              <c:pt idx="84">
                <c:v>2014-07</c:v>
              </c:pt>
              <c:pt idx="85">
                <c:v>2014-08</c:v>
              </c:pt>
              <c:pt idx="86">
                <c:v>2014-09</c:v>
              </c:pt>
              <c:pt idx="87">
                <c:v>2014-10</c:v>
              </c:pt>
              <c:pt idx="88">
                <c:v>2014-11</c:v>
              </c:pt>
              <c:pt idx="89">
                <c:v>2014-12</c:v>
              </c:pt>
              <c:pt idx="90">
                <c:v>2015-01</c:v>
              </c:pt>
              <c:pt idx="91">
                <c:v>2015-02</c:v>
              </c:pt>
              <c:pt idx="92">
                <c:v>2015-03</c:v>
              </c:pt>
              <c:pt idx="93">
                <c:v>2015-04</c:v>
              </c:pt>
              <c:pt idx="94">
                <c:v>2015-05</c:v>
              </c:pt>
              <c:pt idx="95">
                <c:v>2015-06</c:v>
              </c:pt>
              <c:pt idx="96">
                <c:v>2015-07</c:v>
              </c:pt>
              <c:pt idx="97">
                <c:v>2015-08</c:v>
              </c:pt>
              <c:pt idx="98">
                <c:v>2015-09</c:v>
              </c:pt>
              <c:pt idx="99">
                <c:v>2015-10</c:v>
              </c:pt>
              <c:pt idx="100">
                <c:v>2015-11</c:v>
              </c:pt>
              <c:pt idx="101">
                <c:v>2015-12</c:v>
              </c:pt>
              <c:pt idx="102">
                <c:v>2016-01</c:v>
              </c:pt>
              <c:pt idx="103">
                <c:v>2016-02</c:v>
              </c:pt>
              <c:pt idx="104">
                <c:v>2016-03</c:v>
              </c:pt>
              <c:pt idx="105">
                <c:v>2016-04</c:v>
              </c:pt>
              <c:pt idx="106">
                <c:v>2016-05</c:v>
              </c:pt>
              <c:pt idx="107">
                <c:v>2016-06</c:v>
              </c:pt>
              <c:pt idx="108">
                <c:v>2016-07</c:v>
              </c:pt>
              <c:pt idx="109">
                <c:v>2016-08</c:v>
              </c:pt>
              <c:pt idx="110">
                <c:v>2016-09</c:v>
              </c:pt>
              <c:pt idx="111">
                <c:v>2016-10</c:v>
              </c:pt>
              <c:pt idx="112">
                <c:v>2016-11</c:v>
              </c:pt>
              <c:pt idx="113">
                <c:v>2016-12</c:v>
              </c:pt>
              <c:pt idx="114">
                <c:v>2017-01</c:v>
              </c:pt>
              <c:pt idx="115">
                <c:v>2017-02</c:v>
              </c:pt>
              <c:pt idx="116">
                <c:v>2017-03</c:v>
              </c:pt>
              <c:pt idx="117">
                <c:v>2017-04</c:v>
              </c:pt>
              <c:pt idx="118">
                <c:v>2017-05</c:v>
              </c:pt>
              <c:pt idx="119">
                <c:v>2017-06</c:v>
              </c:pt>
              <c:pt idx="120">
                <c:v>2017-07</c:v>
              </c:pt>
            </c:strLit>
          </c:cat>
          <c:val>
            <c:numLit>
              <c:ptCount val="121"/>
              <c:pt idx="0">
                <c:v>0.0008530154624027814</c:v>
              </c:pt>
              <c:pt idx="1">
                <c:v>0.006537930555176291</c:v>
              </c:pt>
              <c:pt idx="2">
                <c:v>0.0027835645011905358</c:v>
              </c:pt>
              <c:pt idx="3">
                <c:v>-0.0023582376827668977</c:v>
              </c:pt>
              <c:pt idx="4">
                <c:v>-0.0045212552327593275</c:v>
              </c:pt>
              <c:pt idx="5">
                <c:v>-0.004870514934101233</c:v>
              </c:pt>
              <c:pt idx="6">
                <c:v>0.0013441885707844853</c:v>
              </c:pt>
              <c:pt idx="7">
                <c:v>0.012267062041301832</c:v>
              </c:pt>
              <c:pt idx="8">
                <c:v>0.02117968356564344</c:v>
              </c:pt>
              <c:pt idx="9">
                <c:v>0.02315170101316906</c:v>
              </c:pt>
              <c:pt idx="10">
                <c:v>0.022358324271474536</c:v>
              </c:pt>
              <c:pt idx="11">
                <c:v>0.03327628819797997</c:v>
              </c:pt>
              <c:pt idx="12">
                <c:v>0.04054582121186838</c:v>
              </c:pt>
              <c:pt idx="13">
                <c:v>0.037380883608968934</c:v>
              </c:pt>
              <c:pt idx="14">
                <c:v>0.04255691574386834</c:v>
              </c:pt>
              <c:pt idx="15">
                <c:v>0.06265019033106643</c:v>
              </c:pt>
              <c:pt idx="16">
                <c:v>0.0705482752135615</c:v>
              </c:pt>
              <c:pt idx="17">
                <c:v>0.06992116936818454</c:v>
              </c:pt>
              <c:pt idx="18">
                <c:v>0.08019469965236171</c:v>
              </c:pt>
              <c:pt idx="19">
                <c:v>0.09215884680160019</c:v>
              </c:pt>
              <c:pt idx="20">
                <c:v>0.09330079871944141</c:v>
              </c:pt>
              <c:pt idx="21">
                <c:v>0.08680559434960712</c:v>
              </c:pt>
              <c:pt idx="22">
                <c:v>0.07946509674813472</c:v>
              </c:pt>
              <c:pt idx="23">
                <c:v>0.07033659215103233</c:v>
              </c:pt>
              <c:pt idx="24">
                <c:v>0.07251753064407175</c:v>
              </c:pt>
              <c:pt idx="25">
                <c:v>0.0703275542968167</c:v>
              </c:pt>
              <c:pt idx="26">
                <c:v>0.06828902803922005</c:v>
              </c:pt>
              <c:pt idx="27">
                <c:v>0.06779294630242248</c:v>
              </c:pt>
              <c:pt idx="28">
                <c:v>0.06926505608548147</c:v>
              </c:pt>
              <c:pt idx="29">
                <c:v>0.06880014923465604</c:v>
              </c:pt>
              <c:pt idx="30">
                <c:v>0.0707686408047246</c:v>
              </c:pt>
              <c:pt idx="31">
                <c:v>0.07518762945742138</c:v>
              </c:pt>
              <c:pt idx="32">
                <c:v>0.07297255986633666</c:v>
              </c:pt>
              <c:pt idx="33">
                <c:v>0.07053274691644232</c:v>
              </c:pt>
              <c:pt idx="34">
                <c:v>0.07141836513391625</c:v>
              </c:pt>
              <c:pt idx="35">
                <c:v>0.07142841728070226</c:v>
              </c:pt>
              <c:pt idx="36">
                <c:v>0.07074508763973753</c:v>
              </c:pt>
              <c:pt idx="37">
                <c:v>0.06327850560505048</c:v>
              </c:pt>
              <c:pt idx="38">
                <c:v>0.06179912044862888</c:v>
              </c:pt>
              <c:pt idx="39">
                <c:v>0.05552349873603492</c:v>
              </c:pt>
              <c:pt idx="40">
                <c:v>0.05783459559858167</c:v>
              </c:pt>
              <c:pt idx="41">
                <c:v>0.05798815122029682</c:v>
              </c:pt>
              <c:pt idx="42">
                <c:v>0.06194081018899115</c:v>
              </c:pt>
              <c:pt idx="43">
                <c:v>0.06477679677038398</c:v>
              </c:pt>
              <c:pt idx="44">
                <c:v>0.06451737563835389</c:v>
              </c:pt>
              <c:pt idx="45">
                <c:v>0.059827495666204523</c:v>
              </c:pt>
              <c:pt idx="46">
                <c:v>0.06357011785685845</c:v>
              </c:pt>
              <c:pt idx="47">
                <c:v>0.05988680597624024</c:v>
              </c:pt>
              <c:pt idx="48">
                <c:v>0.05712547431434352</c:v>
              </c:pt>
              <c:pt idx="49">
                <c:v>0.05914388980767288</c:v>
              </c:pt>
              <c:pt idx="50">
                <c:v>0.05941504672191933</c:v>
              </c:pt>
              <c:pt idx="51">
                <c:v>0.057596685551169355</c:v>
              </c:pt>
              <c:pt idx="52">
                <c:v>0.05647671825671642</c:v>
              </c:pt>
              <c:pt idx="53">
                <c:v>0.060113726675373694</c:v>
              </c:pt>
              <c:pt idx="54">
                <c:v>0.05830040256132209</c:v>
              </c:pt>
              <c:pt idx="55">
                <c:v>0.05388730864318185</c:v>
              </c:pt>
              <c:pt idx="56">
                <c:v>0.055281367845585974</c:v>
              </c:pt>
              <c:pt idx="57">
                <c:v>0.05622292062937102</c:v>
              </c:pt>
              <c:pt idx="58">
                <c:v>0.06495172790668874</c:v>
              </c:pt>
              <c:pt idx="59">
                <c:v>0.0641680124956503</c:v>
              </c:pt>
              <c:pt idx="60">
                <c:v>0.06326833436236853</c:v>
              </c:pt>
              <c:pt idx="61">
                <c:v>0.06292172133190752</c:v>
              </c:pt>
              <c:pt idx="62">
                <c:v>0.06165303830960803</c:v>
              </c:pt>
              <c:pt idx="63">
                <c:v>0.06017579938230408</c:v>
              </c:pt>
              <c:pt idx="64">
                <c:v>0.061061090779503585</c:v>
              </c:pt>
              <c:pt idx="65">
                <c:v>0.05918289239977531</c:v>
              </c:pt>
              <c:pt idx="66">
                <c:v>0.05861024389318198</c:v>
              </c:pt>
              <c:pt idx="67">
                <c:v>0.0629789027273856</c:v>
              </c:pt>
              <c:pt idx="68">
                <c:v>0.06504341734106894</c:v>
              </c:pt>
              <c:pt idx="69">
                <c:v>0.06875748072557913</c:v>
              </c:pt>
              <c:pt idx="70">
                <c:v>0.06614208743888783</c:v>
              </c:pt>
              <c:pt idx="71">
                <c:v>0.07113376440657077</c:v>
              </c:pt>
              <c:pt idx="72">
                <c:v>0.07108031917175248</c:v>
              </c:pt>
              <c:pt idx="73">
                <c:v>0.07520087992012423</c:v>
              </c:pt>
              <c:pt idx="74">
                <c:v>0.07287744458193324</c:v>
              </c:pt>
              <c:pt idx="75">
                <c:v>0.06868689199212707</c:v>
              </c:pt>
              <c:pt idx="76">
                <c:v>0.06587912489558248</c:v>
              </c:pt>
              <c:pt idx="77">
                <c:v>0.06523393932695593</c:v>
              </c:pt>
              <c:pt idx="78">
                <c:v>0.0657317282268445</c:v>
              </c:pt>
              <c:pt idx="79">
                <c:v>0.0648533297997397</c:v>
              </c:pt>
              <c:pt idx="80">
                <c:v>0.06223322312760196</c:v>
              </c:pt>
              <c:pt idx="81">
                <c:v>0.06037672341901382</c:v>
              </c:pt>
              <c:pt idx="82">
                <c:v>0.058369482994186095</c:v>
              </c:pt>
              <c:pt idx="83">
                <c:v>0.05546295960204348</c:v>
              </c:pt>
              <c:pt idx="84">
                <c:v>0.055399638572851434</c:v>
              </c:pt>
              <c:pt idx="85">
                <c:v>0.05559620190575318</c:v>
              </c:pt>
              <c:pt idx="86">
                <c:v>0.05427458358562383</c:v>
              </c:pt>
              <c:pt idx="87">
                <c:v>0.05605440468755085</c:v>
              </c:pt>
              <c:pt idx="88">
                <c:v>0.05365208090171693</c:v>
              </c:pt>
              <c:pt idx="89">
                <c:v>0.0547921521949984</c:v>
              </c:pt>
              <c:pt idx="90">
                <c:v>0.054191194336499215</c:v>
              </c:pt>
              <c:pt idx="91">
                <c:v>0.056263529643972535</c:v>
              </c:pt>
              <c:pt idx="92">
                <c:v>0.05761180085561016</c:v>
              </c:pt>
              <c:pt idx="93">
                <c:v>0.06095324766948512</c:v>
              </c:pt>
              <c:pt idx="94">
                <c:v>0.06293217408398066</c:v>
              </c:pt>
              <c:pt idx="95">
                <c:v>0.06425106465523919</c:v>
              </c:pt>
              <c:pt idx="96">
                <c:v>0.0655127029572525</c:v>
              </c:pt>
              <c:pt idx="97">
                <c:v>0.06643492909442766</c:v>
              </c:pt>
              <c:pt idx="98">
                <c:v>0.07019663677820226</c:v>
              </c:pt>
              <c:pt idx="99">
                <c:v>0.07390161755994162</c:v>
              </c:pt>
              <c:pt idx="100">
                <c:v>0.075733648320391</c:v>
              </c:pt>
              <c:pt idx="101">
                <c:v>0.07670617705868277</c:v>
              </c:pt>
              <c:pt idx="102">
                <c:v>0.07809820227837169</c:v>
              </c:pt>
              <c:pt idx="103">
                <c:v>0.0808298041134744</c:v>
              </c:pt>
              <c:pt idx="104">
                <c:v>0.07845616930589436</c:v>
              </c:pt>
              <c:pt idx="105">
                <c:v>0.0772400291161067</c:v>
              </c:pt>
              <c:pt idx="106">
                <c:v>0.07437029263255848</c:v>
              </c:pt>
              <c:pt idx="107">
                <c:v>0.07307315240238899</c:v>
              </c:pt>
              <c:pt idx="108">
                <c:v>0.07124846821676209</c:v>
              </c:pt>
              <c:pt idx="109">
                <c:v>0.07049666212332475</c:v>
              </c:pt>
              <c:pt idx="110">
                <c:v>0.07008689299968024</c:v>
              </c:pt>
              <c:pt idx="111">
                <c:v>0.07110472124077857</c:v>
              </c:pt>
              <c:pt idx="112">
                <c:v>0.07657161376722182</c:v>
              </c:pt>
              <c:pt idx="113">
                <c:v>0.07765993115015296</c:v>
              </c:pt>
              <c:pt idx="114">
                <c:v>0.07648489559750188</c:v>
              </c:pt>
              <c:pt idx="115">
                <c:v>0.07478444430414385</c:v>
              </c:pt>
              <c:pt idx="116">
                <c:v>0.07471671064098975</c:v>
              </c:pt>
              <c:pt idx="117">
                <c:v>0.07486639761836769</c:v>
              </c:pt>
              <c:pt idx="118">
                <c:v>0.07296323002178196</c:v>
              </c:pt>
              <c:pt idx="119">
                <c:v>0.07356443011736696</c:v>
              </c:pt>
              <c:pt idx="120">
                <c:v>0.07381575767262621</c:v>
              </c:pt>
            </c:numLit>
          </c:val>
          <c:smooth val="0"/>
        </c:ser>
        <c:axId val="36514476"/>
        <c:axId val="56219037"/>
      </c:lineChart>
      <c:catAx>
        <c:axId val="3651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219037"/>
        <c:crosses val="autoZero"/>
        <c:auto val="1"/>
        <c:lblOffset val="100"/>
        <c:tickLblSkip val="24"/>
        <c:tickMarkSkip val="24"/>
        <c:noMultiLvlLbl val="0"/>
      </c:catAx>
      <c:valAx>
        <c:axId val="5621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51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25"/>
          <c:y val="0.0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75"/>
          <c:w val="0.984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Beta!$G$1:$H$1</c:f>
              <c:strCache>
                <c:ptCount val="1"/>
                <c:pt idx="0">
                  <c:v>Beta Moving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Beta!$B$88:$B$212</c:f>
              <c:strCache>
                <c:ptCount val="125"/>
                <c:pt idx="0">
                  <c:v>42077</c:v>
                </c:pt>
                <c:pt idx="1">
                  <c:v>42084</c:v>
                </c:pt>
                <c:pt idx="2">
                  <c:v>42091</c:v>
                </c:pt>
                <c:pt idx="3">
                  <c:v>42098</c:v>
                </c:pt>
                <c:pt idx="4">
                  <c:v>42105</c:v>
                </c:pt>
                <c:pt idx="5">
                  <c:v>42112</c:v>
                </c:pt>
                <c:pt idx="6">
                  <c:v>42119</c:v>
                </c:pt>
                <c:pt idx="7">
                  <c:v>42126</c:v>
                </c:pt>
                <c:pt idx="8">
                  <c:v>42133</c:v>
                </c:pt>
                <c:pt idx="9">
                  <c:v>42140</c:v>
                </c:pt>
                <c:pt idx="10">
                  <c:v>42147</c:v>
                </c:pt>
                <c:pt idx="11">
                  <c:v>42154</c:v>
                </c:pt>
                <c:pt idx="12">
                  <c:v>42161</c:v>
                </c:pt>
                <c:pt idx="13">
                  <c:v>42168</c:v>
                </c:pt>
                <c:pt idx="14">
                  <c:v>42175</c:v>
                </c:pt>
                <c:pt idx="15">
                  <c:v>42182</c:v>
                </c:pt>
                <c:pt idx="16">
                  <c:v>42189</c:v>
                </c:pt>
                <c:pt idx="17">
                  <c:v>42196</c:v>
                </c:pt>
                <c:pt idx="18">
                  <c:v>42203</c:v>
                </c:pt>
                <c:pt idx="19">
                  <c:v>42210</c:v>
                </c:pt>
                <c:pt idx="20">
                  <c:v>42217</c:v>
                </c:pt>
                <c:pt idx="21">
                  <c:v>42224</c:v>
                </c:pt>
                <c:pt idx="22">
                  <c:v>42231</c:v>
                </c:pt>
                <c:pt idx="23">
                  <c:v>42238</c:v>
                </c:pt>
                <c:pt idx="24">
                  <c:v>42245</c:v>
                </c:pt>
                <c:pt idx="25">
                  <c:v>42252</c:v>
                </c:pt>
                <c:pt idx="26">
                  <c:v>42259</c:v>
                </c:pt>
                <c:pt idx="27">
                  <c:v>42266</c:v>
                </c:pt>
                <c:pt idx="28">
                  <c:v>42273</c:v>
                </c:pt>
                <c:pt idx="29">
                  <c:v>42280</c:v>
                </c:pt>
                <c:pt idx="30">
                  <c:v>42287</c:v>
                </c:pt>
                <c:pt idx="31">
                  <c:v>42294</c:v>
                </c:pt>
                <c:pt idx="32">
                  <c:v>42301</c:v>
                </c:pt>
                <c:pt idx="33">
                  <c:v>42308</c:v>
                </c:pt>
                <c:pt idx="34">
                  <c:v>42315</c:v>
                </c:pt>
                <c:pt idx="35">
                  <c:v>42322</c:v>
                </c:pt>
                <c:pt idx="36">
                  <c:v>42329</c:v>
                </c:pt>
                <c:pt idx="37">
                  <c:v>42336</c:v>
                </c:pt>
                <c:pt idx="38">
                  <c:v>42343</c:v>
                </c:pt>
                <c:pt idx="39">
                  <c:v>42350</c:v>
                </c:pt>
                <c:pt idx="40">
                  <c:v>42357</c:v>
                </c:pt>
                <c:pt idx="41">
                  <c:v>42364</c:v>
                </c:pt>
                <c:pt idx="42">
                  <c:v>42371</c:v>
                </c:pt>
                <c:pt idx="43">
                  <c:v>42378</c:v>
                </c:pt>
                <c:pt idx="44">
                  <c:v>42385</c:v>
                </c:pt>
                <c:pt idx="45">
                  <c:v>42392</c:v>
                </c:pt>
                <c:pt idx="46">
                  <c:v>42399</c:v>
                </c:pt>
                <c:pt idx="47">
                  <c:v>42406</c:v>
                </c:pt>
                <c:pt idx="48">
                  <c:v>42413</c:v>
                </c:pt>
                <c:pt idx="49">
                  <c:v>42420</c:v>
                </c:pt>
                <c:pt idx="50">
                  <c:v>42427</c:v>
                </c:pt>
                <c:pt idx="51">
                  <c:v>42434</c:v>
                </c:pt>
                <c:pt idx="52">
                  <c:v>42441</c:v>
                </c:pt>
                <c:pt idx="53">
                  <c:v>42448</c:v>
                </c:pt>
                <c:pt idx="54">
                  <c:v>42455</c:v>
                </c:pt>
                <c:pt idx="55">
                  <c:v>42462</c:v>
                </c:pt>
                <c:pt idx="56">
                  <c:v>42469</c:v>
                </c:pt>
                <c:pt idx="57">
                  <c:v>42476</c:v>
                </c:pt>
                <c:pt idx="58">
                  <c:v>42483</c:v>
                </c:pt>
                <c:pt idx="59">
                  <c:v>42490</c:v>
                </c:pt>
                <c:pt idx="60">
                  <c:v>42497</c:v>
                </c:pt>
                <c:pt idx="61">
                  <c:v>42504</c:v>
                </c:pt>
                <c:pt idx="62">
                  <c:v>42511</c:v>
                </c:pt>
                <c:pt idx="63">
                  <c:v>42518</c:v>
                </c:pt>
                <c:pt idx="64">
                  <c:v>42525</c:v>
                </c:pt>
                <c:pt idx="65">
                  <c:v>42532</c:v>
                </c:pt>
                <c:pt idx="66">
                  <c:v>42539</c:v>
                </c:pt>
                <c:pt idx="67">
                  <c:v>42546</c:v>
                </c:pt>
                <c:pt idx="68">
                  <c:v>42553</c:v>
                </c:pt>
                <c:pt idx="69">
                  <c:v>42560</c:v>
                </c:pt>
                <c:pt idx="70">
                  <c:v>42567</c:v>
                </c:pt>
                <c:pt idx="71">
                  <c:v>42574</c:v>
                </c:pt>
                <c:pt idx="72">
                  <c:v>42581</c:v>
                </c:pt>
                <c:pt idx="73">
                  <c:v>42588</c:v>
                </c:pt>
                <c:pt idx="74">
                  <c:v>42595</c:v>
                </c:pt>
                <c:pt idx="75">
                  <c:v>42602</c:v>
                </c:pt>
                <c:pt idx="76">
                  <c:v>42609</c:v>
                </c:pt>
                <c:pt idx="77">
                  <c:v>42616</c:v>
                </c:pt>
                <c:pt idx="78">
                  <c:v>42623</c:v>
                </c:pt>
                <c:pt idx="79">
                  <c:v>42630</c:v>
                </c:pt>
                <c:pt idx="80">
                  <c:v>42637</c:v>
                </c:pt>
                <c:pt idx="81">
                  <c:v>42644</c:v>
                </c:pt>
                <c:pt idx="82">
                  <c:v>42651</c:v>
                </c:pt>
                <c:pt idx="83">
                  <c:v>42658</c:v>
                </c:pt>
                <c:pt idx="84">
                  <c:v>42665</c:v>
                </c:pt>
                <c:pt idx="85">
                  <c:v>42672</c:v>
                </c:pt>
                <c:pt idx="86">
                  <c:v>42679</c:v>
                </c:pt>
                <c:pt idx="87">
                  <c:v>42686</c:v>
                </c:pt>
                <c:pt idx="88">
                  <c:v>42693</c:v>
                </c:pt>
                <c:pt idx="89">
                  <c:v>42700</c:v>
                </c:pt>
                <c:pt idx="90">
                  <c:v>42707</c:v>
                </c:pt>
                <c:pt idx="91">
                  <c:v>42714</c:v>
                </c:pt>
                <c:pt idx="92">
                  <c:v>42721</c:v>
                </c:pt>
                <c:pt idx="93">
                  <c:v>42728</c:v>
                </c:pt>
                <c:pt idx="94">
                  <c:v>42735</c:v>
                </c:pt>
                <c:pt idx="95">
                  <c:v>42742</c:v>
                </c:pt>
                <c:pt idx="96">
                  <c:v>42749</c:v>
                </c:pt>
                <c:pt idx="97">
                  <c:v>42756</c:v>
                </c:pt>
                <c:pt idx="98">
                  <c:v>42763</c:v>
                </c:pt>
                <c:pt idx="99">
                  <c:v>42770</c:v>
                </c:pt>
                <c:pt idx="100">
                  <c:v>42777</c:v>
                </c:pt>
                <c:pt idx="101">
                  <c:v>42784</c:v>
                </c:pt>
                <c:pt idx="102">
                  <c:v>42791</c:v>
                </c:pt>
                <c:pt idx="103">
                  <c:v>42798</c:v>
                </c:pt>
                <c:pt idx="104">
                  <c:v>42805</c:v>
                </c:pt>
                <c:pt idx="105">
                  <c:v>42812</c:v>
                </c:pt>
                <c:pt idx="106">
                  <c:v>42819</c:v>
                </c:pt>
                <c:pt idx="107">
                  <c:v>42826</c:v>
                </c:pt>
                <c:pt idx="108">
                  <c:v>42833</c:v>
                </c:pt>
                <c:pt idx="109">
                  <c:v>42840</c:v>
                </c:pt>
                <c:pt idx="110">
                  <c:v>42847</c:v>
                </c:pt>
                <c:pt idx="111">
                  <c:v>42854</c:v>
                </c:pt>
                <c:pt idx="112">
                  <c:v>42861</c:v>
                </c:pt>
                <c:pt idx="113">
                  <c:v>42868</c:v>
                </c:pt>
                <c:pt idx="114">
                  <c:v>42875</c:v>
                </c:pt>
                <c:pt idx="115">
                  <c:v>42882</c:v>
                </c:pt>
                <c:pt idx="116">
                  <c:v>42889</c:v>
                </c:pt>
                <c:pt idx="117">
                  <c:v>42896</c:v>
                </c:pt>
                <c:pt idx="118">
                  <c:v>42903</c:v>
                </c:pt>
                <c:pt idx="119">
                  <c:v>42910</c:v>
                </c:pt>
                <c:pt idx="120">
                  <c:v>42917</c:v>
                </c:pt>
                <c:pt idx="121">
                  <c:v>42924</c:v>
                </c:pt>
                <c:pt idx="122">
                  <c:v>42931</c:v>
                </c:pt>
                <c:pt idx="123">
                  <c:v>42938</c:v>
                </c:pt>
                <c:pt idx="124">
                  <c:v>42945</c:v>
                </c:pt>
              </c:strCache>
            </c:strRef>
          </c:cat>
          <c:val>
            <c:numRef>
              <c:f>Beta!$H$88:$H$212</c:f>
              <c:numCache>
                <c:ptCount val="125"/>
                <c:pt idx="0">
                  <c:v>2.2843349399144626</c:v>
                </c:pt>
                <c:pt idx="1">
                  <c:v>2.2474283809688615</c:v>
                </c:pt>
                <c:pt idx="2">
                  <c:v>2.2095151523007615</c:v>
                </c:pt>
                <c:pt idx="3">
                  <c:v>2.1739373216684053</c:v>
                </c:pt>
                <c:pt idx="4">
                  <c:v>2.128973023812302</c:v>
                </c:pt>
                <c:pt idx="5">
                  <c:v>2.090848858645008</c:v>
                </c:pt>
                <c:pt idx="6">
                  <c:v>2.053527552453941</c:v>
                </c:pt>
                <c:pt idx="7">
                  <c:v>2.01507324429712</c:v>
                </c:pt>
                <c:pt idx="8">
                  <c:v>1.9770166477166033</c:v>
                </c:pt>
                <c:pt idx="9">
                  <c:v>1.9445776192025772</c:v>
                </c:pt>
                <c:pt idx="10">
                  <c:v>1.9168414382554801</c:v>
                </c:pt>
                <c:pt idx="11">
                  <c:v>1.8894934614633654</c:v>
                </c:pt>
                <c:pt idx="12">
                  <c:v>1.8726754925213323</c:v>
                </c:pt>
                <c:pt idx="13">
                  <c:v>1.8532869893892647</c:v>
                </c:pt>
                <c:pt idx="14">
                  <c:v>1.833385225201391</c:v>
                </c:pt>
                <c:pt idx="15">
                  <c:v>1.8137144042983406</c:v>
                </c:pt>
                <c:pt idx="16">
                  <c:v>1.7954408447098693</c:v>
                </c:pt>
                <c:pt idx="17">
                  <c:v>1.7797316521762303</c:v>
                </c:pt>
                <c:pt idx="18">
                  <c:v>1.762031340771485</c:v>
                </c:pt>
                <c:pt idx="19">
                  <c:v>1.744565767445998</c:v>
                </c:pt>
                <c:pt idx="20">
                  <c:v>1.726631041702208</c:v>
                </c:pt>
                <c:pt idx="21">
                  <c:v>1.7088400510268207</c:v>
                </c:pt>
                <c:pt idx="22">
                  <c:v>1.6911192782166595</c:v>
                </c:pt>
                <c:pt idx="23">
                  <c:v>1.6739414802978436</c:v>
                </c:pt>
                <c:pt idx="24">
                  <c:v>1.65741976500539</c:v>
                </c:pt>
                <c:pt idx="25">
                  <c:v>1.639162874514619</c:v>
                </c:pt>
                <c:pt idx="26">
                  <c:v>1.6231326548812797</c:v>
                </c:pt>
                <c:pt idx="27">
                  <c:v>1.607499784609145</c:v>
                </c:pt>
                <c:pt idx="28">
                  <c:v>1.5932302373424156</c:v>
                </c:pt>
                <c:pt idx="29">
                  <c:v>1.583736750113841</c:v>
                </c:pt>
                <c:pt idx="30">
                  <c:v>1.5736573523239163</c:v>
                </c:pt>
                <c:pt idx="31">
                  <c:v>1.5659272439461513</c:v>
                </c:pt>
                <c:pt idx="32">
                  <c:v>1.561369551613409</c:v>
                </c:pt>
                <c:pt idx="33">
                  <c:v>1.554735273645817</c:v>
                </c:pt>
                <c:pt idx="34">
                  <c:v>1.5494178534774734</c:v>
                </c:pt>
                <c:pt idx="35">
                  <c:v>1.5444989792458133</c:v>
                </c:pt>
                <c:pt idx="36">
                  <c:v>1.5418081375260877</c:v>
                </c:pt>
                <c:pt idx="37">
                  <c:v>1.5411159644787453</c:v>
                </c:pt>
                <c:pt idx="38">
                  <c:v>1.5418943432417018</c:v>
                </c:pt>
                <c:pt idx="39">
                  <c:v>1.5452947529789374</c:v>
                </c:pt>
                <c:pt idx="40">
                  <c:v>1.549078861932347</c:v>
                </c:pt>
                <c:pt idx="41">
                  <c:v>1.5514170122167488</c:v>
                </c:pt>
                <c:pt idx="42">
                  <c:v>1.54696265421517</c:v>
                </c:pt>
                <c:pt idx="43">
                  <c:v>1.5432905843131848</c:v>
                </c:pt>
                <c:pt idx="44">
                  <c:v>1.5400333609997017</c:v>
                </c:pt>
                <c:pt idx="45">
                  <c:v>1.5353189521172899</c:v>
                </c:pt>
                <c:pt idx="46">
                  <c:v>1.531449829245213</c:v>
                </c:pt>
                <c:pt idx="47">
                  <c:v>1.5251642078754808</c:v>
                </c:pt>
                <c:pt idx="48">
                  <c:v>1.5198585740523878</c:v>
                </c:pt>
                <c:pt idx="49">
                  <c:v>1.5118122302471613</c:v>
                </c:pt>
                <c:pt idx="50">
                  <c:v>1.5024128758504196</c:v>
                </c:pt>
                <c:pt idx="51">
                  <c:v>1.493869719792374</c:v>
                </c:pt>
                <c:pt idx="52">
                  <c:v>1.4840133001461049</c:v>
                </c:pt>
                <c:pt idx="53">
                  <c:v>1.474511344496519</c:v>
                </c:pt>
                <c:pt idx="54">
                  <c:v>1.467253525462892</c:v>
                </c:pt>
                <c:pt idx="55">
                  <c:v>1.4622796516360401</c:v>
                </c:pt>
                <c:pt idx="56">
                  <c:v>1.4584330759139297</c:v>
                </c:pt>
                <c:pt idx="57">
                  <c:v>1.4527873443965988</c:v>
                </c:pt>
                <c:pt idx="58">
                  <c:v>1.450186430461724</c:v>
                </c:pt>
                <c:pt idx="59">
                  <c:v>1.4479612489815505</c:v>
                </c:pt>
                <c:pt idx="60">
                  <c:v>1.446656078788285</c:v>
                </c:pt>
                <c:pt idx="61">
                  <c:v>1.444148082923068</c:v>
                </c:pt>
                <c:pt idx="62">
                  <c:v>1.4410993612580052</c:v>
                </c:pt>
                <c:pt idx="63">
                  <c:v>1.4396184684399456</c:v>
                </c:pt>
                <c:pt idx="64">
                  <c:v>1.4367518701057342</c:v>
                </c:pt>
                <c:pt idx="65">
                  <c:v>1.4336635633865114</c:v>
                </c:pt>
                <c:pt idx="66">
                  <c:v>1.4319844114446691</c:v>
                </c:pt>
                <c:pt idx="67">
                  <c:v>1.4298252554316933</c:v>
                </c:pt>
                <c:pt idx="68">
                  <c:v>1.427182065174321</c:v>
                </c:pt>
                <c:pt idx="69">
                  <c:v>1.4231724203671836</c:v>
                </c:pt>
                <c:pt idx="70">
                  <c:v>1.4199582138730693</c:v>
                </c:pt>
                <c:pt idx="71">
                  <c:v>1.4166729890535463</c:v>
                </c:pt>
                <c:pt idx="72">
                  <c:v>1.4149522234898848</c:v>
                </c:pt>
                <c:pt idx="73">
                  <c:v>1.4131073078454806</c:v>
                </c:pt>
                <c:pt idx="74">
                  <c:v>1.4104992904533447</c:v>
                </c:pt>
                <c:pt idx="75">
                  <c:v>1.4072047844108388</c:v>
                </c:pt>
                <c:pt idx="76">
                  <c:v>1.4050115933209928</c:v>
                </c:pt>
                <c:pt idx="77">
                  <c:v>1.4048992631453459</c:v>
                </c:pt>
                <c:pt idx="78">
                  <c:v>1.4007515407069289</c:v>
                </c:pt>
                <c:pt idx="79">
                  <c:v>1.399019454642382</c:v>
                </c:pt>
                <c:pt idx="80">
                  <c:v>1.3955128333410163</c:v>
                </c:pt>
                <c:pt idx="81">
                  <c:v>1.3875403411825824</c:v>
                </c:pt>
                <c:pt idx="82">
                  <c:v>1.3820106318644474</c:v>
                </c:pt>
                <c:pt idx="83">
                  <c:v>1.3759792954807197</c:v>
                </c:pt>
                <c:pt idx="84">
                  <c:v>1.369511883169924</c:v>
                </c:pt>
                <c:pt idx="85">
                  <c:v>1.3647933305726396</c:v>
                </c:pt>
                <c:pt idx="86">
                  <c:v>1.3618792385752694</c:v>
                </c:pt>
                <c:pt idx="87">
                  <c:v>1.3596973630883833</c:v>
                </c:pt>
                <c:pt idx="88">
                  <c:v>1.3547670637321896</c:v>
                </c:pt>
                <c:pt idx="89">
                  <c:v>1.3496368504216354</c:v>
                </c:pt>
                <c:pt idx="90">
                  <c:v>1.343794014745465</c:v>
                </c:pt>
                <c:pt idx="91">
                  <c:v>1.3374442549958967</c:v>
                </c:pt>
                <c:pt idx="92">
                  <c:v>1.3314579579623174</c:v>
                </c:pt>
                <c:pt idx="93">
                  <c:v>1.3289481808893568</c:v>
                </c:pt>
                <c:pt idx="94">
                  <c:v>1.3260800330771936</c:v>
                </c:pt>
                <c:pt idx="95">
                  <c:v>1.3256109627667934</c:v>
                </c:pt>
                <c:pt idx="96">
                  <c:v>1.3254489485906538</c:v>
                </c:pt>
                <c:pt idx="97">
                  <c:v>1.3256762217795537</c:v>
                </c:pt>
                <c:pt idx="98">
                  <c:v>1.3224415279990163</c:v>
                </c:pt>
                <c:pt idx="99">
                  <c:v>1.3196224533505825</c:v>
                </c:pt>
                <c:pt idx="100">
                  <c:v>1.3164496111028776</c:v>
                </c:pt>
                <c:pt idx="101">
                  <c:v>1.3157313800186874</c:v>
                </c:pt>
                <c:pt idx="102">
                  <c:v>1.3137796188590285</c:v>
                </c:pt>
                <c:pt idx="103">
                  <c:v>1.311286406882862</c:v>
                </c:pt>
                <c:pt idx="104">
                  <c:v>1.308854728774889</c:v>
                </c:pt>
                <c:pt idx="105">
                  <c:v>1.3067473157985476</c:v>
                </c:pt>
                <c:pt idx="106">
                  <c:v>1.3035688354990478</c:v>
                </c:pt>
                <c:pt idx="107">
                  <c:v>1.2994119471520138</c:v>
                </c:pt>
                <c:pt idx="108">
                  <c:v>1.2981234899373475</c:v>
                </c:pt>
                <c:pt idx="109">
                  <c:v>1.2963583132229712</c:v>
                </c:pt>
                <c:pt idx="110">
                  <c:v>1.295020231923284</c:v>
                </c:pt>
                <c:pt idx="111">
                  <c:v>1.2973139889050647</c:v>
                </c:pt>
                <c:pt idx="112">
                  <c:v>1.2984569947869622</c:v>
                </c:pt>
                <c:pt idx="113">
                  <c:v>1.2973937835212594</c:v>
                </c:pt>
                <c:pt idx="114">
                  <c:v>1.296313523889958</c:v>
                </c:pt>
                <c:pt idx="115">
                  <c:v>1.2960045678206842</c:v>
                </c:pt>
                <c:pt idx="116">
                  <c:v>1.292964038255184</c:v>
                </c:pt>
                <c:pt idx="117">
                  <c:v>1.2931916183448484</c:v>
                </c:pt>
                <c:pt idx="118">
                  <c:v>1.2954583700930007</c:v>
                </c:pt>
                <c:pt idx="119">
                  <c:v>1.2978992751741054</c:v>
                </c:pt>
                <c:pt idx="120">
                  <c:v>1.3000303214296167</c:v>
                </c:pt>
                <c:pt idx="121">
                  <c:v>1.302020465327004</c:v>
                </c:pt>
                <c:pt idx="122">
                  <c:v>1.3040876741641645</c:v>
                </c:pt>
                <c:pt idx="123">
                  <c:v>1.3027105684302376</c:v>
                </c:pt>
                <c:pt idx="124">
                  <c:v>1.3033322831107994</c:v>
                </c:pt>
              </c:numCache>
            </c:numRef>
          </c:val>
          <c:smooth val="0"/>
        </c:ser>
        <c:axId val="26818946"/>
        <c:axId val="12117995"/>
      </c:lineChart>
      <c:dateAx>
        <c:axId val="2681894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2117995"/>
        <c:crosses val="autoZero"/>
        <c:auto val="0"/>
        <c:noMultiLvlLbl val="0"/>
      </c:dateAx>
      <c:valAx>
        <c:axId val="12117995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681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"/>
          <c:y val="0.1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3325"/>
          <c:w val="0.973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Valuation!$D$2</c:f>
              <c:strCache>
                <c:ptCount val="1"/>
                <c:pt idx="0">
                  <c:v>Ret on 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Valuation!$D$30:$D$33</c:f>
              <c:numCache>
                <c:ptCount val="4"/>
                <c:pt idx="0">
                  <c:v>0.1938949258474171</c:v>
                </c:pt>
                <c:pt idx="1">
                  <c:v>0.18875000000000003</c:v>
                </c:pt>
                <c:pt idx="2">
                  <c:v>0.1675</c:v>
                </c:pt>
                <c:pt idx="3">
                  <c:v>0.14</c:v>
                </c:pt>
              </c:numCache>
            </c:numRef>
          </c:val>
        </c:ser>
        <c:axId val="38273960"/>
        <c:axId val="15253961"/>
      </c:barChart>
      <c:catAx>
        <c:axId val="3827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253961"/>
        <c:crosses val="autoZero"/>
        <c:auto val="1"/>
        <c:lblOffset val="100"/>
        <c:noMultiLvlLbl val="0"/>
      </c:catAx>
      <c:valAx>
        <c:axId val="15253961"/>
        <c:scaling>
          <c:orientation val="minMax"/>
        </c:scaling>
        <c:axPos val="l"/>
        <c:delete val="1"/>
        <c:majorTickMark val="out"/>
        <c:minorTickMark val="none"/>
        <c:tickLblPos val="nextTo"/>
        <c:crossAx val="38273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45"/>
          <c:y val="0"/>
          <c:w val="0.299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Growth Rates</a:t>
            </a:r>
          </a:p>
        </c:rich>
      </c:tx>
      <c:layout>
        <c:manualLayout>
          <c:xMode val="factor"/>
          <c:yMode val="factor"/>
          <c:x val="-0.354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"/>
          <c:w val="0.973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Valuation!$J$2</c:f>
              <c:strCache>
                <c:ptCount val="1"/>
                <c:pt idx="0">
                  <c:v>Sust Growth 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Valuation!$J$30:$J$33</c:f>
              <c:numCache>
                <c:ptCount val="4"/>
                <c:pt idx="0">
                  <c:v>0.16024166921573058</c:v>
                </c:pt>
                <c:pt idx="1">
                  <c:v>0.16384100392819675</c:v>
                </c:pt>
                <c:pt idx="2">
                  <c:v>0.12840657122899768</c:v>
                </c:pt>
                <c:pt idx="3">
                  <c:v>0.08364837871054855</c:v>
                </c:pt>
              </c:numCache>
            </c:numRef>
          </c:val>
        </c:ser>
        <c:ser>
          <c:idx val="0"/>
          <c:order val="1"/>
          <c:tx>
            <c:strRef>
              <c:f>Valuation!$F$2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Valuation!$F$30:$F$33</c:f>
              <c:numCache>
                <c:ptCount val="4"/>
                <c:pt idx="0">
                  <c:v>0.17906436892864194</c:v>
                </c:pt>
                <c:pt idx="1">
                  <c:v>0.25131189062225273</c:v>
                </c:pt>
                <c:pt idx="2">
                  <c:v>0.09872539687530239</c:v>
                </c:pt>
                <c:pt idx="3">
                  <c:v>0.08364837871054855</c:v>
                </c:pt>
              </c:numCache>
            </c:numRef>
          </c:val>
        </c:ser>
        <c:ser>
          <c:idx val="2"/>
          <c:order val="2"/>
          <c:tx>
            <c:strRef>
              <c:f>Valuation!$E$2</c:f>
              <c:strCache>
                <c:ptCount val="1"/>
                <c:pt idx="0">
                  <c:v>Div + Buyback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Valuation!$E$30:$E$33</c:f>
              <c:numCache>
                <c:ptCount val="4"/>
                <c:pt idx="0">
                  <c:v>0.14471424255333176</c:v>
                </c:pt>
                <c:pt idx="1">
                  <c:v>0.15529038397443765</c:v>
                </c:pt>
                <c:pt idx="2">
                  <c:v>0.21528122313046366</c:v>
                </c:pt>
                <c:pt idx="3">
                  <c:v>0.08364837871054855</c:v>
                </c:pt>
              </c:numCache>
            </c:numRef>
          </c:val>
        </c:ser>
        <c:overlap val="-10"/>
        <c:axId val="3153566"/>
        <c:axId val="32921271"/>
      </c:barChart>
      <c:catAx>
        <c:axId val="315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921271"/>
        <c:crosses val="autoZero"/>
        <c:auto val="1"/>
        <c:lblOffset val="100"/>
        <c:noMultiLvlLbl val="0"/>
      </c:catAx>
      <c:valAx>
        <c:axId val="32921271"/>
        <c:scaling>
          <c:orientation val="minMax"/>
        </c:scaling>
        <c:axPos val="l"/>
        <c:delete val="1"/>
        <c:majorTickMark val="out"/>
        <c:minorTickMark val="none"/>
        <c:tickLblPos val="nextTo"/>
        <c:crossAx val="3153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"/>
          <c:w val="0.29825"/>
          <c:h val="0.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6625"/>
          <c:w val="0.973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Valuation!$I$2</c:f>
              <c:strCache>
                <c:ptCount val="1"/>
                <c:pt idx="0">
                  <c:v>EPS Growth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Valuation!$B$6:$B$11</c:f>
              <c:strCache>
                <c:ptCount val="6"/>
                <c:pt idx="0">
                  <c:v>42094</c:v>
                </c:pt>
                <c:pt idx="1">
                  <c:v>42460</c:v>
                </c:pt>
                <c:pt idx="2">
                  <c:v>42825</c:v>
                </c:pt>
                <c:pt idx="3">
                  <c:v>43190</c:v>
                </c:pt>
                <c:pt idx="4">
                  <c:v>43555</c:v>
                </c:pt>
                <c:pt idx="5">
                  <c:v>43921</c:v>
                </c:pt>
              </c:strCache>
            </c:strRef>
          </c:cat>
          <c:val>
            <c:numRef>
              <c:f>Valuation!$I$6:$I$11</c:f>
              <c:numCache>
                <c:ptCount val="6"/>
                <c:pt idx="0">
                  <c:v>0.07021389624832364</c:v>
                </c:pt>
                <c:pt idx="1">
                  <c:v>0.25795278773503183</c:v>
                </c:pt>
                <c:pt idx="2">
                  <c:v>0.21752424475640986</c:v>
                </c:pt>
                <c:pt idx="3">
                  <c:v>0.2759311152261943</c:v>
                </c:pt>
                <c:pt idx="4">
                  <c:v>0.23594386208328433</c:v>
                </c:pt>
                <c:pt idx="5">
                  <c:v>0.24414278505015075</c:v>
                </c:pt>
              </c:numCache>
            </c:numRef>
          </c:val>
        </c:ser>
        <c:axId val="67105764"/>
        <c:axId val="66944565"/>
      </c:barChart>
      <c:catAx>
        <c:axId val="6710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944565"/>
        <c:crosses val="autoZero"/>
        <c:auto val="1"/>
        <c:lblOffset val="100"/>
        <c:noMultiLvlLbl val="0"/>
      </c:catAx>
      <c:valAx>
        <c:axId val="66944565"/>
        <c:scaling>
          <c:orientation val="minMax"/>
        </c:scaling>
        <c:axPos val="l"/>
        <c:delete val="1"/>
        <c:majorTickMark val="out"/>
        <c:minorTickMark val="none"/>
        <c:tickLblPos val="nextTo"/>
        <c:crossAx val="67105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8075"/>
          <c:y val="0"/>
          <c:w val="0.29825"/>
          <c:h val="0.1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292</xdr:row>
      <xdr:rowOff>142875</xdr:rowOff>
    </xdr:from>
    <xdr:to>
      <xdr:col>15</xdr:col>
      <xdr:colOff>523875</xdr:colOff>
      <xdr:row>319</xdr:row>
      <xdr:rowOff>104775</xdr:rowOff>
    </xdr:to>
    <xdr:graphicFrame>
      <xdr:nvGraphicFramePr>
        <xdr:cNvPr id="1" name="Chart 2"/>
        <xdr:cNvGraphicFramePr/>
      </xdr:nvGraphicFramePr>
      <xdr:xfrm>
        <a:off x="4391025" y="47910750"/>
        <a:ext cx="5915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181</xdr:row>
      <xdr:rowOff>28575</xdr:rowOff>
    </xdr:from>
    <xdr:to>
      <xdr:col>19</xdr:col>
      <xdr:colOff>257175</xdr:colOff>
      <xdr:row>207</xdr:row>
      <xdr:rowOff>76200</xdr:rowOff>
    </xdr:to>
    <xdr:graphicFrame>
      <xdr:nvGraphicFramePr>
        <xdr:cNvPr id="1" name="Chart 1"/>
        <xdr:cNvGraphicFramePr/>
      </xdr:nvGraphicFramePr>
      <xdr:xfrm>
        <a:off x="6829425" y="29337000"/>
        <a:ext cx="6229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17</xdr:row>
      <xdr:rowOff>38100</xdr:rowOff>
    </xdr:from>
    <xdr:to>
      <xdr:col>26</xdr:col>
      <xdr:colOff>19050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11229975" y="3181350"/>
        <a:ext cx="36861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552450</xdr:colOff>
      <xdr:row>27</xdr:row>
      <xdr:rowOff>114300</xdr:rowOff>
    </xdr:from>
    <xdr:to>
      <xdr:col>26</xdr:col>
      <xdr:colOff>28575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1229975" y="4876800"/>
        <a:ext cx="36957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542925</xdr:colOff>
      <xdr:row>37</xdr:row>
      <xdr:rowOff>28575</xdr:rowOff>
    </xdr:from>
    <xdr:to>
      <xdr:col>26</xdr:col>
      <xdr:colOff>19050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11220450" y="6572250"/>
        <a:ext cx="369570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0"/>
  <sheetViews>
    <sheetView showGridLines="0" workbookViewId="0" topLeftCell="A1">
      <pane ySplit="1" topLeftCell="BM266" activePane="bottomLeft" state="frozen"/>
      <selection pane="topLeft" activeCell="A1" sqref="A1"/>
      <selection pane="bottomLeft" activeCell="F320" sqref="F320"/>
    </sheetView>
  </sheetViews>
  <sheetFormatPr defaultColWidth="9.140625" defaultRowHeight="12.75"/>
  <cols>
    <col min="1" max="5" width="9.140625" style="10" customWidth="1"/>
    <col min="6" max="6" width="9.140625" style="161" customWidth="1"/>
    <col min="7" max="7" width="9.140625" style="10" customWidth="1"/>
    <col min="9" max="9" width="15.8515625" style="6" customWidth="1"/>
    <col min="10" max="10" width="12.00390625" style="0" customWidth="1"/>
  </cols>
  <sheetData>
    <row r="1" spans="1:10" ht="51">
      <c r="A1" s="152" t="s">
        <v>395</v>
      </c>
      <c r="B1" s="152" t="s">
        <v>394</v>
      </c>
      <c r="C1" s="152" t="s">
        <v>321</v>
      </c>
      <c r="D1" s="152" t="s">
        <v>320</v>
      </c>
      <c r="E1" s="152" t="s">
        <v>325</v>
      </c>
      <c r="F1" s="162" t="s">
        <v>326</v>
      </c>
      <c r="G1" s="152" t="s">
        <v>322</v>
      </c>
      <c r="H1" s="1"/>
      <c r="I1" s="7" t="s">
        <v>319</v>
      </c>
      <c r="J1" s="2" t="s">
        <v>327</v>
      </c>
    </row>
    <row r="2" spans="1:10" ht="12.75">
      <c r="A2" s="10">
        <v>1</v>
      </c>
      <c r="B2" s="10" t="s">
        <v>154</v>
      </c>
      <c r="C2" s="163">
        <v>133</v>
      </c>
      <c r="I2" s="8">
        <v>37008</v>
      </c>
      <c r="J2" s="186">
        <v>0.0675</v>
      </c>
    </row>
    <row r="3" spans="1:10" ht="12.75">
      <c r="A3" s="10">
        <f aca="true" t="shared" si="0" ref="A3:A66">A2+1</f>
        <v>2</v>
      </c>
      <c r="B3" s="10" t="s">
        <v>155</v>
      </c>
      <c r="C3" s="163">
        <v>142.5</v>
      </c>
      <c r="I3" s="8">
        <v>37039</v>
      </c>
      <c r="J3" s="186">
        <v>0.065</v>
      </c>
    </row>
    <row r="4" spans="1:10" ht="12.75">
      <c r="A4" s="10">
        <f t="shared" si="0"/>
        <v>3</v>
      </c>
      <c r="B4" s="10" t="s">
        <v>156</v>
      </c>
      <c r="C4" s="163">
        <v>160.4</v>
      </c>
      <c r="I4" s="8">
        <v>37320</v>
      </c>
      <c r="J4" s="186">
        <v>0.06</v>
      </c>
    </row>
    <row r="5" spans="1:10" ht="12.75">
      <c r="A5" s="10">
        <f t="shared" si="0"/>
        <v>4</v>
      </c>
      <c r="B5" s="10" t="s">
        <v>157</v>
      </c>
      <c r="C5" s="163">
        <v>169</v>
      </c>
      <c r="I5" s="8">
        <v>37434</v>
      </c>
      <c r="J5" s="186">
        <v>0.0575</v>
      </c>
    </row>
    <row r="6" spans="1:10" ht="12.75">
      <c r="A6" s="10">
        <f t="shared" si="0"/>
        <v>5</v>
      </c>
      <c r="B6" s="10" t="s">
        <v>158</v>
      </c>
      <c r="C6" s="163">
        <v>168.75</v>
      </c>
      <c r="I6" s="8">
        <v>37558</v>
      </c>
      <c r="J6" s="186">
        <v>0.055</v>
      </c>
    </row>
    <row r="7" spans="1:10" ht="12.75">
      <c r="A7" s="10">
        <f t="shared" si="0"/>
        <v>6</v>
      </c>
      <c r="B7" s="10" t="s">
        <v>159</v>
      </c>
      <c r="C7" s="163">
        <v>168</v>
      </c>
      <c r="I7" s="8">
        <v>37683</v>
      </c>
      <c r="J7" s="186">
        <v>0.05</v>
      </c>
    </row>
    <row r="8" spans="1:10" ht="12.75">
      <c r="A8" s="10">
        <f t="shared" si="0"/>
        <v>7</v>
      </c>
      <c r="B8" s="10" t="s">
        <v>160</v>
      </c>
      <c r="C8" s="163">
        <v>191.25</v>
      </c>
      <c r="I8" s="9">
        <v>37858</v>
      </c>
      <c r="J8" s="186">
        <v>0.045</v>
      </c>
    </row>
    <row r="9" spans="1:10" ht="12.75">
      <c r="A9" s="10">
        <f t="shared" si="0"/>
        <v>8</v>
      </c>
      <c r="B9" s="10" t="s">
        <v>161</v>
      </c>
      <c r="C9" s="163">
        <v>218.4</v>
      </c>
      <c r="I9" s="8">
        <v>38287</v>
      </c>
      <c r="J9" s="186">
        <v>0.0475</v>
      </c>
    </row>
    <row r="10" spans="1:10" ht="12.75">
      <c r="A10" s="10">
        <f t="shared" si="0"/>
        <v>9</v>
      </c>
      <c r="B10" s="10" t="s">
        <v>162</v>
      </c>
      <c r="C10" s="163">
        <v>228.75</v>
      </c>
      <c r="I10" s="8">
        <v>38471</v>
      </c>
      <c r="J10" s="186">
        <v>0.05</v>
      </c>
    </row>
    <row r="11" spans="1:10" ht="12.75">
      <c r="A11" s="10">
        <f t="shared" si="0"/>
        <v>10</v>
      </c>
      <c r="B11" s="10" t="s">
        <v>163</v>
      </c>
      <c r="C11" s="163">
        <v>221.75</v>
      </c>
      <c r="I11" s="8">
        <v>38651</v>
      </c>
      <c r="J11" s="186">
        <v>0.0525</v>
      </c>
    </row>
    <row r="12" spans="1:10" ht="12.75">
      <c r="A12" s="10">
        <f t="shared" si="0"/>
        <v>11</v>
      </c>
      <c r="B12" s="10" t="s">
        <v>164</v>
      </c>
      <c r="C12" s="163">
        <v>231.8</v>
      </c>
      <c r="I12" s="8">
        <v>38741</v>
      </c>
      <c r="J12" s="186">
        <v>0.055</v>
      </c>
    </row>
    <row r="13" spans="1:10" ht="12.75">
      <c r="A13" s="10">
        <f t="shared" si="0"/>
        <v>12</v>
      </c>
      <c r="B13" s="10" t="s">
        <v>165</v>
      </c>
      <c r="C13" s="163">
        <v>226.75</v>
      </c>
      <c r="I13" s="8">
        <v>38876</v>
      </c>
      <c r="J13" s="186">
        <v>0.0575</v>
      </c>
    </row>
    <row r="14" spans="1:10" ht="12.75">
      <c r="A14" s="10">
        <f t="shared" si="0"/>
        <v>13</v>
      </c>
      <c r="B14" s="10" t="s">
        <v>166</v>
      </c>
      <c r="C14" s="163">
        <v>248.5</v>
      </c>
      <c r="I14" s="8">
        <v>38923</v>
      </c>
      <c r="J14" s="186">
        <v>0.06</v>
      </c>
    </row>
    <row r="15" spans="1:10" ht="12.75">
      <c r="A15" s="10">
        <f t="shared" si="0"/>
        <v>14</v>
      </c>
      <c r="B15" s="10" t="s">
        <v>167</v>
      </c>
      <c r="C15" s="163">
        <v>300.6</v>
      </c>
      <c r="I15" s="8">
        <v>39790</v>
      </c>
      <c r="J15" s="186">
        <v>0.05</v>
      </c>
    </row>
    <row r="16" spans="1:10" ht="12.75">
      <c r="A16" s="10">
        <f t="shared" si="0"/>
        <v>15</v>
      </c>
      <c r="B16" s="10" t="s">
        <v>168</v>
      </c>
      <c r="C16" s="163">
        <v>454.5</v>
      </c>
      <c r="I16" s="8">
        <v>39818</v>
      </c>
      <c r="J16" s="186">
        <v>0.04</v>
      </c>
    </row>
    <row r="17" spans="1:13" ht="12.75">
      <c r="A17" s="10">
        <f t="shared" si="0"/>
        <v>16</v>
      </c>
      <c r="B17" s="10" t="s">
        <v>169</v>
      </c>
      <c r="C17" s="163">
        <v>561.25</v>
      </c>
      <c r="I17" s="8">
        <v>39877</v>
      </c>
      <c r="J17" s="186">
        <v>0.035</v>
      </c>
      <c r="M17" s="185"/>
    </row>
    <row r="18" spans="1:10" ht="12.75">
      <c r="A18" s="10">
        <f t="shared" si="0"/>
        <v>17</v>
      </c>
      <c r="B18" s="10" t="s">
        <v>170</v>
      </c>
      <c r="C18" s="163">
        <v>429.4</v>
      </c>
      <c r="I18" s="8">
        <v>39924</v>
      </c>
      <c r="J18" s="186">
        <v>0.0325</v>
      </c>
    </row>
    <row r="19" spans="1:10" ht="12.75">
      <c r="A19" s="10">
        <f t="shared" si="0"/>
        <v>18</v>
      </c>
      <c r="B19" s="10" t="s">
        <v>171</v>
      </c>
      <c r="C19" s="163">
        <v>370</v>
      </c>
      <c r="I19" s="8">
        <v>40256</v>
      </c>
      <c r="J19" s="186">
        <v>0.035</v>
      </c>
    </row>
    <row r="20" spans="1:10" ht="12.75">
      <c r="A20" s="10">
        <f t="shared" si="0"/>
        <v>19</v>
      </c>
      <c r="B20" s="10" t="s">
        <v>172</v>
      </c>
      <c r="C20" s="163">
        <v>337.5</v>
      </c>
      <c r="I20" s="8">
        <v>40288</v>
      </c>
      <c r="J20" s="186">
        <v>0.0375</v>
      </c>
    </row>
    <row r="21" spans="1:10" ht="12.75">
      <c r="A21" s="10">
        <f t="shared" si="0"/>
        <v>20</v>
      </c>
      <c r="B21" s="10" t="s">
        <v>173</v>
      </c>
      <c r="C21" s="163">
        <v>336.8</v>
      </c>
      <c r="I21" s="8">
        <v>40361</v>
      </c>
      <c r="J21" s="186">
        <v>0.04</v>
      </c>
    </row>
    <row r="22" spans="1:10" ht="12.75">
      <c r="A22" s="10">
        <f t="shared" si="0"/>
        <v>21</v>
      </c>
      <c r="B22" s="10" t="s">
        <v>174</v>
      </c>
      <c r="C22" s="163">
        <v>390</v>
      </c>
      <c r="I22" s="8">
        <v>40386</v>
      </c>
      <c r="J22" s="186">
        <v>0.045</v>
      </c>
    </row>
    <row r="23" spans="1:10" ht="12.75">
      <c r="A23" s="10">
        <f t="shared" si="0"/>
        <v>22</v>
      </c>
      <c r="B23" s="10" t="s">
        <v>175</v>
      </c>
      <c r="C23" s="163">
        <v>378</v>
      </c>
      <c r="I23" s="8">
        <v>40437</v>
      </c>
      <c r="J23" s="186">
        <v>0.05</v>
      </c>
    </row>
    <row r="24" spans="1:10" ht="12.75">
      <c r="A24" s="10">
        <f t="shared" si="0"/>
        <v>23</v>
      </c>
      <c r="B24" s="10" t="s">
        <v>176</v>
      </c>
      <c r="C24" s="163">
        <v>322.5</v>
      </c>
      <c r="I24" s="8">
        <v>40484</v>
      </c>
      <c r="J24" s="186">
        <v>0.0525</v>
      </c>
    </row>
    <row r="25" spans="1:10" ht="12.75">
      <c r="A25" s="10">
        <f t="shared" si="0"/>
        <v>24</v>
      </c>
      <c r="B25" s="10" t="s">
        <v>177</v>
      </c>
      <c r="C25" s="163">
        <v>313.75</v>
      </c>
      <c r="I25" s="8">
        <v>40568</v>
      </c>
      <c r="J25" s="186">
        <v>0.055</v>
      </c>
    </row>
    <row r="26" spans="1:10" ht="12.75">
      <c r="A26" s="10">
        <f t="shared" si="0"/>
        <v>25</v>
      </c>
      <c r="B26" s="10" t="s">
        <v>178</v>
      </c>
      <c r="C26" s="163">
        <v>302.75</v>
      </c>
      <c r="I26" s="8">
        <v>40619</v>
      </c>
      <c r="J26" s="186">
        <v>0.0575</v>
      </c>
    </row>
    <row r="27" spans="1:10" ht="12.75">
      <c r="A27" s="10">
        <f t="shared" si="0"/>
        <v>26</v>
      </c>
      <c r="B27" s="10" t="s">
        <v>179</v>
      </c>
      <c r="C27" s="163">
        <v>307.5</v>
      </c>
      <c r="I27" s="8">
        <v>40666</v>
      </c>
      <c r="J27" s="186">
        <v>0.0625</v>
      </c>
    </row>
    <row r="28" spans="1:10" ht="12.75">
      <c r="A28" s="10">
        <f t="shared" si="0"/>
        <v>27</v>
      </c>
      <c r="B28" s="10" t="s">
        <v>180</v>
      </c>
      <c r="C28" s="163">
        <v>260.25</v>
      </c>
      <c r="I28" s="8">
        <v>40710</v>
      </c>
      <c r="J28" s="186">
        <v>0.065</v>
      </c>
    </row>
    <row r="29" spans="1:10" ht="12.75">
      <c r="A29" s="10">
        <f t="shared" si="0"/>
        <v>28</v>
      </c>
      <c r="B29" s="10" t="s">
        <v>181</v>
      </c>
      <c r="C29" s="163">
        <v>236.5</v>
      </c>
      <c r="I29" s="8">
        <v>40750</v>
      </c>
      <c r="J29" s="186">
        <v>0.07</v>
      </c>
    </row>
    <row r="30" spans="1:10" ht="12.75">
      <c r="A30" s="10">
        <f t="shared" si="0"/>
        <v>29</v>
      </c>
      <c r="B30" s="10" t="s">
        <v>182</v>
      </c>
      <c r="C30" s="163">
        <v>242.8</v>
      </c>
      <c r="I30" s="8">
        <v>40802</v>
      </c>
      <c r="J30" s="186">
        <v>0.0725</v>
      </c>
    </row>
    <row r="31" spans="1:10" ht="12.75">
      <c r="A31" s="10">
        <f t="shared" si="0"/>
        <v>30</v>
      </c>
      <c r="B31" s="10" t="s">
        <v>183</v>
      </c>
      <c r="C31" s="163">
        <v>254.5</v>
      </c>
      <c r="I31" s="8">
        <v>40841</v>
      </c>
      <c r="J31" s="186">
        <v>0.075</v>
      </c>
    </row>
    <row r="32" spans="1:10" ht="12.75">
      <c r="A32" s="10">
        <f t="shared" si="0"/>
        <v>31</v>
      </c>
      <c r="B32" s="10" t="s">
        <v>184</v>
      </c>
      <c r="C32" s="163">
        <v>247.4</v>
      </c>
      <c r="I32" s="8">
        <v>41016</v>
      </c>
      <c r="J32" s="186">
        <v>0.07</v>
      </c>
    </row>
    <row r="33" spans="1:10" ht="12.75">
      <c r="A33" s="10">
        <f t="shared" si="0"/>
        <v>32</v>
      </c>
      <c r="B33" s="10" t="s">
        <v>185</v>
      </c>
      <c r="C33" s="163">
        <v>292</v>
      </c>
      <c r="I33" s="8">
        <v>41303</v>
      </c>
      <c r="J33" s="186">
        <v>0.0675</v>
      </c>
    </row>
    <row r="34" spans="1:10" ht="12.75">
      <c r="A34" s="10">
        <f t="shared" si="0"/>
        <v>33</v>
      </c>
      <c r="B34" s="10" t="s">
        <v>186</v>
      </c>
      <c r="C34" s="163">
        <v>321.75</v>
      </c>
      <c r="I34" s="8">
        <v>41352</v>
      </c>
      <c r="J34" s="186">
        <v>0.065</v>
      </c>
    </row>
    <row r="35" spans="1:10" ht="12.75">
      <c r="A35" s="10">
        <f t="shared" si="0"/>
        <v>34</v>
      </c>
      <c r="B35" s="10" t="s">
        <v>187</v>
      </c>
      <c r="C35" s="163">
        <v>316.8</v>
      </c>
      <c r="I35" s="8">
        <v>41397</v>
      </c>
      <c r="J35" s="186">
        <v>0.0625</v>
      </c>
    </row>
    <row r="36" spans="1:10" ht="12.75">
      <c r="A36" s="10">
        <f t="shared" si="0"/>
        <v>35</v>
      </c>
      <c r="B36" s="10" t="s">
        <v>188</v>
      </c>
      <c r="C36" s="163">
        <v>336.25</v>
      </c>
      <c r="I36" s="8">
        <v>41537</v>
      </c>
      <c r="J36" s="186">
        <v>0.065</v>
      </c>
    </row>
    <row r="37" spans="1:10" ht="12.75">
      <c r="A37" s="10">
        <f t="shared" si="0"/>
        <v>36</v>
      </c>
      <c r="B37" s="10" t="s">
        <v>189</v>
      </c>
      <c r="C37" s="163">
        <v>398.75</v>
      </c>
      <c r="I37" s="8">
        <v>41576</v>
      </c>
      <c r="J37" s="186">
        <v>0.0675</v>
      </c>
    </row>
    <row r="38" spans="1:10" ht="12.75">
      <c r="A38" s="10">
        <f t="shared" si="0"/>
        <v>37</v>
      </c>
      <c r="B38" s="10" t="s">
        <v>190</v>
      </c>
      <c r="C38" s="163">
        <v>481.75</v>
      </c>
      <c r="I38" s="8">
        <v>41667</v>
      </c>
      <c r="J38" s="186">
        <v>0.07</v>
      </c>
    </row>
    <row r="39" spans="1:10" ht="12.75">
      <c r="A39" s="10">
        <f t="shared" si="0"/>
        <v>38</v>
      </c>
      <c r="B39" s="10" t="s">
        <v>191</v>
      </c>
      <c r="C39" s="163">
        <v>483</v>
      </c>
      <c r="I39" s="8">
        <v>42019</v>
      </c>
      <c r="J39" s="186">
        <v>0.0675</v>
      </c>
    </row>
    <row r="40" spans="1:10" ht="12.75">
      <c r="A40" s="10">
        <f t="shared" si="0"/>
        <v>39</v>
      </c>
      <c r="B40" s="10" t="s">
        <v>192</v>
      </c>
      <c r="C40" s="163">
        <v>456</v>
      </c>
      <c r="I40" s="8">
        <v>42067</v>
      </c>
      <c r="J40" s="186">
        <v>0.065</v>
      </c>
    </row>
    <row r="41" spans="1:10" ht="12.75">
      <c r="A41" s="10">
        <f t="shared" si="0"/>
        <v>40</v>
      </c>
      <c r="B41" s="10" t="s">
        <v>193</v>
      </c>
      <c r="C41" s="163">
        <v>462</v>
      </c>
      <c r="I41" s="8">
        <v>42157</v>
      </c>
      <c r="J41" s="186">
        <v>0.0625</v>
      </c>
    </row>
    <row r="42" spans="1:10" ht="12.75">
      <c r="A42" s="10">
        <f t="shared" si="0"/>
        <v>41</v>
      </c>
      <c r="B42" s="10" t="s">
        <v>194</v>
      </c>
      <c r="C42" s="163">
        <v>450.5</v>
      </c>
      <c r="I42" s="8">
        <v>42276</v>
      </c>
      <c r="J42" s="186">
        <v>0.0575</v>
      </c>
    </row>
    <row r="43" spans="1:10" ht="12.75">
      <c r="A43" s="10">
        <f t="shared" si="0"/>
        <v>42</v>
      </c>
      <c r="B43" s="10" t="s">
        <v>195</v>
      </c>
      <c r="C43" s="163">
        <v>486.5</v>
      </c>
      <c r="I43" s="8">
        <v>42465</v>
      </c>
      <c r="J43" s="186">
        <v>0.06</v>
      </c>
    </row>
    <row r="44" spans="1:10" ht="12.75">
      <c r="A44" s="10">
        <f t="shared" si="0"/>
        <v>43</v>
      </c>
      <c r="B44" s="10" t="s">
        <v>196</v>
      </c>
      <c r="C44" s="163">
        <v>489.2</v>
      </c>
      <c r="I44" s="8">
        <v>42647</v>
      </c>
      <c r="J44" s="186">
        <v>0.0575</v>
      </c>
    </row>
    <row r="45" spans="1:10" ht="12.75">
      <c r="A45" s="10">
        <f t="shared" si="0"/>
        <v>44</v>
      </c>
      <c r="B45" s="10" t="s">
        <v>197</v>
      </c>
      <c r="C45" s="163">
        <v>513</v>
      </c>
      <c r="I45" s="8">
        <v>42831</v>
      </c>
      <c r="J45" s="186">
        <v>0.06</v>
      </c>
    </row>
    <row r="46" spans="1:3" ht="12.75">
      <c r="A46" s="10">
        <f t="shared" si="0"/>
        <v>45</v>
      </c>
      <c r="B46" s="10" t="s">
        <v>198</v>
      </c>
      <c r="C46" s="163">
        <v>519.5</v>
      </c>
    </row>
    <row r="47" spans="1:3" ht="12.75">
      <c r="A47" s="10">
        <f t="shared" si="0"/>
        <v>46</v>
      </c>
      <c r="B47" s="10" t="s">
        <v>199</v>
      </c>
      <c r="C47" s="163">
        <v>488.4</v>
      </c>
    </row>
    <row r="48" spans="1:3" ht="12.75">
      <c r="A48" s="10">
        <f t="shared" si="0"/>
        <v>47</v>
      </c>
      <c r="B48" s="10" t="s">
        <v>200</v>
      </c>
      <c r="C48" s="163">
        <v>470.25</v>
      </c>
    </row>
    <row r="49" spans="1:3" ht="12.75">
      <c r="A49" s="10">
        <f t="shared" si="0"/>
        <v>48</v>
      </c>
      <c r="B49" s="10" t="s">
        <v>201</v>
      </c>
      <c r="C49" s="163">
        <v>446.4</v>
      </c>
    </row>
    <row r="50" spans="1:3" ht="12.75">
      <c r="A50" s="10">
        <f t="shared" si="0"/>
        <v>49</v>
      </c>
      <c r="B50" s="10" t="s">
        <v>202</v>
      </c>
      <c r="C50" s="163">
        <v>410</v>
      </c>
    </row>
    <row r="51" spans="1:3" ht="12.75">
      <c r="A51" s="10">
        <f t="shared" si="0"/>
        <v>50</v>
      </c>
      <c r="B51" s="10" t="s">
        <v>203</v>
      </c>
      <c r="C51" s="163">
        <v>387.5</v>
      </c>
    </row>
    <row r="52" spans="1:3" ht="12.75">
      <c r="A52" s="10">
        <f t="shared" si="0"/>
        <v>51</v>
      </c>
      <c r="B52" s="10" t="s">
        <v>204</v>
      </c>
      <c r="C52" s="163">
        <v>383</v>
      </c>
    </row>
    <row r="53" spans="1:3" ht="12.75">
      <c r="A53" s="10">
        <f t="shared" si="0"/>
        <v>52</v>
      </c>
      <c r="B53" s="10" t="s">
        <v>205</v>
      </c>
      <c r="C53" s="163">
        <v>371</v>
      </c>
    </row>
    <row r="54" spans="1:3" ht="12.75">
      <c r="A54" s="10">
        <f t="shared" si="0"/>
        <v>53</v>
      </c>
      <c r="B54" s="10" t="s">
        <v>206</v>
      </c>
      <c r="C54" s="163">
        <v>353</v>
      </c>
    </row>
    <row r="55" spans="1:3" ht="12.75">
      <c r="A55" s="10">
        <f t="shared" si="0"/>
        <v>54</v>
      </c>
      <c r="B55" s="10" t="s">
        <v>207</v>
      </c>
      <c r="C55" s="163">
        <v>360.5</v>
      </c>
    </row>
    <row r="56" spans="1:3" ht="12.75">
      <c r="A56" s="10">
        <f t="shared" si="0"/>
        <v>55</v>
      </c>
      <c r="B56" s="10" t="s">
        <v>208</v>
      </c>
      <c r="C56" s="163">
        <v>352.6</v>
      </c>
    </row>
    <row r="57" spans="1:3" ht="12.75">
      <c r="A57" s="10">
        <f t="shared" si="0"/>
        <v>56</v>
      </c>
      <c r="B57" s="10" t="s">
        <v>209</v>
      </c>
      <c r="C57" s="163">
        <v>355</v>
      </c>
    </row>
    <row r="58" spans="1:3" ht="12.75">
      <c r="A58" s="10">
        <f t="shared" si="0"/>
        <v>57</v>
      </c>
      <c r="B58" s="10" t="s">
        <v>210</v>
      </c>
      <c r="C58" s="163">
        <v>348</v>
      </c>
    </row>
    <row r="59" spans="1:3" ht="12.75">
      <c r="A59" s="10">
        <f t="shared" si="0"/>
        <v>58</v>
      </c>
      <c r="B59" s="10" t="s">
        <v>211</v>
      </c>
      <c r="C59" s="163">
        <v>355.75</v>
      </c>
    </row>
    <row r="60" spans="1:3" ht="12.75">
      <c r="A60" s="10">
        <f t="shared" si="0"/>
        <v>59</v>
      </c>
      <c r="B60" s="10" t="s">
        <v>212</v>
      </c>
      <c r="C60" s="163">
        <v>323</v>
      </c>
    </row>
    <row r="61" spans="1:3" ht="12.75">
      <c r="A61" s="10">
        <f t="shared" si="0"/>
        <v>60</v>
      </c>
      <c r="B61" s="10" t="s">
        <v>213</v>
      </c>
      <c r="C61" s="163">
        <v>309.8</v>
      </c>
    </row>
    <row r="62" spans="1:3" ht="12.75">
      <c r="A62" s="10">
        <f t="shared" si="0"/>
        <v>61</v>
      </c>
      <c r="B62" s="10" t="s">
        <v>214</v>
      </c>
      <c r="C62" s="163">
        <v>299.25</v>
      </c>
    </row>
    <row r="63" spans="1:3" ht="12.75">
      <c r="A63" s="10">
        <f t="shared" si="0"/>
        <v>62</v>
      </c>
      <c r="B63" s="10" t="s">
        <v>215</v>
      </c>
      <c r="C63" s="163">
        <v>344.75</v>
      </c>
    </row>
    <row r="64" spans="1:3" ht="12.75">
      <c r="A64" s="10">
        <f t="shared" si="0"/>
        <v>63</v>
      </c>
      <c r="B64" s="10" t="s">
        <v>216</v>
      </c>
      <c r="C64" s="163">
        <v>342.8</v>
      </c>
    </row>
    <row r="65" spans="1:3" ht="12.75">
      <c r="A65" s="10">
        <f t="shared" si="0"/>
        <v>64</v>
      </c>
      <c r="B65" s="10" t="s">
        <v>217</v>
      </c>
      <c r="C65" s="163">
        <v>373.25</v>
      </c>
    </row>
    <row r="66" spans="1:3" ht="12.75">
      <c r="A66" s="10">
        <f t="shared" si="0"/>
        <v>65</v>
      </c>
      <c r="B66" s="10" t="s">
        <v>218</v>
      </c>
      <c r="C66" s="163">
        <v>386.75</v>
      </c>
    </row>
    <row r="67" spans="1:3" ht="12.75">
      <c r="A67" s="10">
        <f aca="true" t="shared" si="1" ref="A67:A130">A66+1</f>
        <v>66</v>
      </c>
      <c r="B67" s="10" t="s">
        <v>219</v>
      </c>
      <c r="C67" s="163">
        <v>394.8</v>
      </c>
    </row>
    <row r="68" spans="1:3" ht="12.75">
      <c r="A68" s="10">
        <f t="shared" si="1"/>
        <v>67</v>
      </c>
      <c r="B68" s="10" t="s">
        <v>220</v>
      </c>
      <c r="C68" s="163">
        <v>377.25</v>
      </c>
    </row>
    <row r="69" spans="1:3" ht="12.75">
      <c r="A69" s="10">
        <f t="shared" si="1"/>
        <v>68</v>
      </c>
      <c r="B69" s="10" t="s">
        <v>221</v>
      </c>
      <c r="C69" s="163">
        <v>351</v>
      </c>
    </row>
    <row r="70" spans="1:3" ht="12.75">
      <c r="A70" s="10">
        <f t="shared" si="1"/>
        <v>69</v>
      </c>
      <c r="B70" s="10" t="s">
        <v>222</v>
      </c>
      <c r="C70" s="163">
        <v>336.75</v>
      </c>
    </row>
    <row r="71" spans="1:3" ht="12.75">
      <c r="A71" s="10">
        <f t="shared" si="1"/>
        <v>70</v>
      </c>
      <c r="B71" s="10" t="s">
        <v>223</v>
      </c>
      <c r="C71" s="163">
        <v>312.25</v>
      </c>
    </row>
    <row r="72" spans="1:3" ht="12.75">
      <c r="A72" s="10">
        <f t="shared" si="1"/>
        <v>71</v>
      </c>
      <c r="B72" s="10" t="s">
        <v>224</v>
      </c>
      <c r="C72" s="163">
        <v>300.6</v>
      </c>
    </row>
    <row r="73" spans="1:3" ht="12.75">
      <c r="A73" s="10">
        <f t="shared" si="1"/>
        <v>72</v>
      </c>
      <c r="B73" s="10" t="s">
        <v>225</v>
      </c>
      <c r="C73" s="163">
        <v>295</v>
      </c>
    </row>
    <row r="74" spans="1:3" ht="12.75">
      <c r="A74" s="10">
        <f t="shared" si="1"/>
        <v>73</v>
      </c>
      <c r="B74" s="10" t="s">
        <v>226</v>
      </c>
      <c r="C74" s="163">
        <v>332.75</v>
      </c>
    </row>
    <row r="75" spans="1:3" ht="12.75">
      <c r="A75" s="10">
        <f t="shared" si="1"/>
        <v>74</v>
      </c>
      <c r="B75" s="10" t="s">
        <v>227</v>
      </c>
      <c r="C75" s="163">
        <v>333</v>
      </c>
    </row>
    <row r="76" spans="1:3" ht="12.75">
      <c r="A76" s="10">
        <f t="shared" si="1"/>
        <v>75</v>
      </c>
      <c r="B76" s="10" t="s">
        <v>228</v>
      </c>
      <c r="C76" s="163">
        <v>359.8</v>
      </c>
    </row>
    <row r="77" spans="1:3" ht="12.75">
      <c r="A77" s="10">
        <f t="shared" si="1"/>
        <v>76</v>
      </c>
      <c r="B77" s="10" t="s">
        <v>229</v>
      </c>
      <c r="C77" s="163">
        <v>352.75</v>
      </c>
    </row>
    <row r="78" spans="1:3" ht="12.75">
      <c r="A78" s="10">
        <f t="shared" si="1"/>
        <v>77</v>
      </c>
      <c r="B78" s="10" t="s">
        <v>230</v>
      </c>
      <c r="C78" s="163">
        <v>363</v>
      </c>
    </row>
    <row r="79" spans="1:3" ht="12.75">
      <c r="A79" s="10">
        <f t="shared" si="1"/>
        <v>78</v>
      </c>
      <c r="B79" s="10" t="s">
        <v>231</v>
      </c>
      <c r="C79" s="163">
        <v>383</v>
      </c>
    </row>
    <row r="80" spans="1:3" ht="12.75">
      <c r="A80" s="10">
        <f t="shared" si="1"/>
        <v>79</v>
      </c>
      <c r="B80" s="10" t="s">
        <v>232</v>
      </c>
      <c r="C80" s="163">
        <v>407.25</v>
      </c>
    </row>
    <row r="81" spans="1:3" ht="12.75">
      <c r="A81" s="10">
        <f t="shared" si="1"/>
        <v>80</v>
      </c>
      <c r="B81" s="10" t="s">
        <v>233</v>
      </c>
      <c r="C81" s="163">
        <v>409</v>
      </c>
    </row>
    <row r="82" spans="1:3" ht="12.75">
      <c r="A82" s="10">
        <f t="shared" si="1"/>
        <v>81</v>
      </c>
      <c r="B82" s="10" t="s">
        <v>234</v>
      </c>
      <c r="C82" s="163">
        <v>383.75</v>
      </c>
    </row>
    <row r="83" spans="1:3" ht="12.75">
      <c r="A83" s="10">
        <f t="shared" si="1"/>
        <v>82</v>
      </c>
      <c r="B83" s="10" t="s">
        <v>235</v>
      </c>
      <c r="C83" s="163">
        <v>385</v>
      </c>
    </row>
    <row r="84" spans="1:3" ht="12.75">
      <c r="A84" s="10">
        <f t="shared" si="1"/>
        <v>83</v>
      </c>
      <c r="B84" s="10" t="s">
        <v>236</v>
      </c>
      <c r="C84" s="163">
        <v>354.8</v>
      </c>
    </row>
    <row r="85" spans="1:3" ht="12.75">
      <c r="A85" s="10">
        <f t="shared" si="1"/>
        <v>84</v>
      </c>
      <c r="B85" s="10" t="s">
        <v>237</v>
      </c>
      <c r="C85" s="163">
        <v>339</v>
      </c>
    </row>
    <row r="86" spans="1:3" ht="12.75">
      <c r="A86" s="10">
        <f t="shared" si="1"/>
        <v>85</v>
      </c>
      <c r="B86" s="10" t="s">
        <v>238</v>
      </c>
      <c r="C86" s="163">
        <v>336.4</v>
      </c>
    </row>
    <row r="87" spans="1:3" ht="12.75">
      <c r="A87" s="10">
        <f t="shared" si="1"/>
        <v>86</v>
      </c>
      <c r="B87" s="10" t="s">
        <v>239</v>
      </c>
      <c r="C87" s="163">
        <v>329.5</v>
      </c>
    </row>
    <row r="88" spans="1:3" ht="12.75">
      <c r="A88" s="10">
        <f t="shared" si="1"/>
        <v>87</v>
      </c>
      <c r="B88" s="10" t="s">
        <v>240</v>
      </c>
      <c r="C88" s="163">
        <v>363.75</v>
      </c>
    </row>
    <row r="89" spans="1:3" ht="12.75">
      <c r="A89" s="10">
        <f t="shared" si="1"/>
        <v>88</v>
      </c>
      <c r="B89" s="10" t="s">
        <v>241</v>
      </c>
      <c r="C89" s="163">
        <v>404.5</v>
      </c>
    </row>
    <row r="90" spans="1:3" ht="12.75">
      <c r="A90" s="10">
        <f t="shared" si="1"/>
        <v>89</v>
      </c>
      <c r="B90" s="10" t="s">
        <v>242</v>
      </c>
      <c r="C90" s="163">
        <v>390</v>
      </c>
    </row>
    <row r="91" spans="1:3" ht="12.75">
      <c r="A91" s="10">
        <f t="shared" si="1"/>
        <v>90</v>
      </c>
      <c r="B91" s="10" t="s">
        <v>243</v>
      </c>
      <c r="C91" s="163">
        <v>327.5</v>
      </c>
    </row>
    <row r="92" spans="1:3" ht="12.75">
      <c r="A92" s="10">
        <f t="shared" si="1"/>
        <v>91</v>
      </c>
      <c r="B92" s="10" t="s">
        <v>244</v>
      </c>
      <c r="C92" s="163">
        <v>327.75</v>
      </c>
    </row>
    <row r="93" spans="1:3" ht="12.75">
      <c r="A93" s="10">
        <f t="shared" si="1"/>
        <v>92</v>
      </c>
      <c r="B93" s="10" t="s">
        <v>245</v>
      </c>
      <c r="C93" s="163">
        <v>311</v>
      </c>
    </row>
    <row r="94" spans="1:3" ht="12.75">
      <c r="A94" s="10">
        <f t="shared" si="1"/>
        <v>93</v>
      </c>
      <c r="B94" s="10" t="s">
        <v>246</v>
      </c>
      <c r="C94" s="163">
        <v>316.75</v>
      </c>
    </row>
    <row r="95" spans="1:3" ht="12.75">
      <c r="A95" s="10">
        <f t="shared" si="1"/>
        <v>94</v>
      </c>
      <c r="B95" s="10" t="s">
        <v>247</v>
      </c>
      <c r="C95" s="163">
        <v>300.8</v>
      </c>
    </row>
    <row r="96" spans="1:3" ht="12.75">
      <c r="A96" s="10">
        <f t="shared" si="1"/>
        <v>95</v>
      </c>
      <c r="B96" s="10" t="s">
        <v>248</v>
      </c>
      <c r="C96" s="163">
        <v>299</v>
      </c>
    </row>
    <row r="97" spans="1:3" ht="12.75">
      <c r="A97" s="10">
        <f t="shared" si="1"/>
        <v>96</v>
      </c>
      <c r="B97" s="10" t="s">
        <v>249</v>
      </c>
      <c r="C97" s="163">
        <v>300</v>
      </c>
    </row>
    <row r="98" spans="1:3" ht="12.75">
      <c r="A98" s="10">
        <f t="shared" si="1"/>
        <v>97</v>
      </c>
      <c r="B98" s="10" t="s">
        <v>250</v>
      </c>
      <c r="C98" s="163">
        <v>333.2</v>
      </c>
    </row>
    <row r="99" spans="1:3" ht="12.75">
      <c r="A99" s="10">
        <f t="shared" si="1"/>
        <v>98</v>
      </c>
      <c r="B99" s="10" t="s">
        <v>251</v>
      </c>
      <c r="C99" s="163">
        <v>335</v>
      </c>
    </row>
    <row r="100" spans="1:3" ht="12.75">
      <c r="A100" s="10">
        <f t="shared" si="1"/>
        <v>99</v>
      </c>
      <c r="B100" s="10" t="s">
        <v>252</v>
      </c>
      <c r="C100" s="163">
        <v>368.75</v>
      </c>
    </row>
    <row r="101" spans="1:3" ht="12.75">
      <c r="A101" s="10">
        <f t="shared" si="1"/>
        <v>100</v>
      </c>
      <c r="B101" s="10" t="s">
        <v>253</v>
      </c>
      <c r="C101" s="163">
        <v>349</v>
      </c>
    </row>
    <row r="102" spans="1:3" ht="12.75">
      <c r="A102" s="10">
        <f t="shared" si="1"/>
        <v>101</v>
      </c>
      <c r="B102" s="10" t="s">
        <v>254</v>
      </c>
      <c r="C102" s="163">
        <v>372.2</v>
      </c>
    </row>
    <row r="103" spans="1:3" ht="12.75">
      <c r="A103" s="10">
        <f t="shared" si="1"/>
        <v>102</v>
      </c>
      <c r="B103" s="10" t="s">
        <v>255</v>
      </c>
      <c r="C103" s="163">
        <v>399.25</v>
      </c>
    </row>
    <row r="104" spans="1:3" ht="12.75">
      <c r="A104" s="10">
        <f t="shared" si="1"/>
        <v>103</v>
      </c>
      <c r="B104" s="10" t="s">
        <v>256</v>
      </c>
      <c r="C104" s="163">
        <v>443.2</v>
      </c>
    </row>
    <row r="105" spans="1:3" ht="12.75">
      <c r="A105" s="10">
        <f t="shared" si="1"/>
        <v>104</v>
      </c>
      <c r="B105" s="10" t="s">
        <v>257</v>
      </c>
      <c r="C105" s="163">
        <v>474</v>
      </c>
    </row>
    <row r="106" spans="1:3" ht="12.75">
      <c r="A106" s="10">
        <f t="shared" si="1"/>
        <v>105</v>
      </c>
      <c r="B106" s="10" t="s">
        <v>258</v>
      </c>
      <c r="C106" s="163">
        <v>495</v>
      </c>
    </row>
    <row r="107" spans="1:3" ht="12.75">
      <c r="A107" s="10">
        <f t="shared" si="1"/>
        <v>106</v>
      </c>
      <c r="B107" s="10" t="s">
        <v>259</v>
      </c>
      <c r="C107" s="163">
        <v>517.8</v>
      </c>
    </row>
    <row r="108" spans="1:3" ht="12.75">
      <c r="A108" s="10">
        <f t="shared" si="1"/>
        <v>107</v>
      </c>
      <c r="B108" s="10" t="s">
        <v>260</v>
      </c>
      <c r="C108" s="163">
        <v>507</v>
      </c>
    </row>
    <row r="109" spans="1:3" ht="12.75">
      <c r="A109" s="10">
        <f t="shared" si="1"/>
        <v>108</v>
      </c>
      <c r="B109" s="10" t="s">
        <v>261</v>
      </c>
      <c r="C109" s="163">
        <v>552.75</v>
      </c>
    </row>
    <row r="110" spans="1:3" ht="12.75">
      <c r="A110" s="10">
        <f t="shared" si="1"/>
        <v>109</v>
      </c>
      <c r="B110" s="10" t="s">
        <v>262</v>
      </c>
      <c r="C110" s="163">
        <v>623.6</v>
      </c>
    </row>
    <row r="111" spans="1:3" ht="12.75">
      <c r="A111" s="10">
        <f t="shared" si="1"/>
        <v>110</v>
      </c>
      <c r="B111" s="10" t="s">
        <v>263</v>
      </c>
      <c r="C111" s="163">
        <v>737.5</v>
      </c>
    </row>
    <row r="112" spans="1:3" ht="12.75">
      <c r="A112" s="10">
        <f t="shared" si="1"/>
        <v>111</v>
      </c>
      <c r="B112" s="10" t="s">
        <v>264</v>
      </c>
      <c r="C112" s="163">
        <v>660.25</v>
      </c>
    </row>
    <row r="113" spans="1:3" ht="12.75">
      <c r="A113" s="10">
        <f t="shared" si="1"/>
        <v>112</v>
      </c>
      <c r="B113" s="10" t="s">
        <v>265</v>
      </c>
      <c r="C113" s="163">
        <v>577.4</v>
      </c>
    </row>
    <row r="114" spans="1:3" ht="12.75">
      <c r="A114" s="10">
        <f t="shared" si="1"/>
        <v>113</v>
      </c>
      <c r="B114" s="10" t="s">
        <v>266</v>
      </c>
      <c r="C114" s="163">
        <v>455</v>
      </c>
    </row>
    <row r="115" spans="1:3" ht="12.75">
      <c r="A115" s="10">
        <f t="shared" si="1"/>
        <v>114</v>
      </c>
      <c r="B115" s="10" t="s">
        <v>267</v>
      </c>
      <c r="C115" s="163">
        <v>500</v>
      </c>
    </row>
    <row r="116" spans="1:3" ht="12.75">
      <c r="A116" s="10">
        <f t="shared" si="1"/>
        <v>115</v>
      </c>
      <c r="B116" s="10" t="s">
        <v>268</v>
      </c>
      <c r="C116" s="163">
        <v>504.2</v>
      </c>
    </row>
    <row r="117" spans="1:3" ht="12.75">
      <c r="A117" s="10">
        <f t="shared" si="1"/>
        <v>116</v>
      </c>
      <c r="B117" s="10" t="s">
        <v>269</v>
      </c>
      <c r="C117" s="163">
        <v>460.75</v>
      </c>
    </row>
    <row r="118" spans="1:3" ht="12.75">
      <c r="A118" s="10">
        <f t="shared" si="1"/>
        <v>117</v>
      </c>
      <c r="B118" s="10" t="s">
        <v>270</v>
      </c>
      <c r="C118" s="163">
        <v>473.6</v>
      </c>
    </row>
    <row r="119" spans="1:3" ht="12.75">
      <c r="A119" s="10">
        <f t="shared" si="1"/>
        <v>118</v>
      </c>
      <c r="B119" s="10" t="s">
        <v>271</v>
      </c>
      <c r="C119" s="163">
        <v>412.75</v>
      </c>
    </row>
    <row r="120" spans="1:3" ht="12.75">
      <c r="A120" s="10">
        <f t="shared" si="1"/>
        <v>119</v>
      </c>
      <c r="B120" s="10" t="s">
        <v>272</v>
      </c>
      <c r="C120" s="163">
        <v>429.75</v>
      </c>
    </row>
    <row r="121" spans="1:3" ht="12.75">
      <c r="A121" s="10">
        <f t="shared" si="1"/>
        <v>120</v>
      </c>
      <c r="B121" s="10" t="s">
        <v>273</v>
      </c>
      <c r="C121" s="163">
        <v>448.2</v>
      </c>
    </row>
    <row r="122" spans="1:3" ht="12.75">
      <c r="A122" s="10">
        <f t="shared" si="1"/>
        <v>121</v>
      </c>
      <c r="B122" s="10" t="s">
        <v>274</v>
      </c>
      <c r="C122" s="163">
        <v>463.5</v>
      </c>
    </row>
    <row r="123" spans="1:3" ht="12.75">
      <c r="A123" s="10">
        <f t="shared" si="1"/>
        <v>122</v>
      </c>
      <c r="B123" s="10" t="s">
        <v>275</v>
      </c>
      <c r="C123" s="163">
        <v>475</v>
      </c>
    </row>
    <row r="124" spans="1:3" ht="12.75">
      <c r="A124" s="10">
        <f t="shared" si="1"/>
        <v>123</v>
      </c>
      <c r="B124" s="10" t="s">
        <v>276</v>
      </c>
      <c r="C124" s="163">
        <v>394.2</v>
      </c>
    </row>
    <row r="125" spans="1:3" ht="12.75">
      <c r="A125" s="10">
        <f t="shared" si="1"/>
        <v>124</v>
      </c>
      <c r="B125" s="10" t="s">
        <v>277</v>
      </c>
      <c r="C125" s="163">
        <v>350.75</v>
      </c>
    </row>
    <row r="126" spans="1:3" ht="12.75">
      <c r="A126" s="10">
        <f t="shared" si="1"/>
        <v>125</v>
      </c>
      <c r="B126" s="10" t="s">
        <v>278</v>
      </c>
      <c r="C126" s="163">
        <v>378.5</v>
      </c>
    </row>
    <row r="127" spans="1:3" ht="12.75">
      <c r="A127" s="10">
        <f t="shared" si="1"/>
        <v>126</v>
      </c>
      <c r="B127" s="10" t="s">
        <v>279</v>
      </c>
      <c r="C127" s="163">
        <v>366</v>
      </c>
    </row>
    <row r="128" spans="1:3" ht="12.75">
      <c r="A128" s="10">
        <f t="shared" si="1"/>
        <v>127</v>
      </c>
      <c r="B128" s="10" t="s">
        <v>280</v>
      </c>
      <c r="C128" s="163">
        <v>345.75</v>
      </c>
    </row>
    <row r="129" spans="1:3" ht="12.75">
      <c r="A129" s="10">
        <f t="shared" si="1"/>
        <v>128</v>
      </c>
      <c r="B129" s="10" t="s">
        <v>281</v>
      </c>
      <c r="C129" s="163">
        <v>342.75</v>
      </c>
    </row>
    <row r="130" spans="1:3" ht="12.75">
      <c r="A130" s="10">
        <f t="shared" si="1"/>
        <v>129</v>
      </c>
      <c r="B130" s="10" t="s">
        <v>282</v>
      </c>
      <c r="C130" s="163">
        <v>303.2</v>
      </c>
    </row>
    <row r="131" spans="1:3" ht="12.75">
      <c r="A131" s="10">
        <f aca="true" t="shared" si="2" ref="A131:A194">A130+1</f>
        <v>130</v>
      </c>
      <c r="B131" s="10" t="s">
        <v>283</v>
      </c>
      <c r="C131" s="163">
        <v>300.25</v>
      </c>
    </row>
    <row r="132" spans="1:3" ht="12.75">
      <c r="A132" s="10">
        <f t="shared" si="2"/>
        <v>131</v>
      </c>
      <c r="B132" s="10" t="s">
        <v>284</v>
      </c>
      <c r="C132" s="163">
        <v>324</v>
      </c>
    </row>
    <row r="133" spans="1:3" ht="12.75">
      <c r="A133" s="10">
        <f t="shared" si="2"/>
        <v>132</v>
      </c>
      <c r="B133" s="10" t="s">
        <v>285</v>
      </c>
      <c r="C133" s="163">
        <v>345.4</v>
      </c>
    </row>
    <row r="134" spans="1:3" ht="12.75">
      <c r="A134" s="10">
        <f t="shared" si="2"/>
        <v>133</v>
      </c>
      <c r="B134" s="10" t="s">
        <v>286</v>
      </c>
      <c r="C134" s="163">
        <v>351.5</v>
      </c>
    </row>
    <row r="135" spans="1:3" ht="12.75">
      <c r="A135" s="10">
        <f t="shared" si="2"/>
        <v>134</v>
      </c>
      <c r="B135" s="10" t="s">
        <v>287</v>
      </c>
      <c r="C135" s="163">
        <v>380</v>
      </c>
    </row>
    <row r="136" spans="1:3" ht="12.75">
      <c r="A136" s="10">
        <f t="shared" si="2"/>
        <v>135</v>
      </c>
      <c r="B136" s="10" t="s">
        <v>288</v>
      </c>
      <c r="C136" s="163">
        <v>397.6</v>
      </c>
    </row>
    <row r="137" spans="1:3" ht="12.75">
      <c r="A137" s="10">
        <f t="shared" si="2"/>
        <v>136</v>
      </c>
      <c r="B137" s="10" t="s">
        <v>289</v>
      </c>
      <c r="C137" s="163">
        <v>403.5</v>
      </c>
    </row>
    <row r="138" spans="1:3" ht="12.75">
      <c r="A138" s="10">
        <f t="shared" si="2"/>
        <v>137</v>
      </c>
      <c r="B138" s="10" t="s">
        <v>290</v>
      </c>
      <c r="C138" s="163">
        <v>400.25</v>
      </c>
    </row>
    <row r="139" spans="1:3" ht="12.75">
      <c r="A139" s="10">
        <f t="shared" si="2"/>
        <v>138</v>
      </c>
      <c r="B139" s="10" t="s">
        <v>291</v>
      </c>
      <c r="C139" s="163">
        <v>391</v>
      </c>
    </row>
    <row r="140" spans="1:3" ht="12.75">
      <c r="A140" s="10">
        <f t="shared" si="2"/>
        <v>139</v>
      </c>
      <c r="B140" s="10" t="s">
        <v>292</v>
      </c>
      <c r="C140" s="163">
        <v>389.75</v>
      </c>
    </row>
    <row r="141" spans="1:3" ht="12.75">
      <c r="A141" s="10">
        <f t="shared" si="2"/>
        <v>140</v>
      </c>
      <c r="B141" s="10" t="s">
        <v>293</v>
      </c>
      <c r="C141" s="163">
        <v>370</v>
      </c>
    </row>
    <row r="142" spans="1:3" ht="12.75">
      <c r="A142" s="10">
        <f t="shared" si="2"/>
        <v>141</v>
      </c>
      <c r="B142" s="10" t="s">
        <v>294</v>
      </c>
      <c r="C142" s="163">
        <v>364.25</v>
      </c>
    </row>
    <row r="143" spans="1:3" ht="12.75">
      <c r="A143" s="10">
        <f t="shared" si="2"/>
        <v>142</v>
      </c>
      <c r="B143" s="10" t="s">
        <v>295</v>
      </c>
      <c r="C143" s="163">
        <v>355</v>
      </c>
    </row>
    <row r="144" spans="1:3" ht="12.75">
      <c r="A144" s="10">
        <f t="shared" si="2"/>
        <v>143</v>
      </c>
      <c r="B144" s="10" t="s">
        <v>296</v>
      </c>
      <c r="C144" s="163">
        <v>363.6</v>
      </c>
    </row>
    <row r="145" spans="1:3" ht="12.75">
      <c r="A145" s="10">
        <f t="shared" si="2"/>
        <v>144</v>
      </c>
      <c r="B145" s="10" t="s">
        <v>297</v>
      </c>
      <c r="C145" s="163">
        <v>391.5</v>
      </c>
    </row>
    <row r="146" spans="1:3" ht="12.75">
      <c r="A146" s="10">
        <f t="shared" si="2"/>
        <v>145</v>
      </c>
      <c r="B146" s="10" t="s">
        <v>298</v>
      </c>
      <c r="C146" s="163">
        <v>393</v>
      </c>
    </row>
    <row r="147" spans="1:3" ht="12.75">
      <c r="A147" s="10">
        <f t="shared" si="2"/>
        <v>146</v>
      </c>
      <c r="B147" s="10" t="s">
        <v>299</v>
      </c>
      <c r="C147" s="163">
        <v>385</v>
      </c>
    </row>
    <row r="148" spans="1:3" ht="12.75">
      <c r="A148" s="10">
        <f t="shared" si="2"/>
        <v>147</v>
      </c>
      <c r="B148" s="10" t="s">
        <v>300</v>
      </c>
      <c r="C148" s="163">
        <v>375.2</v>
      </c>
    </row>
    <row r="149" spans="1:3" ht="12.75">
      <c r="A149" s="10">
        <f t="shared" si="2"/>
        <v>148</v>
      </c>
      <c r="B149" s="10" t="s">
        <v>301</v>
      </c>
      <c r="C149" s="163">
        <v>359.25</v>
      </c>
    </row>
    <row r="150" spans="1:3" ht="12.75">
      <c r="A150" s="10">
        <f t="shared" si="2"/>
        <v>149</v>
      </c>
      <c r="B150" s="10" t="s">
        <v>302</v>
      </c>
      <c r="C150" s="163">
        <v>378.4</v>
      </c>
    </row>
    <row r="151" spans="1:3" ht="12.75">
      <c r="A151" s="10">
        <f t="shared" si="2"/>
        <v>150</v>
      </c>
      <c r="B151" s="10" t="s">
        <v>303</v>
      </c>
      <c r="C151" s="163">
        <v>433.25</v>
      </c>
    </row>
    <row r="152" spans="1:3" ht="12.75">
      <c r="A152" s="10">
        <f t="shared" si="2"/>
        <v>151</v>
      </c>
      <c r="B152" s="10" t="s">
        <v>304</v>
      </c>
      <c r="C152" s="163">
        <v>459.75</v>
      </c>
    </row>
    <row r="153" spans="1:3" ht="12.75">
      <c r="A153" s="10">
        <f t="shared" si="2"/>
        <v>152</v>
      </c>
      <c r="B153" s="10" t="s">
        <v>305</v>
      </c>
      <c r="C153" s="163">
        <v>512.6</v>
      </c>
    </row>
    <row r="154" spans="1:3" ht="12.75">
      <c r="A154" s="10">
        <f t="shared" si="2"/>
        <v>153</v>
      </c>
      <c r="B154" s="10" t="s">
        <v>306</v>
      </c>
      <c r="C154" s="163">
        <v>555.25</v>
      </c>
    </row>
    <row r="155" spans="1:3" ht="12.75">
      <c r="A155" s="10">
        <f t="shared" si="2"/>
        <v>154</v>
      </c>
      <c r="B155" s="10" t="s">
        <v>307</v>
      </c>
      <c r="C155" s="163">
        <v>604.75</v>
      </c>
    </row>
    <row r="156" spans="1:3" ht="12.75">
      <c r="A156" s="10">
        <f t="shared" si="2"/>
        <v>155</v>
      </c>
      <c r="B156" s="10" t="s">
        <v>308</v>
      </c>
      <c r="C156" s="163">
        <v>627.6</v>
      </c>
    </row>
    <row r="157" spans="1:3" ht="12.75">
      <c r="A157" s="10">
        <f t="shared" si="2"/>
        <v>156</v>
      </c>
      <c r="B157" s="10" t="s">
        <v>309</v>
      </c>
      <c r="C157" s="163">
        <v>704.25</v>
      </c>
    </row>
    <row r="158" spans="1:3" ht="12.75">
      <c r="A158" s="10">
        <f t="shared" si="2"/>
        <v>157</v>
      </c>
      <c r="B158" s="10" t="s">
        <v>310</v>
      </c>
      <c r="C158" s="163">
        <v>776.4</v>
      </c>
    </row>
    <row r="159" spans="1:3" ht="12.75">
      <c r="A159" s="10">
        <f t="shared" si="2"/>
        <v>158</v>
      </c>
      <c r="B159" s="10" t="s">
        <v>311</v>
      </c>
      <c r="C159" s="163">
        <v>747</v>
      </c>
    </row>
    <row r="160" spans="1:3" ht="12.75">
      <c r="A160" s="10">
        <f t="shared" si="2"/>
        <v>159</v>
      </c>
      <c r="B160" s="10" t="s">
        <v>312</v>
      </c>
      <c r="C160" s="163">
        <v>734</v>
      </c>
    </row>
    <row r="161" spans="1:3" ht="12.75">
      <c r="A161" s="10">
        <f t="shared" si="2"/>
        <v>160</v>
      </c>
      <c r="B161" s="10" t="s">
        <v>313</v>
      </c>
      <c r="C161" s="163">
        <v>778</v>
      </c>
    </row>
    <row r="162" spans="1:3" ht="12.75">
      <c r="A162" s="10">
        <f t="shared" si="2"/>
        <v>161</v>
      </c>
      <c r="B162" s="10" t="s">
        <v>314</v>
      </c>
      <c r="C162" s="163">
        <v>690</v>
      </c>
    </row>
    <row r="163" spans="1:3" ht="12.75">
      <c r="A163" s="10">
        <f t="shared" si="2"/>
        <v>162</v>
      </c>
      <c r="B163" s="10" t="s">
        <v>315</v>
      </c>
      <c r="C163" s="163">
        <v>622.75</v>
      </c>
    </row>
    <row r="164" spans="1:3" ht="12.75">
      <c r="A164" s="10">
        <f t="shared" si="2"/>
        <v>163</v>
      </c>
      <c r="B164" s="10" t="s">
        <v>316</v>
      </c>
      <c r="C164" s="163">
        <v>651.2</v>
      </c>
    </row>
    <row r="165" spans="1:3" ht="12.75">
      <c r="A165" s="10">
        <f t="shared" si="2"/>
        <v>164</v>
      </c>
      <c r="B165" s="10" t="s">
        <v>317</v>
      </c>
      <c r="C165" s="163">
        <v>669.25</v>
      </c>
    </row>
    <row r="166" spans="1:3" ht="12.75">
      <c r="A166" s="10">
        <f t="shared" si="2"/>
        <v>165</v>
      </c>
      <c r="B166" s="10" t="s">
        <v>1</v>
      </c>
      <c r="C166" s="163">
        <v>709.5</v>
      </c>
    </row>
    <row r="167" spans="1:3" ht="12.75">
      <c r="A167" s="10">
        <f t="shared" si="2"/>
        <v>166</v>
      </c>
      <c r="B167" s="10" t="s">
        <v>2</v>
      </c>
      <c r="C167" s="163">
        <v>749.2</v>
      </c>
    </row>
    <row r="168" spans="1:3" ht="12.75">
      <c r="A168" s="10">
        <f t="shared" si="2"/>
        <v>167</v>
      </c>
      <c r="B168" s="10" t="s">
        <v>3</v>
      </c>
      <c r="C168" s="163">
        <v>784.5</v>
      </c>
    </row>
    <row r="169" spans="1:3" ht="12.75">
      <c r="A169" s="10">
        <f t="shared" si="2"/>
        <v>168</v>
      </c>
      <c r="B169" s="10" t="s">
        <v>4</v>
      </c>
      <c r="C169" s="163">
        <v>845.75</v>
      </c>
    </row>
    <row r="170" spans="1:3" ht="12.75">
      <c r="A170" s="10">
        <f t="shared" si="2"/>
        <v>169</v>
      </c>
      <c r="B170" s="10" t="s">
        <v>5</v>
      </c>
      <c r="C170" s="163">
        <v>848.2</v>
      </c>
    </row>
    <row r="171" spans="1:3" ht="12.75">
      <c r="A171" s="10">
        <f t="shared" si="2"/>
        <v>170</v>
      </c>
      <c r="B171" s="10" t="s">
        <v>6</v>
      </c>
      <c r="C171" s="163">
        <v>885</v>
      </c>
    </row>
    <row r="172" spans="1:3" ht="12.75">
      <c r="A172" s="10">
        <f t="shared" si="2"/>
        <v>171</v>
      </c>
      <c r="B172" s="10" t="s">
        <v>7</v>
      </c>
      <c r="C172" s="163">
        <v>899.25</v>
      </c>
    </row>
    <row r="173" spans="1:3" ht="12.75">
      <c r="A173" s="10">
        <f t="shared" si="2"/>
        <v>172</v>
      </c>
      <c r="B173" s="10" t="s">
        <v>8</v>
      </c>
      <c r="C173" s="163">
        <v>852.6</v>
      </c>
    </row>
    <row r="174" spans="1:3" ht="12.75">
      <c r="A174" s="10">
        <f t="shared" si="2"/>
        <v>173</v>
      </c>
      <c r="B174" s="10" t="s">
        <v>9</v>
      </c>
      <c r="C174" s="163">
        <v>861.75</v>
      </c>
    </row>
    <row r="175" spans="1:3" ht="12.75">
      <c r="A175" s="10">
        <f t="shared" si="2"/>
        <v>174</v>
      </c>
      <c r="B175" s="10" t="s">
        <v>10</v>
      </c>
      <c r="C175" s="163">
        <v>901.75</v>
      </c>
    </row>
    <row r="176" spans="1:3" ht="12.75">
      <c r="A176" s="10">
        <f t="shared" si="2"/>
        <v>175</v>
      </c>
      <c r="B176" s="10" t="s">
        <v>11</v>
      </c>
      <c r="C176" s="163">
        <v>948.6</v>
      </c>
    </row>
    <row r="177" spans="1:3" ht="12.75">
      <c r="A177" s="10">
        <f t="shared" si="2"/>
        <v>176</v>
      </c>
      <c r="B177" s="10" t="s">
        <v>12</v>
      </c>
      <c r="C177" s="163">
        <v>1004.25</v>
      </c>
    </row>
    <row r="178" spans="1:3" ht="12.75">
      <c r="A178" s="10">
        <f t="shared" si="2"/>
        <v>177</v>
      </c>
      <c r="B178" s="10" t="s">
        <v>13</v>
      </c>
      <c r="C178" s="163">
        <v>1049</v>
      </c>
    </row>
    <row r="179" spans="1:3" ht="12.75">
      <c r="A179" s="10">
        <f t="shared" si="2"/>
        <v>178</v>
      </c>
      <c r="B179" s="10" t="s">
        <v>14</v>
      </c>
      <c r="C179" s="163">
        <v>1045.8</v>
      </c>
    </row>
    <row r="180" spans="1:3" ht="12.75">
      <c r="A180" s="10">
        <f t="shared" si="2"/>
        <v>179</v>
      </c>
      <c r="B180" s="10" t="s">
        <v>15</v>
      </c>
      <c r="C180" s="163">
        <v>1078.25</v>
      </c>
    </row>
    <row r="181" spans="1:3" ht="12.75">
      <c r="A181" s="10">
        <f t="shared" si="2"/>
        <v>180</v>
      </c>
      <c r="B181" s="10" t="s">
        <v>16</v>
      </c>
      <c r="C181" s="163">
        <v>1162</v>
      </c>
    </row>
    <row r="182" spans="1:3" ht="12.75">
      <c r="A182" s="10">
        <f t="shared" si="2"/>
        <v>181</v>
      </c>
      <c r="B182" s="10" t="s">
        <v>17</v>
      </c>
      <c r="C182" s="163">
        <v>1221</v>
      </c>
    </row>
    <row r="183" spans="1:3" ht="12.75">
      <c r="A183" s="10">
        <f t="shared" si="2"/>
        <v>182</v>
      </c>
      <c r="B183" s="10" t="s">
        <v>18</v>
      </c>
      <c r="C183" s="163">
        <v>1262.25</v>
      </c>
    </row>
    <row r="184" spans="1:3" ht="12.75">
      <c r="A184" s="10">
        <f t="shared" si="2"/>
        <v>183</v>
      </c>
      <c r="B184" s="10" t="s">
        <v>19</v>
      </c>
      <c r="C184" s="163">
        <v>1353</v>
      </c>
    </row>
    <row r="185" spans="1:3" ht="12.75">
      <c r="A185" s="10">
        <f t="shared" si="2"/>
        <v>184</v>
      </c>
      <c r="B185" s="10" t="s">
        <v>20</v>
      </c>
      <c r="C185" s="163">
        <v>1451.8</v>
      </c>
    </row>
    <row r="186" spans="1:3" ht="12.75">
      <c r="A186" s="10">
        <f t="shared" si="2"/>
        <v>185</v>
      </c>
      <c r="B186" s="10" t="s">
        <v>21</v>
      </c>
      <c r="C186" s="163">
        <v>1438.5</v>
      </c>
    </row>
    <row r="187" spans="1:7" ht="12.75">
      <c r="A187" s="10">
        <f t="shared" si="2"/>
        <v>186</v>
      </c>
      <c r="B187" s="10" t="s">
        <v>22</v>
      </c>
      <c r="C187" s="163">
        <v>1227.25</v>
      </c>
      <c r="D187" s="164"/>
      <c r="G187" s="165"/>
    </row>
    <row r="188" spans="1:7" ht="12.75">
      <c r="A188" s="10">
        <f t="shared" si="2"/>
        <v>187</v>
      </c>
      <c r="B188" s="10" t="s">
        <v>23</v>
      </c>
      <c r="C188" s="163">
        <v>1252.2</v>
      </c>
      <c r="D188" s="164"/>
      <c r="G188" s="165"/>
    </row>
    <row r="189" spans="1:7" ht="12.75">
      <c r="A189" s="10">
        <f t="shared" si="2"/>
        <v>188</v>
      </c>
      <c r="B189" s="10" t="s">
        <v>24</v>
      </c>
      <c r="C189" s="163">
        <v>1348.75</v>
      </c>
      <c r="D189" s="164"/>
      <c r="G189" s="165"/>
    </row>
    <row r="190" spans="1:7" ht="12.75">
      <c r="A190" s="10">
        <f t="shared" si="2"/>
        <v>189</v>
      </c>
      <c r="B190" s="10" t="s">
        <v>25</v>
      </c>
      <c r="C190" s="163">
        <v>1450.2</v>
      </c>
      <c r="D190" s="164"/>
      <c r="G190" s="165"/>
    </row>
    <row r="191" spans="1:7" ht="12.75">
      <c r="A191" s="10">
        <f t="shared" si="2"/>
        <v>190</v>
      </c>
      <c r="B191" s="10" t="s">
        <v>26</v>
      </c>
      <c r="C191" s="163">
        <v>1529.5</v>
      </c>
      <c r="D191" s="164"/>
      <c r="G191" s="165"/>
    </row>
    <row r="192" spans="1:7" ht="12.75">
      <c r="A192" s="10">
        <f t="shared" si="2"/>
        <v>191</v>
      </c>
      <c r="B192" s="10" t="s">
        <v>27</v>
      </c>
      <c r="C192" s="163">
        <v>1611</v>
      </c>
      <c r="D192" s="164"/>
      <c r="G192" s="165"/>
    </row>
    <row r="193" spans="1:7" ht="12.75">
      <c r="A193" s="10">
        <f t="shared" si="2"/>
        <v>192</v>
      </c>
      <c r="B193" s="10" t="s">
        <v>28</v>
      </c>
      <c r="C193" s="163">
        <v>1643.6</v>
      </c>
      <c r="D193" s="164"/>
      <c r="G193" s="165"/>
    </row>
    <row r="194" spans="1:7" ht="12.75">
      <c r="A194" s="10">
        <f t="shared" si="2"/>
        <v>193</v>
      </c>
      <c r="B194" s="10" t="s">
        <v>29</v>
      </c>
      <c r="C194" s="163">
        <v>1690.25</v>
      </c>
      <c r="D194" s="164"/>
      <c r="G194" s="165"/>
    </row>
    <row r="195" spans="1:7" ht="12.75">
      <c r="A195" s="10">
        <f aca="true" t="shared" si="3" ref="A195:A258">A194+1</f>
        <v>194</v>
      </c>
      <c r="B195" s="10" t="s">
        <v>30</v>
      </c>
      <c r="C195" s="163">
        <v>1695.25</v>
      </c>
      <c r="D195" s="164"/>
      <c r="G195" s="165"/>
    </row>
    <row r="196" spans="1:7" ht="12.75">
      <c r="A196" s="10">
        <f t="shared" si="3"/>
        <v>195</v>
      </c>
      <c r="B196" s="10" t="s">
        <v>31</v>
      </c>
      <c r="C196" s="163">
        <v>1534.6</v>
      </c>
      <c r="D196" s="164"/>
      <c r="G196" s="165"/>
    </row>
    <row r="197" spans="1:7" ht="12.75">
      <c r="A197" s="10">
        <f t="shared" si="3"/>
        <v>196</v>
      </c>
      <c r="B197" s="10" t="s">
        <v>32</v>
      </c>
      <c r="C197" s="163">
        <v>1612.5</v>
      </c>
      <c r="D197" s="164"/>
      <c r="G197" s="165"/>
    </row>
    <row r="198" spans="1:7" ht="12.75">
      <c r="A198" s="10">
        <f t="shared" si="3"/>
        <v>197</v>
      </c>
      <c r="B198" s="10" t="s">
        <v>33</v>
      </c>
      <c r="C198" s="163">
        <v>1706.5</v>
      </c>
      <c r="D198" s="164">
        <f aca="true" t="shared" si="4" ref="D198:D261">VLOOKUP(DATE(VALUE(MID(B198,1,4)),VALUE(MID(B198,6,2)),1),I$1:J$65536,2,TRUE)</f>
        <v>0.06</v>
      </c>
      <c r="E198" s="10">
        <f aca="true" t="shared" si="5" ref="E198:E261">VALUE(MID(B198,1,4))-VALUE(MID(B$2,1,4))</f>
        <v>16</v>
      </c>
      <c r="F198" s="166">
        <f>RATE(E198,0,-C198,EXP(FORECAST(A198+E198*12,LN(C$2:C198),A$2:A198)))+1.25%</f>
        <v>0.06168436803043076</v>
      </c>
      <c r="G198" s="165">
        <f aca="true" t="shared" si="6" ref="G198:G261">F198-D198</f>
        <v>0.0016843680304307607</v>
      </c>
    </row>
    <row r="199" spans="1:7" ht="12.75">
      <c r="A199" s="10">
        <f t="shared" si="3"/>
        <v>198</v>
      </c>
      <c r="B199" s="10" t="s">
        <v>34</v>
      </c>
      <c r="C199" s="163">
        <v>1759.4</v>
      </c>
      <c r="D199" s="164">
        <f t="shared" si="4"/>
        <v>0.06</v>
      </c>
      <c r="E199" s="10">
        <f t="shared" si="5"/>
        <v>16</v>
      </c>
      <c r="F199" s="166">
        <f>RATE(E199,0,-C199,EXP(FORECAST(A199+E199*12,LN(C$2:C199),A$2:A199)))+1.25%</f>
        <v>0.062227086286345504</v>
      </c>
      <c r="G199" s="165">
        <f t="shared" si="6"/>
        <v>0.002227086286345506</v>
      </c>
    </row>
    <row r="200" spans="1:7" ht="12.75">
      <c r="A200" s="10">
        <f t="shared" si="3"/>
        <v>199</v>
      </c>
      <c r="B200" s="10" t="s">
        <v>35</v>
      </c>
      <c r="C200" s="163">
        <v>1871.25</v>
      </c>
      <c r="D200" s="164">
        <f t="shared" si="4"/>
        <v>0.06</v>
      </c>
      <c r="E200" s="10">
        <f t="shared" si="5"/>
        <v>16</v>
      </c>
      <c r="F200" s="166">
        <f>RATE(E200,0,-C200,EXP(FORECAST(A200+E200*12,LN(C$2:C200),A$2:A200)))+1.25%</f>
        <v>0.06085301546240278</v>
      </c>
      <c r="G200" s="165">
        <f t="shared" si="6"/>
        <v>0.0008530154624027814</v>
      </c>
    </row>
    <row r="201" spans="1:7" ht="12.75">
      <c r="A201" s="10">
        <f t="shared" si="3"/>
        <v>200</v>
      </c>
      <c r="B201" s="10" t="s">
        <v>36</v>
      </c>
      <c r="C201" s="163">
        <v>1781</v>
      </c>
      <c r="D201" s="164">
        <f t="shared" si="4"/>
        <v>0.06</v>
      </c>
      <c r="E201" s="10">
        <f t="shared" si="5"/>
        <v>16</v>
      </c>
      <c r="F201" s="166">
        <f>RATE(E201,0,-C201,EXP(FORECAST(A201+E201*12,LN(C$2:C201),A$2:A201)))+1.25%</f>
        <v>0.06653793055517629</v>
      </c>
      <c r="G201" s="165">
        <f t="shared" si="6"/>
        <v>0.006537930555176291</v>
      </c>
    </row>
    <row r="202" spans="1:7" ht="12.75">
      <c r="A202" s="10">
        <f t="shared" si="3"/>
        <v>201</v>
      </c>
      <c r="B202" s="10" t="s">
        <v>37</v>
      </c>
      <c r="C202" s="163">
        <v>1964</v>
      </c>
      <c r="D202" s="164">
        <f t="shared" si="4"/>
        <v>0.06</v>
      </c>
      <c r="E202" s="10">
        <f t="shared" si="5"/>
        <v>16</v>
      </c>
      <c r="F202" s="166">
        <f>RATE(E202,0,-C202,EXP(FORECAST(A202+E202*12,LN(C$2:C202),A$2:A202)))+1.25%</f>
        <v>0.06278356450119053</v>
      </c>
      <c r="G202" s="165">
        <f t="shared" si="6"/>
        <v>0.0027835645011905358</v>
      </c>
    </row>
    <row r="203" spans="1:7" ht="12.75">
      <c r="A203" s="10">
        <f t="shared" si="3"/>
        <v>202</v>
      </c>
      <c r="B203" s="10" t="s">
        <v>38</v>
      </c>
      <c r="C203" s="163">
        <v>2223.25</v>
      </c>
      <c r="D203" s="164">
        <f t="shared" si="4"/>
        <v>0.06</v>
      </c>
      <c r="E203" s="10">
        <f t="shared" si="5"/>
        <v>16</v>
      </c>
      <c r="F203" s="166">
        <f>RATE(E203,0,-C203,EXP(FORECAST(A203+E203*12,LN(C$2:C203),A$2:A203)))+1.25%</f>
        <v>0.0576417623172331</v>
      </c>
      <c r="G203" s="165">
        <f t="shared" si="6"/>
        <v>-0.0023582376827668977</v>
      </c>
    </row>
    <row r="204" spans="1:7" ht="12.75">
      <c r="A204" s="10">
        <f t="shared" si="3"/>
        <v>203</v>
      </c>
      <c r="B204" s="10" t="s">
        <v>39</v>
      </c>
      <c r="C204" s="163">
        <v>2411.25</v>
      </c>
      <c r="D204" s="164">
        <f t="shared" si="4"/>
        <v>0.06</v>
      </c>
      <c r="E204" s="10">
        <f t="shared" si="5"/>
        <v>16</v>
      </c>
      <c r="F204" s="166">
        <f>RATE(E204,0,-C204,EXP(FORECAST(A204+E204*12,LN(C$2:C204),A$2:A204)))+1.25%</f>
        <v>0.05547874476724067</v>
      </c>
      <c r="G204" s="165">
        <f t="shared" si="6"/>
        <v>-0.0045212552327593275</v>
      </c>
    </row>
    <row r="205" spans="1:7" ht="12.75">
      <c r="A205" s="10">
        <f t="shared" si="3"/>
        <v>204</v>
      </c>
      <c r="B205" s="10" t="s">
        <v>40</v>
      </c>
      <c r="C205" s="163">
        <v>2546.6</v>
      </c>
      <c r="D205" s="164">
        <f t="shared" si="4"/>
        <v>0.06</v>
      </c>
      <c r="E205" s="10">
        <f t="shared" si="5"/>
        <v>16</v>
      </c>
      <c r="F205" s="166">
        <f>RATE(E205,0,-C205,EXP(FORECAST(A205+E205*12,LN(C$2:C205),A$2:A205)))+1.25%</f>
        <v>0.055129485065898765</v>
      </c>
      <c r="G205" s="165">
        <f t="shared" si="6"/>
        <v>-0.004870514934101233</v>
      </c>
    </row>
    <row r="206" spans="1:7" ht="12.75">
      <c r="A206" s="10">
        <f t="shared" si="3"/>
        <v>205</v>
      </c>
      <c r="B206" s="10" t="s">
        <v>41</v>
      </c>
      <c r="C206" s="163">
        <v>2552.75</v>
      </c>
      <c r="D206" s="164">
        <f t="shared" si="4"/>
        <v>0.06</v>
      </c>
      <c r="E206" s="10">
        <f t="shared" si="5"/>
        <v>17</v>
      </c>
      <c r="F206" s="166">
        <f>RATE(E206,0,-C206,EXP(FORECAST(A206+E206*12,LN(C$2:C206),A$2:A206)))+1.25%</f>
        <v>0.06134418857078448</v>
      </c>
      <c r="G206" s="165">
        <f t="shared" si="6"/>
        <v>0.0013441885707844853</v>
      </c>
    </row>
    <row r="207" spans="1:7" ht="12.75">
      <c r="A207" s="10">
        <f t="shared" si="3"/>
        <v>206</v>
      </c>
      <c r="B207" s="10" t="s">
        <v>42</v>
      </c>
      <c r="C207" s="163">
        <v>2231.5</v>
      </c>
      <c r="D207" s="164">
        <f t="shared" si="4"/>
        <v>0.06</v>
      </c>
      <c r="E207" s="10">
        <f t="shared" si="5"/>
        <v>17</v>
      </c>
      <c r="F207" s="166">
        <f>RATE(E207,0,-C207,EXP(FORECAST(A207+E207*12,LN(C$2:C207),A$2:A207)))+1.25%</f>
        <v>0.07226706204130183</v>
      </c>
      <c r="G207" s="165">
        <f t="shared" si="6"/>
        <v>0.012267062041301832</v>
      </c>
    </row>
    <row r="208" spans="1:7" ht="12.75">
      <c r="A208" s="10">
        <f t="shared" si="3"/>
        <v>207</v>
      </c>
      <c r="B208" s="10" t="s">
        <v>43</v>
      </c>
      <c r="C208" s="163">
        <v>2005</v>
      </c>
      <c r="D208" s="164">
        <f t="shared" si="4"/>
        <v>0.06</v>
      </c>
      <c r="E208" s="10">
        <f t="shared" si="5"/>
        <v>17</v>
      </c>
      <c r="F208" s="166">
        <f>RATE(E208,0,-C208,EXP(FORECAST(A208+E208*12,LN(C$2:C208),A$2:A208)))+1.25%</f>
        <v>0.08117968356564344</v>
      </c>
      <c r="G208" s="165">
        <f t="shared" si="6"/>
        <v>0.02117968356564344</v>
      </c>
    </row>
    <row r="209" spans="1:7" ht="12.75">
      <c r="A209" s="10">
        <f t="shared" si="3"/>
        <v>208</v>
      </c>
      <c r="B209" s="10" t="s">
        <v>44</v>
      </c>
      <c r="C209" s="163">
        <v>2011.25</v>
      </c>
      <c r="D209" s="164">
        <f t="shared" si="4"/>
        <v>0.06</v>
      </c>
      <c r="E209" s="10">
        <f t="shared" si="5"/>
        <v>17</v>
      </c>
      <c r="F209" s="166">
        <f>RATE(E209,0,-C209,EXP(FORECAST(A209+E209*12,LN(C$2:C209),A$2:A209)))+1.25%</f>
        <v>0.08315170101316906</v>
      </c>
      <c r="G209" s="165">
        <f t="shared" si="6"/>
        <v>0.02315170101316906</v>
      </c>
    </row>
    <row r="210" spans="1:7" ht="12.75">
      <c r="A210" s="10">
        <f t="shared" si="3"/>
        <v>209</v>
      </c>
      <c r="B210" s="10" t="s">
        <v>45</v>
      </c>
      <c r="C210" s="163">
        <v>2110.8</v>
      </c>
      <c r="D210" s="164">
        <f t="shared" si="4"/>
        <v>0.06</v>
      </c>
      <c r="E210" s="10">
        <f t="shared" si="5"/>
        <v>17</v>
      </c>
      <c r="F210" s="166">
        <f>RATE(E210,0,-C210,EXP(FORECAST(A210+E210*12,LN(C$2:C210),A$2:A210)))+1.25%</f>
        <v>0.08235832427147453</v>
      </c>
      <c r="G210" s="165">
        <f t="shared" si="6"/>
        <v>0.022358324271474536</v>
      </c>
    </row>
    <row r="211" spans="1:7" ht="12.75">
      <c r="A211" s="10">
        <f t="shared" si="3"/>
        <v>210</v>
      </c>
      <c r="B211" s="10" t="s">
        <v>46</v>
      </c>
      <c r="C211" s="163">
        <v>1826.5</v>
      </c>
      <c r="D211" s="164">
        <f t="shared" si="4"/>
        <v>0.06</v>
      </c>
      <c r="E211" s="10">
        <f t="shared" si="5"/>
        <v>17</v>
      </c>
      <c r="F211" s="166">
        <f>RATE(E211,0,-C211,EXP(FORECAST(A211+E211*12,LN(C$2:C211),A$2:A211)))+1.25%</f>
        <v>0.09327628819797996</v>
      </c>
      <c r="G211" s="165">
        <f t="shared" si="6"/>
        <v>0.03327628819797997</v>
      </c>
    </row>
    <row r="212" spans="1:7" ht="12.75">
      <c r="A212" s="10">
        <f t="shared" si="3"/>
        <v>211</v>
      </c>
      <c r="B212" s="10" t="s">
        <v>47</v>
      </c>
      <c r="C212" s="163">
        <v>1667.5</v>
      </c>
      <c r="D212" s="164">
        <f t="shared" si="4"/>
        <v>0.06</v>
      </c>
      <c r="E212" s="10">
        <f t="shared" si="5"/>
        <v>17</v>
      </c>
      <c r="F212" s="166">
        <f>RATE(E212,0,-C212,EXP(FORECAST(A212+E212*12,LN(C$2:C212),A$2:A212)))+1.25%</f>
        <v>0.10054582121186838</v>
      </c>
      <c r="G212" s="165">
        <f t="shared" si="6"/>
        <v>0.04054582121186838</v>
      </c>
    </row>
    <row r="213" spans="1:7" ht="12.75">
      <c r="A213" s="10">
        <f t="shared" si="3"/>
        <v>212</v>
      </c>
      <c r="B213" s="10" t="s">
        <v>48</v>
      </c>
      <c r="C213" s="163">
        <v>1797.6</v>
      </c>
      <c r="D213" s="164">
        <f t="shared" si="4"/>
        <v>0.06</v>
      </c>
      <c r="E213" s="10">
        <f t="shared" si="5"/>
        <v>17</v>
      </c>
      <c r="F213" s="166">
        <f>RATE(E213,0,-C213,EXP(FORECAST(A213+E213*12,LN(C$2:C213),A$2:A213)))+1.25%</f>
        <v>0.09738088360896893</v>
      </c>
      <c r="G213" s="165">
        <f t="shared" si="6"/>
        <v>0.037380883608968934</v>
      </c>
    </row>
    <row r="214" spans="1:7" ht="12.75">
      <c r="A214" s="10">
        <f t="shared" si="3"/>
        <v>213</v>
      </c>
      <c r="B214" s="10" t="s">
        <v>49</v>
      </c>
      <c r="C214" s="163">
        <v>1695</v>
      </c>
      <c r="D214" s="164">
        <f t="shared" si="4"/>
        <v>0.06</v>
      </c>
      <c r="E214" s="10">
        <f t="shared" si="5"/>
        <v>17</v>
      </c>
      <c r="F214" s="166">
        <f>RATE(E214,0,-C214,EXP(FORECAST(A214+E214*12,LN(C$2:C214),A$2:A214)))+1.25%</f>
        <v>0.10255691574386834</v>
      </c>
      <c r="G214" s="165">
        <f t="shared" si="6"/>
        <v>0.04255691574386834</v>
      </c>
    </row>
    <row r="215" spans="1:7" ht="12.75">
      <c r="A215" s="10">
        <f t="shared" si="3"/>
        <v>214</v>
      </c>
      <c r="B215" s="10" t="s">
        <v>50</v>
      </c>
      <c r="C215" s="163">
        <v>1252.25</v>
      </c>
      <c r="D215" s="164">
        <f t="shared" si="4"/>
        <v>0.06</v>
      </c>
      <c r="E215" s="10">
        <f t="shared" si="5"/>
        <v>17</v>
      </c>
      <c r="F215" s="166">
        <f>RATE(E215,0,-C215,EXP(FORECAST(A215+E215*12,LN(C$2:C215),A$2:A215)))+1.25%</f>
        <v>0.12265019033106643</v>
      </c>
      <c r="G215" s="165">
        <f t="shared" si="6"/>
        <v>0.06265019033106643</v>
      </c>
    </row>
    <row r="216" spans="1:7" ht="12.75">
      <c r="A216" s="10">
        <f t="shared" si="3"/>
        <v>215</v>
      </c>
      <c r="B216" s="10" t="s">
        <v>51</v>
      </c>
      <c r="C216" s="163">
        <v>1112.4</v>
      </c>
      <c r="D216" s="164">
        <f t="shared" si="4"/>
        <v>0.06</v>
      </c>
      <c r="E216" s="10">
        <f t="shared" si="5"/>
        <v>17</v>
      </c>
      <c r="F216" s="166">
        <f>RATE(E216,0,-C216,EXP(FORECAST(A216+E216*12,LN(C$2:C216),A$2:A216)))+1.25%</f>
        <v>0.1305482752135615</v>
      </c>
      <c r="G216" s="165">
        <f t="shared" si="6"/>
        <v>0.0705482752135615</v>
      </c>
    </row>
    <row r="217" spans="1:7" ht="12.75">
      <c r="A217" s="10">
        <f t="shared" si="3"/>
        <v>216</v>
      </c>
      <c r="B217" s="10" t="s">
        <v>52</v>
      </c>
      <c r="C217" s="163">
        <v>1125.75</v>
      </c>
      <c r="D217" s="164">
        <f t="shared" si="4"/>
        <v>0.06</v>
      </c>
      <c r="E217" s="10">
        <f t="shared" si="5"/>
        <v>17</v>
      </c>
      <c r="F217" s="166">
        <f>RATE(E217,0,-C217,EXP(FORECAST(A217+E217*12,LN(C$2:C217),A$2:A217)))+1.25%</f>
        <v>0.12992116936818454</v>
      </c>
      <c r="G217" s="165">
        <f t="shared" si="6"/>
        <v>0.06992116936818454</v>
      </c>
    </row>
    <row r="218" spans="1:7" ht="12.75">
      <c r="A218" s="10">
        <f t="shared" si="3"/>
        <v>217</v>
      </c>
      <c r="B218" s="10" t="s">
        <v>53</v>
      </c>
      <c r="C218" s="163">
        <v>1113.4</v>
      </c>
      <c r="D218" s="164">
        <f t="shared" si="4"/>
        <v>0.05</v>
      </c>
      <c r="E218" s="10">
        <f t="shared" si="5"/>
        <v>18</v>
      </c>
      <c r="F218" s="166">
        <f>RATE(E218,0,-C218,EXP(FORECAST(A218+E218*12,LN(C$2:C218),A$2:A218)))+1.25%</f>
        <v>0.13019469965236172</v>
      </c>
      <c r="G218" s="165">
        <f t="shared" si="6"/>
        <v>0.08019469965236171</v>
      </c>
    </row>
    <row r="219" spans="1:7" ht="12.75">
      <c r="A219" s="10">
        <f t="shared" si="3"/>
        <v>218</v>
      </c>
      <c r="B219" s="10" t="s">
        <v>54</v>
      </c>
      <c r="C219" s="163">
        <v>1078.5</v>
      </c>
      <c r="D219" s="164">
        <f t="shared" si="4"/>
        <v>0.04</v>
      </c>
      <c r="E219" s="10">
        <f t="shared" si="5"/>
        <v>18</v>
      </c>
      <c r="F219" s="166">
        <f>RATE(E219,0,-C219,EXP(FORECAST(A219+E219*12,LN(C$2:C219),A$2:A219)))+1.25%</f>
        <v>0.1321588468016002</v>
      </c>
      <c r="G219" s="165">
        <f t="shared" si="6"/>
        <v>0.09215884680160019</v>
      </c>
    </row>
    <row r="220" spans="1:7" ht="12.75">
      <c r="A220" s="10">
        <f t="shared" si="3"/>
        <v>219</v>
      </c>
      <c r="B220" s="10" t="s">
        <v>55</v>
      </c>
      <c r="C220" s="163">
        <v>1057.5</v>
      </c>
      <c r="D220" s="164">
        <f t="shared" si="4"/>
        <v>0.04</v>
      </c>
      <c r="E220" s="10">
        <f t="shared" si="5"/>
        <v>18</v>
      </c>
      <c r="F220" s="166">
        <f>RATE(E220,0,-C220,EXP(FORECAST(A220+E220*12,LN(C$2:C220),A$2:A220)))+1.25%</f>
        <v>0.13330079871944142</v>
      </c>
      <c r="G220" s="165">
        <f t="shared" si="6"/>
        <v>0.09330079871944141</v>
      </c>
    </row>
    <row r="221" spans="1:7" ht="12.75">
      <c r="A221" s="10">
        <f t="shared" si="3"/>
        <v>220</v>
      </c>
      <c r="B221" s="10" t="s">
        <v>56</v>
      </c>
      <c r="C221" s="163">
        <v>1282.25</v>
      </c>
      <c r="D221" s="164">
        <f t="shared" si="4"/>
        <v>0.035</v>
      </c>
      <c r="E221" s="10">
        <f t="shared" si="5"/>
        <v>18</v>
      </c>
      <c r="F221" s="166">
        <f>RATE(E221,0,-C221,EXP(FORECAST(A221+E221*12,LN(C$2:C221),A$2:A221)))+1.25%</f>
        <v>0.12180559434960712</v>
      </c>
      <c r="G221" s="165">
        <f t="shared" si="6"/>
        <v>0.08680559434960712</v>
      </c>
    </row>
    <row r="222" spans="1:7" ht="12.75">
      <c r="A222" s="10">
        <f t="shared" si="3"/>
        <v>221</v>
      </c>
      <c r="B222" s="10" t="s">
        <v>57</v>
      </c>
      <c r="C222" s="163">
        <v>1527.4</v>
      </c>
      <c r="D222" s="164">
        <f t="shared" si="4"/>
        <v>0.0325</v>
      </c>
      <c r="E222" s="10">
        <f t="shared" si="5"/>
        <v>18</v>
      </c>
      <c r="F222" s="166">
        <f>RATE(E222,0,-C222,EXP(FORECAST(A222+E222*12,LN(C$2:C222),A$2:A222)))+1.25%</f>
        <v>0.11196509674813472</v>
      </c>
      <c r="G222" s="165">
        <f t="shared" si="6"/>
        <v>0.07946509674813472</v>
      </c>
    </row>
    <row r="223" spans="1:7" ht="12.75">
      <c r="A223" s="10">
        <f t="shared" si="3"/>
        <v>222</v>
      </c>
      <c r="B223" s="10" t="s">
        <v>58</v>
      </c>
      <c r="C223" s="163">
        <v>1813.5</v>
      </c>
      <c r="D223" s="164">
        <f t="shared" si="4"/>
        <v>0.0325</v>
      </c>
      <c r="E223" s="10">
        <f t="shared" si="5"/>
        <v>18</v>
      </c>
      <c r="F223" s="166">
        <f>RATE(E223,0,-C223,EXP(FORECAST(A223+E223*12,LN(C$2:C223),A$2:A223)))+1.25%</f>
        <v>0.10283659215103233</v>
      </c>
      <c r="G223" s="165">
        <f t="shared" si="6"/>
        <v>0.07033659215103233</v>
      </c>
    </row>
    <row r="224" spans="1:7" ht="12.75">
      <c r="A224" s="10">
        <f t="shared" si="3"/>
        <v>223</v>
      </c>
      <c r="B224" s="10" t="s">
        <v>59</v>
      </c>
      <c r="C224" s="163">
        <v>1785.25</v>
      </c>
      <c r="D224" s="164">
        <f t="shared" si="4"/>
        <v>0.0325</v>
      </c>
      <c r="E224" s="10">
        <f t="shared" si="5"/>
        <v>18</v>
      </c>
      <c r="F224" s="166">
        <f>RATE(E224,0,-C224,EXP(FORECAST(A224+E224*12,LN(C$2:C224),A$2:A224)))+1.25%</f>
        <v>0.10501753064407175</v>
      </c>
      <c r="G224" s="165">
        <f t="shared" si="6"/>
        <v>0.07251753064407175</v>
      </c>
    </row>
    <row r="225" spans="1:7" ht="12.75">
      <c r="A225" s="10">
        <f t="shared" si="3"/>
        <v>224</v>
      </c>
      <c r="B225" s="10" t="s">
        <v>60</v>
      </c>
      <c r="C225" s="163">
        <v>1892.4</v>
      </c>
      <c r="D225" s="164">
        <f t="shared" si="4"/>
        <v>0.0325</v>
      </c>
      <c r="E225" s="10">
        <f t="shared" si="5"/>
        <v>18</v>
      </c>
      <c r="F225" s="166">
        <f>RATE(E225,0,-C225,EXP(FORECAST(A225+E225*12,LN(C$2:C225),A$2:A225)))+1.25%</f>
        <v>0.1028275542968167</v>
      </c>
      <c r="G225" s="165">
        <f t="shared" si="6"/>
        <v>0.0703275542968167</v>
      </c>
    </row>
    <row r="226" spans="1:7" ht="12.75">
      <c r="A226" s="10">
        <f t="shared" si="3"/>
        <v>225</v>
      </c>
      <c r="B226" s="10" t="s">
        <v>61</v>
      </c>
      <c r="C226" s="163">
        <v>2004.75</v>
      </c>
      <c r="D226" s="164">
        <f t="shared" si="4"/>
        <v>0.0325</v>
      </c>
      <c r="E226" s="10">
        <f t="shared" si="5"/>
        <v>18</v>
      </c>
      <c r="F226" s="166">
        <f>RATE(E226,0,-C226,EXP(FORECAST(A226+E226*12,LN(C$2:C226),A$2:A226)))+1.25%</f>
        <v>0.10078902803922005</v>
      </c>
      <c r="G226" s="165">
        <f t="shared" si="6"/>
        <v>0.06828902803922005</v>
      </c>
    </row>
    <row r="227" spans="1:7" ht="12.75">
      <c r="A227" s="10">
        <f t="shared" si="3"/>
        <v>226</v>
      </c>
      <c r="B227" s="10" t="s">
        <v>62</v>
      </c>
      <c r="C227" s="163">
        <v>2071.8</v>
      </c>
      <c r="D227" s="164">
        <f t="shared" si="4"/>
        <v>0.0325</v>
      </c>
      <c r="E227" s="10">
        <f t="shared" si="5"/>
        <v>18</v>
      </c>
      <c r="F227" s="166">
        <f>RATE(E227,0,-C227,EXP(FORECAST(A227+E227*12,LN(C$2:C227),A$2:A227)))+1.25%</f>
        <v>0.10029294630242248</v>
      </c>
      <c r="G227" s="165">
        <f t="shared" si="6"/>
        <v>0.06779294630242248</v>
      </c>
    </row>
    <row r="228" spans="1:7" ht="12.75">
      <c r="A228" s="10">
        <f t="shared" si="3"/>
        <v>227</v>
      </c>
      <c r="B228" s="10" t="s">
        <v>63</v>
      </c>
      <c r="C228" s="163">
        <v>2071</v>
      </c>
      <c r="D228" s="164">
        <f t="shared" si="4"/>
        <v>0.0325</v>
      </c>
      <c r="E228" s="10">
        <f t="shared" si="5"/>
        <v>18</v>
      </c>
      <c r="F228" s="166">
        <f>RATE(E228,0,-C228,EXP(FORECAST(A228+E228*12,LN(C$2:C228),A$2:A228)))+1.25%</f>
        <v>0.10176505608548148</v>
      </c>
      <c r="G228" s="165">
        <f t="shared" si="6"/>
        <v>0.06926505608548147</v>
      </c>
    </row>
    <row r="229" spans="1:7" ht="12.75">
      <c r="A229" s="10">
        <f t="shared" si="3"/>
        <v>228</v>
      </c>
      <c r="B229" s="10" t="s">
        <v>64</v>
      </c>
      <c r="C229" s="163">
        <v>2139</v>
      </c>
      <c r="D229" s="164">
        <f t="shared" si="4"/>
        <v>0.0325</v>
      </c>
      <c r="E229" s="10">
        <f t="shared" si="5"/>
        <v>18</v>
      </c>
      <c r="F229" s="166">
        <f>RATE(E229,0,-C229,EXP(FORECAST(A229+E229*12,LN(C$2:C229),A$2:A229)))+1.25%</f>
        <v>0.10130014923465604</v>
      </c>
      <c r="G229" s="165">
        <f t="shared" si="6"/>
        <v>0.06880014923465604</v>
      </c>
    </row>
    <row r="230" spans="1:7" ht="12.75">
      <c r="A230" s="10">
        <f t="shared" si="3"/>
        <v>229</v>
      </c>
      <c r="B230" s="10" t="s">
        <v>65</v>
      </c>
      <c r="C230" s="163">
        <v>2162.8</v>
      </c>
      <c r="D230" s="164">
        <f t="shared" si="4"/>
        <v>0.0325</v>
      </c>
      <c r="E230" s="10">
        <f t="shared" si="5"/>
        <v>19</v>
      </c>
      <c r="F230" s="166">
        <f>RATE(E230,0,-C230,EXP(FORECAST(A230+E230*12,LN(C$2:C230),A$2:A230)))+1.25%</f>
        <v>0.1032686408047246</v>
      </c>
      <c r="G230" s="165">
        <f t="shared" si="6"/>
        <v>0.0707686408047246</v>
      </c>
    </row>
    <row r="231" spans="1:7" ht="12.75">
      <c r="A231" s="10">
        <f t="shared" si="3"/>
        <v>230</v>
      </c>
      <c r="B231" s="10" t="s">
        <v>66</v>
      </c>
      <c r="C231" s="163">
        <v>2047</v>
      </c>
      <c r="D231" s="164">
        <f t="shared" si="4"/>
        <v>0.0325</v>
      </c>
      <c r="E231" s="10">
        <f t="shared" si="5"/>
        <v>19</v>
      </c>
      <c r="F231" s="166">
        <f>RATE(E231,0,-C231,EXP(FORECAST(A231+E231*12,LN(C$2:C231),A$2:A231)))+1.25%</f>
        <v>0.10768762945742139</v>
      </c>
      <c r="G231" s="165">
        <f t="shared" si="6"/>
        <v>0.07518762945742138</v>
      </c>
    </row>
    <row r="232" spans="1:7" ht="12.75">
      <c r="A232" s="10">
        <f t="shared" si="3"/>
        <v>231</v>
      </c>
      <c r="B232" s="10" t="s">
        <v>67</v>
      </c>
      <c r="C232" s="163">
        <v>2178.5</v>
      </c>
      <c r="D232" s="164">
        <f t="shared" si="4"/>
        <v>0.0325</v>
      </c>
      <c r="E232" s="10">
        <f t="shared" si="5"/>
        <v>19</v>
      </c>
      <c r="F232" s="166">
        <f>RATE(E232,0,-C232,EXP(FORECAST(A232+E232*12,LN(C$2:C232),A$2:A232)))+1.25%</f>
        <v>0.10547255986633666</v>
      </c>
      <c r="G232" s="165">
        <f t="shared" si="6"/>
        <v>0.07297255986633666</v>
      </c>
    </row>
    <row r="233" spans="1:7" ht="12.75">
      <c r="A233" s="10">
        <f t="shared" si="3"/>
        <v>232</v>
      </c>
      <c r="B233" s="10" t="s">
        <v>68</v>
      </c>
      <c r="C233" s="163">
        <v>2229.25</v>
      </c>
      <c r="D233" s="164">
        <f t="shared" si="4"/>
        <v>0.035</v>
      </c>
      <c r="E233" s="10">
        <f t="shared" si="5"/>
        <v>19</v>
      </c>
      <c r="F233" s="166">
        <f>RATE(E233,0,-C233,EXP(FORECAST(A233+E233*12,LN(C$2:C233),A$2:A233)))+1.25%</f>
        <v>0.10553274691644232</v>
      </c>
      <c r="G233" s="165">
        <f t="shared" si="6"/>
        <v>0.07053274691644232</v>
      </c>
    </row>
    <row r="234" spans="1:7" ht="12.75">
      <c r="A234" s="10">
        <f t="shared" si="3"/>
        <v>233</v>
      </c>
      <c r="B234" s="10" t="s">
        <v>69</v>
      </c>
      <c r="C234" s="163">
        <v>2148.4</v>
      </c>
      <c r="D234" s="164">
        <f t="shared" si="4"/>
        <v>0.0375</v>
      </c>
      <c r="E234" s="10">
        <f t="shared" si="5"/>
        <v>19</v>
      </c>
      <c r="F234" s="166">
        <f>RATE(E234,0,-C234,EXP(FORECAST(A234+E234*12,LN(C$2:C234),A$2:A234)))+1.25%</f>
        <v>0.10891836513391626</v>
      </c>
      <c r="G234" s="165">
        <f t="shared" si="6"/>
        <v>0.07141836513391625</v>
      </c>
    </row>
    <row r="235" spans="1:7" ht="12.75">
      <c r="A235" s="10">
        <f t="shared" si="3"/>
        <v>234</v>
      </c>
      <c r="B235" s="10" t="s">
        <v>70</v>
      </c>
      <c r="C235" s="163">
        <v>2196</v>
      </c>
      <c r="D235" s="164">
        <f t="shared" si="4"/>
        <v>0.0375</v>
      </c>
      <c r="E235" s="10">
        <f t="shared" si="5"/>
        <v>19</v>
      </c>
      <c r="F235" s="166">
        <f>RATE(E235,0,-C235,EXP(FORECAST(A235+E235*12,LN(C$2:C235),A$2:A235)))+1.25%</f>
        <v>0.10892841728070225</v>
      </c>
      <c r="G235" s="165">
        <f t="shared" si="6"/>
        <v>0.07142841728070226</v>
      </c>
    </row>
    <row r="236" spans="1:7" ht="12.75">
      <c r="A236" s="10">
        <f t="shared" si="3"/>
        <v>235</v>
      </c>
      <c r="B236" s="10" t="s">
        <v>71</v>
      </c>
      <c r="C236" s="163">
        <v>2273.6</v>
      </c>
      <c r="D236" s="164">
        <f t="shared" si="4"/>
        <v>0.0375</v>
      </c>
      <c r="E236" s="10">
        <f t="shared" si="5"/>
        <v>19</v>
      </c>
      <c r="F236" s="166">
        <f>RATE(E236,0,-C236,EXP(FORECAST(A236+E236*12,LN(C$2:C236),A$2:A236)))+1.25%</f>
        <v>0.10824508763973753</v>
      </c>
      <c r="G236" s="165">
        <f t="shared" si="6"/>
        <v>0.07074508763973753</v>
      </c>
    </row>
    <row r="237" spans="1:7" ht="12.75">
      <c r="A237" s="10">
        <f t="shared" si="3"/>
        <v>236</v>
      </c>
      <c r="B237" s="10" t="s">
        <v>72</v>
      </c>
      <c r="C237" s="163">
        <v>2325.5</v>
      </c>
      <c r="D237" s="164">
        <f t="shared" si="4"/>
        <v>0.045</v>
      </c>
      <c r="E237" s="10">
        <f t="shared" si="5"/>
        <v>19</v>
      </c>
      <c r="F237" s="166">
        <f>RATE(E237,0,-C237,EXP(FORECAST(A237+E237*12,LN(C$2:C237),A$2:A237)))+1.25%</f>
        <v>0.10827850560505048</v>
      </c>
      <c r="G237" s="165">
        <f t="shared" si="6"/>
        <v>0.06327850560505048</v>
      </c>
    </row>
    <row r="238" spans="1:7" ht="12.75">
      <c r="A238" s="10">
        <f t="shared" si="3"/>
        <v>237</v>
      </c>
      <c r="B238" s="10" t="s">
        <v>73</v>
      </c>
      <c r="C238" s="163">
        <v>2445.25</v>
      </c>
      <c r="D238" s="164">
        <f t="shared" si="4"/>
        <v>0.045</v>
      </c>
      <c r="E238" s="10">
        <f t="shared" si="5"/>
        <v>19</v>
      </c>
      <c r="F238" s="166">
        <f>RATE(E238,0,-C238,EXP(FORECAST(A238+E238*12,LN(C$2:C238),A$2:A238)))+1.25%</f>
        <v>0.10679912044862888</v>
      </c>
      <c r="G238" s="165">
        <f t="shared" si="6"/>
        <v>0.06179912044862888</v>
      </c>
    </row>
    <row r="239" spans="1:7" ht="12.75">
      <c r="A239" s="10">
        <f t="shared" si="3"/>
        <v>238</v>
      </c>
      <c r="B239" s="10" t="s">
        <v>74</v>
      </c>
      <c r="C239" s="163">
        <v>2565.4</v>
      </c>
      <c r="D239" s="164">
        <f t="shared" si="4"/>
        <v>0.05</v>
      </c>
      <c r="E239" s="10">
        <f t="shared" si="5"/>
        <v>19</v>
      </c>
      <c r="F239" s="166">
        <f>RATE(E239,0,-C239,EXP(FORECAST(A239+E239*12,LN(C$2:C239),A$2:A239)))+1.25%</f>
        <v>0.10552349873603492</v>
      </c>
      <c r="G239" s="165">
        <f t="shared" si="6"/>
        <v>0.05552349873603492</v>
      </c>
    </row>
    <row r="240" spans="1:7" ht="12.75">
      <c r="A240" s="10">
        <f t="shared" si="3"/>
        <v>239</v>
      </c>
      <c r="B240" s="10" t="s">
        <v>75</v>
      </c>
      <c r="C240" s="163">
        <v>2525.5</v>
      </c>
      <c r="D240" s="164">
        <f t="shared" si="4"/>
        <v>0.05</v>
      </c>
      <c r="E240" s="10">
        <f t="shared" si="5"/>
        <v>19</v>
      </c>
      <c r="F240" s="166">
        <f>RATE(E240,0,-C240,EXP(FORECAST(A240+E240*12,LN(C$2:C240),A$2:A240)))+1.25%</f>
        <v>0.10783459559858168</v>
      </c>
      <c r="G240" s="165">
        <f t="shared" si="6"/>
        <v>0.05783459559858167</v>
      </c>
    </row>
    <row r="241" spans="1:7" ht="12.75">
      <c r="A241" s="10">
        <f t="shared" si="3"/>
        <v>240</v>
      </c>
      <c r="B241" s="10" t="s">
        <v>76</v>
      </c>
      <c r="C241" s="163">
        <v>2467.75</v>
      </c>
      <c r="D241" s="164">
        <f t="shared" si="4"/>
        <v>0.0525</v>
      </c>
      <c r="E241" s="10">
        <f t="shared" si="5"/>
        <v>19</v>
      </c>
      <c r="F241" s="166">
        <f>RATE(E241,0,-C241,EXP(FORECAST(A241+E241*12,LN(C$2:C241),A$2:A241)))+1.25%</f>
        <v>0.11048815122029682</v>
      </c>
      <c r="G241" s="165">
        <f t="shared" si="6"/>
        <v>0.05798815122029682</v>
      </c>
    </row>
    <row r="242" spans="1:7" ht="12.75">
      <c r="A242" s="10">
        <f t="shared" si="3"/>
        <v>241</v>
      </c>
      <c r="B242" s="10" t="s">
        <v>77</v>
      </c>
      <c r="C242" s="163">
        <v>2387.4</v>
      </c>
      <c r="D242" s="164">
        <f t="shared" si="4"/>
        <v>0.0525</v>
      </c>
      <c r="E242" s="10">
        <f t="shared" si="5"/>
        <v>20</v>
      </c>
      <c r="F242" s="166">
        <f>RATE(E242,0,-C242,EXP(FORECAST(A242+E242*12,LN(C$2:C242),A$2:A242)))+1.25%</f>
        <v>0.11444081018899115</v>
      </c>
      <c r="G242" s="165">
        <f t="shared" si="6"/>
        <v>0.06194081018899115</v>
      </c>
    </row>
    <row r="243" spans="1:7" ht="12.75">
      <c r="A243" s="10">
        <f t="shared" si="3"/>
        <v>242</v>
      </c>
      <c r="B243" s="10" t="s">
        <v>78</v>
      </c>
      <c r="C243" s="163">
        <v>2205.5</v>
      </c>
      <c r="D243" s="164">
        <f t="shared" si="4"/>
        <v>0.055</v>
      </c>
      <c r="E243" s="10">
        <f t="shared" si="5"/>
        <v>20</v>
      </c>
      <c r="F243" s="166">
        <f>RATE(E243,0,-C243,EXP(FORECAST(A243+E243*12,LN(C$2:C243),A$2:A243)))+1.25%</f>
        <v>0.11977679677038397</v>
      </c>
      <c r="G243" s="165">
        <f t="shared" si="6"/>
        <v>0.06477679677038398</v>
      </c>
    </row>
    <row r="244" spans="1:7" ht="12.75">
      <c r="A244" s="10">
        <f t="shared" si="3"/>
        <v>243</v>
      </c>
      <c r="B244" s="10" t="s">
        <v>79</v>
      </c>
      <c r="C244" s="163">
        <v>2255.5</v>
      </c>
      <c r="D244" s="164">
        <f t="shared" si="4"/>
        <v>0.055</v>
      </c>
      <c r="E244" s="10">
        <f t="shared" si="5"/>
        <v>20</v>
      </c>
      <c r="F244" s="166">
        <f>RATE(E244,0,-C244,EXP(FORECAST(A244+E244*12,LN(C$2:C244),A$2:A244)))+1.25%</f>
        <v>0.11951737563835389</v>
      </c>
      <c r="G244" s="165">
        <f t="shared" si="6"/>
        <v>0.06451737563835389</v>
      </c>
    </row>
    <row r="245" spans="1:7" ht="12.75">
      <c r="A245" s="10">
        <f t="shared" si="3"/>
        <v>244</v>
      </c>
      <c r="B245" s="10" t="s">
        <v>80</v>
      </c>
      <c r="C245" s="163">
        <v>2393</v>
      </c>
      <c r="D245" s="164">
        <f t="shared" si="4"/>
        <v>0.0575</v>
      </c>
      <c r="E245" s="10">
        <f t="shared" si="5"/>
        <v>20</v>
      </c>
      <c r="F245" s="166">
        <f>RATE(E245,0,-C245,EXP(FORECAST(A245+E245*12,LN(C$2:C245),A$2:A245)))+1.25%</f>
        <v>0.11732749566620453</v>
      </c>
      <c r="G245" s="165">
        <f t="shared" si="6"/>
        <v>0.059827495666204523</v>
      </c>
    </row>
    <row r="246" spans="1:7" ht="12.75">
      <c r="A246" s="10">
        <f t="shared" si="3"/>
        <v>245</v>
      </c>
      <c r="B246" s="10" t="s">
        <v>81</v>
      </c>
      <c r="C246" s="163">
        <v>2274.75</v>
      </c>
      <c r="D246" s="164">
        <f t="shared" si="4"/>
        <v>0.0575</v>
      </c>
      <c r="E246" s="10">
        <f t="shared" si="5"/>
        <v>20</v>
      </c>
      <c r="F246" s="166">
        <f>RATE(E246,0,-C246,EXP(FORECAST(A246+E246*12,LN(C$2:C246),A$2:A246)))+1.25%</f>
        <v>0.12107011785685846</v>
      </c>
      <c r="G246" s="165">
        <f t="shared" si="6"/>
        <v>0.06357011785685845</v>
      </c>
    </row>
    <row r="247" spans="1:7" ht="12.75">
      <c r="A247" s="10">
        <f t="shared" si="3"/>
        <v>246</v>
      </c>
      <c r="B247" s="10" t="s">
        <v>82</v>
      </c>
      <c r="C247" s="163">
        <v>2257.5</v>
      </c>
      <c r="D247" s="164">
        <f t="shared" si="4"/>
        <v>0.0625</v>
      </c>
      <c r="E247" s="10">
        <f t="shared" si="5"/>
        <v>20</v>
      </c>
      <c r="F247" s="166">
        <f>RATE(E247,0,-C247,EXP(FORECAST(A247+E247*12,LN(C$2:C247),A$2:A247)))+1.25%</f>
        <v>0.12238680597624024</v>
      </c>
      <c r="G247" s="165">
        <f t="shared" si="6"/>
        <v>0.05988680597624024</v>
      </c>
    </row>
    <row r="248" spans="1:7" ht="12.75">
      <c r="A248" s="10">
        <f t="shared" si="3"/>
        <v>247</v>
      </c>
      <c r="B248" s="10" t="s">
        <v>83</v>
      </c>
      <c r="C248" s="163">
        <v>2305.8</v>
      </c>
      <c r="D248" s="164">
        <f t="shared" si="4"/>
        <v>0.065</v>
      </c>
      <c r="E248" s="10">
        <f t="shared" si="5"/>
        <v>20</v>
      </c>
      <c r="F248" s="166">
        <f>RATE(E248,0,-C248,EXP(FORECAST(A248+E248*12,LN(C$2:C248),A$2:A248)))+1.25%</f>
        <v>0.12212547431434352</v>
      </c>
      <c r="G248" s="165">
        <f t="shared" si="6"/>
        <v>0.05712547431434352</v>
      </c>
    </row>
    <row r="249" spans="1:7" ht="12.75">
      <c r="A249" s="10">
        <f t="shared" si="3"/>
        <v>248</v>
      </c>
      <c r="B249" s="10" t="s">
        <v>84</v>
      </c>
      <c r="C249" s="163">
        <v>2056</v>
      </c>
      <c r="D249" s="164">
        <f t="shared" si="4"/>
        <v>0.07</v>
      </c>
      <c r="E249" s="10">
        <f t="shared" si="5"/>
        <v>20</v>
      </c>
      <c r="F249" s="166">
        <f>RATE(E249,0,-C249,EXP(FORECAST(A249+E249*12,LN(C$2:C249),A$2:A249)))+1.25%</f>
        <v>0.12914388980767288</v>
      </c>
      <c r="G249" s="165">
        <f t="shared" si="6"/>
        <v>0.05914388980767288</v>
      </c>
    </row>
    <row r="250" spans="1:7" ht="12.75">
      <c r="A250" s="10">
        <f t="shared" si="3"/>
        <v>249</v>
      </c>
      <c r="B250" s="10" t="s">
        <v>85</v>
      </c>
      <c r="C250" s="163">
        <v>2069.25</v>
      </c>
      <c r="D250" s="164">
        <f t="shared" si="4"/>
        <v>0.07</v>
      </c>
      <c r="E250" s="10">
        <f t="shared" si="5"/>
        <v>20</v>
      </c>
      <c r="F250" s="166">
        <f>RATE(E250,0,-C250,EXP(FORECAST(A250+E250*12,LN(C$2:C250),A$2:A250)))+1.25%</f>
        <v>0.12941504672191934</v>
      </c>
      <c r="G250" s="165">
        <f t="shared" si="6"/>
        <v>0.05941504672191933</v>
      </c>
    </row>
    <row r="251" spans="1:7" ht="12.75">
      <c r="A251" s="10">
        <f t="shared" si="3"/>
        <v>250</v>
      </c>
      <c r="B251" s="10" t="s">
        <v>86</v>
      </c>
      <c r="C251" s="163">
        <v>2066.4</v>
      </c>
      <c r="D251" s="164">
        <f t="shared" si="4"/>
        <v>0.0725</v>
      </c>
      <c r="E251" s="10">
        <f t="shared" si="5"/>
        <v>20</v>
      </c>
      <c r="F251" s="166">
        <f>RATE(E251,0,-C251,EXP(FORECAST(A251+E251*12,LN(C$2:C251),A$2:A251)))+1.25%</f>
        <v>0.13009668555116935</v>
      </c>
      <c r="G251" s="165">
        <f t="shared" si="6"/>
        <v>0.057596685551169355</v>
      </c>
    </row>
    <row r="252" spans="1:7" ht="12.75">
      <c r="A252" s="10">
        <f t="shared" si="3"/>
        <v>251</v>
      </c>
      <c r="B252" s="10" t="s">
        <v>87</v>
      </c>
      <c r="C252" s="163">
        <v>2036</v>
      </c>
      <c r="D252" s="164">
        <f t="shared" si="4"/>
        <v>0.075</v>
      </c>
      <c r="E252" s="10">
        <f t="shared" si="5"/>
        <v>20</v>
      </c>
      <c r="F252" s="166">
        <f>RATE(E252,0,-C252,EXP(FORECAST(A252+E252*12,LN(C$2:C252),A$2:A252)))+1.25%</f>
        <v>0.13147671825671642</v>
      </c>
      <c r="G252" s="165">
        <f t="shared" si="6"/>
        <v>0.05647671825671642</v>
      </c>
    </row>
    <row r="253" spans="1:7" ht="12.75">
      <c r="A253" s="10">
        <f t="shared" si="3"/>
        <v>252</v>
      </c>
      <c r="B253" s="10" t="s">
        <v>88</v>
      </c>
      <c r="C253" s="163">
        <v>1922</v>
      </c>
      <c r="D253" s="164">
        <f t="shared" si="4"/>
        <v>0.075</v>
      </c>
      <c r="E253" s="10">
        <f t="shared" si="5"/>
        <v>20</v>
      </c>
      <c r="F253" s="166">
        <f>RATE(E253,0,-C253,EXP(FORECAST(A253+E253*12,LN(C$2:C253),A$2:A253)))+1.25%</f>
        <v>0.1351137266753737</v>
      </c>
      <c r="G253" s="165">
        <f t="shared" si="6"/>
        <v>0.060113726675373694</v>
      </c>
    </row>
    <row r="254" spans="1:7" ht="12.75">
      <c r="A254" s="10">
        <f t="shared" si="3"/>
        <v>253</v>
      </c>
      <c r="B254" s="10" t="s">
        <v>89</v>
      </c>
      <c r="C254" s="163">
        <v>1999.75</v>
      </c>
      <c r="D254" s="164">
        <f t="shared" si="4"/>
        <v>0.075</v>
      </c>
      <c r="E254" s="10">
        <f t="shared" si="5"/>
        <v>21</v>
      </c>
      <c r="F254" s="166">
        <f>RATE(E254,0,-C254,EXP(FORECAST(A254+E254*12,LN(C$2:C254),A$2:A254)))+1.25%</f>
        <v>0.13330040256132208</v>
      </c>
      <c r="G254" s="165">
        <f t="shared" si="6"/>
        <v>0.05830040256132209</v>
      </c>
    </row>
    <row r="255" spans="1:7" ht="12.75">
      <c r="A255" s="10">
        <f t="shared" si="3"/>
        <v>254</v>
      </c>
      <c r="B255" s="10" t="s">
        <v>90</v>
      </c>
      <c r="C255" s="163">
        <v>2198.25</v>
      </c>
      <c r="D255" s="164">
        <f t="shared" si="4"/>
        <v>0.075</v>
      </c>
      <c r="E255" s="10">
        <f t="shared" si="5"/>
        <v>21</v>
      </c>
      <c r="F255" s="166">
        <f>RATE(E255,0,-C255,EXP(FORECAST(A255+E255*12,LN(C$2:C255),A$2:A255)))+1.25%</f>
        <v>0.12888730864318185</v>
      </c>
      <c r="G255" s="165">
        <f t="shared" si="6"/>
        <v>0.05388730864318185</v>
      </c>
    </row>
    <row r="256" spans="1:7" ht="12.75">
      <c r="A256" s="10">
        <f t="shared" si="3"/>
        <v>255</v>
      </c>
      <c r="B256" s="10" t="s">
        <v>91</v>
      </c>
      <c r="C256" s="163">
        <v>2164.6</v>
      </c>
      <c r="D256" s="164">
        <f t="shared" si="4"/>
        <v>0.075</v>
      </c>
      <c r="E256" s="10">
        <f t="shared" si="5"/>
        <v>21</v>
      </c>
      <c r="F256" s="166">
        <f>RATE(E256,0,-C256,EXP(FORECAST(A256+E256*12,LN(C$2:C256),A$2:A256)))+1.25%</f>
        <v>0.13028136784558597</v>
      </c>
      <c r="G256" s="165">
        <f t="shared" si="6"/>
        <v>0.055281367845585974</v>
      </c>
    </row>
    <row r="257" spans="1:7" ht="12.75">
      <c r="A257" s="10">
        <f t="shared" si="3"/>
        <v>256</v>
      </c>
      <c r="B257" s="10" t="s">
        <v>92</v>
      </c>
      <c r="C257" s="163">
        <v>2148.25</v>
      </c>
      <c r="D257" s="164">
        <f t="shared" si="4"/>
        <v>0.075</v>
      </c>
      <c r="E257" s="10">
        <f t="shared" si="5"/>
        <v>21</v>
      </c>
      <c r="F257" s="166">
        <f>RATE(E257,0,-C257,EXP(FORECAST(A257+E257*12,LN(C$2:C257),A$2:A257)))+1.25%</f>
        <v>0.13122292062937102</v>
      </c>
      <c r="G257" s="165">
        <f t="shared" si="6"/>
        <v>0.05622292062937102</v>
      </c>
    </row>
    <row r="258" spans="1:7" ht="12.75">
      <c r="A258" s="10">
        <f t="shared" si="3"/>
        <v>257</v>
      </c>
      <c r="B258" s="10" t="s">
        <v>93</v>
      </c>
      <c r="C258" s="163">
        <v>2018</v>
      </c>
      <c r="D258" s="164">
        <f t="shared" si="4"/>
        <v>0.07</v>
      </c>
      <c r="E258" s="10">
        <f t="shared" si="5"/>
        <v>21</v>
      </c>
      <c r="F258" s="166">
        <f>RATE(E258,0,-C258,EXP(FORECAST(A258+E258*12,LN(C$2:C258),A$2:A258)))+1.25%</f>
        <v>0.13495172790668875</v>
      </c>
      <c r="G258" s="165">
        <f t="shared" si="6"/>
        <v>0.06495172790668874</v>
      </c>
    </row>
    <row r="259" spans="1:7" ht="12.75">
      <c r="A259" s="10">
        <f aca="true" t="shared" si="7" ref="A259:A319">A258+1</f>
        <v>258</v>
      </c>
      <c r="B259" s="10" t="s">
        <v>94</v>
      </c>
      <c r="C259" s="163">
        <v>2064</v>
      </c>
      <c r="D259" s="164">
        <f t="shared" si="4"/>
        <v>0.07</v>
      </c>
      <c r="E259" s="10">
        <f t="shared" si="5"/>
        <v>21</v>
      </c>
      <c r="F259" s="166">
        <f>RATE(E259,0,-C259,EXP(FORECAST(A259+E259*12,LN(C$2:C259),A$2:A259)))+1.25%</f>
        <v>0.1341680124956503</v>
      </c>
      <c r="G259" s="165">
        <f t="shared" si="6"/>
        <v>0.0641680124956503</v>
      </c>
    </row>
    <row r="260" spans="1:7" ht="12.75">
      <c r="A260" s="10">
        <f t="shared" si="7"/>
        <v>259</v>
      </c>
      <c r="B260" s="10" t="s">
        <v>95</v>
      </c>
      <c r="C260" s="163">
        <v>2117</v>
      </c>
      <c r="D260" s="164">
        <f t="shared" si="4"/>
        <v>0.07</v>
      </c>
      <c r="E260" s="10">
        <f t="shared" si="5"/>
        <v>21</v>
      </c>
      <c r="F260" s="166">
        <f>RATE(E260,0,-C260,EXP(FORECAST(A260+E260*12,LN(C$2:C260),A$2:A260)))+1.25%</f>
        <v>0.13326833436236854</v>
      </c>
      <c r="G260" s="165">
        <f t="shared" si="6"/>
        <v>0.06326833436236853</v>
      </c>
    </row>
    <row r="261" spans="1:7" ht="12.75">
      <c r="A261" s="10">
        <f t="shared" si="7"/>
        <v>260</v>
      </c>
      <c r="B261" s="10" t="s">
        <v>96</v>
      </c>
      <c r="C261" s="163">
        <v>2149.5</v>
      </c>
      <c r="D261" s="164">
        <f t="shared" si="4"/>
        <v>0.07</v>
      </c>
      <c r="E261" s="10">
        <f t="shared" si="5"/>
        <v>21</v>
      </c>
      <c r="F261" s="166">
        <f>RATE(E261,0,-C261,EXP(FORECAST(A261+E261*12,LN(C$2:C261),A$2:A261)))+1.25%</f>
        <v>0.13292172133190752</v>
      </c>
      <c r="G261" s="165">
        <f t="shared" si="6"/>
        <v>0.06292172133190752</v>
      </c>
    </row>
    <row r="262" spans="1:7" ht="12.75">
      <c r="A262" s="10">
        <f t="shared" si="7"/>
        <v>261</v>
      </c>
      <c r="B262" s="10" t="s">
        <v>97</v>
      </c>
      <c r="C262" s="163">
        <v>2222.6</v>
      </c>
      <c r="D262" s="164">
        <f aca="true" t="shared" si="8" ref="D262:D319">VLOOKUP(DATE(VALUE(MID(B262,1,4)),VALUE(MID(B262,6,2)),1),I$1:J$65536,2,TRUE)</f>
        <v>0.07</v>
      </c>
      <c r="E262" s="10">
        <f aca="true" t="shared" si="9" ref="E262:E301">VALUE(MID(B262,1,4))-VALUE(MID(B$2,1,4))</f>
        <v>21</v>
      </c>
      <c r="F262" s="166">
        <f>RATE(E262,0,-C262,EXP(FORECAST(A262+E262*12,LN(C$2:C262),A$2:A262)))+1.25%</f>
        <v>0.13165303830960803</v>
      </c>
      <c r="G262" s="165">
        <f aca="true" t="shared" si="10" ref="G262:G320">F262-D262</f>
        <v>0.06165303830960803</v>
      </c>
    </row>
    <row r="263" spans="1:7" ht="12.75">
      <c r="A263" s="10">
        <f t="shared" si="7"/>
        <v>262</v>
      </c>
      <c r="B263" s="10" t="s">
        <v>98</v>
      </c>
      <c r="C263" s="163">
        <v>2309.75</v>
      </c>
      <c r="D263" s="164">
        <f t="shared" si="8"/>
        <v>0.07</v>
      </c>
      <c r="E263" s="10">
        <f t="shared" si="9"/>
        <v>21</v>
      </c>
      <c r="F263" s="166">
        <f>RATE(E263,0,-C263,EXP(FORECAST(A263+E263*12,LN(C$2:C263),A$2:A263)))+1.25%</f>
        <v>0.13017579938230409</v>
      </c>
      <c r="G263" s="165">
        <f t="shared" si="10"/>
        <v>0.06017579938230408</v>
      </c>
    </row>
    <row r="264" spans="1:7" ht="12.75">
      <c r="A264" s="10">
        <f t="shared" si="7"/>
        <v>263</v>
      </c>
      <c r="B264" s="10" t="s">
        <v>99</v>
      </c>
      <c r="C264" s="163">
        <v>2294.75</v>
      </c>
      <c r="D264" s="164">
        <f t="shared" si="8"/>
        <v>0.07</v>
      </c>
      <c r="E264" s="10">
        <f t="shared" si="9"/>
        <v>21</v>
      </c>
      <c r="F264" s="166">
        <f>RATE(E264,0,-C264,EXP(FORECAST(A264+E264*12,LN(C$2:C264),A$2:A264)))+1.25%</f>
        <v>0.1310610907795036</v>
      </c>
      <c r="G264" s="165">
        <f t="shared" si="10"/>
        <v>0.061061090779503585</v>
      </c>
    </row>
    <row r="265" spans="1:7" ht="12.75">
      <c r="A265" s="10">
        <f t="shared" si="7"/>
        <v>264</v>
      </c>
      <c r="B265" s="10" t="s">
        <v>100</v>
      </c>
      <c r="C265" s="163">
        <v>2404.6</v>
      </c>
      <c r="D265" s="164">
        <f t="shared" si="8"/>
        <v>0.07</v>
      </c>
      <c r="E265" s="10">
        <f t="shared" si="9"/>
        <v>21</v>
      </c>
      <c r="F265" s="166">
        <f>RATE(E265,0,-C265,EXP(FORECAST(A265+E265*12,LN(C$2:C265),A$2:A265)))+1.25%</f>
        <v>0.12918289239977532</v>
      </c>
      <c r="G265" s="165">
        <f t="shared" si="10"/>
        <v>0.05918289239977531</v>
      </c>
    </row>
    <row r="266" spans="1:7" ht="12.75">
      <c r="A266" s="10">
        <f t="shared" si="7"/>
        <v>265</v>
      </c>
      <c r="B266" s="10" t="s">
        <v>101</v>
      </c>
      <c r="C266" s="163">
        <v>2468</v>
      </c>
      <c r="D266" s="164">
        <f t="shared" si="8"/>
        <v>0.07</v>
      </c>
      <c r="E266" s="10">
        <f t="shared" si="9"/>
        <v>22</v>
      </c>
      <c r="F266" s="166">
        <f>RATE(E266,0,-C266,EXP(FORECAST(A266+E266*12,LN(C$2:C266),A$2:A266)))+1.25%</f>
        <v>0.12861024389318199</v>
      </c>
      <c r="G266" s="165">
        <f t="shared" si="10"/>
        <v>0.05861024389318198</v>
      </c>
    </row>
    <row r="267" spans="1:7" ht="12.75">
      <c r="A267" s="10">
        <f t="shared" si="7"/>
        <v>266</v>
      </c>
      <c r="B267" s="10" t="s">
        <v>102</v>
      </c>
      <c r="C267" s="163">
        <v>2404.5</v>
      </c>
      <c r="D267" s="164">
        <f t="shared" si="8"/>
        <v>0.0675</v>
      </c>
      <c r="E267" s="10">
        <f t="shared" si="9"/>
        <v>22</v>
      </c>
      <c r="F267" s="166">
        <f>RATE(E267,0,-C267,EXP(FORECAST(A267+E267*12,LN(C$2:C267),A$2:A267)))+1.25%</f>
        <v>0.1304789027273856</v>
      </c>
      <c r="G267" s="165">
        <f t="shared" si="10"/>
        <v>0.0629789027273856</v>
      </c>
    </row>
    <row r="268" spans="1:7" ht="12.75">
      <c r="A268" s="10">
        <f t="shared" si="7"/>
        <v>267</v>
      </c>
      <c r="B268" s="10" t="s">
        <v>103</v>
      </c>
      <c r="C268" s="163">
        <v>2330.2</v>
      </c>
      <c r="D268" s="164">
        <f t="shared" si="8"/>
        <v>0.0675</v>
      </c>
      <c r="E268" s="10">
        <f t="shared" si="9"/>
        <v>22</v>
      </c>
      <c r="F268" s="166">
        <f>RATE(E268,0,-C268,EXP(FORECAST(A268+E268*12,LN(C$2:C268),A$2:A268)))+1.25%</f>
        <v>0.13254341734106895</v>
      </c>
      <c r="G268" s="165">
        <f t="shared" si="10"/>
        <v>0.06504341734106894</v>
      </c>
    </row>
    <row r="269" spans="1:7" ht="12.75">
      <c r="A269" s="10">
        <f t="shared" si="7"/>
        <v>268</v>
      </c>
      <c r="B269" s="10" t="s">
        <v>104</v>
      </c>
      <c r="C269" s="163">
        <v>2294.25</v>
      </c>
      <c r="D269" s="164">
        <f t="shared" si="8"/>
        <v>0.065</v>
      </c>
      <c r="E269" s="10">
        <f t="shared" si="9"/>
        <v>22</v>
      </c>
      <c r="F269" s="166">
        <f>RATE(E269,0,-C269,EXP(FORECAST(A269+E269*12,LN(C$2:C269),A$2:A269)))+1.25%</f>
        <v>0.13375748072557914</v>
      </c>
      <c r="G269" s="165">
        <f t="shared" si="10"/>
        <v>0.06875748072557913</v>
      </c>
    </row>
    <row r="270" spans="1:7" ht="12.75">
      <c r="A270" s="10">
        <f t="shared" si="7"/>
        <v>269</v>
      </c>
      <c r="B270" s="10" t="s">
        <v>105</v>
      </c>
      <c r="C270" s="163">
        <v>2440</v>
      </c>
      <c r="D270" s="164">
        <f t="shared" si="8"/>
        <v>0.065</v>
      </c>
      <c r="E270" s="10">
        <f t="shared" si="9"/>
        <v>22</v>
      </c>
      <c r="F270" s="166">
        <f>RATE(E270,0,-C270,EXP(FORECAST(A270+E270*12,LN(C$2:C270),A$2:A270)))+1.25%</f>
        <v>0.13114208743888783</v>
      </c>
      <c r="G270" s="165">
        <f t="shared" si="10"/>
        <v>0.06614208743888783</v>
      </c>
    </row>
    <row r="271" spans="1:7" ht="12.75">
      <c r="A271" s="10">
        <f t="shared" si="7"/>
        <v>270</v>
      </c>
      <c r="B271" s="10" t="s">
        <v>106</v>
      </c>
      <c r="C271" s="163">
        <v>2343</v>
      </c>
      <c r="D271" s="164">
        <f t="shared" si="8"/>
        <v>0.0625</v>
      </c>
      <c r="E271" s="10">
        <f t="shared" si="9"/>
        <v>22</v>
      </c>
      <c r="F271" s="166">
        <f>RATE(E271,0,-C271,EXP(FORECAST(A271+E271*12,LN(C$2:C271),A$2:A271)))+1.25%</f>
        <v>0.13363376440657077</v>
      </c>
      <c r="G271" s="165">
        <f t="shared" si="10"/>
        <v>0.07113376440657077</v>
      </c>
    </row>
    <row r="272" spans="1:7" ht="12.75">
      <c r="A272" s="10">
        <f t="shared" si="7"/>
        <v>271</v>
      </c>
      <c r="B272" s="10" t="s">
        <v>107</v>
      </c>
      <c r="C272" s="163">
        <v>2365.25</v>
      </c>
      <c r="D272" s="164">
        <f t="shared" si="8"/>
        <v>0.0625</v>
      </c>
      <c r="E272" s="10">
        <f t="shared" si="9"/>
        <v>22</v>
      </c>
      <c r="F272" s="166">
        <f>RATE(E272,0,-C272,EXP(FORECAST(A272+E272*12,LN(C$2:C272),A$2:A272)))+1.25%</f>
        <v>0.13358031917175248</v>
      </c>
      <c r="G272" s="165">
        <f t="shared" si="10"/>
        <v>0.07108031917175248</v>
      </c>
    </row>
    <row r="273" spans="1:7" ht="12.75">
      <c r="A273" s="10">
        <f t="shared" si="7"/>
        <v>272</v>
      </c>
      <c r="B273" s="10" t="s">
        <v>108</v>
      </c>
      <c r="C273" s="163">
        <v>2193.6</v>
      </c>
      <c r="D273" s="164">
        <f t="shared" si="8"/>
        <v>0.0625</v>
      </c>
      <c r="E273" s="10">
        <f t="shared" si="9"/>
        <v>22</v>
      </c>
      <c r="F273" s="166">
        <f>RATE(E273,0,-C273,EXP(FORECAST(A273+E273*12,LN(C$2:C273),A$2:A273)))+1.25%</f>
        <v>0.13770087992012423</v>
      </c>
      <c r="G273" s="165">
        <f t="shared" si="10"/>
        <v>0.07520087992012423</v>
      </c>
    </row>
    <row r="274" spans="1:7" ht="12.75">
      <c r="A274" s="10">
        <f t="shared" si="7"/>
        <v>273</v>
      </c>
      <c r="B274" s="10" t="s">
        <v>109</v>
      </c>
      <c r="C274" s="163">
        <v>2311.75</v>
      </c>
      <c r="D274" s="164">
        <f t="shared" si="8"/>
        <v>0.0625</v>
      </c>
      <c r="E274" s="10">
        <f t="shared" si="9"/>
        <v>22</v>
      </c>
      <c r="F274" s="166">
        <f>RATE(E274,0,-C274,EXP(FORECAST(A274+E274*12,LN(C$2:C274),A$2:A274)))+1.25%</f>
        <v>0.13537744458193324</v>
      </c>
      <c r="G274" s="165">
        <f t="shared" si="10"/>
        <v>0.07287744458193324</v>
      </c>
    </row>
    <row r="275" spans="1:7" ht="12.75">
      <c r="A275" s="10">
        <f t="shared" si="7"/>
        <v>274</v>
      </c>
      <c r="B275" s="10" t="s">
        <v>110</v>
      </c>
      <c r="C275" s="163">
        <v>2409.25</v>
      </c>
      <c r="D275" s="164">
        <f t="shared" si="8"/>
        <v>0.065</v>
      </c>
      <c r="E275" s="10">
        <f t="shared" si="9"/>
        <v>22</v>
      </c>
      <c r="F275" s="166">
        <f>RATE(E275,0,-C275,EXP(FORECAST(A275+E275*12,LN(C$2:C275),A$2:A275)))+1.25%</f>
        <v>0.13368689199212708</v>
      </c>
      <c r="G275" s="165">
        <f t="shared" si="10"/>
        <v>0.06868689199212707</v>
      </c>
    </row>
    <row r="276" spans="1:7" ht="12.75">
      <c r="A276" s="10">
        <f t="shared" si="7"/>
        <v>275</v>
      </c>
      <c r="B276" s="10" t="s">
        <v>111</v>
      </c>
      <c r="C276" s="163">
        <v>2444.2</v>
      </c>
      <c r="D276" s="164">
        <f t="shared" si="8"/>
        <v>0.0675</v>
      </c>
      <c r="E276" s="10">
        <f t="shared" si="9"/>
        <v>22</v>
      </c>
      <c r="F276" s="166">
        <f>RATE(E276,0,-C276,EXP(FORECAST(A276+E276*12,LN(C$2:C276),A$2:A276)))+1.25%</f>
        <v>0.13337912489558248</v>
      </c>
      <c r="G276" s="165">
        <f t="shared" si="10"/>
        <v>0.06587912489558248</v>
      </c>
    </row>
    <row r="277" spans="1:7" ht="12.75">
      <c r="A277" s="10">
        <f t="shared" si="7"/>
        <v>276</v>
      </c>
      <c r="B277" s="10" t="s">
        <v>112</v>
      </c>
      <c r="C277" s="163">
        <v>2497.25</v>
      </c>
      <c r="D277" s="164">
        <f t="shared" si="8"/>
        <v>0.0675</v>
      </c>
      <c r="E277" s="10">
        <f t="shared" si="9"/>
        <v>22</v>
      </c>
      <c r="F277" s="166">
        <f>RATE(E277,0,-C277,EXP(FORECAST(A277+E277*12,LN(C$2:C277),A$2:A277)))+1.25%</f>
        <v>0.13273393932695593</v>
      </c>
      <c r="G277" s="165">
        <f t="shared" si="10"/>
        <v>0.06523393932695593</v>
      </c>
    </row>
    <row r="278" spans="1:7" ht="12.75">
      <c r="A278" s="10">
        <f t="shared" si="7"/>
        <v>277</v>
      </c>
      <c r="B278" s="10" t="s">
        <v>113</v>
      </c>
      <c r="C278" s="163">
        <v>2490.75</v>
      </c>
      <c r="D278" s="164">
        <f t="shared" si="8"/>
        <v>0.0675</v>
      </c>
      <c r="E278" s="10">
        <f t="shared" si="9"/>
        <v>23</v>
      </c>
      <c r="F278" s="166">
        <f>RATE(E278,0,-C278,EXP(FORECAST(A278+E278*12,LN(C$2:C278),A$2:A278)))+1.25%</f>
        <v>0.1332317282268445</v>
      </c>
      <c r="G278" s="165">
        <f t="shared" si="10"/>
        <v>0.0657317282268445</v>
      </c>
    </row>
    <row r="279" spans="1:7" ht="12.75">
      <c r="A279" s="10">
        <f t="shared" si="7"/>
        <v>278</v>
      </c>
      <c r="B279" s="10" t="s">
        <v>114</v>
      </c>
      <c r="C279" s="163">
        <v>2426.5</v>
      </c>
      <c r="D279" s="164">
        <f t="shared" si="8"/>
        <v>0.07</v>
      </c>
      <c r="E279" s="10">
        <f t="shared" si="9"/>
        <v>23</v>
      </c>
      <c r="F279" s="166">
        <f>RATE(E279,0,-C279,EXP(FORECAST(A279+E279*12,LN(C$2:C279),A$2:A279)))+1.25%</f>
        <v>0.1348533297997397</v>
      </c>
      <c r="G279" s="165">
        <f t="shared" si="10"/>
        <v>0.0648533297997397</v>
      </c>
    </row>
    <row r="280" spans="1:7" ht="12.75">
      <c r="A280" s="10">
        <f t="shared" si="7"/>
        <v>279</v>
      </c>
      <c r="B280" s="10" t="s">
        <v>115</v>
      </c>
      <c r="C280" s="163">
        <v>2583.8</v>
      </c>
      <c r="D280" s="164">
        <f t="shared" si="8"/>
        <v>0.07</v>
      </c>
      <c r="E280" s="10">
        <f t="shared" si="9"/>
        <v>23</v>
      </c>
      <c r="F280" s="166">
        <f>RATE(E280,0,-C280,EXP(FORECAST(A280+E280*12,LN(C$2:C280),A$2:A280)))+1.25%</f>
        <v>0.13223322312760197</v>
      </c>
      <c r="G280" s="165">
        <f t="shared" si="10"/>
        <v>0.06223322312760196</v>
      </c>
    </row>
    <row r="281" spans="1:7" ht="12.75">
      <c r="A281" s="10">
        <f t="shared" si="7"/>
        <v>280</v>
      </c>
      <c r="B281" s="10" t="s">
        <v>116</v>
      </c>
      <c r="C281" s="163">
        <v>2712.5</v>
      </c>
      <c r="D281" s="164">
        <f t="shared" si="8"/>
        <v>0.07</v>
      </c>
      <c r="E281" s="10">
        <f t="shared" si="9"/>
        <v>23</v>
      </c>
      <c r="F281" s="166">
        <f>RATE(E281,0,-C281,EXP(FORECAST(A281+E281*12,LN(C$2:C281),A$2:A281)))+1.25%</f>
        <v>0.13037672341901382</v>
      </c>
      <c r="G281" s="165">
        <f t="shared" si="10"/>
        <v>0.06037672341901382</v>
      </c>
    </row>
    <row r="282" spans="1:7" ht="12.75">
      <c r="A282" s="10">
        <f t="shared" si="7"/>
        <v>281</v>
      </c>
      <c r="B282" s="10" t="s">
        <v>117</v>
      </c>
      <c r="C282" s="163">
        <v>2861</v>
      </c>
      <c r="D282" s="164">
        <f t="shared" si="8"/>
        <v>0.07</v>
      </c>
      <c r="E282" s="10">
        <f t="shared" si="9"/>
        <v>23</v>
      </c>
      <c r="F282" s="166">
        <f>RATE(E282,0,-C282,EXP(FORECAST(A282+E282*12,LN(C$2:C282),A$2:A282)))+1.25%</f>
        <v>0.1283694829941861</v>
      </c>
      <c r="G282" s="165">
        <f t="shared" si="10"/>
        <v>0.058369482994186095</v>
      </c>
    </row>
    <row r="283" spans="1:7" ht="12.75">
      <c r="A283" s="10">
        <f t="shared" si="7"/>
        <v>282</v>
      </c>
      <c r="B283" s="10" t="s">
        <v>118</v>
      </c>
      <c r="C283" s="163">
        <v>3081.25</v>
      </c>
      <c r="D283" s="164">
        <f t="shared" si="8"/>
        <v>0.07</v>
      </c>
      <c r="E283" s="10">
        <f t="shared" si="9"/>
        <v>23</v>
      </c>
      <c r="F283" s="166">
        <f>RATE(E283,0,-C283,EXP(FORECAST(A283+E283*12,LN(C$2:C283),A$2:A283)))+1.25%</f>
        <v>0.12546295960204348</v>
      </c>
      <c r="G283" s="165">
        <f t="shared" si="10"/>
        <v>0.05546295960204348</v>
      </c>
    </row>
    <row r="284" spans="1:7" ht="12.75">
      <c r="A284" s="10">
        <f t="shared" si="7"/>
        <v>283</v>
      </c>
      <c r="B284" s="10" t="s">
        <v>119</v>
      </c>
      <c r="C284" s="163">
        <v>3129.75</v>
      </c>
      <c r="D284" s="164">
        <f t="shared" si="8"/>
        <v>0.07</v>
      </c>
      <c r="E284" s="10">
        <f t="shared" si="9"/>
        <v>23</v>
      </c>
      <c r="F284" s="166">
        <f>RATE(E284,0,-C284,EXP(FORECAST(A284+E284*12,LN(C$2:C284),A$2:A284)))+1.25%</f>
        <v>0.12539963857285144</v>
      </c>
      <c r="G284" s="165">
        <f t="shared" si="10"/>
        <v>0.055399638572851434</v>
      </c>
    </row>
    <row r="285" spans="1:7" ht="12.75">
      <c r="A285" s="10">
        <f t="shared" si="7"/>
        <v>284</v>
      </c>
      <c r="B285" s="10" t="s">
        <v>120</v>
      </c>
      <c r="C285" s="163">
        <v>3161.8</v>
      </c>
      <c r="D285" s="164">
        <f t="shared" si="8"/>
        <v>0.07</v>
      </c>
      <c r="E285" s="10">
        <f t="shared" si="9"/>
        <v>23</v>
      </c>
      <c r="F285" s="166">
        <f>RATE(E285,0,-C285,EXP(FORECAST(A285+E285*12,LN(C$2:C285),A$2:A285)))+1.25%</f>
        <v>0.12559620190575319</v>
      </c>
      <c r="G285" s="165">
        <f t="shared" si="10"/>
        <v>0.05559620190575318</v>
      </c>
    </row>
    <row r="286" spans="1:7" ht="12.75">
      <c r="A286" s="10">
        <f t="shared" si="7"/>
        <v>285</v>
      </c>
      <c r="B286" s="10" t="s">
        <v>121</v>
      </c>
      <c r="C286" s="163">
        <v>3299.5</v>
      </c>
      <c r="D286" s="164">
        <f t="shared" si="8"/>
        <v>0.07</v>
      </c>
      <c r="E286" s="10">
        <f t="shared" si="9"/>
        <v>23</v>
      </c>
      <c r="F286" s="166">
        <f>RATE(E286,0,-C286,EXP(FORECAST(A286+E286*12,LN(C$2:C286),A$2:A286)))+1.25%</f>
        <v>0.12427458358562384</v>
      </c>
      <c r="G286" s="165">
        <f t="shared" si="10"/>
        <v>0.05427458358562383</v>
      </c>
    </row>
    <row r="287" spans="1:7" ht="12.75">
      <c r="A287" s="10">
        <f t="shared" si="7"/>
        <v>286</v>
      </c>
      <c r="B287" s="10" t="s">
        <v>122</v>
      </c>
      <c r="C287" s="163">
        <v>3225.5</v>
      </c>
      <c r="D287" s="164">
        <f t="shared" si="8"/>
        <v>0.07</v>
      </c>
      <c r="E287" s="10">
        <f t="shared" si="9"/>
        <v>23</v>
      </c>
      <c r="F287" s="166">
        <f>RATE(E287,0,-C287,EXP(FORECAST(A287+E287*12,LN(C$2:C287),A$2:A287)))+1.25%</f>
        <v>0.12605440468755086</v>
      </c>
      <c r="G287" s="165">
        <f t="shared" si="10"/>
        <v>0.05605440468755085</v>
      </c>
    </row>
    <row r="288" spans="1:7" ht="12.75">
      <c r="A288" s="10">
        <f t="shared" si="7"/>
        <v>287</v>
      </c>
      <c r="B288" s="10" t="s">
        <v>123</v>
      </c>
      <c r="C288" s="163">
        <v>3444.2</v>
      </c>
      <c r="D288" s="164">
        <f t="shared" si="8"/>
        <v>0.07</v>
      </c>
      <c r="E288" s="10">
        <f t="shared" si="9"/>
        <v>23</v>
      </c>
      <c r="F288" s="166">
        <f>RATE(E288,0,-C288,EXP(FORECAST(A288+E288*12,LN(C$2:C288),A$2:A288)))+1.25%</f>
        <v>0.12365208090171693</v>
      </c>
      <c r="G288" s="165">
        <f t="shared" si="10"/>
        <v>0.05365208090171693</v>
      </c>
    </row>
    <row r="289" spans="1:7" ht="12.75">
      <c r="A289" s="10">
        <f t="shared" si="7"/>
        <v>288</v>
      </c>
      <c r="B289" s="10" t="s">
        <v>124</v>
      </c>
      <c r="C289" s="163">
        <v>3415.5</v>
      </c>
      <c r="D289" s="164">
        <f t="shared" si="8"/>
        <v>0.07</v>
      </c>
      <c r="E289" s="10">
        <f t="shared" si="9"/>
        <v>23</v>
      </c>
      <c r="F289" s="166">
        <f>RATE(E289,0,-C289,EXP(FORECAST(A289+E289*12,LN(C$2:C289),A$2:A289)))+1.25%</f>
        <v>0.12479215219499841</v>
      </c>
      <c r="G289" s="165">
        <f t="shared" si="10"/>
        <v>0.0547921521949984</v>
      </c>
    </row>
    <row r="290" spans="1:7" ht="12.75">
      <c r="A290" s="10">
        <f t="shared" si="7"/>
        <v>289</v>
      </c>
      <c r="B290" s="10" t="s">
        <v>125</v>
      </c>
      <c r="C290" s="163">
        <v>3542.4</v>
      </c>
      <c r="D290" s="164">
        <f t="shared" si="8"/>
        <v>0.07</v>
      </c>
      <c r="E290" s="10">
        <f t="shared" si="9"/>
        <v>24</v>
      </c>
      <c r="F290" s="166">
        <f>RATE(E290,0,-C290,EXP(FORECAST(A290+E290*12,LN(C$2:C290),A$2:A290)))+1.25%</f>
        <v>0.12419119433649922</v>
      </c>
      <c r="G290" s="165">
        <f t="shared" si="10"/>
        <v>0.054191194336499215</v>
      </c>
    </row>
    <row r="291" spans="1:7" ht="12.75">
      <c r="A291" s="10">
        <f t="shared" si="7"/>
        <v>290</v>
      </c>
      <c r="B291" s="10" t="s">
        <v>126</v>
      </c>
      <c r="C291" s="163">
        <v>3635.25</v>
      </c>
      <c r="D291" s="164">
        <f t="shared" si="8"/>
        <v>0.0675</v>
      </c>
      <c r="E291" s="10">
        <f t="shared" si="9"/>
        <v>24</v>
      </c>
      <c r="F291" s="166">
        <f>RATE(E291,0,-C291,EXP(FORECAST(A291+E291*12,LN(C$2:C291),A$2:A291)))+1.25%</f>
        <v>0.12376352964397254</v>
      </c>
      <c r="G291" s="165">
        <f t="shared" si="10"/>
        <v>0.056263529643972535</v>
      </c>
    </row>
    <row r="292" spans="1:7" ht="12.75">
      <c r="A292" s="10">
        <f t="shared" si="7"/>
        <v>291</v>
      </c>
      <c r="B292" s="10" t="s">
        <v>127</v>
      </c>
      <c r="C292" s="163">
        <v>3587</v>
      </c>
      <c r="D292" s="164">
        <f t="shared" si="8"/>
        <v>0.0675</v>
      </c>
      <c r="E292" s="10">
        <f t="shared" si="9"/>
        <v>24</v>
      </c>
      <c r="F292" s="166">
        <f>RATE(E292,0,-C292,EXP(FORECAST(A292+E292*12,LN(C$2:C292),A$2:A292)))+1.25%</f>
        <v>0.12511180085561016</v>
      </c>
      <c r="G292" s="165">
        <f t="shared" si="10"/>
        <v>0.05761180085561016</v>
      </c>
    </row>
    <row r="293" spans="1:7" ht="12.75">
      <c r="A293" s="10">
        <f t="shared" si="7"/>
        <v>292</v>
      </c>
      <c r="B293" s="10" t="s">
        <v>128</v>
      </c>
      <c r="C293" s="163">
        <v>3576.5</v>
      </c>
      <c r="D293" s="164">
        <f t="shared" si="8"/>
        <v>0.065</v>
      </c>
      <c r="E293" s="10">
        <f t="shared" si="9"/>
        <v>24</v>
      </c>
      <c r="F293" s="166">
        <f>RATE(E293,0,-C293,EXP(FORECAST(A293+E293*12,LN(C$2:C293),A$2:A293)))+1.25%</f>
        <v>0.12595324766948512</v>
      </c>
      <c r="G293" s="165">
        <f t="shared" si="10"/>
        <v>0.06095324766948512</v>
      </c>
    </row>
    <row r="294" spans="1:7" ht="12.75">
      <c r="A294" s="10">
        <f t="shared" si="7"/>
        <v>293</v>
      </c>
      <c r="B294" s="10" t="s">
        <v>129</v>
      </c>
      <c r="C294" s="163">
        <v>3475</v>
      </c>
      <c r="D294" s="164">
        <f t="shared" si="8"/>
        <v>0.065</v>
      </c>
      <c r="E294" s="10">
        <f t="shared" si="9"/>
        <v>24</v>
      </c>
      <c r="F294" s="166">
        <f>RATE(E294,0,-C294,EXP(FORECAST(A294+E294*12,LN(C$2:C294),A$2:A294)))+1.25%</f>
        <v>0.12793217408398067</v>
      </c>
      <c r="G294" s="165">
        <f t="shared" si="10"/>
        <v>0.06293217408398066</v>
      </c>
    </row>
    <row r="295" spans="1:7" ht="12.75">
      <c r="A295" s="10">
        <f t="shared" si="7"/>
        <v>294</v>
      </c>
      <c r="B295" s="10" t="s">
        <v>130</v>
      </c>
      <c r="C295" s="163">
        <v>3421.75</v>
      </c>
      <c r="D295" s="164">
        <f t="shared" si="8"/>
        <v>0.065</v>
      </c>
      <c r="E295" s="10">
        <f t="shared" si="9"/>
        <v>24</v>
      </c>
      <c r="F295" s="166">
        <f>RATE(E295,0,-C295,EXP(FORECAST(A295+E295*12,LN(C$2:C295),A$2:A295)))+1.25%</f>
        <v>0.1292510646552392</v>
      </c>
      <c r="G295" s="165">
        <f t="shared" si="10"/>
        <v>0.06425106465523919</v>
      </c>
    </row>
    <row r="296" spans="1:7" ht="12.75">
      <c r="A296" s="10">
        <f t="shared" si="7"/>
        <v>295</v>
      </c>
      <c r="B296" s="10" t="s">
        <v>131</v>
      </c>
      <c r="C296" s="163">
        <v>3563.25</v>
      </c>
      <c r="D296" s="164">
        <f t="shared" si="8"/>
        <v>0.0625</v>
      </c>
      <c r="E296" s="10">
        <f t="shared" si="9"/>
        <v>24</v>
      </c>
      <c r="F296" s="166">
        <f>RATE(E296,0,-C296,EXP(FORECAST(A296+E296*12,LN(C$2:C296),A$2:A296)))+1.25%</f>
        <v>0.1280127029572525</v>
      </c>
      <c r="G296" s="165">
        <f t="shared" si="10"/>
        <v>0.0655127029572525</v>
      </c>
    </row>
    <row r="297" spans="1:7" ht="12.75">
      <c r="A297" s="10">
        <f t="shared" si="7"/>
        <v>296</v>
      </c>
      <c r="B297" s="10" t="s">
        <v>132</v>
      </c>
      <c r="C297" s="163">
        <v>3540</v>
      </c>
      <c r="D297" s="164">
        <f t="shared" si="8"/>
        <v>0.0625</v>
      </c>
      <c r="E297" s="10">
        <f t="shared" si="9"/>
        <v>24</v>
      </c>
      <c r="F297" s="166">
        <f>RATE(E297,0,-C297,EXP(FORECAST(A297+E297*12,LN(C$2:C297),A$2:A297)))+1.25%</f>
        <v>0.12893492909442766</v>
      </c>
      <c r="G297" s="165">
        <f t="shared" si="10"/>
        <v>0.06643492909442766</v>
      </c>
    </row>
    <row r="298" spans="1:7" ht="12.75">
      <c r="A298" s="10">
        <f t="shared" si="7"/>
        <v>297</v>
      </c>
      <c r="B298" s="10" t="s">
        <v>133</v>
      </c>
      <c r="C298" s="163">
        <v>3300.25</v>
      </c>
      <c r="D298" s="164">
        <f t="shared" si="8"/>
        <v>0.0625</v>
      </c>
      <c r="E298" s="10">
        <f t="shared" si="9"/>
        <v>24</v>
      </c>
      <c r="F298" s="166">
        <f>RATE(E298,0,-C298,EXP(FORECAST(A298+E298*12,LN(C$2:C298),A$2:A298)))+1.25%</f>
        <v>0.13269663677820226</v>
      </c>
      <c r="G298" s="165">
        <f t="shared" si="10"/>
        <v>0.07019663677820226</v>
      </c>
    </row>
    <row r="299" spans="1:7" ht="12.75">
      <c r="A299" s="10">
        <f t="shared" si="7"/>
        <v>298</v>
      </c>
      <c r="B299" s="10" t="s">
        <v>134</v>
      </c>
      <c r="C299" s="163">
        <v>3432.6</v>
      </c>
      <c r="D299" s="164">
        <f t="shared" si="8"/>
        <v>0.0575</v>
      </c>
      <c r="E299" s="10">
        <f t="shared" si="9"/>
        <v>24</v>
      </c>
      <c r="F299" s="166">
        <f>RATE(E299,0,-C299,EXP(FORECAST(A299+E299*12,LN(C$2:C299),A$2:A299)))+1.25%</f>
        <v>0.13140161755994162</v>
      </c>
      <c r="G299" s="165">
        <f t="shared" si="10"/>
        <v>0.07390161755994162</v>
      </c>
    </row>
    <row r="300" spans="1:7" ht="12.75">
      <c r="A300" s="10">
        <f t="shared" si="7"/>
        <v>299</v>
      </c>
      <c r="B300" s="10" t="s">
        <v>135</v>
      </c>
      <c r="C300" s="163">
        <v>3334.5</v>
      </c>
      <c r="D300" s="164">
        <f t="shared" si="8"/>
        <v>0.0575</v>
      </c>
      <c r="E300" s="10">
        <f t="shared" si="9"/>
        <v>24</v>
      </c>
      <c r="F300" s="166">
        <f>RATE(E300,0,-C300,EXP(FORECAST(A300+E300*12,LN(C$2:C300),A$2:A300)))+1.25%</f>
        <v>0.133233648320391</v>
      </c>
      <c r="G300" s="165">
        <f t="shared" si="10"/>
        <v>0.075733648320391</v>
      </c>
    </row>
    <row r="301" spans="1:7" ht="12.75">
      <c r="A301" s="10">
        <f t="shared" si="7"/>
        <v>300</v>
      </c>
      <c r="B301" s="10" t="s">
        <v>136</v>
      </c>
      <c r="C301" s="163">
        <v>3297.25</v>
      </c>
      <c r="D301" s="164">
        <f t="shared" si="8"/>
        <v>0.0575</v>
      </c>
      <c r="E301" s="10">
        <f t="shared" si="9"/>
        <v>24</v>
      </c>
      <c r="F301" s="166">
        <f>RATE(E301,0,-C301,EXP(FORECAST(A301+E301*12,LN(C$2:C301),A$2:A301)))+1.25%</f>
        <v>0.13420617705868276</v>
      </c>
      <c r="G301" s="165">
        <f t="shared" si="10"/>
        <v>0.07670617705868277</v>
      </c>
    </row>
    <row r="302" spans="1:7" ht="12.75">
      <c r="A302" s="10">
        <f t="shared" si="7"/>
        <v>301</v>
      </c>
      <c r="B302" s="10" t="s">
        <v>137</v>
      </c>
      <c r="C302" s="163">
        <v>3224</v>
      </c>
      <c r="D302" s="164">
        <f t="shared" si="8"/>
        <v>0.0575</v>
      </c>
      <c r="E302" s="209">
        <f>VALUE(MID(B302,1,4))-VALUE(MID(B$2,1,4))</f>
        <v>25</v>
      </c>
      <c r="F302" s="167">
        <f>RATE(E302,0,-C302,EXP(FORECAST(A302+E302*12,LN(C$2:C302),A$2:A302)))+1.25%</f>
        <v>0.1355982022783717</v>
      </c>
      <c r="G302" s="165">
        <f t="shared" si="10"/>
        <v>0.07809820227837169</v>
      </c>
    </row>
    <row r="303" spans="1:7" ht="12.75">
      <c r="A303" s="10">
        <f t="shared" si="7"/>
        <v>302</v>
      </c>
      <c r="B303" s="10" t="s">
        <v>138</v>
      </c>
      <c r="C303" s="163">
        <v>3024.5</v>
      </c>
      <c r="D303" s="164">
        <f t="shared" si="8"/>
        <v>0.0575</v>
      </c>
      <c r="E303" s="10">
        <f aca="true" t="shared" si="11" ref="E303:E319">E302</f>
        <v>25</v>
      </c>
      <c r="F303" s="161">
        <f aca="true" t="shared" si="12" ref="F303:F320">RATE(E303,0,-C303,EXP(FORECAST(A303+E303*12,LN(C3:C303),$A3:$A303)))+1.25%</f>
        <v>0.1383298041134744</v>
      </c>
      <c r="G303" s="165">
        <f t="shared" si="10"/>
        <v>0.0808298041134744</v>
      </c>
    </row>
    <row r="304" spans="1:7" ht="12.75">
      <c r="A304" s="10">
        <f t="shared" si="7"/>
        <v>303</v>
      </c>
      <c r="B304" s="10" t="s">
        <v>139</v>
      </c>
      <c r="C304" s="163">
        <v>3187.75</v>
      </c>
      <c r="D304" s="164">
        <f t="shared" si="8"/>
        <v>0.0575</v>
      </c>
      <c r="E304" s="10">
        <f t="shared" si="11"/>
        <v>25</v>
      </c>
      <c r="F304" s="161">
        <f t="shared" si="12"/>
        <v>0.13595616930589435</v>
      </c>
      <c r="G304" s="165">
        <f t="shared" si="10"/>
        <v>0.07845616930589436</v>
      </c>
    </row>
    <row r="305" spans="1:7" ht="12.75">
      <c r="A305" s="10">
        <f t="shared" si="7"/>
        <v>304</v>
      </c>
      <c r="B305" s="10" t="s">
        <v>140</v>
      </c>
      <c r="C305" s="163">
        <v>3286.2</v>
      </c>
      <c r="D305" s="164">
        <f t="shared" si="8"/>
        <v>0.0575</v>
      </c>
      <c r="E305" s="10">
        <f t="shared" si="11"/>
        <v>25</v>
      </c>
      <c r="F305" s="161">
        <f t="shared" si="12"/>
        <v>0.1347400291161067</v>
      </c>
      <c r="G305" s="165">
        <f t="shared" si="10"/>
        <v>0.0772400291161067</v>
      </c>
    </row>
    <row r="306" spans="1:7" ht="12.75">
      <c r="A306" s="10">
        <f t="shared" si="7"/>
        <v>305</v>
      </c>
      <c r="B306" s="10" t="s">
        <v>141</v>
      </c>
      <c r="C306" s="163">
        <v>3328.5</v>
      </c>
      <c r="D306" s="164">
        <f t="shared" si="8"/>
        <v>0.06</v>
      </c>
      <c r="E306" s="10">
        <f t="shared" si="11"/>
        <v>25</v>
      </c>
      <c r="F306" s="161">
        <f t="shared" si="12"/>
        <v>0.13437029263255848</v>
      </c>
      <c r="G306" s="165">
        <f t="shared" si="10"/>
        <v>0.07437029263255848</v>
      </c>
    </row>
    <row r="307" spans="1:7" ht="12.75">
      <c r="A307" s="10">
        <f t="shared" si="7"/>
        <v>306</v>
      </c>
      <c r="B307" s="10" t="s">
        <v>142</v>
      </c>
      <c r="C307" s="163">
        <v>3443.5</v>
      </c>
      <c r="D307" s="164">
        <f t="shared" si="8"/>
        <v>0.06</v>
      </c>
      <c r="E307" s="10">
        <f t="shared" si="11"/>
        <v>25</v>
      </c>
      <c r="F307" s="161">
        <f t="shared" si="12"/>
        <v>0.13307315240238898</v>
      </c>
      <c r="G307" s="165">
        <f t="shared" si="10"/>
        <v>0.07307315240238899</v>
      </c>
    </row>
    <row r="308" spans="1:7" ht="12.75">
      <c r="A308" s="10">
        <f t="shared" si="7"/>
        <v>307</v>
      </c>
      <c r="B308" s="10" t="s">
        <v>143</v>
      </c>
      <c r="C308" s="163">
        <v>3607.8</v>
      </c>
      <c r="D308" s="164">
        <f t="shared" si="8"/>
        <v>0.06</v>
      </c>
      <c r="E308" s="10">
        <f t="shared" si="11"/>
        <v>25</v>
      </c>
      <c r="F308" s="161">
        <f t="shared" si="12"/>
        <v>0.1312484682167621</v>
      </c>
      <c r="G308" s="165">
        <f t="shared" si="10"/>
        <v>0.07124846821676209</v>
      </c>
    </row>
    <row r="309" spans="1:7" ht="12.75">
      <c r="A309" s="10">
        <f t="shared" si="7"/>
        <v>308</v>
      </c>
      <c r="B309" s="10" t="s">
        <v>144</v>
      </c>
      <c r="C309" s="163">
        <v>3704.25</v>
      </c>
      <c r="D309" s="164">
        <f t="shared" si="8"/>
        <v>0.06</v>
      </c>
      <c r="E309" s="10">
        <f t="shared" si="11"/>
        <v>25</v>
      </c>
      <c r="F309" s="161">
        <f t="shared" si="12"/>
        <v>0.13049666212332475</v>
      </c>
      <c r="G309" s="165">
        <f t="shared" si="10"/>
        <v>0.07049666212332475</v>
      </c>
    </row>
    <row r="310" spans="1:7" ht="12.75">
      <c r="A310" s="10">
        <f t="shared" si="7"/>
        <v>309</v>
      </c>
      <c r="B310" s="10" t="s">
        <v>145</v>
      </c>
      <c r="C310" s="163">
        <v>3788.25</v>
      </c>
      <c r="D310" s="164">
        <f t="shared" si="8"/>
        <v>0.06</v>
      </c>
      <c r="E310" s="10">
        <f t="shared" si="11"/>
        <v>25</v>
      </c>
      <c r="F310" s="161">
        <f t="shared" si="12"/>
        <v>0.13008689299968024</v>
      </c>
      <c r="G310" s="165">
        <f t="shared" si="10"/>
        <v>0.07008689299968024</v>
      </c>
    </row>
    <row r="311" spans="1:7" ht="12.75">
      <c r="A311" s="10">
        <f t="shared" si="7"/>
        <v>310</v>
      </c>
      <c r="B311" s="10" t="s">
        <v>146</v>
      </c>
      <c r="C311" s="163">
        <v>3753.8</v>
      </c>
      <c r="D311" s="164">
        <f t="shared" si="8"/>
        <v>0.06</v>
      </c>
      <c r="E311" s="10">
        <f t="shared" si="11"/>
        <v>25</v>
      </c>
      <c r="F311" s="161">
        <f t="shared" si="12"/>
        <v>0.13110472124077857</v>
      </c>
      <c r="G311" s="165">
        <f t="shared" si="10"/>
        <v>0.07110472124077857</v>
      </c>
    </row>
    <row r="312" spans="1:7" ht="12.75">
      <c r="A312" s="10">
        <f t="shared" si="7"/>
        <v>311</v>
      </c>
      <c r="B312" s="10" t="s">
        <v>147</v>
      </c>
      <c r="C312" s="163">
        <v>3550</v>
      </c>
      <c r="D312" s="164">
        <f t="shared" si="8"/>
        <v>0.0575</v>
      </c>
      <c r="E312" s="10">
        <f t="shared" si="11"/>
        <v>25</v>
      </c>
      <c r="F312" s="161">
        <f t="shared" si="12"/>
        <v>0.13407161376722182</v>
      </c>
      <c r="G312" s="165">
        <f t="shared" si="10"/>
        <v>0.07657161376722182</v>
      </c>
    </row>
    <row r="313" spans="1:7" ht="12.75">
      <c r="A313" s="10">
        <f t="shared" si="7"/>
        <v>312</v>
      </c>
      <c r="B313" s="10" t="s">
        <v>148</v>
      </c>
      <c r="C313" s="163">
        <v>3501.8</v>
      </c>
      <c r="D313" s="164">
        <f t="shared" si="8"/>
        <v>0.0575</v>
      </c>
      <c r="E313" s="10">
        <f t="shared" si="11"/>
        <v>25</v>
      </c>
      <c r="F313" s="161">
        <f t="shared" si="12"/>
        <v>0.13515993115015296</v>
      </c>
      <c r="G313" s="165">
        <f t="shared" si="10"/>
        <v>0.07765993115015296</v>
      </c>
    </row>
    <row r="314" spans="1:7" ht="12.75">
      <c r="A314" s="10">
        <f t="shared" si="7"/>
        <v>313</v>
      </c>
      <c r="B314" s="10" t="s">
        <v>149</v>
      </c>
      <c r="C314" s="163">
        <v>3633.25</v>
      </c>
      <c r="D314" s="164">
        <f t="shared" si="8"/>
        <v>0.0575</v>
      </c>
      <c r="E314" s="10">
        <f t="shared" si="11"/>
        <v>25</v>
      </c>
      <c r="F314" s="161">
        <f t="shared" si="12"/>
        <v>0.13398489559750187</v>
      </c>
      <c r="G314" s="165">
        <f t="shared" si="10"/>
        <v>0.07648489559750188</v>
      </c>
    </row>
    <row r="315" spans="1:7" ht="12.75">
      <c r="A315" s="10">
        <f t="shared" si="7"/>
        <v>314</v>
      </c>
      <c r="B315" s="10" t="s">
        <v>150</v>
      </c>
      <c r="C315" s="163">
        <v>3828</v>
      </c>
      <c r="D315" s="164">
        <f t="shared" si="8"/>
        <v>0.0575</v>
      </c>
      <c r="E315" s="10">
        <f t="shared" si="11"/>
        <v>25</v>
      </c>
      <c r="F315" s="161">
        <f t="shared" si="12"/>
        <v>0.13228444430414385</v>
      </c>
      <c r="G315" s="165">
        <f t="shared" si="10"/>
        <v>0.07478444430414385</v>
      </c>
    </row>
    <row r="316" spans="1:7" ht="12.75">
      <c r="A316" s="10">
        <f t="shared" si="7"/>
        <v>315</v>
      </c>
      <c r="B316" s="10" t="s">
        <v>151</v>
      </c>
      <c r="C316" s="163">
        <v>3909.25</v>
      </c>
      <c r="D316" s="164">
        <f t="shared" si="8"/>
        <v>0.0575</v>
      </c>
      <c r="E316" s="10">
        <f t="shared" si="11"/>
        <v>25</v>
      </c>
      <c r="F316" s="161">
        <f t="shared" si="12"/>
        <v>0.13221671064098975</v>
      </c>
      <c r="G316" s="165">
        <f t="shared" si="10"/>
        <v>0.07471671064098975</v>
      </c>
    </row>
    <row r="317" spans="1:7" ht="12.75">
      <c r="A317" s="10">
        <f t="shared" si="7"/>
        <v>316</v>
      </c>
      <c r="B317" s="10" t="s">
        <v>152</v>
      </c>
      <c r="C317" s="163">
        <v>4018.4</v>
      </c>
      <c r="D317" s="164">
        <f t="shared" si="8"/>
        <v>0.0575</v>
      </c>
      <c r="E317" s="10">
        <f t="shared" si="11"/>
        <v>25</v>
      </c>
      <c r="F317" s="161">
        <f t="shared" si="12"/>
        <v>0.1323663976183677</v>
      </c>
      <c r="G317" s="165">
        <f t="shared" si="10"/>
        <v>0.07486639761836769</v>
      </c>
    </row>
    <row r="318" spans="1:7" ht="12.75">
      <c r="A318" s="10">
        <f t="shared" si="7"/>
        <v>317</v>
      </c>
      <c r="B318" s="10" t="s">
        <v>153</v>
      </c>
      <c r="C318" s="163">
        <v>4114</v>
      </c>
      <c r="D318" s="164">
        <f t="shared" si="8"/>
        <v>0.06</v>
      </c>
      <c r="E318" s="10">
        <f t="shared" si="11"/>
        <v>25</v>
      </c>
      <c r="F318" s="161">
        <f t="shared" si="12"/>
        <v>0.13296323002178195</v>
      </c>
      <c r="G318" s="165">
        <f t="shared" si="10"/>
        <v>0.07296323002178196</v>
      </c>
    </row>
    <row r="319" spans="1:7" ht="12.75">
      <c r="A319" s="10">
        <f t="shared" si="7"/>
        <v>318</v>
      </c>
      <c r="B319" s="10" t="s">
        <v>323</v>
      </c>
      <c r="C319" s="163">
        <v>4182.25</v>
      </c>
      <c r="D319" s="164">
        <f t="shared" si="8"/>
        <v>0.06</v>
      </c>
      <c r="E319" s="10">
        <f t="shared" si="11"/>
        <v>25</v>
      </c>
      <c r="F319" s="161">
        <f t="shared" si="12"/>
        <v>0.13356443011736696</v>
      </c>
      <c r="G319" s="165">
        <f t="shared" si="10"/>
        <v>0.07356443011736696</v>
      </c>
    </row>
    <row r="320" spans="1:17" ht="12.75">
      <c r="A320" s="10">
        <f>A319+1</f>
        <v>319</v>
      </c>
      <c r="B320" s="104" t="s">
        <v>324</v>
      </c>
      <c r="C320" s="207">
        <v>4269</v>
      </c>
      <c r="D320" s="164">
        <f>VLOOKUP(DATE(VALUE(MID(B320,1,4)),VALUE(MID(B320,6,2)),1),I:J,2,TRUE)</f>
        <v>0.06</v>
      </c>
      <c r="E320" s="10">
        <f>E319</f>
        <v>25</v>
      </c>
      <c r="F320" s="161">
        <f t="shared" si="12"/>
        <v>0.1338157576726262</v>
      </c>
      <c r="G320" s="164">
        <f t="shared" si="10"/>
        <v>0.07381575767262621</v>
      </c>
      <c r="Q320" s="1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2"/>
  <sheetViews>
    <sheetView showGridLines="0" workbookViewId="0" topLeftCell="A1">
      <pane ySplit="1" topLeftCell="BM154" activePane="bottomLeft" state="frozen"/>
      <selection pane="topLeft" activeCell="A1" sqref="A1"/>
      <selection pane="bottomLeft" activeCell="A212" sqref="A3:A212"/>
    </sheetView>
  </sheetViews>
  <sheetFormatPr defaultColWidth="9.140625" defaultRowHeight="12.75"/>
  <cols>
    <col min="2" max="2" width="9.7109375" style="10" bestFit="1" customWidth="1"/>
    <col min="3" max="3" width="10.7109375" style="14" bestFit="1" customWidth="1"/>
    <col min="4" max="4" width="12.8515625" style="10" bestFit="1" customWidth="1"/>
    <col min="5" max="5" width="12.8515625" style="14" bestFit="1" customWidth="1"/>
    <col min="6" max="6" width="15.00390625" style="10" bestFit="1" customWidth="1"/>
    <col min="7" max="7" width="6.00390625" style="0" bestFit="1" customWidth="1"/>
    <col min="8" max="8" width="10.28125" style="10" bestFit="1" customWidth="1"/>
    <col min="9" max="9" width="14.00390625" style="0" bestFit="1" customWidth="1"/>
  </cols>
  <sheetData>
    <row r="1" spans="1:9" ht="12.75">
      <c r="A1" t="s">
        <v>331</v>
      </c>
      <c r="B1" s="10" t="s">
        <v>0</v>
      </c>
      <c r="C1" s="14" t="s">
        <v>328</v>
      </c>
      <c r="D1" s="10" t="s">
        <v>333</v>
      </c>
      <c r="E1" s="14" t="s">
        <v>329</v>
      </c>
      <c r="F1" s="10" t="s">
        <v>330</v>
      </c>
      <c r="G1" s="18" t="s">
        <v>318</v>
      </c>
      <c r="H1" s="16" t="s">
        <v>332</v>
      </c>
      <c r="I1" s="18" t="s">
        <v>334</v>
      </c>
    </row>
    <row r="2" spans="1:8" ht="12.75">
      <c r="A2">
        <v>1</v>
      </c>
      <c r="B2" s="11">
        <v>41475</v>
      </c>
      <c r="C2" s="14">
        <v>424.7</v>
      </c>
      <c r="D2" s="12"/>
      <c r="H2" s="13"/>
    </row>
    <row r="3" spans="1:8" ht="12.75">
      <c r="A3">
        <f aca="true" t="shared" si="0" ref="A3:A66">A2+1</f>
        <v>2</v>
      </c>
      <c r="B3" s="11">
        <v>41482</v>
      </c>
      <c r="C3" s="14">
        <v>367.2</v>
      </c>
      <c r="D3" s="12">
        <v>-0.13538968683776784</v>
      </c>
      <c r="H3" s="13"/>
    </row>
    <row r="4" spans="1:8" ht="12.75">
      <c r="A4">
        <f t="shared" si="0"/>
        <v>3</v>
      </c>
      <c r="B4" s="11">
        <v>41489</v>
      </c>
      <c r="C4" s="14">
        <v>308.45</v>
      </c>
      <c r="D4" s="12">
        <v>-0.15999455337690632</v>
      </c>
      <c r="E4" s="14">
        <v>2238</v>
      </c>
      <c r="F4" s="12">
        <v>-0.04113110539845758</v>
      </c>
      <c r="H4" s="13"/>
    </row>
    <row r="5" spans="1:8" ht="12.75">
      <c r="A5">
        <f t="shared" si="0"/>
        <v>4</v>
      </c>
      <c r="B5" s="11">
        <v>41496</v>
      </c>
      <c r="C5" s="14">
        <v>282.65</v>
      </c>
      <c r="D5" s="12">
        <v>-0.08364402658453562</v>
      </c>
      <c r="E5" s="14">
        <v>2204</v>
      </c>
      <c r="F5" s="12">
        <v>-0.01519213583556747</v>
      </c>
      <c r="H5" s="13"/>
    </row>
    <row r="6" spans="1:8" ht="12.75">
      <c r="A6">
        <f t="shared" si="0"/>
        <v>5</v>
      </c>
      <c r="B6" s="11">
        <v>41503</v>
      </c>
      <c r="C6" s="14">
        <v>258</v>
      </c>
      <c r="D6" s="12">
        <v>-0.0872103307978064</v>
      </c>
      <c r="E6" s="14">
        <v>2188</v>
      </c>
      <c r="F6" s="12">
        <v>-0.007259528130671506</v>
      </c>
      <c r="H6" s="13"/>
    </row>
    <row r="7" spans="1:8" ht="12.75">
      <c r="A7">
        <f t="shared" si="0"/>
        <v>6</v>
      </c>
      <c r="B7" s="11">
        <v>41510</v>
      </c>
      <c r="C7" s="14">
        <v>259.25</v>
      </c>
      <c r="D7" s="12">
        <v>0.0048449612403100775</v>
      </c>
      <c r="E7" s="14">
        <v>2170</v>
      </c>
      <c r="F7" s="12">
        <v>-0.008226691042047532</v>
      </c>
      <c r="H7" s="13"/>
    </row>
    <row r="8" spans="1:8" ht="12.75">
      <c r="A8">
        <f t="shared" si="0"/>
        <v>7</v>
      </c>
      <c r="B8" s="11">
        <v>41517</v>
      </c>
      <c r="C8" s="14">
        <v>243.25</v>
      </c>
      <c r="D8" s="12">
        <v>-0.06171648987463838</v>
      </c>
      <c r="E8" s="14">
        <v>2168</v>
      </c>
      <c r="F8" s="12">
        <v>-0.0009216589861751152</v>
      </c>
      <c r="H8" s="13"/>
    </row>
    <row r="9" spans="1:8" ht="12.75">
      <c r="A9">
        <f t="shared" si="0"/>
        <v>8</v>
      </c>
      <c r="B9" s="11">
        <v>41524</v>
      </c>
      <c r="C9" s="14">
        <v>292.75</v>
      </c>
      <c r="D9" s="12">
        <v>0.20349434737923947</v>
      </c>
      <c r="E9" s="14">
        <v>2246</v>
      </c>
      <c r="F9" s="12">
        <v>0.035977859778597784</v>
      </c>
      <c r="H9" s="13"/>
    </row>
    <row r="10" spans="1:8" ht="12.75">
      <c r="A10">
        <f t="shared" si="0"/>
        <v>9</v>
      </c>
      <c r="B10" s="11">
        <v>41531</v>
      </c>
      <c r="C10" s="14">
        <v>281.15</v>
      </c>
      <c r="D10" s="12">
        <v>-0.03962425277540571</v>
      </c>
      <c r="E10" s="14">
        <v>2312</v>
      </c>
      <c r="F10" s="12">
        <v>0.029385574354407838</v>
      </c>
      <c r="H10" s="13"/>
    </row>
    <row r="11" spans="1:8" ht="12.75">
      <c r="A11">
        <f t="shared" si="0"/>
        <v>10</v>
      </c>
      <c r="B11" s="11">
        <v>41538</v>
      </c>
      <c r="C11" s="14">
        <v>356.25</v>
      </c>
      <c r="D11" s="12">
        <v>0.26711719722568034</v>
      </c>
      <c r="E11" s="14">
        <v>2373</v>
      </c>
      <c r="F11" s="12">
        <v>0.026384083044982697</v>
      </c>
      <c r="H11" s="13"/>
    </row>
    <row r="12" spans="1:8" ht="12.75">
      <c r="A12">
        <f t="shared" si="0"/>
        <v>11</v>
      </c>
      <c r="B12" s="11">
        <v>41545</v>
      </c>
      <c r="C12" s="14">
        <v>304.65</v>
      </c>
      <c r="D12" s="12">
        <v>-0.14484210526315797</v>
      </c>
      <c r="E12" s="14">
        <v>2316</v>
      </c>
      <c r="F12" s="12">
        <v>-0.02402022756005057</v>
      </c>
      <c r="H12" s="13"/>
    </row>
    <row r="13" spans="1:8" ht="12.75">
      <c r="A13">
        <f t="shared" si="0"/>
        <v>12</v>
      </c>
      <c r="B13" s="11">
        <v>41552</v>
      </c>
      <c r="C13" s="14">
        <v>315.2</v>
      </c>
      <c r="D13" s="12">
        <v>0.03462990316756938</v>
      </c>
      <c r="E13" s="14">
        <v>2346</v>
      </c>
      <c r="F13" s="12">
        <v>0.012953367875647668</v>
      </c>
      <c r="H13" s="13"/>
    </row>
    <row r="14" spans="1:8" ht="12.75">
      <c r="A14">
        <f t="shared" si="0"/>
        <v>13</v>
      </c>
      <c r="B14" s="11">
        <v>41559</v>
      </c>
      <c r="C14" s="14">
        <v>347.2</v>
      </c>
      <c r="D14" s="12">
        <v>0.10152284263959391</v>
      </c>
      <c r="E14" s="14">
        <v>2413</v>
      </c>
      <c r="F14" s="12">
        <v>0.02855924978687127</v>
      </c>
      <c r="H14" s="13"/>
    </row>
    <row r="15" spans="1:8" ht="12.75">
      <c r="A15">
        <f t="shared" si="0"/>
        <v>14</v>
      </c>
      <c r="B15" s="11">
        <v>41566</v>
      </c>
      <c r="C15" s="14">
        <v>346.4</v>
      </c>
      <c r="D15" s="12">
        <v>-0.002304147465437821</v>
      </c>
      <c r="E15" s="14">
        <v>2444</v>
      </c>
      <c r="F15" s="12">
        <v>0.0128470783257356</v>
      </c>
      <c r="H15" s="13"/>
    </row>
    <row r="16" spans="1:8" ht="12.75">
      <c r="A16">
        <f t="shared" si="0"/>
        <v>15</v>
      </c>
      <c r="B16" s="11">
        <v>41573</v>
      </c>
      <c r="C16" s="14">
        <v>355.4</v>
      </c>
      <c r="D16" s="12">
        <v>0.025981524249422634</v>
      </c>
      <c r="E16" s="14">
        <v>2434</v>
      </c>
      <c r="F16" s="12">
        <v>-0.004091653027823241</v>
      </c>
      <c r="H16" s="13"/>
    </row>
    <row r="17" spans="1:8" ht="12.75">
      <c r="A17">
        <f t="shared" si="0"/>
        <v>16</v>
      </c>
      <c r="B17" s="11">
        <v>41580</v>
      </c>
      <c r="C17" s="14">
        <v>378.05</v>
      </c>
      <c r="D17" s="12">
        <v>0.06373100731570072</v>
      </c>
      <c r="E17" s="14">
        <v>2501</v>
      </c>
      <c r="F17" s="12">
        <v>0.02752670501232539</v>
      </c>
      <c r="H17" s="13"/>
    </row>
    <row r="18" spans="1:8" ht="12.75">
      <c r="A18">
        <f t="shared" si="0"/>
        <v>17</v>
      </c>
      <c r="B18" s="11">
        <v>41587</v>
      </c>
      <c r="C18" s="14">
        <v>353.85</v>
      </c>
      <c r="D18" s="12">
        <v>-0.06401269673323631</v>
      </c>
      <c r="E18" s="14">
        <v>2446</v>
      </c>
      <c r="F18" s="12">
        <v>-0.021991203518592562</v>
      </c>
      <c r="H18" s="13"/>
    </row>
    <row r="19" spans="1:8" ht="12.75">
      <c r="A19">
        <f t="shared" si="0"/>
        <v>18</v>
      </c>
      <c r="B19" s="11">
        <v>41594</v>
      </c>
      <c r="C19" s="14">
        <v>350.25</v>
      </c>
      <c r="D19" s="12">
        <v>-0.01017380245866899</v>
      </c>
      <c r="E19" s="14">
        <v>2416</v>
      </c>
      <c r="F19" s="12">
        <v>-0.012264922322158627</v>
      </c>
      <c r="H19" s="13"/>
    </row>
    <row r="20" spans="1:8" ht="12.75">
      <c r="A20">
        <f t="shared" si="0"/>
        <v>19</v>
      </c>
      <c r="B20" s="11">
        <v>41601</v>
      </c>
      <c r="C20" s="14">
        <v>344.55</v>
      </c>
      <c r="D20" s="12">
        <v>-0.016274089935760138</v>
      </c>
      <c r="E20" s="14">
        <v>2394</v>
      </c>
      <c r="F20" s="12">
        <v>-0.009105960264900662</v>
      </c>
      <c r="H20" s="13"/>
    </row>
    <row r="21" spans="1:8" ht="12.75">
      <c r="A21">
        <f t="shared" si="0"/>
        <v>20</v>
      </c>
      <c r="B21" s="11">
        <v>41608</v>
      </c>
      <c r="C21" s="14">
        <v>368.7</v>
      </c>
      <c r="D21" s="12">
        <v>0.07009142359599471</v>
      </c>
      <c r="E21" s="14">
        <v>2464</v>
      </c>
      <c r="F21" s="12">
        <v>0.029239766081871343</v>
      </c>
      <c r="H21" s="13"/>
    </row>
    <row r="22" spans="1:8" ht="12.75">
      <c r="A22">
        <f t="shared" si="0"/>
        <v>21</v>
      </c>
      <c r="B22" s="11">
        <v>41615</v>
      </c>
      <c r="C22" s="14">
        <v>392.1</v>
      </c>
      <c r="D22" s="12">
        <v>0.06346623270952002</v>
      </c>
      <c r="E22" s="14">
        <v>2495</v>
      </c>
      <c r="F22" s="12">
        <v>0.012581168831168832</v>
      </c>
      <c r="H22" s="13"/>
    </row>
    <row r="23" spans="1:8" ht="12.75">
      <c r="A23">
        <f t="shared" si="0"/>
        <v>22</v>
      </c>
      <c r="B23" s="11">
        <v>41622</v>
      </c>
      <c r="C23" s="14">
        <v>366.1</v>
      </c>
      <c r="D23" s="12">
        <v>-0.06630961489415965</v>
      </c>
      <c r="E23" s="14">
        <v>2455</v>
      </c>
      <c r="F23" s="12">
        <v>-0.01603206412825651</v>
      </c>
      <c r="H23" s="13"/>
    </row>
    <row r="24" spans="1:8" ht="12.75">
      <c r="A24">
        <f t="shared" si="0"/>
        <v>23</v>
      </c>
      <c r="B24" s="11">
        <v>41629</v>
      </c>
      <c r="C24" s="14">
        <v>370.45</v>
      </c>
      <c r="D24" s="12">
        <v>0.011881999453701081</v>
      </c>
      <c r="E24" s="14">
        <v>2508</v>
      </c>
      <c r="F24" s="12">
        <v>0.021588594704684317</v>
      </c>
      <c r="H24" s="13"/>
    </row>
    <row r="25" spans="1:8" ht="12.75">
      <c r="A25">
        <f t="shared" si="0"/>
        <v>24</v>
      </c>
      <c r="B25" s="11">
        <v>41636</v>
      </c>
      <c r="C25" s="14">
        <v>373.75</v>
      </c>
      <c r="D25" s="12">
        <v>0.00890808476177625</v>
      </c>
      <c r="E25" s="14">
        <v>2531</v>
      </c>
      <c r="F25" s="12">
        <v>0.009170653907496013</v>
      </c>
      <c r="H25" s="13"/>
    </row>
    <row r="26" spans="1:8" ht="12.75">
      <c r="A26">
        <f t="shared" si="0"/>
        <v>25</v>
      </c>
      <c r="B26" s="11">
        <v>41643</v>
      </c>
      <c r="C26" s="14">
        <v>370.5</v>
      </c>
      <c r="D26" s="12">
        <v>-0.008695652173913044</v>
      </c>
      <c r="E26" s="14">
        <v>2498</v>
      </c>
      <c r="F26" s="12">
        <v>-0.013038324772817068</v>
      </c>
      <c r="H26" s="13"/>
    </row>
    <row r="27" spans="1:8" ht="12.75">
      <c r="A27">
        <f t="shared" si="0"/>
        <v>26</v>
      </c>
      <c r="B27" s="11">
        <v>41650</v>
      </c>
      <c r="C27" s="14">
        <v>342.95</v>
      </c>
      <c r="D27" s="12">
        <v>-0.07435897435897439</v>
      </c>
      <c r="E27" s="14">
        <v>2478</v>
      </c>
      <c r="F27" s="12">
        <v>-0.008006405124099279</v>
      </c>
      <c r="H27" s="13"/>
    </row>
    <row r="28" spans="1:8" ht="12.75">
      <c r="A28">
        <f t="shared" si="0"/>
        <v>27</v>
      </c>
      <c r="B28" s="11">
        <v>41657</v>
      </c>
      <c r="C28" s="14">
        <v>351.55</v>
      </c>
      <c r="D28" s="12">
        <v>0.025076541769937375</v>
      </c>
      <c r="E28" s="14">
        <v>2495</v>
      </c>
      <c r="F28" s="12">
        <v>0.006860371267150928</v>
      </c>
      <c r="G28" s="17"/>
      <c r="H28" s="13"/>
    </row>
    <row r="29" spans="1:8" ht="12.75">
      <c r="A29">
        <f t="shared" si="0"/>
        <v>28</v>
      </c>
      <c r="B29" s="11">
        <v>41664</v>
      </c>
      <c r="C29" s="14">
        <v>347.7</v>
      </c>
      <c r="D29" s="12">
        <v>-0.010951500497795542</v>
      </c>
      <c r="E29" s="14">
        <v>2492</v>
      </c>
      <c r="F29" s="12">
        <v>-0.0012024048096192384</v>
      </c>
      <c r="G29" s="17"/>
      <c r="H29" s="13"/>
    </row>
    <row r="30" spans="1:8" ht="12.75">
      <c r="A30">
        <f t="shared" si="0"/>
        <v>29</v>
      </c>
      <c r="B30" s="11">
        <v>41671</v>
      </c>
      <c r="C30" s="14">
        <v>307.95</v>
      </c>
      <c r="D30" s="12">
        <v>-0.11432269197584125</v>
      </c>
      <c r="E30" s="14">
        <v>2426</v>
      </c>
      <c r="F30" s="12">
        <v>-0.026484751203852328</v>
      </c>
      <c r="G30" s="17"/>
      <c r="H30" s="13"/>
    </row>
    <row r="31" spans="1:8" ht="12.75">
      <c r="A31">
        <f t="shared" si="0"/>
        <v>30</v>
      </c>
      <c r="B31" s="11">
        <v>41678</v>
      </c>
      <c r="C31" s="14">
        <v>309</v>
      </c>
      <c r="D31" s="12">
        <v>0.0034096444227959453</v>
      </c>
      <c r="E31" s="14">
        <v>2420</v>
      </c>
      <c r="F31" s="12">
        <v>-0.00247320692497939</v>
      </c>
      <c r="G31" s="17"/>
      <c r="H31" s="13"/>
    </row>
    <row r="32" spans="1:8" ht="12.75">
      <c r="A32">
        <f t="shared" si="0"/>
        <v>31</v>
      </c>
      <c r="B32" s="11">
        <v>41685</v>
      </c>
      <c r="C32" s="14">
        <v>300.45</v>
      </c>
      <c r="D32" s="12">
        <v>-0.027669902912621395</v>
      </c>
      <c r="E32" s="14">
        <v>2410</v>
      </c>
      <c r="F32" s="12">
        <v>-0.004132231404958678</v>
      </c>
      <c r="G32" s="17"/>
      <c r="H32" s="13"/>
    </row>
    <row r="33" spans="1:8" ht="12.75">
      <c r="A33">
        <f t="shared" si="0"/>
        <v>32</v>
      </c>
      <c r="B33" s="11">
        <v>41692</v>
      </c>
      <c r="C33" s="14">
        <v>305.9</v>
      </c>
      <c r="D33" s="12">
        <v>0.018139457480445962</v>
      </c>
      <c r="E33" s="14">
        <v>2450</v>
      </c>
      <c r="F33" s="12">
        <v>0.016597510373443983</v>
      </c>
      <c r="G33" s="17"/>
      <c r="H33" s="13"/>
    </row>
    <row r="34" spans="1:8" ht="12.75">
      <c r="A34">
        <f t="shared" si="0"/>
        <v>33</v>
      </c>
      <c r="B34" s="11">
        <v>41699</v>
      </c>
      <c r="C34" s="14">
        <v>304.75</v>
      </c>
      <c r="D34" s="12">
        <v>-0.0037593984962405276</v>
      </c>
      <c r="E34" s="14">
        <v>2495</v>
      </c>
      <c r="F34" s="12">
        <v>0.018367346938775512</v>
      </c>
      <c r="G34" s="17"/>
      <c r="H34" s="13"/>
    </row>
    <row r="35" spans="1:8" ht="12.75">
      <c r="A35">
        <f t="shared" si="0"/>
        <v>34</v>
      </c>
      <c r="B35" s="11">
        <v>41706</v>
      </c>
      <c r="C35" s="14">
        <v>375.7</v>
      </c>
      <c r="D35" s="12">
        <v>0.23281378178835108</v>
      </c>
      <c r="E35" s="14">
        <v>2589</v>
      </c>
      <c r="F35" s="12">
        <v>0.03767535070140281</v>
      </c>
      <c r="G35" s="17"/>
      <c r="H35" s="13"/>
    </row>
    <row r="36" spans="1:8" ht="12.75">
      <c r="A36">
        <f t="shared" si="0"/>
        <v>35</v>
      </c>
      <c r="B36" s="11">
        <v>41713</v>
      </c>
      <c r="C36" s="14">
        <v>355.95</v>
      </c>
      <c r="D36" s="12">
        <v>-0.05256853872770828</v>
      </c>
      <c r="E36" s="14">
        <v>2578</v>
      </c>
      <c r="F36" s="12">
        <v>-0.004248744689069139</v>
      </c>
      <c r="G36" s="17"/>
      <c r="H36" s="13"/>
    </row>
    <row r="37" spans="1:8" ht="12.75">
      <c r="A37">
        <f t="shared" si="0"/>
        <v>36</v>
      </c>
      <c r="B37" s="11">
        <v>41720</v>
      </c>
      <c r="C37" s="14">
        <v>360.35</v>
      </c>
      <c r="D37" s="12">
        <v>0.01236128669756998</v>
      </c>
      <c r="E37" s="14">
        <v>2587</v>
      </c>
      <c r="F37" s="12">
        <v>0.0034910783553141972</v>
      </c>
      <c r="G37" s="17">
        <f aca="true" t="shared" si="1" ref="G37:G100">COVAR(D8:D37,F8:F37)/VARP(F8:F37)</f>
        <v>3.875964466983903</v>
      </c>
      <c r="H37" s="13"/>
    </row>
    <row r="38" spans="1:8" ht="12.75">
      <c r="A38">
        <f t="shared" si="0"/>
        <v>37</v>
      </c>
      <c r="B38" s="11">
        <v>41727</v>
      </c>
      <c r="C38" s="14">
        <v>404.9</v>
      </c>
      <c r="D38" s="12">
        <v>0.12362980435687512</v>
      </c>
      <c r="E38" s="14">
        <v>2670</v>
      </c>
      <c r="F38" s="12">
        <v>0.03208349439505218</v>
      </c>
      <c r="G38" s="17">
        <f t="shared" si="1"/>
        <v>3.8564839798317356</v>
      </c>
      <c r="H38" s="13"/>
    </row>
    <row r="39" spans="1:8" ht="12.75">
      <c r="A39">
        <f t="shared" si="0"/>
        <v>38</v>
      </c>
      <c r="B39" s="11">
        <v>41734</v>
      </c>
      <c r="C39" s="14">
        <v>422.2</v>
      </c>
      <c r="D39" s="12">
        <v>0.042726599160286524</v>
      </c>
      <c r="E39" s="14">
        <v>2684</v>
      </c>
      <c r="F39" s="12">
        <v>0.0052434456928838954</v>
      </c>
      <c r="G39" s="17">
        <f t="shared" si="1"/>
        <v>3.632192132801602</v>
      </c>
      <c r="H39" s="13"/>
    </row>
    <row r="40" spans="1:8" ht="12.75">
      <c r="A40">
        <f t="shared" si="0"/>
        <v>39</v>
      </c>
      <c r="B40" s="11">
        <v>41741</v>
      </c>
      <c r="C40" s="14">
        <v>442.95</v>
      </c>
      <c r="D40" s="12">
        <v>0.04914732354334439</v>
      </c>
      <c r="E40" s="14">
        <v>2722</v>
      </c>
      <c r="F40" s="12">
        <v>0.014157973174366617</v>
      </c>
      <c r="G40" s="17">
        <f t="shared" si="1"/>
        <v>4.000813102556581</v>
      </c>
      <c r="H40" s="13"/>
    </row>
    <row r="41" spans="1:8" ht="12.75">
      <c r="A41">
        <f t="shared" si="0"/>
        <v>40</v>
      </c>
      <c r="B41" s="11">
        <v>41748</v>
      </c>
      <c r="C41" s="14">
        <v>416.9</v>
      </c>
      <c r="D41" s="12">
        <v>-0.05881024946382213</v>
      </c>
      <c r="E41" s="14">
        <v>2719</v>
      </c>
      <c r="F41" s="12">
        <v>-0.0011021307861866275</v>
      </c>
      <c r="G41" s="17">
        <f t="shared" si="1"/>
        <v>3.6223609947220647</v>
      </c>
      <c r="H41" s="13"/>
    </row>
    <row r="42" spans="1:8" ht="12.75">
      <c r="A42">
        <f t="shared" si="0"/>
        <v>41</v>
      </c>
      <c r="B42" s="11">
        <v>41755</v>
      </c>
      <c r="C42" s="14">
        <v>468.05</v>
      </c>
      <c r="D42" s="12">
        <v>0.12269129287598954</v>
      </c>
      <c r="E42" s="14">
        <v>2725</v>
      </c>
      <c r="F42" s="12">
        <v>0.002206693637366679</v>
      </c>
      <c r="G42" s="17">
        <f t="shared" si="1"/>
        <v>3.386628535091234</v>
      </c>
      <c r="H42" s="13"/>
    </row>
    <row r="43" spans="1:8" ht="12.75">
      <c r="A43">
        <f t="shared" si="0"/>
        <v>42</v>
      </c>
      <c r="B43" s="11">
        <v>41762</v>
      </c>
      <c r="C43" s="14">
        <v>443.55</v>
      </c>
      <c r="D43" s="12">
        <v>-0.0523448349535306</v>
      </c>
      <c r="E43" s="14">
        <v>2691</v>
      </c>
      <c r="F43" s="12">
        <v>-0.012477064220183486</v>
      </c>
      <c r="G43" s="17">
        <f t="shared" si="1"/>
        <v>3.4105467604592876</v>
      </c>
      <c r="H43" s="13"/>
    </row>
    <row r="44" spans="1:8" ht="12.75">
      <c r="A44">
        <f t="shared" si="0"/>
        <v>43</v>
      </c>
      <c r="B44" s="11">
        <v>41769</v>
      </c>
      <c r="C44" s="14">
        <v>483.95</v>
      </c>
      <c r="D44" s="12">
        <v>0.09108330515161758</v>
      </c>
      <c r="E44" s="14">
        <v>2751</v>
      </c>
      <c r="F44" s="12">
        <v>0.022296544035674472</v>
      </c>
      <c r="G44" s="17">
        <f t="shared" si="1"/>
        <v>3.4301411840398623</v>
      </c>
      <c r="H44" s="13"/>
    </row>
    <row r="45" spans="1:8" ht="12.75">
      <c r="A45">
        <f t="shared" si="0"/>
        <v>44</v>
      </c>
      <c r="B45" s="11">
        <v>41776</v>
      </c>
      <c r="C45" s="14">
        <v>544.1</v>
      </c>
      <c r="D45" s="12">
        <v>0.12428969934910639</v>
      </c>
      <c r="E45" s="14">
        <v>2898</v>
      </c>
      <c r="F45" s="12">
        <v>0.05343511450381679</v>
      </c>
      <c r="G45" s="17">
        <f t="shared" si="1"/>
        <v>3.193059095215035</v>
      </c>
      <c r="H45" s="13"/>
    </row>
    <row r="46" spans="1:8" ht="12.75">
      <c r="A46">
        <f t="shared" si="0"/>
        <v>45</v>
      </c>
      <c r="B46" s="11">
        <v>41783</v>
      </c>
      <c r="C46" s="14">
        <v>564.15</v>
      </c>
      <c r="D46" s="12">
        <v>0.03684984377871706</v>
      </c>
      <c r="E46" s="14">
        <v>3014</v>
      </c>
      <c r="F46" s="12">
        <v>0.04002760524499655</v>
      </c>
      <c r="G46" s="17">
        <f t="shared" si="1"/>
        <v>2.970127883394611</v>
      </c>
      <c r="H46" s="13"/>
    </row>
    <row r="47" spans="1:8" ht="12.75">
      <c r="A47">
        <f t="shared" si="0"/>
        <v>46</v>
      </c>
      <c r="B47" s="11">
        <v>41790</v>
      </c>
      <c r="C47" s="14">
        <v>569.45</v>
      </c>
      <c r="D47" s="12">
        <v>0.00939466453957293</v>
      </c>
      <c r="E47" s="14">
        <v>2951</v>
      </c>
      <c r="F47" s="12">
        <v>-0.02090245520902455</v>
      </c>
      <c r="G47" s="17">
        <f t="shared" si="1"/>
        <v>2.8221238883250415</v>
      </c>
      <c r="H47" s="13"/>
    </row>
    <row r="48" spans="1:8" ht="12.75">
      <c r="A48">
        <f t="shared" si="0"/>
        <v>47</v>
      </c>
      <c r="B48" s="11">
        <v>41797</v>
      </c>
      <c r="C48" s="14">
        <v>581.05</v>
      </c>
      <c r="D48" s="12">
        <v>0.020370532970409885</v>
      </c>
      <c r="E48" s="14">
        <v>3109</v>
      </c>
      <c r="F48" s="12">
        <v>0.05354117248390376</v>
      </c>
      <c r="G48" s="17">
        <f t="shared" si="1"/>
        <v>2.3532480191197354</v>
      </c>
      <c r="H48" s="13"/>
    </row>
    <row r="49" spans="1:8" ht="12.75">
      <c r="A49">
        <f t="shared" si="0"/>
        <v>48</v>
      </c>
      <c r="B49" s="11">
        <v>41804</v>
      </c>
      <c r="C49" s="14">
        <v>527.4</v>
      </c>
      <c r="D49" s="12">
        <v>-0.09233284571035191</v>
      </c>
      <c r="E49" s="14">
        <v>3074</v>
      </c>
      <c r="F49" s="12">
        <v>-0.011257639112254744</v>
      </c>
      <c r="G49" s="17">
        <f t="shared" si="1"/>
        <v>2.48447193170596</v>
      </c>
      <c r="H49" s="13"/>
    </row>
    <row r="50" spans="1:8" ht="12.75">
      <c r="A50">
        <f t="shared" si="0"/>
        <v>49</v>
      </c>
      <c r="B50" s="11">
        <v>41811</v>
      </c>
      <c r="C50" s="14">
        <v>541.35</v>
      </c>
      <c r="D50" s="12">
        <v>0.02645051194539258</v>
      </c>
      <c r="E50" s="14">
        <v>3062</v>
      </c>
      <c r="F50" s="12">
        <v>-0.003903708523096942</v>
      </c>
      <c r="G50" s="17">
        <f t="shared" si="1"/>
        <v>2.4596019507753843</v>
      </c>
      <c r="H50" s="13"/>
    </row>
    <row r="51" spans="1:8" ht="12.75">
      <c r="A51">
        <f t="shared" si="0"/>
        <v>50</v>
      </c>
      <c r="B51" s="11">
        <v>41818</v>
      </c>
      <c r="C51" s="14">
        <v>533.25</v>
      </c>
      <c r="D51" s="12">
        <v>-0.014962593516209518</v>
      </c>
      <c r="E51" s="14">
        <v>3080</v>
      </c>
      <c r="F51" s="12">
        <v>0.005878510777269758</v>
      </c>
      <c r="G51" s="17">
        <f t="shared" si="1"/>
        <v>2.4612544208039226</v>
      </c>
      <c r="H51" s="13"/>
    </row>
    <row r="52" spans="1:8" ht="12.75">
      <c r="A52">
        <f t="shared" si="0"/>
        <v>51</v>
      </c>
      <c r="B52" s="11">
        <v>41825</v>
      </c>
      <c r="C52" s="14">
        <v>557.25</v>
      </c>
      <c r="D52" s="12">
        <v>0.0450070323488045</v>
      </c>
      <c r="E52" s="14">
        <v>3186</v>
      </c>
      <c r="F52" s="12">
        <v>0.03441558441558441</v>
      </c>
      <c r="G52" s="17">
        <f t="shared" si="1"/>
        <v>2.376766770569591</v>
      </c>
      <c r="H52" s="13"/>
    </row>
    <row r="53" spans="1:8" ht="12.75">
      <c r="A53">
        <f t="shared" si="0"/>
        <v>52</v>
      </c>
      <c r="B53" s="11">
        <v>41832</v>
      </c>
      <c r="C53" s="14">
        <v>509.95</v>
      </c>
      <c r="D53" s="12">
        <v>-0.08488111260655004</v>
      </c>
      <c r="E53" s="14">
        <v>3039</v>
      </c>
      <c r="F53" s="12">
        <v>-0.046139359698681735</v>
      </c>
      <c r="G53" s="17">
        <f t="shared" si="1"/>
        <v>2.234251474037009</v>
      </c>
      <c r="H53" s="13"/>
    </row>
    <row r="54" spans="1:7" ht="12.75">
      <c r="A54">
        <f t="shared" si="0"/>
        <v>53</v>
      </c>
      <c r="B54" s="11">
        <v>41839</v>
      </c>
      <c r="C54" s="14">
        <v>553.65</v>
      </c>
      <c r="D54" s="12">
        <v>0.08569467594862239</v>
      </c>
      <c r="E54" s="14">
        <v>3133</v>
      </c>
      <c r="F54" s="12">
        <v>0.030931227377426786</v>
      </c>
      <c r="G54" s="17">
        <f t="shared" si="1"/>
        <v>2.293429324696778</v>
      </c>
    </row>
    <row r="55" spans="1:7" ht="12.75">
      <c r="A55">
        <f t="shared" si="0"/>
        <v>54</v>
      </c>
      <c r="B55" s="11">
        <v>41846</v>
      </c>
      <c r="C55" s="14">
        <v>538.9</v>
      </c>
      <c r="D55" s="12">
        <v>-0.026641379933170777</v>
      </c>
      <c r="E55" s="14">
        <v>3161</v>
      </c>
      <c r="F55" s="12">
        <v>0.00893712097031599</v>
      </c>
      <c r="G55" s="17">
        <f t="shared" si="1"/>
        <v>2.2907765218503875</v>
      </c>
    </row>
    <row r="56" spans="1:7" ht="12.75">
      <c r="A56">
        <f t="shared" si="0"/>
        <v>55</v>
      </c>
      <c r="B56" s="11">
        <v>41853</v>
      </c>
      <c r="C56" s="14">
        <v>536.2</v>
      </c>
      <c r="D56" s="12">
        <v>-0.005010205975134407</v>
      </c>
      <c r="E56" s="14">
        <v>3103</v>
      </c>
      <c r="F56" s="12">
        <v>-0.01834862385321101</v>
      </c>
      <c r="G56" s="17">
        <f t="shared" si="1"/>
        <v>2.25668026592223</v>
      </c>
    </row>
    <row r="57" spans="1:7" ht="12.75">
      <c r="A57">
        <f t="shared" si="0"/>
        <v>56</v>
      </c>
      <c r="B57" s="11">
        <v>41860</v>
      </c>
      <c r="C57" s="14">
        <v>521.35</v>
      </c>
      <c r="D57" s="12">
        <v>-0.027694889966430478</v>
      </c>
      <c r="E57" s="14">
        <v>3084</v>
      </c>
      <c r="F57" s="12">
        <v>-0.006123106670963584</v>
      </c>
      <c r="G57" s="17">
        <f t="shared" si="1"/>
        <v>2.2131197729788354</v>
      </c>
    </row>
    <row r="58" spans="1:7" ht="12.75">
      <c r="A58">
        <f t="shared" si="0"/>
        <v>57</v>
      </c>
      <c r="B58" s="11">
        <v>41867</v>
      </c>
      <c r="C58" s="14">
        <v>540.25</v>
      </c>
      <c r="D58" s="12">
        <v>0.036252037978325456</v>
      </c>
      <c r="E58" s="14">
        <v>3161</v>
      </c>
      <c r="F58" s="12">
        <v>0.02496757457846952</v>
      </c>
      <c r="G58" s="17">
        <f t="shared" si="1"/>
        <v>2.194202906323394</v>
      </c>
    </row>
    <row r="59" spans="1:7" ht="12.75">
      <c r="A59">
        <f t="shared" si="0"/>
        <v>58</v>
      </c>
      <c r="B59" s="11">
        <v>41874</v>
      </c>
      <c r="C59" s="14">
        <v>583.8</v>
      </c>
      <c r="D59" s="12">
        <v>0.08061082832022204</v>
      </c>
      <c r="E59" s="14">
        <v>3227</v>
      </c>
      <c r="F59" s="12">
        <v>0.020879468522619425</v>
      </c>
      <c r="G59" s="17">
        <f t="shared" si="1"/>
        <v>2.216295942541325</v>
      </c>
    </row>
    <row r="60" spans="1:7" ht="12.75">
      <c r="A60">
        <f t="shared" si="0"/>
        <v>59</v>
      </c>
      <c r="B60" s="11">
        <v>41881</v>
      </c>
      <c r="C60" s="14">
        <v>571.65</v>
      </c>
      <c r="D60" s="12">
        <v>-0.020811921891058544</v>
      </c>
      <c r="E60" s="14">
        <v>3234</v>
      </c>
      <c r="F60" s="12">
        <v>0.0021691973969631237</v>
      </c>
      <c r="G60" s="17">
        <f t="shared" si="1"/>
        <v>2.092560439300582</v>
      </c>
    </row>
    <row r="61" spans="1:7" ht="12.75">
      <c r="A61">
        <f t="shared" si="0"/>
        <v>60</v>
      </c>
      <c r="B61" s="11">
        <v>41888</v>
      </c>
      <c r="C61" s="14">
        <v>611.6</v>
      </c>
      <c r="D61" s="12">
        <v>0.06988541939998259</v>
      </c>
      <c r="E61" s="14">
        <v>3303</v>
      </c>
      <c r="F61" s="12">
        <v>0.021335807050092765</v>
      </c>
      <c r="G61" s="17">
        <f t="shared" si="1"/>
        <v>2.1144827501792696</v>
      </c>
    </row>
    <row r="62" spans="1:7" ht="12.75">
      <c r="A62">
        <f t="shared" si="0"/>
        <v>61</v>
      </c>
      <c r="B62" s="11">
        <v>41895</v>
      </c>
      <c r="C62" s="14">
        <v>632.85</v>
      </c>
      <c r="D62" s="12">
        <v>0.03474493132766514</v>
      </c>
      <c r="E62" s="14">
        <v>3329</v>
      </c>
      <c r="F62" s="12">
        <v>0.007871631849833485</v>
      </c>
      <c r="G62" s="17">
        <f t="shared" si="1"/>
        <v>2.0884360187965267</v>
      </c>
    </row>
    <row r="63" spans="1:7" ht="12.75">
      <c r="A63">
        <f t="shared" si="0"/>
        <v>62</v>
      </c>
      <c r="B63" s="11">
        <v>41902</v>
      </c>
      <c r="C63" s="14">
        <v>582.3</v>
      </c>
      <c r="D63" s="12">
        <v>-0.07987674804456042</v>
      </c>
      <c r="E63" s="14">
        <v>3319</v>
      </c>
      <c r="F63" s="12">
        <v>-0.0030039050765995794</v>
      </c>
      <c r="G63" s="17">
        <f t="shared" si="1"/>
        <v>2.1682896506158826</v>
      </c>
    </row>
    <row r="64" spans="1:7" ht="12.75">
      <c r="A64">
        <f t="shared" si="0"/>
        <v>63</v>
      </c>
      <c r="B64" s="11">
        <v>41909</v>
      </c>
      <c r="C64" s="14">
        <v>573.6</v>
      </c>
      <c r="D64" s="12">
        <v>-0.014940752189592878</v>
      </c>
      <c r="E64" s="14">
        <v>3247</v>
      </c>
      <c r="F64" s="12">
        <v>-0.0216932811087677</v>
      </c>
      <c r="G64" s="17">
        <f t="shared" si="1"/>
        <v>2.134982332264568</v>
      </c>
    </row>
    <row r="65" spans="1:7" ht="12.75">
      <c r="A65">
        <f t="shared" si="0"/>
        <v>64</v>
      </c>
      <c r="B65" s="11">
        <v>41916</v>
      </c>
      <c r="C65" s="14">
        <v>558.1</v>
      </c>
      <c r="D65" s="12">
        <v>-0.027022315202231518</v>
      </c>
      <c r="E65" s="14">
        <v>3243</v>
      </c>
      <c r="F65" s="12">
        <v>-0.0012319063751154912</v>
      </c>
      <c r="G65" s="17">
        <f t="shared" si="1"/>
        <v>1.8546159973509064</v>
      </c>
    </row>
    <row r="66" spans="1:7" ht="12.75">
      <c r="A66">
        <f t="shared" si="0"/>
        <v>65</v>
      </c>
      <c r="B66" s="11">
        <v>41923</v>
      </c>
      <c r="C66" s="14">
        <v>572.3</v>
      </c>
      <c r="D66" s="12">
        <v>0.02544346891238117</v>
      </c>
      <c r="E66" s="14">
        <v>3208</v>
      </c>
      <c r="F66" s="12">
        <v>-0.010792476102374344</v>
      </c>
      <c r="G66" s="17">
        <f t="shared" si="1"/>
        <v>1.7644104522291322</v>
      </c>
    </row>
    <row r="67" spans="1:7" ht="12.75">
      <c r="A67">
        <f aca="true" t="shared" si="2" ref="A67:A130">A66+1</f>
        <v>66</v>
      </c>
      <c r="B67" s="11">
        <v>41930</v>
      </c>
      <c r="C67" s="14">
        <v>598</v>
      </c>
      <c r="D67" s="12">
        <v>0.044906517560719984</v>
      </c>
      <c r="E67" s="14">
        <v>3173</v>
      </c>
      <c r="F67" s="12">
        <v>-0.010910224438902744</v>
      </c>
      <c r="G67" s="17">
        <f t="shared" si="1"/>
        <v>1.694846466832149</v>
      </c>
    </row>
    <row r="68" spans="1:7" ht="12.75">
      <c r="A68">
        <f t="shared" si="2"/>
        <v>67</v>
      </c>
      <c r="B68" s="11">
        <v>41937</v>
      </c>
      <c r="C68" s="14">
        <v>621.05</v>
      </c>
      <c r="D68" s="12">
        <v>0.03854515050167216</v>
      </c>
      <c r="E68" s="14">
        <v>3278</v>
      </c>
      <c r="F68" s="12">
        <v>0.03309171131421368</v>
      </c>
      <c r="G68" s="17">
        <f t="shared" si="1"/>
        <v>1.5527454280522208</v>
      </c>
    </row>
    <row r="69" spans="1:7" ht="12.75">
      <c r="A69">
        <f t="shared" si="2"/>
        <v>68</v>
      </c>
      <c r="B69" s="11">
        <v>41944</v>
      </c>
      <c r="C69" s="14">
        <v>684.15</v>
      </c>
      <c r="D69" s="12">
        <v>0.10160212543273493</v>
      </c>
      <c r="E69" s="14">
        <v>3392</v>
      </c>
      <c r="F69" s="12">
        <v>0.03477730323367907</v>
      </c>
      <c r="G69" s="17">
        <f t="shared" si="1"/>
        <v>1.6284951740126192</v>
      </c>
    </row>
    <row r="70" spans="1:7" ht="12.75">
      <c r="A70">
        <f t="shared" si="2"/>
        <v>69</v>
      </c>
      <c r="B70" s="11">
        <v>41951</v>
      </c>
      <c r="C70" s="14">
        <v>676.3</v>
      </c>
      <c r="D70" s="12">
        <v>-0.011474091938902321</v>
      </c>
      <c r="E70" s="14">
        <v>3408</v>
      </c>
      <c r="F70" s="12">
        <v>0.0047169811320754715</v>
      </c>
      <c r="G70" s="17">
        <f t="shared" si="1"/>
        <v>1.6246009467860059</v>
      </c>
    </row>
    <row r="71" spans="1:7" ht="12.75">
      <c r="A71">
        <f t="shared" si="2"/>
        <v>70</v>
      </c>
      <c r="B71" s="11">
        <v>41958</v>
      </c>
      <c r="C71" s="14">
        <v>693.6</v>
      </c>
      <c r="D71" s="12">
        <v>0.025580363743900738</v>
      </c>
      <c r="E71" s="14">
        <v>3439</v>
      </c>
      <c r="F71" s="12">
        <v>0.009096244131455399</v>
      </c>
      <c r="G71" s="17">
        <f t="shared" si="1"/>
        <v>1.590393216089705</v>
      </c>
    </row>
    <row r="72" spans="1:7" ht="12.75">
      <c r="A72">
        <f t="shared" si="2"/>
        <v>71</v>
      </c>
      <c r="B72" s="11">
        <v>41965</v>
      </c>
      <c r="C72" s="14">
        <v>703.4</v>
      </c>
      <c r="D72" s="12">
        <v>0.01412918108419832</v>
      </c>
      <c r="E72" s="14">
        <v>3472</v>
      </c>
      <c r="F72" s="12">
        <v>0.00959581273626054</v>
      </c>
      <c r="G72" s="17">
        <f t="shared" si="1"/>
        <v>1.6335333429635446</v>
      </c>
    </row>
    <row r="73" spans="1:8" ht="12.75">
      <c r="A73">
        <f t="shared" si="2"/>
        <v>72</v>
      </c>
      <c r="B73" s="11">
        <v>41972</v>
      </c>
      <c r="C73" s="14">
        <v>710.4</v>
      </c>
      <c r="D73" s="12">
        <v>0.00995166334944555</v>
      </c>
      <c r="E73" s="14">
        <v>3510</v>
      </c>
      <c r="F73" s="12">
        <v>0.010944700460829493</v>
      </c>
      <c r="G73" s="17">
        <f t="shared" si="1"/>
        <v>1.586067318049846</v>
      </c>
      <c r="H73" s="15"/>
    </row>
    <row r="74" spans="1:8" ht="12.75">
      <c r="A74">
        <f t="shared" si="2"/>
        <v>73</v>
      </c>
      <c r="B74" s="11">
        <v>41979</v>
      </c>
      <c r="C74" s="14">
        <v>752.95</v>
      </c>
      <c r="D74" s="12">
        <v>0.05989583333333343</v>
      </c>
      <c r="E74" s="14">
        <v>3514</v>
      </c>
      <c r="F74" s="12">
        <v>0.0011396011396011395</v>
      </c>
      <c r="G74" s="17">
        <f t="shared" si="1"/>
        <v>1.5122364251757276</v>
      </c>
      <c r="H74" s="15"/>
    </row>
    <row r="75" spans="1:8" ht="12.75">
      <c r="A75">
        <f t="shared" si="2"/>
        <v>74</v>
      </c>
      <c r="B75" s="11">
        <v>41986</v>
      </c>
      <c r="C75" s="14">
        <v>699.85</v>
      </c>
      <c r="D75" s="12">
        <v>-0.07052261106315164</v>
      </c>
      <c r="E75" s="14">
        <v>3387</v>
      </c>
      <c r="F75" s="12">
        <v>-0.03614114968696642</v>
      </c>
      <c r="G75" s="17">
        <f t="shared" si="1"/>
        <v>1.4379079212893655</v>
      </c>
      <c r="H75" s="15"/>
    </row>
    <row r="76" spans="1:8" ht="12.75">
      <c r="A76">
        <f t="shared" si="2"/>
        <v>75</v>
      </c>
      <c r="B76" s="11">
        <v>41993</v>
      </c>
      <c r="C76" s="14">
        <v>726.5</v>
      </c>
      <c r="D76" s="12">
        <v>0.03807958848324638</v>
      </c>
      <c r="E76" s="14">
        <v>3381</v>
      </c>
      <c r="F76" s="12">
        <v>-0.001771479185119575</v>
      </c>
      <c r="G76" s="17">
        <f t="shared" si="1"/>
        <v>1.479655257251355</v>
      </c>
      <c r="H76" s="15"/>
    </row>
    <row r="77" spans="1:8" ht="12.75">
      <c r="A77">
        <f t="shared" si="2"/>
        <v>76</v>
      </c>
      <c r="B77" s="11">
        <v>42000</v>
      </c>
      <c r="C77" s="14">
        <v>741.65</v>
      </c>
      <c r="D77" s="12">
        <v>0.020853406744666177</v>
      </c>
      <c r="E77" s="14">
        <v>3380</v>
      </c>
      <c r="F77" s="12">
        <v>-0.0002957704821058858</v>
      </c>
      <c r="G77" s="17">
        <f t="shared" si="1"/>
        <v>1.5436019112297117</v>
      </c>
      <c r="H77" s="15"/>
    </row>
    <row r="78" spans="1:8" ht="12.75">
      <c r="A78">
        <f t="shared" si="2"/>
        <v>77</v>
      </c>
      <c r="B78" s="11">
        <v>42007</v>
      </c>
      <c r="C78" s="14">
        <v>792.75</v>
      </c>
      <c r="D78" s="12">
        <v>0.06890042472864562</v>
      </c>
      <c r="E78" s="14">
        <v>3474</v>
      </c>
      <c r="F78" s="12">
        <v>0.027810650887573965</v>
      </c>
      <c r="G78" s="17">
        <f t="shared" si="1"/>
        <v>1.8740139031957375</v>
      </c>
      <c r="H78" s="15"/>
    </row>
    <row r="79" spans="1:8" ht="12.75">
      <c r="A79">
        <f t="shared" si="2"/>
        <v>78</v>
      </c>
      <c r="B79" s="11">
        <v>42014</v>
      </c>
      <c r="C79" s="14">
        <v>764.65</v>
      </c>
      <c r="D79" s="12">
        <v>-0.035446231472721565</v>
      </c>
      <c r="E79" s="14">
        <v>3431</v>
      </c>
      <c r="F79" s="12">
        <v>-0.012377662636729994</v>
      </c>
      <c r="G79" s="17">
        <f t="shared" si="1"/>
        <v>1.7979765710861775</v>
      </c>
      <c r="H79" s="15"/>
    </row>
    <row r="80" spans="1:8" ht="12.75">
      <c r="A80">
        <f t="shared" si="2"/>
        <v>79</v>
      </c>
      <c r="B80" s="11">
        <v>42021</v>
      </c>
      <c r="C80" s="14">
        <v>802.95</v>
      </c>
      <c r="D80" s="12">
        <v>0.05008827568168452</v>
      </c>
      <c r="E80" s="14">
        <v>3526</v>
      </c>
      <c r="F80" s="12">
        <v>0.027688720489653162</v>
      </c>
      <c r="G80" s="17">
        <f t="shared" si="1"/>
        <v>1.8057123853493664</v>
      </c>
      <c r="H80" s="15"/>
    </row>
    <row r="81" spans="1:8" ht="12.75">
      <c r="A81">
        <f t="shared" si="2"/>
        <v>80</v>
      </c>
      <c r="B81" s="11">
        <v>42028</v>
      </c>
      <c r="C81" s="14">
        <v>875.3</v>
      </c>
      <c r="D81" s="12">
        <v>0.0901052369387881</v>
      </c>
      <c r="E81" s="14">
        <v>3640</v>
      </c>
      <c r="F81" s="12">
        <v>0.03233125354509359</v>
      </c>
      <c r="G81" s="17">
        <f t="shared" si="1"/>
        <v>1.8607953171353044</v>
      </c>
      <c r="H81" s="15"/>
    </row>
    <row r="82" spans="1:8" ht="12.75">
      <c r="A82">
        <f t="shared" si="2"/>
        <v>81</v>
      </c>
      <c r="B82" s="11">
        <v>42035</v>
      </c>
      <c r="C82" s="14">
        <v>862.5</v>
      </c>
      <c r="D82" s="12">
        <v>-0.014623557637381417</v>
      </c>
      <c r="E82" s="14">
        <v>3641</v>
      </c>
      <c r="F82" s="12">
        <v>0.0002747252747252747</v>
      </c>
      <c r="G82" s="17">
        <f t="shared" si="1"/>
        <v>1.9345431594694245</v>
      </c>
      <c r="H82" s="15"/>
    </row>
    <row r="83" spans="1:8" ht="12.75">
      <c r="A83">
        <f t="shared" si="2"/>
        <v>82</v>
      </c>
      <c r="B83" s="11">
        <v>42042</v>
      </c>
      <c r="C83" s="14">
        <v>809.8</v>
      </c>
      <c r="D83" s="12">
        <v>-0.061101449275362374</v>
      </c>
      <c r="E83" s="14">
        <v>3571</v>
      </c>
      <c r="F83" s="12">
        <v>-0.019225487503433124</v>
      </c>
      <c r="G83" s="17">
        <f t="shared" si="1"/>
        <v>1.9990775237155125</v>
      </c>
      <c r="H83" s="15"/>
    </row>
    <row r="84" spans="1:8" ht="12.75">
      <c r="A84">
        <f t="shared" si="2"/>
        <v>83</v>
      </c>
      <c r="B84" s="11">
        <v>42049</v>
      </c>
      <c r="C84" s="14">
        <v>835.15</v>
      </c>
      <c r="D84" s="12">
        <v>0.03130402568535444</v>
      </c>
      <c r="E84" s="14">
        <v>3642</v>
      </c>
      <c r="F84" s="12">
        <v>0.019882385886306357</v>
      </c>
      <c r="G84" s="17">
        <f t="shared" si="1"/>
        <v>1.9269219363496792</v>
      </c>
      <c r="H84" s="15"/>
    </row>
    <row r="85" spans="1:8" ht="12.75">
      <c r="A85">
        <f t="shared" si="2"/>
        <v>84</v>
      </c>
      <c r="B85" s="11">
        <v>42056</v>
      </c>
      <c r="C85" s="14">
        <v>824.45</v>
      </c>
      <c r="D85" s="12">
        <v>-0.012812069688079904</v>
      </c>
      <c r="E85" s="14">
        <v>3654</v>
      </c>
      <c r="F85" s="12">
        <v>0.0032948929159802307</v>
      </c>
      <c r="G85" s="17">
        <f t="shared" si="1"/>
        <v>1.9517739930467566</v>
      </c>
      <c r="H85" s="15"/>
    </row>
    <row r="86" spans="1:8" ht="12.75">
      <c r="A86">
        <f t="shared" si="2"/>
        <v>85</v>
      </c>
      <c r="B86" s="11">
        <v>42063</v>
      </c>
      <c r="C86" s="14">
        <v>820.85</v>
      </c>
      <c r="D86" s="12">
        <v>-0.0043665473952332135</v>
      </c>
      <c r="E86" s="14">
        <v>3674</v>
      </c>
      <c r="F86" s="12">
        <v>0.005473453749315818</v>
      </c>
      <c r="G86" s="17">
        <f t="shared" si="1"/>
        <v>2.021720439986549</v>
      </c>
      <c r="H86" s="15"/>
    </row>
    <row r="87" spans="1:8" ht="12.75">
      <c r="A87">
        <f t="shared" si="2"/>
        <v>86</v>
      </c>
      <c r="B87" s="11">
        <v>42070</v>
      </c>
      <c r="C87" s="14">
        <v>856.75</v>
      </c>
      <c r="D87" s="12">
        <v>0.04373515258573427</v>
      </c>
      <c r="E87" s="14">
        <v>3705</v>
      </c>
      <c r="F87" s="12">
        <v>0.008437670114316821</v>
      </c>
      <c r="G87" s="17">
        <f t="shared" si="1"/>
        <v>2.000348516837252</v>
      </c>
      <c r="H87" s="15"/>
    </row>
    <row r="88" spans="1:8" ht="12.75">
      <c r="A88">
        <f t="shared" si="2"/>
        <v>87</v>
      </c>
      <c r="B88" s="11">
        <v>42077</v>
      </c>
      <c r="C88" s="14">
        <v>803.2</v>
      </c>
      <c r="D88" s="12">
        <v>-0.06250364750510645</v>
      </c>
      <c r="E88" s="14">
        <v>3598</v>
      </c>
      <c r="F88" s="12">
        <v>-0.028879892037786774</v>
      </c>
      <c r="G88" s="17">
        <f t="shared" si="1"/>
        <v>2.07613075616566</v>
      </c>
      <c r="H88" s="15">
        <f aca="true" t="shared" si="3" ref="H88:H136">AVERAGE(G37:G88)</f>
        <v>2.2843349399144626</v>
      </c>
    </row>
    <row r="89" spans="1:8" ht="12.75">
      <c r="A89">
        <f t="shared" si="2"/>
        <v>88</v>
      </c>
      <c r="B89" s="11">
        <v>42084</v>
      </c>
      <c r="C89" s="14">
        <v>832.25</v>
      </c>
      <c r="D89" s="12">
        <v>0.036167828685258904</v>
      </c>
      <c r="E89" s="14">
        <v>3569</v>
      </c>
      <c r="F89" s="12">
        <v>-0.008060033351862146</v>
      </c>
      <c r="G89" s="17">
        <f t="shared" si="1"/>
        <v>1.9568234018126809</v>
      </c>
      <c r="H89" s="15">
        <f t="shared" si="3"/>
        <v>2.2474283809688615</v>
      </c>
    </row>
    <row r="90" spans="1:8" ht="12.75">
      <c r="A90">
        <f t="shared" si="2"/>
        <v>89</v>
      </c>
      <c r="B90" s="11">
        <v>42091</v>
      </c>
      <c r="C90" s="14">
        <v>815.7</v>
      </c>
      <c r="D90" s="12">
        <v>-0.01988585160708916</v>
      </c>
      <c r="E90" s="14">
        <v>3476</v>
      </c>
      <c r="F90" s="12">
        <v>-0.02605771924908938</v>
      </c>
      <c r="G90" s="17">
        <f t="shared" si="1"/>
        <v>1.8849960890905202</v>
      </c>
      <c r="H90" s="15">
        <f t="shared" si="3"/>
        <v>2.2095151523007615</v>
      </c>
    </row>
    <row r="91" spans="1:8" ht="12.75">
      <c r="A91">
        <f t="shared" si="2"/>
        <v>90</v>
      </c>
      <c r="B91" s="11">
        <v>42098</v>
      </c>
      <c r="C91" s="14">
        <v>847</v>
      </c>
      <c r="D91" s="12">
        <v>0.038371950471987194</v>
      </c>
      <c r="E91" s="14">
        <v>3579</v>
      </c>
      <c r="F91" s="12">
        <v>0.029631760644418872</v>
      </c>
      <c r="G91" s="17">
        <f t="shared" si="1"/>
        <v>1.7821449399190707</v>
      </c>
      <c r="H91" s="15">
        <f t="shared" si="3"/>
        <v>2.1739373216684053</v>
      </c>
    </row>
    <row r="92" spans="1:8" ht="12.75">
      <c r="A92">
        <f t="shared" si="2"/>
        <v>91</v>
      </c>
      <c r="B92" s="11">
        <v>42105</v>
      </c>
      <c r="C92" s="14">
        <v>841.9</v>
      </c>
      <c r="D92" s="12">
        <v>-0.006021251475796957</v>
      </c>
      <c r="E92" s="14">
        <v>3669</v>
      </c>
      <c r="F92" s="12">
        <v>0.025146689019279127</v>
      </c>
      <c r="G92" s="17">
        <f t="shared" si="1"/>
        <v>1.6626696140392374</v>
      </c>
      <c r="H92" s="15">
        <f t="shared" si="3"/>
        <v>2.128973023812302</v>
      </c>
    </row>
    <row r="93" spans="1:8" ht="12.75">
      <c r="A93">
        <f t="shared" si="2"/>
        <v>92</v>
      </c>
      <c r="B93" s="11">
        <v>42112</v>
      </c>
      <c r="C93" s="14">
        <v>810.25</v>
      </c>
      <c r="D93" s="12">
        <v>-0.037593538424991066</v>
      </c>
      <c r="E93" s="14">
        <v>3595</v>
      </c>
      <c r="F93" s="12">
        <v>-0.02016898337421641</v>
      </c>
      <c r="G93" s="17">
        <f t="shared" si="1"/>
        <v>1.6399044060227468</v>
      </c>
      <c r="H93" s="15">
        <f t="shared" si="3"/>
        <v>2.090848858645008</v>
      </c>
    </row>
    <row r="94" spans="1:8" ht="12.75">
      <c r="A94">
        <f t="shared" si="2"/>
        <v>93</v>
      </c>
      <c r="B94" s="11">
        <v>42119</v>
      </c>
      <c r="C94" s="14">
        <v>824.15</v>
      </c>
      <c r="D94" s="12">
        <v>0.017155199012650387</v>
      </c>
      <c r="E94" s="14">
        <v>3463</v>
      </c>
      <c r="F94" s="12">
        <v>-0.036717663421418634</v>
      </c>
      <c r="G94" s="17">
        <f t="shared" si="1"/>
        <v>1.445920613155747</v>
      </c>
      <c r="H94" s="15">
        <f t="shared" si="3"/>
        <v>2.053527552453941</v>
      </c>
    </row>
    <row r="95" spans="1:8" ht="12.75">
      <c r="A95">
        <f t="shared" si="2"/>
        <v>94</v>
      </c>
      <c r="B95" s="11">
        <v>42126</v>
      </c>
      <c r="C95" s="14">
        <v>839.8</v>
      </c>
      <c r="D95" s="12">
        <v>0.018989261663532098</v>
      </c>
      <c r="E95" s="14">
        <v>3425</v>
      </c>
      <c r="F95" s="12">
        <v>-0.010973144672249495</v>
      </c>
      <c r="G95" s="17">
        <f t="shared" si="1"/>
        <v>1.4109227363046135</v>
      </c>
      <c r="H95" s="15">
        <f t="shared" si="3"/>
        <v>2.01507324429712</v>
      </c>
    </row>
    <row r="96" spans="1:8" ht="12.75">
      <c r="A96">
        <f t="shared" si="2"/>
        <v>95</v>
      </c>
      <c r="B96" s="11">
        <v>42133</v>
      </c>
      <c r="C96" s="14">
        <v>826.25</v>
      </c>
      <c r="D96" s="12">
        <v>-0.016134793998571036</v>
      </c>
      <c r="E96" s="14">
        <v>3415</v>
      </c>
      <c r="F96" s="12">
        <v>-0.00291970802919708</v>
      </c>
      <c r="G96" s="17">
        <f t="shared" si="1"/>
        <v>1.4511981618529999</v>
      </c>
      <c r="H96" s="15">
        <f t="shared" si="3"/>
        <v>1.9770166477166033</v>
      </c>
    </row>
    <row r="97" spans="1:8" ht="12.75">
      <c r="A97">
        <f t="shared" si="2"/>
        <v>96</v>
      </c>
      <c r="B97" s="11">
        <v>42140</v>
      </c>
      <c r="C97" s="14">
        <v>850.15</v>
      </c>
      <c r="D97" s="12">
        <v>0.028925869894099822</v>
      </c>
      <c r="E97" s="14">
        <v>3466</v>
      </c>
      <c r="F97" s="12">
        <v>0.01493411420204978</v>
      </c>
      <c r="G97" s="17">
        <f t="shared" si="1"/>
        <v>1.5062296124856742</v>
      </c>
      <c r="H97" s="15">
        <f t="shared" si="3"/>
        <v>1.9445776192025772</v>
      </c>
    </row>
    <row r="98" spans="1:8" ht="12.75">
      <c r="A98">
        <f t="shared" si="2"/>
        <v>97</v>
      </c>
      <c r="B98" s="11">
        <v>42147</v>
      </c>
      <c r="C98" s="14">
        <v>866.8</v>
      </c>
      <c r="D98" s="12">
        <v>0.019584779156619395</v>
      </c>
      <c r="E98" s="14">
        <v>3536</v>
      </c>
      <c r="F98" s="12">
        <v>0.020196191575302943</v>
      </c>
      <c r="G98" s="17">
        <f t="shared" si="1"/>
        <v>1.527846474145565</v>
      </c>
      <c r="H98" s="15">
        <f t="shared" si="3"/>
        <v>1.9168414382554801</v>
      </c>
    </row>
    <row r="99" spans="1:8" ht="12.75">
      <c r="A99">
        <f t="shared" si="2"/>
        <v>98</v>
      </c>
      <c r="B99" s="11">
        <v>42154</v>
      </c>
      <c r="C99" s="14">
        <v>882.6</v>
      </c>
      <c r="D99" s="12">
        <v>0.01822796492847262</v>
      </c>
      <c r="E99" s="14">
        <v>3533</v>
      </c>
      <c r="F99" s="12">
        <v>-0.0008484162895927602</v>
      </c>
      <c r="G99" s="17">
        <f t="shared" si="1"/>
        <v>1.4000290951350627</v>
      </c>
      <c r="H99" s="15">
        <f t="shared" si="3"/>
        <v>1.8894934614633654</v>
      </c>
    </row>
    <row r="100" spans="1:8" ht="12.75">
      <c r="A100">
        <f t="shared" si="2"/>
        <v>99</v>
      </c>
      <c r="B100" s="11">
        <v>42161</v>
      </c>
      <c r="C100" s="14">
        <v>822.3</v>
      </c>
      <c r="D100" s="12">
        <v>-0.0683208701563563</v>
      </c>
      <c r="E100" s="14">
        <v>3399</v>
      </c>
      <c r="F100" s="12">
        <v>-0.037928106425134445</v>
      </c>
      <c r="G100" s="17">
        <f t="shared" si="1"/>
        <v>1.478713634134021</v>
      </c>
      <c r="H100" s="15">
        <f t="shared" si="3"/>
        <v>1.8726754925213323</v>
      </c>
    </row>
    <row r="101" spans="1:8" ht="12.75">
      <c r="A101">
        <f t="shared" si="2"/>
        <v>100</v>
      </c>
      <c r="B101" s="11">
        <v>42168</v>
      </c>
      <c r="C101" s="14">
        <v>805.85</v>
      </c>
      <c r="D101" s="12">
        <v>-0.02000486440471839</v>
      </c>
      <c r="E101" s="14">
        <v>3339</v>
      </c>
      <c r="F101" s="12">
        <v>-0.0176522506619594</v>
      </c>
      <c r="G101" s="17">
        <f aca="true" t="shared" si="4" ref="G101:G164">COVAR(D72:D101,F72:F101)/VARP(F72:F101)</f>
        <v>1.4762697688384485</v>
      </c>
      <c r="H101" s="15">
        <f t="shared" si="3"/>
        <v>1.8532869893892647</v>
      </c>
    </row>
    <row r="102" spans="1:8" ht="12.75">
      <c r="A102">
        <f t="shared" si="2"/>
        <v>101</v>
      </c>
      <c r="B102" s="11">
        <v>42175</v>
      </c>
      <c r="C102" s="14">
        <v>830</v>
      </c>
      <c r="D102" s="12">
        <v>0.0299683563938698</v>
      </c>
      <c r="E102" s="14">
        <v>3445</v>
      </c>
      <c r="F102" s="12">
        <v>0.031746031746031744</v>
      </c>
      <c r="G102" s="17">
        <f t="shared" si="4"/>
        <v>1.4247102130059333</v>
      </c>
      <c r="H102" s="15">
        <f t="shared" si="3"/>
        <v>1.833385225201391</v>
      </c>
    </row>
    <row r="103" spans="1:8" ht="12.75">
      <c r="A103">
        <f t="shared" si="2"/>
        <v>102</v>
      </c>
      <c r="B103" s="11">
        <v>42182</v>
      </c>
      <c r="C103" s="14">
        <v>858.3</v>
      </c>
      <c r="D103" s="12">
        <v>0.03409638554216862</v>
      </c>
      <c r="E103" s="14">
        <v>3504</v>
      </c>
      <c r="F103" s="12">
        <v>0.017126269956458634</v>
      </c>
      <c r="G103" s="17">
        <f t="shared" si="4"/>
        <v>1.4383717338453188</v>
      </c>
      <c r="H103" s="15">
        <f t="shared" si="3"/>
        <v>1.8137144042983406</v>
      </c>
    </row>
    <row r="104" spans="1:8" ht="12.75">
      <c r="A104">
        <f t="shared" si="2"/>
        <v>103</v>
      </c>
      <c r="B104" s="11">
        <v>42189</v>
      </c>
      <c r="C104" s="14">
        <v>871.85</v>
      </c>
      <c r="D104" s="12">
        <v>0.015787020855178923</v>
      </c>
      <c r="E104" s="14">
        <v>3551</v>
      </c>
      <c r="F104" s="12">
        <v>0.01341324200913242</v>
      </c>
      <c r="G104" s="17">
        <f t="shared" si="4"/>
        <v>1.4265416719690696</v>
      </c>
      <c r="H104" s="15">
        <f t="shared" si="3"/>
        <v>1.7954408447098693</v>
      </c>
    </row>
    <row r="105" spans="1:8" ht="12.75">
      <c r="A105">
        <f t="shared" si="2"/>
        <v>104</v>
      </c>
      <c r="B105" s="11">
        <v>42196</v>
      </c>
      <c r="C105" s="14">
        <v>809.2</v>
      </c>
      <c r="D105" s="12">
        <v>-0.07185869128863907</v>
      </c>
      <c r="E105" s="14">
        <v>3510</v>
      </c>
      <c r="F105" s="12">
        <v>-0.011546043368065334</v>
      </c>
      <c r="G105" s="17">
        <f t="shared" si="4"/>
        <v>1.4173734622877907</v>
      </c>
      <c r="H105" s="15">
        <f t="shared" si="3"/>
        <v>1.7797316521762303</v>
      </c>
    </row>
    <row r="106" spans="1:8" ht="12.75">
      <c r="A106">
        <f t="shared" si="2"/>
        <v>105</v>
      </c>
      <c r="B106" s="11">
        <v>42203</v>
      </c>
      <c r="C106" s="14">
        <v>824.5</v>
      </c>
      <c r="D106" s="12">
        <v>0.018907563025210027</v>
      </c>
      <c r="E106" s="14">
        <v>3615</v>
      </c>
      <c r="F106" s="12">
        <v>0.029914529914529916</v>
      </c>
      <c r="G106" s="17">
        <f t="shared" si="4"/>
        <v>1.3730131316500085</v>
      </c>
      <c r="H106" s="15">
        <f t="shared" si="3"/>
        <v>1.762031340771485</v>
      </c>
    </row>
    <row r="107" spans="1:8" ht="12.75">
      <c r="A107">
        <f t="shared" si="2"/>
        <v>106</v>
      </c>
      <c r="B107" s="11">
        <v>42210</v>
      </c>
      <c r="C107" s="14">
        <v>808.65</v>
      </c>
      <c r="D107" s="12">
        <v>-0.01922377198302004</v>
      </c>
      <c r="E107" s="14">
        <v>3577</v>
      </c>
      <c r="F107" s="12">
        <v>-0.010511756569847857</v>
      </c>
      <c r="G107" s="17">
        <f t="shared" si="4"/>
        <v>1.3825667089250622</v>
      </c>
      <c r="H107" s="15">
        <f t="shared" si="3"/>
        <v>1.744565767445998</v>
      </c>
    </row>
    <row r="108" spans="1:8" ht="12.75">
      <c r="A108">
        <f t="shared" si="2"/>
        <v>107</v>
      </c>
      <c r="B108" s="11">
        <v>42217</v>
      </c>
      <c r="C108" s="14">
        <v>828.7</v>
      </c>
      <c r="D108" s="12">
        <v>0.024794410437148418</v>
      </c>
      <c r="E108" s="14">
        <v>3589</v>
      </c>
      <c r="F108" s="12">
        <v>0.0033547665641599105</v>
      </c>
      <c r="G108" s="17">
        <f t="shared" si="4"/>
        <v>1.3240745272451464</v>
      </c>
      <c r="H108" s="15">
        <f t="shared" si="3"/>
        <v>1.726631041702208</v>
      </c>
    </row>
    <row r="109" spans="1:8" ht="12.75">
      <c r="A109">
        <f t="shared" si="2"/>
        <v>108</v>
      </c>
      <c r="B109" s="11">
        <v>42224</v>
      </c>
      <c r="C109" s="14">
        <v>822</v>
      </c>
      <c r="D109" s="12">
        <v>-0.008084952334982557</v>
      </c>
      <c r="E109" s="14">
        <v>3625</v>
      </c>
      <c r="F109" s="12">
        <v>0.010030649205906938</v>
      </c>
      <c r="G109" s="17">
        <f t="shared" si="4"/>
        <v>1.2879882578586734</v>
      </c>
      <c r="H109" s="15">
        <f t="shared" si="3"/>
        <v>1.7088400510268207</v>
      </c>
    </row>
    <row r="110" spans="1:8" ht="12.75">
      <c r="A110">
        <f t="shared" si="2"/>
        <v>109</v>
      </c>
      <c r="B110" s="11">
        <v>42231</v>
      </c>
      <c r="C110" s="14">
        <v>796.7</v>
      </c>
      <c r="D110" s="12">
        <v>-0.030778588807785834</v>
      </c>
      <c r="E110" s="14">
        <v>3594</v>
      </c>
      <c r="F110" s="12">
        <v>-0.008551724137931035</v>
      </c>
      <c r="G110" s="17">
        <f t="shared" si="4"/>
        <v>1.2727227201950315</v>
      </c>
      <c r="H110" s="15">
        <f t="shared" si="3"/>
        <v>1.6911192782166595</v>
      </c>
    </row>
    <row r="111" spans="1:8" ht="12.75">
      <c r="A111">
        <f t="shared" si="2"/>
        <v>110</v>
      </c>
      <c r="B111" s="11">
        <v>42238</v>
      </c>
      <c r="C111" s="14">
        <v>691.5</v>
      </c>
      <c r="D111" s="12">
        <v>-0.13204468432283173</v>
      </c>
      <c r="E111" s="14">
        <v>3512</v>
      </c>
      <c r="F111" s="12">
        <v>-0.022815804117974403</v>
      </c>
      <c r="G111" s="17">
        <f t="shared" si="4"/>
        <v>1.323050450762873</v>
      </c>
      <c r="H111" s="15">
        <f t="shared" si="3"/>
        <v>1.6739414802978436</v>
      </c>
    </row>
    <row r="112" spans="1:8" ht="12.75">
      <c r="A112">
        <f t="shared" si="2"/>
        <v>111</v>
      </c>
      <c r="B112" s="11">
        <v>42245</v>
      </c>
      <c r="C112" s="14">
        <v>676.15</v>
      </c>
      <c r="D112" s="12">
        <v>-0.022198120028922665</v>
      </c>
      <c r="E112" s="14">
        <v>3380</v>
      </c>
      <c r="F112" s="12">
        <v>-0.03758542141230068</v>
      </c>
      <c r="G112" s="17">
        <f t="shared" si="4"/>
        <v>1.2334312440929966</v>
      </c>
      <c r="H112" s="15">
        <f t="shared" si="3"/>
        <v>1.65741976500539</v>
      </c>
    </row>
    <row r="113" spans="1:8" ht="12.75">
      <c r="A113">
        <f t="shared" si="2"/>
        <v>112</v>
      </c>
      <c r="B113" s="11">
        <v>42252</v>
      </c>
      <c r="C113" s="14">
        <v>646.35</v>
      </c>
      <c r="D113" s="12">
        <v>-0.04407306071138054</v>
      </c>
      <c r="E113" s="14">
        <v>3241</v>
      </c>
      <c r="F113" s="12">
        <v>-0.041124260355029585</v>
      </c>
      <c r="G113" s="17">
        <f t="shared" si="4"/>
        <v>1.1651244446591649</v>
      </c>
      <c r="H113" s="15">
        <f t="shared" si="3"/>
        <v>1.639162874514619</v>
      </c>
    </row>
    <row r="114" spans="1:8" ht="12.75">
      <c r="A114">
        <f t="shared" si="2"/>
        <v>113</v>
      </c>
      <c r="B114" s="11">
        <v>42259</v>
      </c>
      <c r="C114" s="14">
        <v>711.45</v>
      </c>
      <c r="D114" s="12">
        <v>0.10071942446043168</v>
      </c>
      <c r="E114" s="14">
        <v>3286</v>
      </c>
      <c r="F114" s="12">
        <v>0.01388460351743289</v>
      </c>
      <c r="G114" s="17">
        <f t="shared" si="4"/>
        <v>1.254864597862893</v>
      </c>
      <c r="H114" s="15">
        <f t="shared" si="3"/>
        <v>1.6231326548812797</v>
      </c>
    </row>
    <row r="115" spans="1:8" ht="12.75">
      <c r="A115">
        <f t="shared" si="2"/>
        <v>114</v>
      </c>
      <c r="B115" s="11">
        <v>42266</v>
      </c>
      <c r="C115" s="14">
        <v>770.2</v>
      </c>
      <c r="D115" s="12">
        <v>0.0825778340009839</v>
      </c>
      <c r="E115" s="14">
        <v>3356</v>
      </c>
      <c r="F115" s="12">
        <v>0.02130249543517955</v>
      </c>
      <c r="G115" s="17">
        <f t="shared" si="4"/>
        <v>1.3553803964648898</v>
      </c>
      <c r="H115" s="15">
        <f t="shared" si="3"/>
        <v>1.607499784609145</v>
      </c>
    </row>
    <row r="116" spans="1:8" ht="12.75">
      <c r="A116">
        <f t="shared" si="2"/>
        <v>115</v>
      </c>
      <c r="B116" s="11">
        <v>42273</v>
      </c>
      <c r="C116" s="14">
        <v>720.9</v>
      </c>
      <c r="D116" s="12">
        <v>-0.06400934822124132</v>
      </c>
      <c r="E116" s="14">
        <v>3318</v>
      </c>
      <c r="F116" s="12">
        <v>-0.01132300357568534</v>
      </c>
      <c r="G116" s="17">
        <f t="shared" si="4"/>
        <v>1.3929658743946443</v>
      </c>
      <c r="H116" s="15">
        <f t="shared" si="3"/>
        <v>1.5932302373424156</v>
      </c>
    </row>
    <row r="117" spans="1:8" ht="12.75">
      <c r="A117">
        <f t="shared" si="2"/>
        <v>116</v>
      </c>
      <c r="B117" s="11">
        <v>42280</v>
      </c>
      <c r="C117" s="14">
        <v>728.3</v>
      </c>
      <c r="D117" s="12">
        <v>0.010264946594534578</v>
      </c>
      <c r="E117" s="14">
        <v>3357</v>
      </c>
      <c r="F117" s="12">
        <v>0.011754068716094032</v>
      </c>
      <c r="G117" s="17">
        <f t="shared" si="4"/>
        <v>1.360954661465027</v>
      </c>
      <c r="H117" s="15">
        <f t="shared" si="3"/>
        <v>1.583736750113841</v>
      </c>
    </row>
    <row r="118" spans="1:8" ht="12.75">
      <c r="A118">
        <f t="shared" si="2"/>
        <v>117</v>
      </c>
      <c r="B118" s="11">
        <v>42287</v>
      </c>
      <c r="C118" s="14">
        <v>725.2</v>
      </c>
      <c r="D118" s="12">
        <v>-0.004256487711107935</v>
      </c>
      <c r="E118" s="14">
        <v>3446</v>
      </c>
      <c r="F118" s="12">
        <v>0.026511766458147155</v>
      </c>
      <c r="G118" s="17">
        <f t="shared" si="4"/>
        <v>1.2402817671530393</v>
      </c>
      <c r="H118" s="15">
        <f t="shared" si="3"/>
        <v>1.5736573523239163</v>
      </c>
    </row>
    <row r="119" spans="1:8" ht="12.75">
      <c r="A119">
        <f t="shared" si="2"/>
        <v>118</v>
      </c>
      <c r="B119" s="11">
        <v>42294</v>
      </c>
      <c r="C119" s="14">
        <v>773.1</v>
      </c>
      <c r="D119" s="12">
        <v>0.06605074462217315</v>
      </c>
      <c r="E119" s="14">
        <v>3468</v>
      </c>
      <c r="F119" s="12">
        <v>0.006384213580963436</v>
      </c>
      <c r="G119" s="17">
        <f t="shared" si="4"/>
        <v>1.2928808311883646</v>
      </c>
      <c r="H119" s="15">
        <f t="shared" si="3"/>
        <v>1.5659272439461513</v>
      </c>
    </row>
    <row r="120" spans="1:8" ht="12.75">
      <c r="A120">
        <f t="shared" si="2"/>
        <v>119</v>
      </c>
      <c r="B120" s="11">
        <v>42301</v>
      </c>
      <c r="C120" s="14">
        <v>770.3</v>
      </c>
      <c r="D120" s="12">
        <v>-0.0036217824343552814</v>
      </c>
      <c r="E120" s="14">
        <v>3488</v>
      </c>
      <c r="F120" s="12">
        <v>0.0057670126874279125</v>
      </c>
      <c r="G120" s="17">
        <f t="shared" si="4"/>
        <v>1.3157454267496302</v>
      </c>
      <c r="H120" s="15">
        <f t="shared" si="3"/>
        <v>1.561369551613409</v>
      </c>
    </row>
    <row r="121" spans="1:8" ht="12.75">
      <c r="A121">
        <f t="shared" si="2"/>
        <v>120</v>
      </c>
      <c r="B121" s="11">
        <v>42308</v>
      </c>
      <c r="C121" s="14">
        <v>759.1</v>
      </c>
      <c r="D121" s="12">
        <v>-0.014539789692327576</v>
      </c>
      <c r="E121" s="14">
        <v>3404</v>
      </c>
      <c r="F121" s="12">
        <v>-0.02408256880733945</v>
      </c>
      <c r="G121" s="17">
        <f t="shared" si="4"/>
        <v>1.2835127196978364</v>
      </c>
      <c r="H121" s="15">
        <f t="shared" si="3"/>
        <v>1.554735273645817</v>
      </c>
    </row>
    <row r="122" spans="1:8" ht="12.75">
      <c r="A122">
        <f t="shared" si="2"/>
        <v>121</v>
      </c>
      <c r="B122" s="11">
        <v>42315</v>
      </c>
      <c r="C122" s="14">
        <v>758.45</v>
      </c>
      <c r="D122" s="12">
        <v>-0.0008562771703332594</v>
      </c>
      <c r="E122" s="14">
        <v>3355</v>
      </c>
      <c r="F122" s="12">
        <v>-0.014394829612220916</v>
      </c>
      <c r="G122" s="17">
        <f t="shared" si="4"/>
        <v>1.348095098032147</v>
      </c>
      <c r="H122" s="15">
        <f t="shared" si="3"/>
        <v>1.5494178534774734</v>
      </c>
    </row>
    <row r="123" spans="1:8" ht="12.75">
      <c r="A123">
        <f t="shared" si="2"/>
        <v>122</v>
      </c>
      <c r="B123" s="11">
        <v>42322</v>
      </c>
      <c r="C123" s="14">
        <v>737.45</v>
      </c>
      <c r="D123" s="12">
        <v>-0.02768804799261652</v>
      </c>
      <c r="E123" s="14">
        <v>3287</v>
      </c>
      <c r="F123" s="12">
        <v>-0.020268256333830104</v>
      </c>
      <c r="G123" s="17">
        <f t="shared" si="4"/>
        <v>1.3346117560433777</v>
      </c>
      <c r="H123" s="15">
        <f t="shared" si="3"/>
        <v>1.5444989792458133</v>
      </c>
    </row>
    <row r="124" spans="1:8" ht="12.75">
      <c r="A124">
        <f t="shared" si="2"/>
        <v>123</v>
      </c>
      <c r="B124" s="11">
        <v>42329</v>
      </c>
      <c r="C124" s="14">
        <v>731.7</v>
      </c>
      <c r="D124" s="12">
        <v>-0.007797138789070445</v>
      </c>
      <c r="E124" s="14">
        <v>3331</v>
      </c>
      <c r="F124" s="12">
        <v>0.013386066321874049</v>
      </c>
      <c r="G124" s="17">
        <f t="shared" si="4"/>
        <v>1.4936095735378185</v>
      </c>
      <c r="H124" s="15">
        <f t="shared" si="3"/>
        <v>1.5418081375260877</v>
      </c>
    </row>
    <row r="125" spans="1:8" ht="12.75">
      <c r="A125">
        <f t="shared" si="2"/>
        <v>124</v>
      </c>
      <c r="B125" s="11">
        <v>42336</v>
      </c>
      <c r="C125" s="14">
        <v>761.9</v>
      </c>
      <c r="D125" s="12">
        <v>0.04127374607079395</v>
      </c>
      <c r="E125" s="14">
        <v>3365</v>
      </c>
      <c r="F125" s="12">
        <v>0.01020714500150105</v>
      </c>
      <c r="G125" s="17">
        <f t="shared" si="4"/>
        <v>1.550074319588041</v>
      </c>
      <c r="H125" s="15">
        <f t="shared" si="3"/>
        <v>1.5411159644787453</v>
      </c>
    </row>
    <row r="126" spans="1:8" ht="12.75">
      <c r="A126">
        <f t="shared" si="2"/>
        <v>125</v>
      </c>
      <c r="B126" s="11">
        <v>42343</v>
      </c>
      <c r="C126" s="14">
        <v>739.4</v>
      </c>
      <c r="D126" s="12">
        <v>-0.02953143457146607</v>
      </c>
      <c r="E126" s="14">
        <v>3312</v>
      </c>
      <c r="F126" s="12">
        <v>-0.01575037147102526</v>
      </c>
      <c r="G126" s="17">
        <f t="shared" si="4"/>
        <v>1.5527121208494814</v>
      </c>
      <c r="H126" s="15">
        <f t="shared" si="3"/>
        <v>1.5418943432417018</v>
      </c>
    </row>
    <row r="127" spans="1:8" ht="12.75">
      <c r="A127">
        <f t="shared" si="2"/>
        <v>126</v>
      </c>
      <c r="B127" s="11">
        <v>42350</v>
      </c>
      <c r="C127" s="14">
        <v>680.75</v>
      </c>
      <c r="D127" s="12">
        <v>-0.07932107113876113</v>
      </c>
      <c r="E127" s="14">
        <v>3230</v>
      </c>
      <c r="F127" s="12">
        <v>-0.024758454106280192</v>
      </c>
      <c r="G127" s="17">
        <f t="shared" si="4"/>
        <v>1.614729227625615</v>
      </c>
      <c r="H127" s="15">
        <f t="shared" si="3"/>
        <v>1.5452947529789374</v>
      </c>
    </row>
    <row r="128" spans="1:8" ht="12.75">
      <c r="A128">
        <f t="shared" si="2"/>
        <v>127</v>
      </c>
      <c r="B128" s="11">
        <v>42357</v>
      </c>
      <c r="C128" s="14">
        <v>719.05</v>
      </c>
      <c r="D128" s="12">
        <v>0.05626147631289013</v>
      </c>
      <c r="E128" s="14">
        <v>3304</v>
      </c>
      <c r="F128" s="12">
        <v>0.022910216718266253</v>
      </c>
      <c r="G128" s="17">
        <f t="shared" si="4"/>
        <v>1.6764289228286422</v>
      </c>
      <c r="H128" s="15">
        <f t="shared" si="3"/>
        <v>1.549078861932347</v>
      </c>
    </row>
    <row r="129" spans="1:8" ht="12.75">
      <c r="A129">
        <f t="shared" si="2"/>
        <v>128</v>
      </c>
      <c r="B129" s="11">
        <v>42364</v>
      </c>
      <c r="C129" s="14">
        <v>725.35</v>
      </c>
      <c r="D129" s="12">
        <v>0.008761560392184228</v>
      </c>
      <c r="E129" s="14">
        <v>3343</v>
      </c>
      <c r="F129" s="12">
        <v>0.011803874092009685</v>
      </c>
      <c r="G129" s="17">
        <f t="shared" si="4"/>
        <v>1.665185726018604</v>
      </c>
      <c r="H129" s="15">
        <f t="shared" si="3"/>
        <v>1.5514170122167488</v>
      </c>
    </row>
    <row r="130" spans="1:8" ht="12.75">
      <c r="A130">
        <f t="shared" si="2"/>
        <v>129</v>
      </c>
      <c r="B130" s="11">
        <v>42371</v>
      </c>
      <c r="C130" s="14">
        <v>732.3</v>
      </c>
      <c r="D130" s="12">
        <v>0.009581581305576525</v>
      </c>
      <c r="E130" s="14">
        <v>3391</v>
      </c>
      <c r="F130" s="12">
        <v>0.014358360753813939</v>
      </c>
      <c r="G130" s="17">
        <f t="shared" si="4"/>
        <v>1.64238728711364</v>
      </c>
      <c r="H130" s="15">
        <f t="shared" si="3"/>
        <v>1.54696265421517</v>
      </c>
    </row>
    <row r="131" spans="1:8" ht="12.75">
      <c r="A131">
        <f aca="true" t="shared" si="5" ref="A131:A194">A130+1</f>
        <v>130</v>
      </c>
      <c r="B131" s="11">
        <v>42378</v>
      </c>
      <c r="C131" s="14">
        <v>693.75</v>
      </c>
      <c r="D131" s="12">
        <v>-0.052642359688652135</v>
      </c>
      <c r="E131" s="14">
        <v>3254</v>
      </c>
      <c r="F131" s="12">
        <v>-0.040401061633736364</v>
      </c>
      <c r="G131" s="17">
        <f t="shared" si="4"/>
        <v>1.6070289361829735</v>
      </c>
      <c r="H131" s="15">
        <f t="shared" si="3"/>
        <v>1.5432905843131848</v>
      </c>
    </row>
    <row r="132" spans="1:8" ht="12.75">
      <c r="A132">
        <f t="shared" si="5"/>
        <v>131</v>
      </c>
      <c r="B132" s="11">
        <v>42385</v>
      </c>
      <c r="C132" s="14">
        <v>662.75</v>
      </c>
      <c r="D132" s="12">
        <v>-0.044684684684684686</v>
      </c>
      <c r="E132" s="14">
        <v>3151</v>
      </c>
      <c r="F132" s="12">
        <v>-0.03165334972341733</v>
      </c>
      <c r="G132" s="17">
        <f t="shared" si="4"/>
        <v>1.6363367730482274</v>
      </c>
      <c r="H132" s="15">
        <f t="shared" si="3"/>
        <v>1.5400333609997017</v>
      </c>
    </row>
    <row r="133" spans="1:8" ht="12.75">
      <c r="A133">
        <f t="shared" si="5"/>
        <v>132</v>
      </c>
      <c r="B133" s="11">
        <v>42392</v>
      </c>
      <c r="C133" s="14">
        <v>683.55</v>
      </c>
      <c r="D133" s="12">
        <v>0.0313843832516031</v>
      </c>
      <c r="E133" s="14">
        <v>3133</v>
      </c>
      <c r="F133" s="12">
        <v>-0.005712472231037766</v>
      </c>
      <c r="G133" s="17">
        <f t="shared" si="4"/>
        <v>1.615646055249886</v>
      </c>
      <c r="H133" s="15">
        <f t="shared" si="3"/>
        <v>1.5353189521172899</v>
      </c>
    </row>
    <row r="134" spans="1:8" ht="12.75">
      <c r="A134">
        <f t="shared" si="5"/>
        <v>133</v>
      </c>
      <c r="B134" s="11">
        <v>42399</v>
      </c>
      <c r="C134" s="14">
        <v>746.9</v>
      </c>
      <c r="D134" s="12">
        <v>0.09267793138760885</v>
      </c>
      <c r="E134" s="14">
        <v>3191</v>
      </c>
      <c r="F134" s="12">
        <v>0.01851260772422598</v>
      </c>
      <c r="G134" s="17">
        <f t="shared" si="4"/>
        <v>1.7333487701214383</v>
      </c>
      <c r="H134" s="15">
        <f t="shared" si="3"/>
        <v>1.531449829245213</v>
      </c>
    </row>
    <row r="135" spans="1:8" ht="12.75">
      <c r="A135">
        <f t="shared" si="5"/>
        <v>134</v>
      </c>
      <c r="B135" s="11">
        <v>42406</v>
      </c>
      <c r="C135" s="14">
        <v>777.35</v>
      </c>
      <c r="D135" s="12">
        <v>0.04076850984067485</v>
      </c>
      <c r="E135" s="14">
        <v>3162</v>
      </c>
      <c r="F135" s="12">
        <v>-0.009088060169225948</v>
      </c>
      <c r="G135" s="17">
        <f t="shared" si="4"/>
        <v>1.6722252124894315</v>
      </c>
      <c r="H135" s="15">
        <f t="shared" si="3"/>
        <v>1.5251642078754808</v>
      </c>
    </row>
    <row r="136" spans="1:8" ht="12.75">
      <c r="A136">
        <f t="shared" si="5"/>
        <v>135</v>
      </c>
      <c r="B136" s="11">
        <v>42413</v>
      </c>
      <c r="C136" s="14">
        <v>713.6</v>
      </c>
      <c r="D136" s="12">
        <v>-0.08200939087926931</v>
      </c>
      <c r="E136" s="14">
        <v>2946</v>
      </c>
      <c r="F136" s="12">
        <v>-0.0683111954459203</v>
      </c>
      <c r="G136" s="17">
        <f t="shared" si="4"/>
        <v>1.6510289775488274</v>
      </c>
      <c r="H136" s="15">
        <f t="shared" si="3"/>
        <v>1.5198585740523878</v>
      </c>
    </row>
    <row r="137" spans="1:8" ht="12.75">
      <c r="A137">
        <f t="shared" si="5"/>
        <v>136</v>
      </c>
      <c r="B137" s="11">
        <v>42420</v>
      </c>
      <c r="C137" s="14">
        <v>714</v>
      </c>
      <c r="D137" s="12">
        <v>0.0005605381165918964</v>
      </c>
      <c r="E137" s="14">
        <v>3032</v>
      </c>
      <c r="F137" s="12">
        <v>0.029192124915139173</v>
      </c>
      <c r="G137" s="17">
        <f t="shared" si="4"/>
        <v>1.5333641151749702</v>
      </c>
      <c r="H137" s="15">
        <f aca="true" t="shared" si="6" ref="H137:H200">AVERAGE(G86:G137)</f>
        <v>1.5118122302471613</v>
      </c>
    </row>
    <row r="138" spans="1:9" ht="12.75">
      <c r="A138">
        <f t="shared" si="5"/>
        <v>137</v>
      </c>
      <c r="B138" s="11">
        <v>42427</v>
      </c>
      <c r="C138" s="14">
        <v>685.95</v>
      </c>
      <c r="D138" s="12">
        <v>-0.03928571428571422</v>
      </c>
      <c r="E138" s="14">
        <v>2958</v>
      </c>
      <c r="F138" s="12">
        <v>-0.024406332453825858</v>
      </c>
      <c r="G138" s="17">
        <f t="shared" si="4"/>
        <v>1.5329540113559765</v>
      </c>
      <c r="H138" s="15">
        <f t="shared" si="6"/>
        <v>1.5024128758504196</v>
      </c>
      <c r="I138" s="5"/>
    </row>
    <row r="139" spans="1:9" ht="12.75">
      <c r="A139">
        <f t="shared" si="5"/>
        <v>138</v>
      </c>
      <c r="B139" s="11">
        <v>42434</v>
      </c>
      <c r="C139" s="14">
        <v>759.35</v>
      </c>
      <c r="D139" s="12">
        <v>0.10700488373788172</v>
      </c>
      <c r="E139" s="14">
        <v>3153</v>
      </c>
      <c r="F139" s="12">
        <v>0.06592292089249494</v>
      </c>
      <c r="G139" s="17">
        <f t="shared" si="4"/>
        <v>1.5561044018188668</v>
      </c>
      <c r="H139" s="15">
        <f t="shared" si="6"/>
        <v>1.493869719792374</v>
      </c>
      <c r="I139" s="5"/>
    </row>
    <row r="140" spans="1:9" ht="12.75">
      <c r="A140">
        <f t="shared" si="5"/>
        <v>139</v>
      </c>
      <c r="B140" s="11">
        <v>42441</v>
      </c>
      <c r="C140" s="14">
        <v>799.5</v>
      </c>
      <c r="D140" s="12">
        <v>0.0528741686969118</v>
      </c>
      <c r="E140" s="14">
        <v>3160</v>
      </c>
      <c r="F140" s="12">
        <v>0.0022201078338090706</v>
      </c>
      <c r="G140" s="17">
        <f t="shared" si="4"/>
        <v>1.5635969345596872</v>
      </c>
      <c r="H140" s="15">
        <f t="shared" si="6"/>
        <v>1.4840133001461049</v>
      </c>
      <c r="I140" s="5"/>
    </row>
    <row r="141" spans="1:9" ht="12.75">
      <c r="A141">
        <f t="shared" si="5"/>
        <v>140</v>
      </c>
      <c r="B141" s="11">
        <v>42448</v>
      </c>
      <c r="C141" s="14">
        <v>814.2</v>
      </c>
      <c r="D141" s="12">
        <v>0.01838649155722332</v>
      </c>
      <c r="E141" s="14">
        <v>3193</v>
      </c>
      <c r="F141" s="12">
        <v>0.010443037974683544</v>
      </c>
      <c r="G141" s="17">
        <f t="shared" si="4"/>
        <v>1.462721708034197</v>
      </c>
      <c r="H141" s="15">
        <f t="shared" si="6"/>
        <v>1.474511344496519</v>
      </c>
      <c r="I141" s="5"/>
    </row>
    <row r="142" spans="1:9" ht="12.75">
      <c r="A142">
        <f t="shared" si="5"/>
        <v>141</v>
      </c>
      <c r="B142" s="11">
        <v>42455</v>
      </c>
      <c r="C142" s="14">
        <v>848</v>
      </c>
      <c r="D142" s="12">
        <v>0.04151314173421758</v>
      </c>
      <c r="E142" s="14">
        <v>3245</v>
      </c>
      <c r="F142" s="12">
        <v>0.016285624804259317</v>
      </c>
      <c r="G142" s="17">
        <f t="shared" si="4"/>
        <v>1.5075894993419368</v>
      </c>
      <c r="H142" s="15">
        <f t="shared" si="6"/>
        <v>1.467253525462892</v>
      </c>
      <c r="I142" s="5">
        <f aca="true" t="shared" si="7" ref="I142:I162">FORECAST(A142+52,H91:H142,A91:A142)</f>
        <v>0.7765451140554314</v>
      </c>
    </row>
    <row r="143" spans="1:9" ht="12.75">
      <c r="A143">
        <f t="shared" si="5"/>
        <v>142</v>
      </c>
      <c r="B143" s="11">
        <v>42462</v>
      </c>
      <c r="C143" s="14">
        <v>855.7</v>
      </c>
      <c r="D143" s="12">
        <v>0.009080188679245337</v>
      </c>
      <c r="E143" s="14">
        <v>3254</v>
      </c>
      <c r="F143" s="12">
        <v>0.002773497688751926</v>
      </c>
      <c r="G143" s="17">
        <f t="shared" si="4"/>
        <v>1.5235035009227702</v>
      </c>
      <c r="H143" s="15">
        <f t="shared" si="6"/>
        <v>1.4622796516360401</v>
      </c>
      <c r="I143" s="5">
        <f t="shared" si="7"/>
        <v>0.8121626284403858</v>
      </c>
    </row>
    <row r="144" spans="1:9" ht="12.75">
      <c r="A144">
        <f t="shared" si="5"/>
        <v>143</v>
      </c>
      <c r="B144" s="11">
        <v>42469</v>
      </c>
      <c r="C144" s="14">
        <v>849.8</v>
      </c>
      <c r="D144" s="12">
        <v>-0.006894939815355955</v>
      </c>
      <c r="E144" s="14">
        <v>3199</v>
      </c>
      <c r="F144" s="12">
        <v>-0.016902274124154886</v>
      </c>
      <c r="G144" s="17">
        <f t="shared" si="4"/>
        <v>1.4626476764895104</v>
      </c>
      <c r="H144" s="15">
        <f t="shared" si="6"/>
        <v>1.4584330759139297</v>
      </c>
      <c r="I144" s="5">
        <f t="shared" si="7"/>
        <v>0.8447465915870072</v>
      </c>
    </row>
    <row r="145" spans="1:9" ht="12.75">
      <c r="A145">
        <f t="shared" si="5"/>
        <v>144</v>
      </c>
      <c r="B145" s="11">
        <v>42476</v>
      </c>
      <c r="C145" s="14">
        <v>869.5</v>
      </c>
      <c r="D145" s="12">
        <v>0.02318192515886096</v>
      </c>
      <c r="E145" s="14">
        <v>3315</v>
      </c>
      <c r="F145" s="12">
        <v>0.03626133166614567</v>
      </c>
      <c r="G145" s="17">
        <f t="shared" si="4"/>
        <v>1.3463263671215457</v>
      </c>
      <c r="H145" s="15">
        <f t="shared" si="6"/>
        <v>1.4527873443965988</v>
      </c>
      <c r="I145" s="5">
        <f t="shared" si="7"/>
        <v>0.8747545905927863</v>
      </c>
    </row>
    <row r="146" spans="1:9" ht="12.75">
      <c r="A146">
        <f t="shared" si="5"/>
        <v>145</v>
      </c>
      <c r="B146" s="11">
        <v>42483</v>
      </c>
      <c r="C146" s="14">
        <v>875.8</v>
      </c>
      <c r="D146" s="12">
        <v>0.007245543415756129</v>
      </c>
      <c r="E146" s="14">
        <v>3341</v>
      </c>
      <c r="F146" s="12">
        <v>0.00784313725490196</v>
      </c>
      <c r="G146" s="17">
        <f t="shared" si="4"/>
        <v>1.3106730885422757</v>
      </c>
      <c r="H146" s="15">
        <f t="shared" si="6"/>
        <v>1.450186430461724</v>
      </c>
      <c r="I146" s="5">
        <f t="shared" si="7"/>
        <v>0.9026693467876936</v>
      </c>
    </row>
    <row r="147" spans="1:9" ht="12.75">
      <c r="A147">
        <f t="shared" si="5"/>
        <v>146</v>
      </c>
      <c r="B147" s="11">
        <v>42490</v>
      </c>
      <c r="C147" s="14">
        <v>943.65</v>
      </c>
      <c r="D147" s="12">
        <v>0.0774720255766157</v>
      </c>
      <c r="E147" s="14">
        <v>3322</v>
      </c>
      <c r="F147" s="12">
        <v>-0.005686920083807243</v>
      </c>
      <c r="G147" s="17">
        <f t="shared" si="4"/>
        <v>1.295213299335589</v>
      </c>
      <c r="H147" s="15">
        <f t="shared" si="6"/>
        <v>1.4479612489815505</v>
      </c>
      <c r="I147" s="5">
        <f t="shared" si="7"/>
        <v>0.928154878826625</v>
      </c>
    </row>
    <row r="148" spans="1:9" ht="12.75">
      <c r="A148">
        <f t="shared" si="5"/>
        <v>147</v>
      </c>
      <c r="B148" s="11">
        <v>42497</v>
      </c>
      <c r="C148" s="14">
        <v>910.05</v>
      </c>
      <c r="D148" s="12">
        <v>-0.035606421872516315</v>
      </c>
      <c r="E148" s="14">
        <v>3279</v>
      </c>
      <c r="F148" s="12">
        <v>-0.012944009632751354</v>
      </c>
      <c r="G148" s="17">
        <f t="shared" si="4"/>
        <v>1.3833293118031948</v>
      </c>
      <c r="H148" s="15">
        <f t="shared" si="6"/>
        <v>1.446656078788285</v>
      </c>
      <c r="I148" s="5">
        <f t="shared" si="7"/>
        <v>0.9512064793884798</v>
      </c>
    </row>
    <row r="149" spans="1:9" ht="12.75">
      <c r="A149">
        <f t="shared" si="5"/>
        <v>148</v>
      </c>
      <c r="B149" s="11">
        <v>42504</v>
      </c>
      <c r="C149" s="14">
        <v>949.1</v>
      </c>
      <c r="D149" s="12">
        <v>0.042909730234602574</v>
      </c>
      <c r="E149" s="14">
        <v>3316</v>
      </c>
      <c r="F149" s="12">
        <v>0.011283928026837451</v>
      </c>
      <c r="G149" s="17">
        <f t="shared" si="4"/>
        <v>1.3758138274943867</v>
      </c>
      <c r="H149" s="15">
        <f t="shared" si="6"/>
        <v>1.444148082923068</v>
      </c>
      <c r="I149" s="5">
        <f t="shared" si="7"/>
        <v>0.9722318550341538</v>
      </c>
    </row>
    <row r="150" spans="1:9" ht="12.75">
      <c r="A150">
        <f t="shared" si="5"/>
        <v>149</v>
      </c>
      <c r="B150" s="11">
        <v>42511</v>
      </c>
      <c r="C150" s="14">
        <v>977.5</v>
      </c>
      <c r="D150" s="12">
        <v>0.029923085027921164</v>
      </c>
      <c r="E150" s="14">
        <v>3283</v>
      </c>
      <c r="F150" s="12">
        <v>-0.009951749095295536</v>
      </c>
      <c r="G150" s="17">
        <f t="shared" si="4"/>
        <v>1.369312947562289</v>
      </c>
      <c r="H150" s="15">
        <f t="shared" si="6"/>
        <v>1.4410993612580052</v>
      </c>
      <c r="I150" s="5">
        <f t="shared" si="7"/>
        <v>0.9916654882956608</v>
      </c>
    </row>
    <row r="151" spans="1:9" ht="12.75">
      <c r="A151">
        <f t="shared" si="5"/>
        <v>150</v>
      </c>
      <c r="B151" s="11">
        <v>42518</v>
      </c>
      <c r="C151" s="14">
        <v>1026.7</v>
      </c>
      <c r="D151" s="12">
        <v>0.05033248081841437</v>
      </c>
      <c r="E151" s="14">
        <v>3436</v>
      </c>
      <c r="F151" s="12">
        <v>0.046603716113310996</v>
      </c>
      <c r="G151" s="17">
        <f t="shared" si="4"/>
        <v>1.3230226685959474</v>
      </c>
      <c r="H151" s="15">
        <f t="shared" si="6"/>
        <v>1.4396184684399456</v>
      </c>
      <c r="I151" s="5">
        <f t="shared" si="7"/>
        <v>1.009699313639809</v>
      </c>
    </row>
    <row r="152" spans="1:9" ht="12.75">
      <c r="A152">
        <f t="shared" si="5"/>
        <v>151</v>
      </c>
      <c r="B152" s="11">
        <v>42525</v>
      </c>
      <c r="C152" s="14">
        <v>1049.25</v>
      </c>
      <c r="D152" s="12">
        <v>0.02196357261127881</v>
      </c>
      <c r="E152" s="14">
        <v>3461</v>
      </c>
      <c r="F152" s="12">
        <v>0.007275902211874272</v>
      </c>
      <c r="G152" s="17">
        <f t="shared" si="4"/>
        <v>1.3296505207550573</v>
      </c>
      <c r="H152" s="15">
        <f t="shared" si="6"/>
        <v>1.4367518701057342</v>
      </c>
      <c r="I152" s="5">
        <f t="shared" si="7"/>
        <v>1.027545555915233</v>
      </c>
    </row>
    <row r="153" spans="1:9" ht="12.75">
      <c r="A153">
        <f t="shared" si="5"/>
        <v>152</v>
      </c>
      <c r="B153" s="11">
        <v>42532</v>
      </c>
      <c r="C153" s="14">
        <v>1062.25</v>
      </c>
      <c r="D153" s="12">
        <v>0.012389802239695021</v>
      </c>
      <c r="E153" s="14">
        <v>3448</v>
      </c>
      <c r="F153" s="12">
        <v>-0.0037561398439757295</v>
      </c>
      <c r="G153" s="17">
        <f t="shared" si="4"/>
        <v>1.315677819438841</v>
      </c>
      <c r="H153" s="15">
        <f t="shared" si="6"/>
        <v>1.4336635633865114</v>
      </c>
      <c r="I153" s="5">
        <f t="shared" si="7"/>
        <v>1.0446689513980216</v>
      </c>
    </row>
    <row r="154" spans="1:9" ht="12.75">
      <c r="A154">
        <f t="shared" si="5"/>
        <v>153</v>
      </c>
      <c r="B154" s="11">
        <v>42539</v>
      </c>
      <c r="C154" s="14">
        <v>1070.3</v>
      </c>
      <c r="D154" s="12">
        <v>0.0075782537067544875</v>
      </c>
      <c r="E154" s="14">
        <v>3447</v>
      </c>
      <c r="F154" s="12">
        <v>-0.0002900232018561485</v>
      </c>
      <c r="G154" s="17">
        <f t="shared" si="4"/>
        <v>1.3373943120301437</v>
      </c>
      <c r="H154" s="15">
        <f t="shared" si="6"/>
        <v>1.4319844114446691</v>
      </c>
      <c r="I154" s="5">
        <f t="shared" si="7"/>
        <v>1.061146379724464</v>
      </c>
    </row>
    <row r="155" spans="1:9" ht="12.75">
      <c r="A155">
        <f t="shared" si="5"/>
        <v>154</v>
      </c>
      <c r="B155" s="11">
        <v>42546</v>
      </c>
      <c r="C155" s="14">
        <v>1079.95</v>
      </c>
      <c r="D155" s="12">
        <v>0.00901616369242277</v>
      </c>
      <c r="E155" s="14">
        <v>3418</v>
      </c>
      <c r="F155" s="12">
        <v>-0.00841311285175515</v>
      </c>
      <c r="G155" s="17">
        <f t="shared" si="4"/>
        <v>1.3260956211705741</v>
      </c>
      <c r="H155" s="15">
        <f t="shared" si="6"/>
        <v>1.4298252554316933</v>
      </c>
      <c r="I155" s="5">
        <f t="shared" si="7"/>
        <v>1.0768031032854624</v>
      </c>
    </row>
    <row r="156" spans="1:9" ht="12.75">
      <c r="A156">
        <f t="shared" si="5"/>
        <v>155</v>
      </c>
      <c r="B156" s="11">
        <v>42553</v>
      </c>
      <c r="C156" s="14">
        <v>1129.9</v>
      </c>
      <c r="D156" s="12">
        <v>0.04625214130283813</v>
      </c>
      <c r="E156" s="14">
        <v>3539</v>
      </c>
      <c r="F156" s="12">
        <v>0.03540081919251024</v>
      </c>
      <c r="G156" s="17">
        <f t="shared" si="4"/>
        <v>1.2890957785856991</v>
      </c>
      <c r="H156" s="15">
        <f t="shared" si="6"/>
        <v>1.427182065174321</v>
      </c>
      <c r="I156" s="5">
        <f t="shared" si="7"/>
        <v>1.091650403298099</v>
      </c>
    </row>
    <row r="157" spans="1:9" ht="12.75">
      <c r="A157">
        <f t="shared" si="5"/>
        <v>156</v>
      </c>
      <c r="B157" s="11">
        <v>42560</v>
      </c>
      <c r="C157" s="14">
        <v>1119.1</v>
      </c>
      <c r="D157" s="12">
        <v>-0.009558367997168051</v>
      </c>
      <c r="E157" s="14">
        <v>3542</v>
      </c>
      <c r="F157" s="12">
        <v>0.0008476970895733258</v>
      </c>
      <c r="G157" s="17">
        <f t="shared" si="4"/>
        <v>1.2088719323166595</v>
      </c>
      <c r="H157" s="15">
        <f t="shared" si="6"/>
        <v>1.4231724203671836</v>
      </c>
      <c r="I157" s="5">
        <f t="shared" si="7"/>
        <v>1.1057283499275992</v>
      </c>
    </row>
    <row r="158" spans="1:9" ht="12.75">
      <c r="A158">
        <f t="shared" si="5"/>
        <v>157</v>
      </c>
      <c r="B158" s="11">
        <v>42567</v>
      </c>
      <c r="C158" s="14">
        <v>1178.95</v>
      </c>
      <c r="D158" s="12">
        <v>0.05348047538200352</v>
      </c>
      <c r="E158" s="14">
        <v>3625</v>
      </c>
      <c r="F158" s="12">
        <v>0.023433088650479956</v>
      </c>
      <c r="G158" s="17">
        <f t="shared" si="4"/>
        <v>1.2058743939560563</v>
      </c>
      <c r="H158" s="15">
        <f t="shared" si="6"/>
        <v>1.4199582138730693</v>
      </c>
      <c r="I158" s="5">
        <f t="shared" si="7"/>
        <v>1.118798206867425</v>
      </c>
    </row>
    <row r="159" spans="1:9" ht="12.75">
      <c r="A159">
        <f t="shared" si="5"/>
        <v>158</v>
      </c>
      <c r="B159" s="11">
        <v>42574</v>
      </c>
      <c r="C159" s="14">
        <v>1158.35</v>
      </c>
      <c r="D159" s="12">
        <v>-0.017473175283091003</v>
      </c>
      <c r="E159" s="14">
        <v>3641</v>
      </c>
      <c r="F159" s="12">
        <v>0.004413793103448276</v>
      </c>
      <c r="G159" s="17">
        <f t="shared" si="4"/>
        <v>1.2117350183098774</v>
      </c>
      <c r="H159" s="15">
        <f t="shared" si="6"/>
        <v>1.4166729890535463</v>
      </c>
      <c r="I159" s="5">
        <f t="shared" si="7"/>
        <v>1.1307874221329397</v>
      </c>
    </row>
    <row r="160" spans="1:9" ht="12.75">
      <c r="A160">
        <f t="shared" si="5"/>
        <v>159</v>
      </c>
      <c r="B160" s="11">
        <v>42581</v>
      </c>
      <c r="C160" s="14">
        <v>1217.2</v>
      </c>
      <c r="D160" s="12">
        <v>0.05080502438813842</v>
      </c>
      <c r="E160" s="14">
        <v>3692</v>
      </c>
      <c r="F160" s="12">
        <v>0.014007140895358419</v>
      </c>
      <c r="G160" s="17">
        <f t="shared" si="4"/>
        <v>1.2345947179347383</v>
      </c>
      <c r="H160" s="15">
        <f t="shared" si="6"/>
        <v>1.4149522234898848</v>
      </c>
      <c r="I160" s="5">
        <f t="shared" si="7"/>
        <v>1.1418229772699218</v>
      </c>
    </row>
    <row r="161" spans="1:9" ht="12.75">
      <c r="A161">
        <f t="shared" si="5"/>
        <v>160</v>
      </c>
      <c r="B161" s="11">
        <v>42588</v>
      </c>
      <c r="C161" s="14">
        <v>1258.2</v>
      </c>
      <c r="D161" s="12">
        <v>0.03368386460729543</v>
      </c>
      <c r="E161" s="14">
        <v>3706</v>
      </c>
      <c r="F161" s="12">
        <v>0.003791982665222102</v>
      </c>
      <c r="G161" s="17">
        <f t="shared" si="4"/>
        <v>1.19205264434966</v>
      </c>
      <c r="H161" s="15">
        <f t="shared" si="6"/>
        <v>1.4131073078454806</v>
      </c>
      <c r="I161" s="5">
        <f t="shared" si="7"/>
        <v>1.1517966951466239</v>
      </c>
    </row>
    <row r="162" spans="1:9" ht="12.75">
      <c r="A162">
        <f t="shared" si="5"/>
        <v>161</v>
      </c>
      <c r="B162" s="11">
        <v>42595</v>
      </c>
      <c r="C162" s="14">
        <v>1291</v>
      </c>
      <c r="D162" s="12">
        <v>0.026068987442377962</v>
      </c>
      <c r="E162" s="14">
        <v>3700</v>
      </c>
      <c r="F162" s="12">
        <v>-0.0016189962223421479</v>
      </c>
      <c r="G162" s="17">
        <f t="shared" si="4"/>
        <v>1.1371058158039775</v>
      </c>
      <c r="H162" s="15">
        <f t="shared" si="6"/>
        <v>1.4104992904533447</v>
      </c>
      <c r="I162" s="5">
        <f t="shared" si="7"/>
        <v>1.1604706012094774</v>
      </c>
    </row>
    <row r="163" spans="1:9" ht="12.75">
      <c r="A163">
        <f t="shared" si="5"/>
        <v>162</v>
      </c>
      <c r="B163" s="11">
        <v>42602</v>
      </c>
      <c r="C163" s="14">
        <v>1336.65</v>
      </c>
      <c r="D163" s="12">
        <v>0.03536018590240131</v>
      </c>
      <c r="E163" s="14">
        <v>3721</v>
      </c>
      <c r="F163" s="12">
        <v>0.005675675675675676</v>
      </c>
      <c r="G163" s="17">
        <f t="shared" si="4"/>
        <v>1.1517361365525522</v>
      </c>
      <c r="H163" s="15">
        <f t="shared" si="6"/>
        <v>1.4072047844108388</v>
      </c>
      <c r="I163" s="5">
        <f aca="true" t="shared" si="8" ref="I163:I211">FORECAST(A163+52,H112:H163,A112:A163)</f>
        <v>1.1677004357709675</v>
      </c>
    </row>
    <row r="164" spans="1:9" ht="12.75">
      <c r="A164">
        <f t="shared" si="5"/>
        <v>163</v>
      </c>
      <c r="B164" s="11">
        <v>42609</v>
      </c>
      <c r="C164" s="14">
        <v>1326.25</v>
      </c>
      <c r="D164" s="12">
        <v>-0.007780645643960716</v>
      </c>
      <c r="E164" s="14">
        <v>3690</v>
      </c>
      <c r="F164" s="12">
        <v>-0.0083310937919914</v>
      </c>
      <c r="G164" s="17">
        <f t="shared" si="4"/>
        <v>1.1193853074210138</v>
      </c>
      <c r="H164" s="15">
        <f t="shared" si="6"/>
        <v>1.4050115933209928</v>
      </c>
      <c r="I164" s="5">
        <f t="shared" si="8"/>
        <v>1.1737037551215543</v>
      </c>
    </row>
    <row r="165" spans="1:9" ht="12.75">
      <c r="A165">
        <f t="shared" si="5"/>
        <v>164</v>
      </c>
      <c r="B165" s="11">
        <v>42616</v>
      </c>
      <c r="C165" s="14">
        <v>1387.5</v>
      </c>
      <c r="D165" s="12">
        <v>0.046182846371347785</v>
      </c>
      <c r="E165" s="14">
        <v>3774</v>
      </c>
      <c r="F165" s="12">
        <v>0.022764227642276424</v>
      </c>
      <c r="G165" s="17">
        <f aca="true" t="shared" si="9" ref="G165:G211">COVAR(D136:D165,F136:F165)/VARP(F136:F165)</f>
        <v>1.159283275525516</v>
      </c>
      <c r="H165" s="15">
        <f t="shared" si="6"/>
        <v>1.4048992631453459</v>
      </c>
      <c r="I165" s="5">
        <f t="shared" si="8"/>
        <v>1.1785059828783124</v>
      </c>
    </row>
    <row r="166" spans="1:9" ht="12.75">
      <c r="A166">
        <f t="shared" si="5"/>
        <v>165</v>
      </c>
      <c r="B166" s="11">
        <v>42623</v>
      </c>
      <c r="C166" s="14">
        <v>1277.25</v>
      </c>
      <c r="D166" s="12">
        <v>-0.07945945945945945</v>
      </c>
      <c r="E166" s="14">
        <v>3811</v>
      </c>
      <c r="F166" s="12">
        <v>0.00980392156862745</v>
      </c>
      <c r="G166" s="17">
        <f t="shared" si="9"/>
        <v>1.0391830310652068</v>
      </c>
      <c r="H166" s="15">
        <f t="shared" si="6"/>
        <v>1.4007515407069289</v>
      </c>
      <c r="I166" s="5">
        <f t="shared" si="8"/>
        <v>1.1815762002477557</v>
      </c>
    </row>
    <row r="167" spans="1:9" ht="12.75">
      <c r="A167">
        <f t="shared" si="5"/>
        <v>166</v>
      </c>
      <c r="B167" s="11">
        <v>42630</v>
      </c>
      <c r="C167" s="14">
        <v>1168.35</v>
      </c>
      <c r="D167" s="12">
        <v>-0.08526130358191435</v>
      </c>
      <c r="E167" s="14">
        <v>3768</v>
      </c>
      <c r="F167" s="12">
        <v>-0.011283127787982157</v>
      </c>
      <c r="G167" s="17">
        <f t="shared" si="9"/>
        <v>1.2653119211084611</v>
      </c>
      <c r="H167" s="15">
        <f t="shared" si="6"/>
        <v>1.399019454642382</v>
      </c>
      <c r="I167" s="5">
        <f t="shared" si="8"/>
        <v>1.183351842835744</v>
      </c>
    </row>
    <row r="168" spans="1:9" ht="12.75">
      <c r="A168">
        <f t="shared" si="5"/>
        <v>167</v>
      </c>
      <c r="B168" s="11">
        <v>42637</v>
      </c>
      <c r="C168" s="14">
        <v>1232.4</v>
      </c>
      <c r="D168" s="12">
        <v>0.054820901271023396</v>
      </c>
      <c r="E168" s="14">
        <v>3800</v>
      </c>
      <c r="F168" s="12">
        <v>0.008492569002123142</v>
      </c>
      <c r="G168" s="17">
        <f t="shared" si="9"/>
        <v>1.2106215667236158</v>
      </c>
      <c r="H168" s="15">
        <f t="shared" si="6"/>
        <v>1.3955128333410163</v>
      </c>
      <c r="I168" s="5">
        <f t="shared" si="8"/>
        <v>1.1836202312275605</v>
      </c>
    </row>
    <row r="169" spans="1:9" ht="12.75">
      <c r="A169">
        <f t="shared" si="5"/>
        <v>168</v>
      </c>
      <c r="B169" s="11">
        <v>42644</v>
      </c>
      <c r="C169" s="14">
        <v>1254.25</v>
      </c>
      <c r="D169" s="12">
        <v>0.017729633235962276</v>
      </c>
      <c r="E169" s="14">
        <v>3720</v>
      </c>
      <c r="F169" s="12">
        <v>-0.021052631578947368</v>
      </c>
      <c r="G169" s="17">
        <f t="shared" si="9"/>
        <v>0.9463850692264624</v>
      </c>
      <c r="H169" s="15">
        <f t="shared" si="6"/>
        <v>1.3875403411825824</v>
      </c>
      <c r="I169" s="5">
        <f t="shared" si="8"/>
        <v>1.1822163593893653</v>
      </c>
    </row>
    <row r="170" spans="1:9" ht="12.75">
      <c r="A170">
        <f t="shared" si="5"/>
        <v>169</v>
      </c>
      <c r="B170" s="11">
        <v>42651</v>
      </c>
      <c r="C170" s="14">
        <v>1275.1</v>
      </c>
      <c r="D170" s="12">
        <v>0.016623480167430663</v>
      </c>
      <c r="E170" s="14">
        <v>3779</v>
      </c>
      <c r="F170" s="12">
        <v>0.015860215053763442</v>
      </c>
      <c r="G170" s="17">
        <f t="shared" si="9"/>
        <v>0.9527368826100274</v>
      </c>
      <c r="H170" s="15">
        <f t="shared" si="6"/>
        <v>1.3820106318644474</v>
      </c>
      <c r="I170" s="5">
        <f t="shared" si="8"/>
        <v>1.1794978275810024</v>
      </c>
    </row>
    <row r="171" spans="1:9" ht="12.75">
      <c r="A171">
        <f t="shared" si="5"/>
        <v>170</v>
      </c>
      <c r="B171" s="11">
        <v>42658</v>
      </c>
      <c r="C171" s="14">
        <v>1259.95</v>
      </c>
      <c r="D171" s="12">
        <v>-0.011881421065014403</v>
      </c>
      <c r="E171" s="14">
        <v>3734</v>
      </c>
      <c r="F171" s="12">
        <v>-0.01190791214607039</v>
      </c>
      <c r="G171" s="17">
        <f t="shared" si="9"/>
        <v>0.979251339234535</v>
      </c>
      <c r="H171" s="15">
        <f t="shared" si="6"/>
        <v>1.3759792954807197</v>
      </c>
      <c r="I171" s="5">
        <f t="shared" si="8"/>
        <v>1.1757069941093672</v>
      </c>
    </row>
    <row r="172" spans="1:9" ht="12.75">
      <c r="A172">
        <f t="shared" si="5"/>
        <v>171</v>
      </c>
      <c r="B172" s="11">
        <v>42665</v>
      </c>
      <c r="C172" s="14">
        <v>1317.05</v>
      </c>
      <c r="D172" s="12">
        <v>0.04531925870074202</v>
      </c>
      <c r="E172" s="14">
        <v>3782</v>
      </c>
      <c r="F172" s="12">
        <v>0.012854847348687734</v>
      </c>
      <c r="G172" s="17">
        <f t="shared" si="9"/>
        <v>0.9794399865882361</v>
      </c>
      <c r="H172" s="15">
        <f t="shared" si="6"/>
        <v>1.369511883169924</v>
      </c>
      <c r="I172" s="5">
        <f t="shared" si="8"/>
        <v>1.17124589831155</v>
      </c>
    </row>
    <row r="173" spans="1:9" ht="12.75">
      <c r="A173">
        <f t="shared" si="5"/>
        <v>172</v>
      </c>
      <c r="B173" s="11">
        <v>42672</v>
      </c>
      <c r="C173" s="14">
        <v>1271.9</v>
      </c>
      <c r="D173" s="12">
        <v>-0.03428115865001319</v>
      </c>
      <c r="E173" s="14">
        <v>3754</v>
      </c>
      <c r="F173" s="12">
        <v>-0.007403490216816499</v>
      </c>
      <c r="G173" s="17">
        <f t="shared" si="9"/>
        <v>1.0381479846390589</v>
      </c>
      <c r="H173" s="15">
        <f t="shared" si="6"/>
        <v>1.3647933305726396</v>
      </c>
      <c r="I173" s="5">
        <f t="shared" si="8"/>
        <v>1.1661317075336002</v>
      </c>
    </row>
    <row r="174" spans="1:9" ht="12.75">
      <c r="A174">
        <f t="shared" si="5"/>
        <v>173</v>
      </c>
      <c r="B174" s="11">
        <v>42679</v>
      </c>
      <c r="C174" s="14">
        <v>1196.4</v>
      </c>
      <c r="D174" s="12">
        <v>-0.05936001257960531</v>
      </c>
      <c r="E174" s="14">
        <v>3649</v>
      </c>
      <c r="F174" s="12">
        <v>-0.02797016515716569</v>
      </c>
      <c r="G174" s="17">
        <f t="shared" si="9"/>
        <v>1.1965623141688932</v>
      </c>
      <c r="H174" s="15">
        <f t="shared" si="6"/>
        <v>1.3618792385752694</v>
      </c>
      <c r="I174" s="5">
        <f t="shared" si="8"/>
        <v>1.1608964738356593</v>
      </c>
    </row>
    <row r="175" spans="1:9" ht="12.75">
      <c r="A175">
        <f t="shared" si="5"/>
        <v>174</v>
      </c>
      <c r="B175" s="11">
        <v>42686</v>
      </c>
      <c r="C175" s="14">
        <v>1215.5</v>
      </c>
      <c r="D175" s="12">
        <v>0.015964560347709718</v>
      </c>
      <c r="E175" s="14">
        <v>3578</v>
      </c>
      <c r="F175" s="12">
        <v>-0.019457385585091806</v>
      </c>
      <c r="G175" s="17">
        <f t="shared" si="9"/>
        <v>1.221154230725317</v>
      </c>
      <c r="H175" s="15">
        <f t="shared" si="6"/>
        <v>1.3596973630883833</v>
      </c>
      <c r="I175" s="5">
        <f t="shared" si="8"/>
        <v>1.1557241345488811</v>
      </c>
    </row>
    <row r="176" spans="1:9" ht="12.75">
      <c r="A176">
        <f t="shared" si="5"/>
        <v>175</v>
      </c>
      <c r="B176" s="11">
        <v>42693</v>
      </c>
      <c r="C176" s="14">
        <v>1179.85</v>
      </c>
      <c r="D176" s="12">
        <v>-0.029329494035376463</v>
      </c>
      <c r="E176" s="14">
        <v>3473</v>
      </c>
      <c r="F176" s="12">
        <v>-0.029346003353828955</v>
      </c>
      <c r="G176" s="17">
        <f t="shared" si="9"/>
        <v>1.237234007015734</v>
      </c>
      <c r="H176" s="15">
        <f t="shared" si="6"/>
        <v>1.3547670637321896</v>
      </c>
      <c r="I176" s="5">
        <f t="shared" si="8"/>
        <v>1.1504278190933181</v>
      </c>
    </row>
    <row r="177" spans="1:9" ht="12.75">
      <c r="A177">
        <f t="shared" si="5"/>
        <v>176</v>
      </c>
      <c r="B177" s="11">
        <v>42700</v>
      </c>
      <c r="C177" s="14">
        <v>1167.5</v>
      </c>
      <c r="D177" s="12">
        <v>-0.010467432300716116</v>
      </c>
      <c r="E177" s="14">
        <v>3500</v>
      </c>
      <c r="F177" s="12">
        <v>0.007774258566081198</v>
      </c>
      <c r="G177" s="17">
        <f t="shared" si="9"/>
        <v>1.283303227439221</v>
      </c>
      <c r="H177" s="15">
        <f t="shared" si="6"/>
        <v>1.3496368504216354</v>
      </c>
      <c r="I177" s="5">
        <f t="shared" si="8"/>
        <v>1.1452967798435754</v>
      </c>
    </row>
    <row r="178" spans="1:9" ht="12.75">
      <c r="A178">
        <f t="shared" si="5"/>
        <v>177</v>
      </c>
      <c r="B178" s="11">
        <v>42707</v>
      </c>
      <c r="C178" s="14">
        <v>1150</v>
      </c>
      <c r="D178" s="12">
        <v>-0.014989293361884369</v>
      </c>
      <c r="E178" s="14">
        <v>3492</v>
      </c>
      <c r="F178" s="12">
        <v>-0.002285714285714286</v>
      </c>
      <c r="G178" s="17">
        <f t="shared" si="9"/>
        <v>1.2488846656886226</v>
      </c>
      <c r="H178" s="15">
        <f t="shared" si="6"/>
        <v>1.343794014745465</v>
      </c>
      <c r="I178" s="5">
        <f t="shared" si="8"/>
        <v>1.1404560073202399</v>
      </c>
    </row>
    <row r="179" spans="1:9" ht="12.75">
      <c r="A179">
        <f t="shared" si="5"/>
        <v>178</v>
      </c>
      <c r="B179" s="11">
        <v>42714</v>
      </c>
      <c r="C179" s="14">
        <v>1218.65</v>
      </c>
      <c r="D179" s="12">
        <v>0.05969565217391312</v>
      </c>
      <c r="E179" s="14">
        <v>3570</v>
      </c>
      <c r="F179" s="12">
        <v>0.022336769759450172</v>
      </c>
      <c r="G179" s="17">
        <f t="shared" si="9"/>
        <v>1.284541720648048</v>
      </c>
      <c r="H179" s="15">
        <f t="shared" si="6"/>
        <v>1.3374442549958967</v>
      </c>
      <c r="I179" s="5">
        <f t="shared" si="8"/>
        <v>1.1362633547127516</v>
      </c>
    </row>
    <row r="180" spans="1:9" ht="12.75">
      <c r="A180">
        <f t="shared" si="5"/>
        <v>179</v>
      </c>
      <c r="B180" s="11">
        <v>42721</v>
      </c>
      <c r="C180" s="14">
        <v>1181.3</v>
      </c>
      <c r="D180" s="12">
        <v>-0.030648668608706464</v>
      </c>
      <c r="E180" s="14">
        <v>3507</v>
      </c>
      <c r="F180" s="12">
        <v>-0.01764705882352941</v>
      </c>
      <c r="G180" s="17">
        <f t="shared" si="9"/>
        <v>1.3651414770825014</v>
      </c>
      <c r="H180" s="15">
        <f t="shared" si="6"/>
        <v>1.3314579579623174</v>
      </c>
      <c r="I180" s="5">
        <f t="shared" si="8"/>
        <v>1.1329115476525673</v>
      </c>
    </row>
    <row r="181" spans="1:9" ht="12.75">
      <c r="A181">
        <f t="shared" si="5"/>
        <v>180</v>
      </c>
      <c r="B181" s="11">
        <v>42728</v>
      </c>
      <c r="C181" s="14">
        <v>1124.65</v>
      </c>
      <c r="D181" s="12">
        <v>-0.04795564208922362</v>
      </c>
      <c r="E181" s="14">
        <v>3429</v>
      </c>
      <c r="F181" s="12">
        <v>-0.022241231822070145</v>
      </c>
      <c r="G181" s="17">
        <f t="shared" si="9"/>
        <v>1.5346773182246707</v>
      </c>
      <c r="H181" s="15">
        <f t="shared" si="6"/>
        <v>1.3289481808893568</v>
      </c>
      <c r="I181" s="5">
        <f t="shared" si="8"/>
        <v>1.1308929305203759</v>
      </c>
    </row>
    <row r="182" spans="1:9" ht="12.75">
      <c r="A182">
        <f t="shared" si="5"/>
        <v>181</v>
      </c>
      <c r="B182" s="11">
        <v>42735</v>
      </c>
      <c r="C182" s="14">
        <v>1156.3</v>
      </c>
      <c r="D182" s="12">
        <v>0.028142088649802038</v>
      </c>
      <c r="E182" s="14">
        <v>3511</v>
      </c>
      <c r="F182" s="12">
        <v>0.023913677456984545</v>
      </c>
      <c r="G182" s="17">
        <f t="shared" si="9"/>
        <v>1.4932436008811598</v>
      </c>
      <c r="H182" s="15">
        <f t="shared" si="6"/>
        <v>1.3260800330771936</v>
      </c>
      <c r="I182" s="5">
        <f t="shared" si="8"/>
        <v>1.1291118540194072</v>
      </c>
    </row>
    <row r="183" spans="1:9" ht="12.75">
      <c r="A183">
        <f t="shared" si="5"/>
        <v>182</v>
      </c>
      <c r="B183" s="11">
        <v>42742</v>
      </c>
      <c r="C183" s="14">
        <v>1247.2</v>
      </c>
      <c r="D183" s="12">
        <v>0.07861281674305984</v>
      </c>
      <c r="E183" s="14">
        <v>3556</v>
      </c>
      <c r="F183" s="12">
        <v>0.012816861293078895</v>
      </c>
      <c r="G183" s="17">
        <f t="shared" si="9"/>
        <v>1.5826372800421618</v>
      </c>
      <c r="H183" s="15">
        <f t="shared" si="6"/>
        <v>1.3256109627667934</v>
      </c>
      <c r="I183" s="5">
        <f t="shared" si="8"/>
        <v>1.1281308599084374</v>
      </c>
    </row>
    <row r="184" spans="1:9" ht="12.75">
      <c r="A184">
        <f t="shared" si="5"/>
        <v>183</v>
      </c>
      <c r="B184" s="11">
        <v>42749</v>
      </c>
      <c r="C184" s="14">
        <v>1317.85</v>
      </c>
      <c r="D184" s="12">
        <v>0.056646889031430295</v>
      </c>
      <c r="E184" s="14">
        <v>3626</v>
      </c>
      <c r="F184" s="12">
        <v>0.01968503937007874</v>
      </c>
      <c r="G184" s="17">
        <f t="shared" si="9"/>
        <v>1.6279120358889727</v>
      </c>
      <c r="H184" s="15">
        <f t="shared" si="6"/>
        <v>1.3254489485906538</v>
      </c>
      <c r="I184" s="5">
        <f t="shared" si="8"/>
        <v>1.1280512286961604</v>
      </c>
    </row>
    <row r="185" spans="1:9" ht="12.75">
      <c r="A185">
        <f t="shared" si="5"/>
        <v>184</v>
      </c>
      <c r="B185" s="11">
        <v>42756</v>
      </c>
      <c r="C185" s="14">
        <v>1358.65</v>
      </c>
      <c r="D185" s="12">
        <v>0.030959517395758383</v>
      </c>
      <c r="E185" s="14">
        <v>3612</v>
      </c>
      <c r="F185" s="12">
        <v>-0.003861003861003861</v>
      </c>
      <c r="G185" s="17">
        <f t="shared" si="9"/>
        <v>1.627464261072655</v>
      </c>
      <c r="H185" s="15">
        <f t="shared" si="6"/>
        <v>1.3256762217795537</v>
      </c>
      <c r="I185" s="5">
        <f t="shared" si="8"/>
        <v>1.1286981694334743</v>
      </c>
    </row>
    <row r="186" spans="1:9" ht="12.75">
      <c r="A186">
        <f t="shared" si="5"/>
        <v>185</v>
      </c>
      <c r="B186" s="11">
        <v>42763</v>
      </c>
      <c r="C186" s="14">
        <v>1399.35</v>
      </c>
      <c r="D186" s="12">
        <v>0.029956206528539222</v>
      </c>
      <c r="E186" s="14">
        <v>3739</v>
      </c>
      <c r="F186" s="12">
        <v>0.035160575858250276</v>
      </c>
      <c r="G186" s="17">
        <f t="shared" si="9"/>
        <v>1.5651446935335036</v>
      </c>
      <c r="H186" s="15">
        <f t="shared" si="6"/>
        <v>1.3224415279990163</v>
      </c>
      <c r="I186" s="5">
        <f t="shared" si="8"/>
        <v>1.1295202524974113</v>
      </c>
    </row>
    <row r="187" spans="1:9" ht="12.75">
      <c r="A187">
        <f t="shared" si="5"/>
        <v>186</v>
      </c>
      <c r="B187" s="11">
        <v>42770</v>
      </c>
      <c r="C187" s="14">
        <v>1397.25</v>
      </c>
      <c r="D187" s="12">
        <v>-0.001500696752063393</v>
      </c>
      <c r="E187" s="14">
        <v>3790</v>
      </c>
      <c r="F187" s="12">
        <v>0.013640010698047607</v>
      </c>
      <c r="G187" s="17">
        <f t="shared" si="9"/>
        <v>1.5256333307708754</v>
      </c>
      <c r="H187" s="15">
        <f t="shared" si="6"/>
        <v>1.3196224533505825</v>
      </c>
      <c r="I187" s="5">
        <f t="shared" si="8"/>
        <v>1.130214161040175</v>
      </c>
    </row>
    <row r="188" spans="1:9" ht="12.75">
      <c r="A188">
        <f t="shared" si="5"/>
        <v>187</v>
      </c>
      <c r="B188" s="11">
        <v>42777</v>
      </c>
      <c r="C188" s="14">
        <v>1410.55</v>
      </c>
      <c r="D188" s="12">
        <v>0.009518697441402723</v>
      </c>
      <c r="E188" s="14">
        <v>3819</v>
      </c>
      <c r="F188" s="12">
        <v>0.007651715039577837</v>
      </c>
      <c r="G188" s="17">
        <f t="shared" si="9"/>
        <v>1.4860411806681766</v>
      </c>
      <c r="H188" s="15">
        <f t="shared" si="6"/>
        <v>1.3164496111028776</v>
      </c>
      <c r="I188" s="5">
        <f t="shared" si="8"/>
        <v>1.130843450981541</v>
      </c>
    </row>
    <row r="189" spans="1:9" ht="12.75">
      <c r="A189">
        <f t="shared" si="5"/>
        <v>188</v>
      </c>
      <c r="B189" s="11">
        <v>42784</v>
      </c>
      <c r="C189" s="14">
        <v>1440.6</v>
      </c>
      <c r="D189" s="12">
        <v>0.02130374676544607</v>
      </c>
      <c r="E189" s="14">
        <v>3828</v>
      </c>
      <c r="F189" s="12">
        <v>0.002356637863315004</v>
      </c>
      <c r="G189" s="17">
        <f t="shared" si="9"/>
        <v>1.4960160987970712</v>
      </c>
      <c r="H189" s="15">
        <f t="shared" si="6"/>
        <v>1.3157313800186874</v>
      </c>
      <c r="I189" s="5">
        <f t="shared" si="8"/>
        <v>1.1314275150413131</v>
      </c>
    </row>
    <row r="190" spans="1:9" ht="12.75">
      <c r="A190">
        <f t="shared" si="5"/>
        <v>189</v>
      </c>
      <c r="B190" s="11">
        <v>42791</v>
      </c>
      <c r="C190" s="14">
        <v>1444.6</v>
      </c>
      <c r="D190" s="12">
        <v>0.0027766208524226017</v>
      </c>
      <c r="E190" s="14">
        <v>3875</v>
      </c>
      <c r="F190" s="12">
        <v>0.012277951933124347</v>
      </c>
      <c r="G190" s="17">
        <f t="shared" si="9"/>
        <v>1.431462431053718</v>
      </c>
      <c r="H190" s="15">
        <f t="shared" si="6"/>
        <v>1.3137796188590285</v>
      </c>
      <c r="I190" s="5">
        <f t="shared" si="8"/>
        <v>1.1314748032268667</v>
      </c>
    </row>
    <row r="191" spans="1:9" ht="12.75">
      <c r="A191">
        <f t="shared" si="5"/>
        <v>190</v>
      </c>
      <c r="B191" s="11">
        <v>42798</v>
      </c>
      <c r="C191" s="14">
        <v>1435.35</v>
      </c>
      <c r="D191" s="12">
        <v>-0.006403156583137201</v>
      </c>
      <c r="E191" s="14">
        <v>3853</v>
      </c>
      <c r="F191" s="12">
        <v>-0.00567741935483871</v>
      </c>
      <c r="G191" s="17">
        <f t="shared" si="9"/>
        <v>1.4264573790582162</v>
      </c>
      <c r="H191" s="15">
        <f t="shared" si="6"/>
        <v>1.311286406882862</v>
      </c>
      <c r="I191" s="5">
        <f t="shared" si="8"/>
        <v>1.1309679302580753</v>
      </c>
    </row>
    <row r="192" spans="1:9" ht="12.75">
      <c r="A192">
        <f t="shared" si="5"/>
        <v>191</v>
      </c>
      <c r="B192" s="11">
        <v>42805</v>
      </c>
      <c r="C192" s="14">
        <v>1480</v>
      </c>
      <c r="D192" s="12">
        <v>0.03110739540878538</v>
      </c>
      <c r="E192" s="14">
        <v>3860</v>
      </c>
      <c r="F192" s="12">
        <v>0.0018167661562418895</v>
      </c>
      <c r="G192" s="17">
        <f t="shared" si="9"/>
        <v>1.4371496729450786</v>
      </c>
      <c r="H192" s="15">
        <f t="shared" si="6"/>
        <v>1.308854728774889</v>
      </c>
      <c r="I192" s="5">
        <f t="shared" si="8"/>
        <v>1.1296734199694325</v>
      </c>
    </row>
    <row r="193" spans="1:9" ht="12.75">
      <c r="A193">
        <f t="shared" si="5"/>
        <v>192</v>
      </c>
      <c r="B193" s="11">
        <v>42812</v>
      </c>
      <c r="C193" s="14">
        <v>1508.1</v>
      </c>
      <c r="D193" s="12">
        <v>0.018986486486486424</v>
      </c>
      <c r="E193" s="14">
        <v>3970</v>
      </c>
      <c r="F193" s="12">
        <v>0.02849740932642487</v>
      </c>
      <c r="G193" s="17">
        <f t="shared" si="9"/>
        <v>1.3531362332644616</v>
      </c>
      <c r="H193" s="15">
        <f t="shared" si="6"/>
        <v>1.3067473157985476</v>
      </c>
      <c r="I193" s="5">
        <f t="shared" si="8"/>
        <v>1.1276584276273955</v>
      </c>
    </row>
    <row r="194" spans="1:9" ht="12.75">
      <c r="A194">
        <f t="shared" si="5"/>
        <v>193</v>
      </c>
      <c r="B194" s="11">
        <v>42819</v>
      </c>
      <c r="C194" s="14">
        <v>1528.9</v>
      </c>
      <c r="D194" s="12">
        <v>0.013792188846893564</v>
      </c>
      <c r="E194" s="14">
        <v>3954</v>
      </c>
      <c r="F194" s="12">
        <v>-0.004030226700251889</v>
      </c>
      <c r="G194" s="17">
        <f t="shared" si="9"/>
        <v>1.3423085237679346</v>
      </c>
      <c r="H194" s="15">
        <f t="shared" si="6"/>
        <v>1.3035688354990478</v>
      </c>
      <c r="I194" s="5">
        <f t="shared" si="8"/>
        <v>1.1250230447570355</v>
      </c>
    </row>
    <row r="195" spans="1:9" ht="12.75">
      <c r="A195">
        <f aca="true" t="shared" si="10" ref="A195:A211">A194+1</f>
        <v>194</v>
      </c>
      <c r="B195" s="11">
        <v>42826</v>
      </c>
      <c r="C195" s="14">
        <v>1549.1</v>
      </c>
      <c r="D195" s="12">
        <v>0.013212113284060316</v>
      </c>
      <c r="E195" s="14">
        <v>3992</v>
      </c>
      <c r="F195" s="12">
        <v>0.009610520991401113</v>
      </c>
      <c r="G195" s="17">
        <f t="shared" si="9"/>
        <v>1.3073453068770122</v>
      </c>
      <c r="H195" s="15">
        <f t="shared" si="6"/>
        <v>1.2994119471520138</v>
      </c>
      <c r="I195" s="5">
        <f t="shared" si="8"/>
        <v>1.121912928298679</v>
      </c>
    </row>
    <row r="196" spans="1:9" ht="12.75">
      <c r="A196">
        <f t="shared" si="10"/>
        <v>195</v>
      </c>
      <c r="B196" s="11">
        <v>42833</v>
      </c>
      <c r="C196" s="14">
        <v>1553.1</v>
      </c>
      <c r="D196" s="12">
        <v>0.0025821444709831515</v>
      </c>
      <c r="E196" s="14">
        <v>4011</v>
      </c>
      <c r="F196" s="12">
        <v>0.004759519038076153</v>
      </c>
      <c r="G196" s="17">
        <f t="shared" si="9"/>
        <v>1.3956479013268654</v>
      </c>
      <c r="H196" s="15">
        <f t="shared" si="6"/>
        <v>1.2981234899373475</v>
      </c>
      <c r="I196" s="5">
        <f t="shared" si="8"/>
        <v>1.1190377853596223</v>
      </c>
    </row>
    <row r="197" spans="1:9" ht="12.75">
      <c r="A197">
        <f t="shared" si="10"/>
        <v>196</v>
      </c>
      <c r="B197" s="11">
        <v>42840</v>
      </c>
      <c r="C197" s="14">
        <v>1616.8</v>
      </c>
      <c r="D197" s="12">
        <v>0.04101474470414014</v>
      </c>
      <c r="E197" s="14">
        <v>4004</v>
      </c>
      <c r="F197" s="12">
        <v>-0.0017452006980802793</v>
      </c>
      <c r="G197" s="17">
        <f t="shared" si="9"/>
        <v>1.2545371779739847</v>
      </c>
      <c r="H197" s="15">
        <f t="shared" si="6"/>
        <v>1.2963583132229712</v>
      </c>
      <c r="I197" s="5">
        <f t="shared" si="8"/>
        <v>1.11601022513183</v>
      </c>
    </row>
    <row r="198" spans="1:9" ht="12.75">
      <c r="A198">
        <f t="shared" si="10"/>
        <v>197</v>
      </c>
      <c r="B198" s="11">
        <v>42847</v>
      </c>
      <c r="C198" s="14">
        <v>1543.4</v>
      </c>
      <c r="D198" s="12">
        <v>-0.04539831766452243</v>
      </c>
      <c r="E198" s="14">
        <v>4002</v>
      </c>
      <c r="F198" s="12">
        <v>-0.0004995004995004995</v>
      </c>
      <c r="G198" s="17">
        <f t="shared" si="9"/>
        <v>1.241092860958549</v>
      </c>
      <c r="H198" s="15">
        <f t="shared" si="6"/>
        <v>1.295020231923284</v>
      </c>
      <c r="I198" s="5">
        <f t="shared" si="8"/>
        <v>1.113360167918191</v>
      </c>
    </row>
    <row r="199" spans="1:9" ht="12.75">
      <c r="A199">
        <f t="shared" si="10"/>
        <v>198</v>
      </c>
      <c r="B199" s="11">
        <v>42854</v>
      </c>
      <c r="C199" s="14">
        <v>1630.7</v>
      </c>
      <c r="D199" s="12">
        <v>0.056563431385253306</v>
      </c>
      <c r="E199" s="14">
        <v>4083</v>
      </c>
      <c r="F199" s="12">
        <v>0.020239880059970013</v>
      </c>
      <c r="G199" s="17">
        <f t="shared" si="9"/>
        <v>1.4144886623881763</v>
      </c>
      <c r="H199" s="15">
        <f t="shared" si="6"/>
        <v>1.2973139889050647</v>
      </c>
      <c r="I199" s="5">
        <f t="shared" si="8"/>
        <v>1.1118205300715474</v>
      </c>
    </row>
    <row r="200" spans="1:9" ht="12.75">
      <c r="A200">
        <f t="shared" si="10"/>
        <v>199</v>
      </c>
      <c r="B200" s="11">
        <v>42861</v>
      </c>
      <c r="C200" s="14">
        <v>1608.7</v>
      </c>
      <c r="D200" s="12">
        <v>-0.013491138774759305</v>
      </c>
      <c r="E200" s="14">
        <v>4071</v>
      </c>
      <c r="F200" s="12">
        <v>-0.0029390154298310064</v>
      </c>
      <c r="G200" s="17">
        <f t="shared" si="9"/>
        <v>1.4427656176618546</v>
      </c>
      <c r="H200" s="15">
        <f t="shared" si="6"/>
        <v>1.2984569947869622</v>
      </c>
      <c r="I200" s="5">
        <f t="shared" si="8"/>
        <v>1.1112887455849776</v>
      </c>
    </row>
    <row r="201" spans="1:9" ht="12.75">
      <c r="A201">
        <f t="shared" si="10"/>
        <v>200</v>
      </c>
      <c r="B201" s="11">
        <v>42868</v>
      </c>
      <c r="C201" s="14">
        <v>1483.8</v>
      </c>
      <c r="D201" s="12">
        <v>-0.07764033070180897</v>
      </c>
      <c r="E201" s="14">
        <v>4123</v>
      </c>
      <c r="F201" s="12">
        <v>0.012773274379759274</v>
      </c>
      <c r="G201" s="17">
        <f t="shared" si="9"/>
        <v>1.3205268416778404</v>
      </c>
      <c r="H201" s="15">
        <f aca="true" t="shared" si="11" ref="H201:H211">AVERAGE(G150:G201)</f>
        <v>1.2973937835212594</v>
      </c>
      <c r="I201" s="5">
        <f t="shared" si="8"/>
        <v>1.11114617811959</v>
      </c>
    </row>
    <row r="202" spans="1:9" ht="12.75">
      <c r="A202">
        <f t="shared" si="10"/>
        <v>201</v>
      </c>
      <c r="B202" s="11">
        <v>42875</v>
      </c>
      <c r="C202" s="14">
        <v>1429.9</v>
      </c>
      <c r="D202" s="12">
        <v>-0.0363256503571909</v>
      </c>
      <c r="E202" s="14">
        <v>4109</v>
      </c>
      <c r="F202" s="12">
        <v>-0.003395585738539898</v>
      </c>
      <c r="G202" s="17">
        <f t="shared" si="9"/>
        <v>1.3131394467346162</v>
      </c>
      <c r="H202" s="15">
        <f t="shared" si="11"/>
        <v>1.296313523889958</v>
      </c>
      <c r="I202" s="5">
        <f t="shared" si="8"/>
        <v>1.1112956518956234</v>
      </c>
    </row>
    <row r="203" spans="1:9" ht="12.75">
      <c r="A203">
        <f t="shared" si="10"/>
        <v>202</v>
      </c>
      <c r="B203" s="11">
        <v>42882</v>
      </c>
      <c r="C203" s="14">
        <v>1492.6</v>
      </c>
      <c r="D203" s="12">
        <v>0.043849220225190444</v>
      </c>
      <c r="E203" s="14">
        <v>4153</v>
      </c>
      <c r="F203" s="12">
        <v>0.01070820150888294</v>
      </c>
      <c r="G203" s="17">
        <f t="shared" si="9"/>
        <v>1.306956952993717</v>
      </c>
      <c r="H203" s="15">
        <f t="shared" si="11"/>
        <v>1.2960045678206842</v>
      </c>
      <c r="I203" s="5">
        <f t="shared" si="8"/>
        <v>1.112113863236046</v>
      </c>
    </row>
    <row r="204" spans="1:9" ht="12.75">
      <c r="A204">
        <f t="shared" si="10"/>
        <v>203</v>
      </c>
      <c r="B204" s="11">
        <v>42889</v>
      </c>
      <c r="C204" s="14">
        <v>1482</v>
      </c>
      <c r="D204" s="12">
        <v>-0.007101701728527341</v>
      </c>
      <c r="E204" s="14">
        <v>4190</v>
      </c>
      <c r="F204" s="12">
        <v>0.008909222248976643</v>
      </c>
      <c r="G204" s="17">
        <f t="shared" si="9"/>
        <v>1.171542983349061</v>
      </c>
      <c r="H204" s="15">
        <f t="shared" si="11"/>
        <v>1.292964038255184</v>
      </c>
      <c r="I204" s="5">
        <f t="shared" si="8"/>
        <v>1.112863328431625</v>
      </c>
    </row>
    <row r="205" spans="1:9" ht="12.75">
      <c r="A205">
        <f t="shared" si="10"/>
        <v>204</v>
      </c>
      <c r="B205" s="11">
        <v>42896</v>
      </c>
      <c r="C205" s="14">
        <v>1486.3</v>
      </c>
      <c r="D205" s="12">
        <v>0.002901484480431818</v>
      </c>
      <c r="E205" s="14">
        <v>4204</v>
      </c>
      <c r="F205" s="12">
        <v>0.003341288782816229</v>
      </c>
      <c r="G205" s="17">
        <f t="shared" si="9"/>
        <v>1.3275119841013963</v>
      </c>
      <c r="H205" s="15">
        <f t="shared" si="11"/>
        <v>1.2931916183448484</v>
      </c>
      <c r="I205" s="5">
        <f t="shared" si="8"/>
        <v>1.1141248405579396</v>
      </c>
    </row>
    <row r="206" spans="1:9" ht="12.75">
      <c r="A206">
        <f t="shared" si="10"/>
        <v>205</v>
      </c>
      <c r="B206" s="11">
        <v>42903</v>
      </c>
      <c r="C206" s="14">
        <v>1441.8</v>
      </c>
      <c r="D206" s="12">
        <v>-0.029940119760479042</v>
      </c>
      <c r="E206" s="14">
        <v>4177</v>
      </c>
      <c r="F206" s="12">
        <v>-0.006422454804947669</v>
      </c>
      <c r="G206" s="17">
        <f t="shared" si="9"/>
        <v>1.4552654029340697</v>
      </c>
      <c r="H206" s="15">
        <f t="shared" si="11"/>
        <v>1.2954583700930007</v>
      </c>
      <c r="I206" s="5">
        <f t="shared" si="8"/>
        <v>1.116479710524998</v>
      </c>
    </row>
    <row r="207" spans="1:9" ht="12.75">
      <c r="A207">
        <f t="shared" si="10"/>
        <v>206</v>
      </c>
      <c r="B207" s="11">
        <v>42910</v>
      </c>
      <c r="C207" s="14">
        <v>1436.6</v>
      </c>
      <c r="D207" s="12">
        <v>-0.003606602857539219</v>
      </c>
      <c r="E207" s="14">
        <v>4158</v>
      </c>
      <c r="F207" s="12">
        <v>-0.004548719176442423</v>
      </c>
      <c r="G207" s="17">
        <f t="shared" si="9"/>
        <v>1.4530226853879862</v>
      </c>
      <c r="H207" s="15">
        <f t="shared" si="11"/>
        <v>1.2978992751741054</v>
      </c>
      <c r="I207" s="5">
        <f t="shared" si="8"/>
        <v>1.1198596299218417</v>
      </c>
    </row>
    <row r="208" spans="1:9" ht="12.75">
      <c r="A208">
        <f t="shared" si="10"/>
        <v>207</v>
      </c>
      <c r="B208" s="11">
        <v>42917</v>
      </c>
      <c r="C208" s="14">
        <v>1461.8</v>
      </c>
      <c r="D208" s="12">
        <v>0.017541417235138555</v>
      </c>
      <c r="E208" s="14">
        <v>4149</v>
      </c>
      <c r="F208" s="12">
        <v>-0.0021645021645021645</v>
      </c>
      <c r="G208" s="17">
        <f t="shared" si="9"/>
        <v>1.3999101838722965</v>
      </c>
      <c r="H208" s="15">
        <f t="shared" si="11"/>
        <v>1.3000303214296167</v>
      </c>
      <c r="I208" s="5">
        <f t="shared" si="8"/>
        <v>1.1241003611018217</v>
      </c>
    </row>
    <row r="209" spans="1:9" ht="12.75">
      <c r="A209">
        <f t="shared" si="10"/>
        <v>208</v>
      </c>
      <c r="B209" s="11">
        <v>42924</v>
      </c>
      <c r="C209" s="14">
        <v>1503.3</v>
      </c>
      <c r="D209" s="12">
        <v>0.028389656587768507</v>
      </c>
      <c r="E209" s="14">
        <v>4218</v>
      </c>
      <c r="F209" s="12">
        <v>0.016630513376717282</v>
      </c>
      <c r="G209" s="17">
        <f t="shared" si="9"/>
        <v>1.3123594149808067</v>
      </c>
      <c r="H209" s="15">
        <f t="shared" si="11"/>
        <v>1.302020465327004</v>
      </c>
      <c r="I209" s="5">
        <f t="shared" si="8"/>
        <v>1.1289305165454793</v>
      </c>
    </row>
    <row r="210" spans="1:9" ht="12.75">
      <c r="A210">
        <f t="shared" si="10"/>
        <v>209</v>
      </c>
      <c r="B210" s="11">
        <v>42931</v>
      </c>
      <c r="C210" s="14">
        <v>1565.3</v>
      </c>
      <c r="D210" s="12">
        <v>0.041242599614182134</v>
      </c>
      <c r="E210" s="14">
        <v>4304</v>
      </c>
      <c r="F210" s="12">
        <v>0.020388809862494073</v>
      </c>
      <c r="G210" s="17">
        <f t="shared" si="9"/>
        <v>1.3133692534884231</v>
      </c>
      <c r="H210" s="15">
        <f t="shared" si="11"/>
        <v>1.3040876741641645</v>
      </c>
      <c r="I210" s="5">
        <f t="shared" si="8"/>
        <v>1.1344490575603938</v>
      </c>
    </row>
    <row r="211" spans="1:9" ht="12.75">
      <c r="A211">
        <f t="shared" si="10"/>
        <v>210</v>
      </c>
      <c r="B211" s="11">
        <v>42938</v>
      </c>
      <c r="C211" s="14">
        <v>1578.8</v>
      </c>
      <c r="D211" s="12">
        <v>0.008624544815690284</v>
      </c>
      <c r="E211" s="14">
        <v>4316</v>
      </c>
      <c r="F211" s="12">
        <v>0.0027881040892193307</v>
      </c>
      <c r="G211" s="17">
        <f t="shared" si="9"/>
        <v>1.1401255201456686</v>
      </c>
      <c r="H211" s="15">
        <f t="shared" si="11"/>
        <v>1.3027105684302376</v>
      </c>
      <c r="I211" s="5">
        <f t="shared" si="8"/>
        <v>1.1399625814978482</v>
      </c>
    </row>
    <row r="212" spans="1:9" ht="12.75">
      <c r="A212">
        <f>A211+1</f>
        <v>211</v>
      </c>
      <c r="B212" s="208">
        <v>42945</v>
      </c>
      <c r="C212" s="206">
        <v>1844.1</v>
      </c>
      <c r="D212" s="12">
        <v>0.16803901697491763</v>
      </c>
      <c r="E212" s="206">
        <v>4358</v>
      </c>
      <c r="F212" s="12">
        <v>0.009731232622798888</v>
      </c>
      <c r="G212" s="17">
        <f>COVAR(D183:D212,F183:F212)/VARP(F183:F212)</f>
        <v>1.2669238813239527</v>
      </c>
      <c r="H212" s="15">
        <f>AVERAGE(G161:G212)</f>
        <v>1.3033322831107994</v>
      </c>
      <c r="I212" s="5">
        <f>FORECAST(A212+52,H161:H212,A161:A212)</f>
        <v>1.1460783740799199</v>
      </c>
    </row>
  </sheetData>
  <conditionalFormatting sqref="B2:B32">
    <cfRule type="expression" priority="1" dxfId="0" stopIfTrue="1">
      <formula>ISERROR(B2)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8"/>
  <sheetViews>
    <sheetView showGridLines="0" tabSelected="1" workbookViewId="0" topLeftCell="A1">
      <selection activeCell="Q44" sqref="Q44"/>
    </sheetView>
  </sheetViews>
  <sheetFormatPr defaultColWidth="9.140625" defaultRowHeight="12.75"/>
  <cols>
    <col min="1" max="1" width="5.00390625" style="0" bestFit="1" customWidth="1"/>
    <col min="2" max="2" width="15.8515625" style="0" customWidth="1"/>
    <col min="3" max="3" width="8.28125" style="0" customWidth="1"/>
    <col min="4" max="4" width="9.00390625" style="0" customWidth="1"/>
    <col min="5" max="5" width="8.57421875" style="0" customWidth="1"/>
    <col min="6" max="6" width="8.28125" style="0" customWidth="1"/>
    <col min="7" max="7" width="8.00390625" style="0" customWidth="1"/>
    <col min="8" max="8" width="7.140625" style="0" customWidth="1"/>
    <col min="9" max="9" width="8.421875" style="0" customWidth="1"/>
    <col min="10" max="10" width="8.28125" style="0" customWidth="1"/>
    <col min="11" max="11" width="8.00390625" style="0" bestFit="1" customWidth="1"/>
    <col min="12" max="12" width="7.28125" style="0" bestFit="1" customWidth="1"/>
    <col min="13" max="13" width="6.421875" style="0" customWidth="1"/>
    <col min="14" max="15" width="7.57421875" style="0" customWidth="1"/>
    <col min="16" max="16" width="8.7109375" style="0" bestFit="1" customWidth="1"/>
    <col min="18" max="18" width="9.8515625" style="0" bestFit="1" customWidth="1"/>
    <col min="19" max="19" width="8.7109375" style="0" bestFit="1" customWidth="1"/>
    <col min="20" max="20" width="8.421875" style="0" customWidth="1"/>
  </cols>
  <sheetData>
    <row r="1" spans="1:28" ht="18">
      <c r="A1" s="24"/>
      <c r="B1" s="25" t="s">
        <v>407</v>
      </c>
      <c r="C1" s="215" t="s">
        <v>408</v>
      </c>
      <c r="F1" s="203"/>
      <c r="G1" t="s">
        <v>405</v>
      </c>
      <c r="J1" s="204"/>
      <c r="K1" t="s">
        <v>406</v>
      </c>
      <c r="U1" s="216" t="s">
        <v>384</v>
      </c>
      <c r="V1" s="85"/>
      <c r="W1" s="85"/>
      <c r="X1" s="85"/>
      <c r="Y1" s="85"/>
      <c r="Z1" s="85"/>
      <c r="AA1" s="85"/>
      <c r="AB1" s="117"/>
    </row>
    <row r="2" spans="1:28" ht="38.25">
      <c r="A2" s="1" t="s">
        <v>335</v>
      </c>
      <c r="B2" s="210" t="s">
        <v>409</v>
      </c>
      <c r="C2" s="32" t="s">
        <v>336</v>
      </c>
      <c r="D2" s="33" t="s">
        <v>337</v>
      </c>
      <c r="E2" s="33" t="s">
        <v>338</v>
      </c>
      <c r="F2" s="33" t="s">
        <v>339</v>
      </c>
      <c r="G2" s="33" t="s">
        <v>340</v>
      </c>
      <c r="H2" s="34" t="s">
        <v>341</v>
      </c>
      <c r="I2" s="211" t="s">
        <v>342</v>
      </c>
      <c r="J2" s="33" t="s">
        <v>343</v>
      </c>
      <c r="K2" s="212" t="s">
        <v>344</v>
      </c>
      <c r="L2" s="212" t="s">
        <v>345</v>
      </c>
      <c r="M2" s="212" t="s">
        <v>346</v>
      </c>
      <c r="N2" s="212" t="s">
        <v>347</v>
      </c>
      <c r="O2" s="212" t="s">
        <v>348</v>
      </c>
      <c r="P2" s="213" t="s">
        <v>349</v>
      </c>
      <c r="Q2" s="211" t="s">
        <v>350</v>
      </c>
      <c r="R2" s="212" t="s">
        <v>351</v>
      </c>
      <c r="S2" s="214" t="s">
        <v>352</v>
      </c>
      <c r="T2" s="1"/>
      <c r="U2" s="217" t="s">
        <v>385</v>
      </c>
      <c r="V2" s="40"/>
      <c r="W2" s="40"/>
      <c r="X2" s="40"/>
      <c r="Y2" s="40"/>
      <c r="Z2" s="40"/>
      <c r="AA2" s="40"/>
      <c r="AB2" s="30"/>
    </row>
    <row r="3" spans="2:28" ht="12.75">
      <c r="B3" s="35">
        <v>40999</v>
      </c>
      <c r="C3" s="3">
        <v>132.4827195467422</v>
      </c>
      <c r="D3" s="36">
        <v>0.23089654716482189</v>
      </c>
      <c r="E3" s="37">
        <v>4</v>
      </c>
      <c r="F3" s="37">
        <v>27.703399433427762</v>
      </c>
      <c r="G3" s="37">
        <v>35.3</v>
      </c>
      <c r="H3" s="38">
        <v>2.2841854472441754</v>
      </c>
      <c r="I3" s="29"/>
      <c r="J3" s="39">
        <f aca="true" t="shared" si="0" ref="J3:J28">(1-E3/F3)*D3</f>
        <v>0.19755817687280422</v>
      </c>
      <c r="K3" s="39">
        <f aca="true" t="shared" si="1" ref="K3:K28">E3/F3</f>
        <v>0.14438661253872975</v>
      </c>
      <c r="M3" s="40"/>
      <c r="N3" s="40"/>
      <c r="O3" s="40"/>
      <c r="P3" s="30"/>
      <c r="Q3" s="41">
        <f aca="true" t="shared" si="2" ref="Q3:Q8">H3/D3</f>
        <v>9.892679103657818</v>
      </c>
      <c r="R3" s="42">
        <f aca="true" t="shared" si="3" ref="R3:R8">C3*H3</f>
        <v>302.6151</v>
      </c>
      <c r="S3" s="31"/>
      <c r="U3" s="106"/>
      <c r="V3" s="10" t="s">
        <v>364</v>
      </c>
      <c r="W3" s="10"/>
      <c r="X3" s="10"/>
      <c r="Y3" s="26" t="s">
        <v>386</v>
      </c>
      <c r="Z3" s="26">
        <v>8</v>
      </c>
      <c r="AA3" s="26"/>
      <c r="AB3" s="143">
        <v>0</v>
      </c>
    </row>
    <row r="4" spans="2:28" ht="12.75">
      <c r="B4" s="43">
        <v>41364</v>
      </c>
      <c r="C4" s="4">
        <v>161.95398773006136</v>
      </c>
      <c r="D4" s="20">
        <v>0.24821662083627818</v>
      </c>
      <c r="E4" s="5">
        <v>6</v>
      </c>
      <c r="F4" s="5">
        <v>36.285276073619634</v>
      </c>
      <c r="G4" s="5">
        <v>35.86</v>
      </c>
      <c r="H4" s="44">
        <v>2.483899320037123</v>
      </c>
      <c r="I4" s="45">
        <f aca="true" t="shared" si="4" ref="I4:I28">F4/F3-1</f>
        <v>0.3097770243256399</v>
      </c>
      <c r="J4" s="46">
        <f t="shared" si="0"/>
        <v>0.2071724319483113</v>
      </c>
      <c r="K4" s="46">
        <f t="shared" si="1"/>
        <v>0.16535632766928735</v>
      </c>
      <c r="M4" s="10"/>
      <c r="N4" s="10"/>
      <c r="O4" s="47">
        <f>(D4-discount_rate)*AVERAGE(C3:C4)</f>
        <v>15.254468025647117</v>
      </c>
      <c r="P4" s="48"/>
      <c r="Q4" s="41">
        <f t="shared" si="2"/>
        <v>10.006982254727754</v>
      </c>
      <c r="R4" s="14">
        <f t="shared" si="3"/>
        <v>402.2774</v>
      </c>
      <c r="S4" s="49">
        <f>R4/R3-1</f>
        <v>0.3293368374545753</v>
      </c>
      <c r="U4" s="106"/>
      <c r="V4" s="10" t="s">
        <v>387</v>
      </c>
      <c r="W4" s="10"/>
      <c r="X4" s="10"/>
      <c r="Y4" s="26" t="s">
        <v>386</v>
      </c>
      <c r="Z4" s="144">
        <v>0.25</v>
      </c>
      <c r="AA4" s="26" t="s">
        <v>388</v>
      </c>
      <c r="AB4" s="145">
        <v>0</v>
      </c>
    </row>
    <row r="5" spans="2:28" ht="12.75">
      <c r="B5" s="43">
        <v>41729</v>
      </c>
      <c r="C5" s="4">
        <v>197.3161397670549</v>
      </c>
      <c r="D5" s="20">
        <v>0.2493745594058295</v>
      </c>
      <c r="E5" s="5">
        <v>8</v>
      </c>
      <c r="F5" s="5">
        <v>44.68441486411536</v>
      </c>
      <c r="G5" s="5">
        <v>36.06</v>
      </c>
      <c r="H5" s="44">
        <v>1.92303174209652</v>
      </c>
      <c r="I5" s="45">
        <f t="shared" si="4"/>
        <v>0.23147512433017225</v>
      </c>
      <c r="J5" s="46">
        <f t="shared" si="0"/>
        <v>0.20472819934240716</v>
      </c>
      <c r="K5" s="46">
        <f t="shared" si="1"/>
        <v>0.17903333912568578</v>
      </c>
      <c r="M5" s="10"/>
      <c r="N5" s="10"/>
      <c r="O5" s="47">
        <f>(D5-discount_rate)*AVERAGE(C4:C5)</f>
        <v>18.82142832678425</v>
      </c>
      <c r="P5" s="48"/>
      <c r="Q5" s="41">
        <f t="shared" si="2"/>
        <v>7.711419106577742</v>
      </c>
      <c r="R5" s="14">
        <f t="shared" si="3"/>
        <v>379.4452</v>
      </c>
      <c r="S5" s="49">
        <f>R5/R4-1</f>
        <v>-0.05675735201629517</v>
      </c>
      <c r="U5" s="106"/>
      <c r="V5" s="10" t="s">
        <v>372</v>
      </c>
      <c r="W5" s="10"/>
      <c r="X5" s="10"/>
      <c r="Y5" s="26" t="s">
        <v>388</v>
      </c>
      <c r="Z5" s="146">
        <f>CAPM_Disc_Rate-3%</f>
        <v>0.1145986435349208</v>
      </c>
      <c r="AA5" s="26" t="s">
        <v>386</v>
      </c>
      <c r="AB5" s="147">
        <f>CAPM_Disc_Rate+5%</f>
        <v>0.1945986435349208</v>
      </c>
    </row>
    <row r="6" spans="2:28" ht="12.75">
      <c r="B6" s="43">
        <v>42094</v>
      </c>
      <c r="C6" s="4">
        <v>279.2801053387599</v>
      </c>
      <c r="D6" s="20">
        <v>0.21271993929954874</v>
      </c>
      <c r="E6" s="5">
        <v>9</v>
      </c>
      <c r="F6" s="5">
        <v>47.82188173330141</v>
      </c>
      <c r="G6" s="5">
        <v>41.77</v>
      </c>
      <c r="H6" s="44">
        <v>2.2920365173292594</v>
      </c>
      <c r="I6" s="45">
        <f t="shared" si="4"/>
        <v>0.07021389624832364</v>
      </c>
      <c r="J6" s="46">
        <f t="shared" si="0"/>
        <v>0.17268639431332614</v>
      </c>
      <c r="K6" s="46">
        <f t="shared" si="1"/>
        <v>0.18819836597380754</v>
      </c>
      <c r="M6" s="10"/>
      <c r="N6" s="10"/>
      <c r="O6" s="47">
        <f>(D6-discount_rate)*AVERAGE(C5:C6)</f>
        <v>16.23317688658216</v>
      </c>
      <c r="P6" s="48"/>
      <c r="Q6" s="41">
        <f t="shared" si="2"/>
        <v>10.774902084292394</v>
      </c>
      <c r="R6" s="14">
        <f t="shared" si="3"/>
        <v>640.1202</v>
      </c>
      <c r="S6" s="49">
        <f>R6/R5-1</f>
        <v>0.6869898472822953</v>
      </c>
      <c r="U6" s="106"/>
      <c r="V6" s="16" t="s">
        <v>344</v>
      </c>
      <c r="W6" s="10"/>
      <c r="X6" s="10"/>
      <c r="Y6" s="148" t="s">
        <v>388</v>
      </c>
      <c r="Z6" s="149">
        <v>0.1</v>
      </c>
      <c r="AA6" s="148" t="s">
        <v>386</v>
      </c>
      <c r="AB6" s="150">
        <v>0.5</v>
      </c>
    </row>
    <row r="7" spans="2:28" ht="12.75">
      <c r="B7" s="43">
        <v>42460</v>
      </c>
      <c r="C7" s="4">
        <v>327.28608799048754</v>
      </c>
      <c r="D7" s="20">
        <v>0.19896483824270259</v>
      </c>
      <c r="E7" s="5">
        <v>10</v>
      </c>
      <c r="F7" s="5">
        <v>60.15766944114151</v>
      </c>
      <c r="G7" s="5">
        <v>42.05</v>
      </c>
      <c r="H7" s="44">
        <v>2.3576614720709643</v>
      </c>
      <c r="I7" s="45">
        <f t="shared" si="4"/>
        <v>0.25795278773503183</v>
      </c>
      <c r="J7" s="46">
        <f t="shared" si="0"/>
        <v>0.16589094424197662</v>
      </c>
      <c r="K7" s="46">
        <f t="shared" si="1"/>
        <v>0.16622984389021317</v>
      </c>
      <c r="M7" s="10"/>
      <c r="N7" s="10"/>
      <c r="O7" s="47">
        <f>(D7-discount_rate)*AVERAGE(C6:C7)</f>
        <v>16.488347884847936</v>
      </c>
      <c r="P7" s="48"/>
      <c r="Q7" s="41">
        <f t="shared" si="2"/>
        <v>11.849638825102485</v>
      </c>
      <c r="R7" s="14">
        <f t="shared" si="3"/>
        <v>771.6298</v>
      </c>
      <c r="S7" s="49">
        <f>R7/R6-1</f>
        <v>0.20544516482998043</v>
      </c>
      <c r="U7" s="218" t="s">
        <v>356</v>
      </c>
      <c r="V7" s="10"/>
      <c r="W7" s="10"/>
      <c r="X7" s="10"/>
      <c r="Y7" s="10"/>
      <c r="Z7" s="10"/>
      <c r="AA7" s="10"/>
      <c r="AB7" s="48"/>
    </row>
    <row r="8" spans="2:28" ht="12.75">
      <c r="B8" s="50">
        <v>42825</v>
      </c>
      <c r="C8" s="220">
        <v>483.3245614035087</v>
      </c>
      <c r="D8" s="109">
        <v>0.17</v>
      </c>
      <c r="E8" s="221">
        <v>12</v>
      </c>
      <c r="F8" s="221">
        <v>73.24342105263158</v>
      </c>
      <c r="G8" s="221">
        <v>45.6</v>
      </c>
      <c r="H8" s="222">
        <v>2.488272676455108</v>
      </c>
      <c r="I8" s="45">
        <f t="shared" si="4"/>
        <v>0.21752424475640986</v>
      </c>
      <c r="J8" s="46">
        <f t="shared" si="0"/>
        <v>0.142147669091889</v>
      </c>
      <c r="K8" s="51">
        <f t="shared" si="1"/>
        <v>0.16383724063594718</v>
      </c>
      <c r="M8" s="10"/>
      <c r="N8" s="10"/>
      <c r="O8" s="47">
        <f>(D8-discount_rate)*AVERAGE(C7:C8)</f>
        <v>10.295305029823123</v>
      </c>
      <c r="P8" s="48"/>
      <c r="Q8" s="41">
        <f t="shared" si="2"/>
        <v>14.636898096794752</v>
      </c>
      <c r="R8" s="14">
        <f t="shared" si="3"/>
        <v>1202.6433</v>
      </c>
      <c r="S8" s="52">
        <f>R8/R7-1</f>
        <v>0.5585754982505857</v>
      </c>
      <c r="T8" s="21"/>
      <c r="U8" s="106"/>
      <c r="V8" s="10" t="s">
        <v>364</v>
      </c>
      <c r="W8" s="10"/>
      <c r="X8" s="10"/>
      <c r="Y8" s="26" t="s">
        <v>386</v>
      </c>
      <c r="Z8" s="26">
        <f>20-growth_phase_years</f>
        <v>16</v>
      </c>
      <c r="AA8" s="26" t="s">
        <v>388</v>
      </c>
      <c r="AB8" s="143">
        <v>0</v>
      </c>
    </row>
    <row r="9" spans="1:28" ht="12.75">
      <c r="A9">
        <f aca="true" t="shared" si="5" ref="A9:A28">IF(YEAR(B9)-YEAR(B$8)&lt;=C$36,1,IF(YEAR(B9)-YEAR(B$8)&lt;=C$36+D$36,2,3))</f>
        <v>1</v>
      </c>
      <c r="B9" s="53">
        <f aca="true" t="shared" si="6" ref="B9:B28">DATE(YEAR(B8)+1,MONTH(B8),DAY(B8))</f>
        <v>43190</v>
      </c>
      <c r="C9" s="54">
        <f>(C8*G8+(G9-G8)*I$44*C8)/G9+F8-E8</f>
        <v>569.6732966997691</v>
      </c>
      <c r="D9" s="39">
        <f aca="true" t="shared" si="7" ref="D9:D28">IF(A9=1,D8+(C$37-D$8)/C$36,IF(A9=2,D8+(E$37-C$37)/D$36,E$37))</f>
        <v>0.17750000000000002</v>
      </c>
      <c r="E9" s="55">
        <f aca="true" t="shared" si="8" ref="E9:E28">E8*(1+J8)*IF(A9=1,C$38,IF(A9=2,D$38,1))</f>
        <v>13.705772029102668</v>
      </c>
      <c r="F9" s="55">
        <f>((C9+C8)/2)*D9</f>
        <v>93.45355990666592</v>
      </c>
      <c r="G9" s="55">
        <f aca="true" t="shared" si="9" ref="G9:G28">G8*IF(A9=1,1+C$39,1)</f>
        <v>46.51199997961521</v>
      </c>
      <c r="H9" s="174">
        <f aca="true" t="shared" si="10" ref="H9:H28">R9/C9</f>
        <v>3.281770151176215</v>
      </c>
      <c r="I9" s="39">
        <f t="shared" si="4"/>
        <v>0.2759311152261943</v>
      </c>
      <c r="J9" s="57">
        <f t="shared" si="0"/>
        <v>0.15146809134295808</v>
      </c>
      <c r="K9" s="39">
        <f t="shared" si="1"/>
        <v>0.14665864032136303</v>
      </c>
      <c r="L9" s="58">
        <f>IF(A9=1,discount_rate,IF(A9=3,term_disc_rate,disc_rate-((discount_rate-term_disc_rate)/slowdown_phase_years)))</f>
        <v>0.1445986435349208</v>
      </c>
      <c r="M9" s="59">
        <f aca="true" ca="1" t="shared" si="11" ref="M9:M28">(1+L9)^((B9-TODAY())/365)</f>
        <v>1.0141597338518669</v>
      </c>
      <c r="N9" s="55">
        <f>(1-C$46)*E9/M9</f>
        <v>12.162970402445637</v>
      </c>
      <c r="O9" s="60">
        <f aca="true" t="shared" si="12" ref="O9:O28">(D9-L9)*AVERAGE(C8:C9)</f>
        <v>17.322528943210425</v>
      </c>
      <c r="P9" s="56">
        <f>O9/M9</f>
        <v>17.08067118521651</v>
      </c>
      <c r="Q9" s="61">
        <f>fair_pe</f>
        <v>20.00498239872939</v>
      </c>
      <c r="R9" s="42">
        <f aca="true" t="shared" si="13" ref="R9:R28">F9*Q9</f>
        <v>1869.536821031454</v>
      </c>
      <c r="S9" s="49">
        <f aca="true" t="shared" si="14" ref="S9:S28">(R9+E9)/R8-1</f>
        <v>0.5659194983754177</v>
      </c>
      <c r="T9" s="62"/>
      <c r="U9" s="218" t="s">
        <v>389</v>
      </c>
      <c r="V9" s="10"/>
      <c r="W9" s="10"/>
      <c r="X9" s="10"/>
      <c r="Y9" s="10"/>
      <c r="Z9" s="10"/>
      <c r="AA9" s="10"/>
      <c r="AB9" s="48"/>
    </row>
    <row r="10" spans="1:28" ht="12.75">
      <c r="A10">
        <f t="shared" si="5"/>
        <v>1</v>
      </c>
      <c r="B10" s="63">
        <f t="shared" si="6"/>
        <v>43555</v>
      </c>
      <c r="C10" s="64">
        <f aca="true" t="shared" si="15" ref="C10:C28">(C9*G9+(G10-G9)*I$44*C9)/G10+F9-E9</f>
        <v>679.0116087756498</v>
      </c>
      <c r="D10" s="46">
        <f t="shared" si="7"/>
        <v>0.18500000000000003</v>
      </c>
      <c r="E10" s="65">
        <f t="shared" si="8"/>
        <v>15.78175915873255</v>
      </c>
      <c r="F10" s="65">
        <f aca="true" t="shared" si="16" ref="F10:F28">((C10+C9)/2)*D10</f>
        <v>115.50335375647626</v>
      </c>
      <c r="G10" s="65">
        <f t="shared" si="9"/>
        <v>47.44223995841503</v>
      </c>
      <c r="H10" s="175">
        <f t="shared" si="10"/>
        <v>3.336007479719562</v>
      </c>
      <c r="I10" s="46">
        <f t="shared" si="4"/>
        <v>0.23594386208328433</v>
      </c>
      <c r="J10" s="66">
        <f t="shared" si="0"/>
        <v>0.15972259160092298</v>
      </c>
      <c r="K10" s="46">
        <f t="shared" si="1"/>
        <v>0.13663463999501113</v>
      </c>
      <c r="L10" s="67">
        <f aca="true" t="shared" si="17" ref="L10:L28">IF(A10=1,discount_rate,IF(A10=3,term_disc_rate,L9-((discount_rate-term_disc_rate)/slowdown_phase_years)))</f>
        <v>0.1445986435349208</v>
      </c>
      <c r="M10" s="68">
        <f ca="1" t="shared" si="11"/>
        <v>1.1608058556945828</v>
      </c>
      <c r="N10" s="65">
        <f aca="true" t="shared" si="18" ref="N10:N28">(1-C$46)*E10/M10</f>
        <v>12.235967946905646</v>
      </c>
      <c r="O10" s="47">
        <f t="shared" si="12"/>
        <v>25.224281989338078</v>
      </c>
      <c r="P10" s="13">
        <f aca="true" t="shared" si="19" ref="P10:P28">O10/M10</f>
        <v>21.729974797762207</v>
      </c>
      <c r="Q10" s="69">
        <f aca="true" t="shared" si="20" ref="Q10:Q28">Q9+((I$36-J$43)/20)</f>
        <v>19.611446179024668</v>
      </c>
      <c r="R10" s="14">
        <f t="shared" si="13"/>
        <v>2265.187805691981</v>
      </c>
      <c r="S10" s="49">
        <f t="shared" si="14"/>
        <v>0.2200720195456034</v>
      </c>
      <c r="T10" s="62"/>
      <c r="U10" s="151"/>
      <c r="V10" s="10" t="s">
        <v>366</v>
      </c>
      <c r="W10" s="10"/>
      <c r="X10" s="10"/>
      <c r="Y10" s="26" t="s">
        <v>386</v>
      </c>
      <c r="Z10" s="144">
        <f>term_disc_rate+5%</f>
        <v>0.166</v>
      </c>
      <c r="AA10" s="26" t="s">
        <v>388</v>
      </c>
      <c r="AB10" s="145">
        <f>term_disc_rate-2%</f>
        <v>0.096</v>
      </c>
    </row>
    <row r="11" spans="1:28" ht="12.75">
      <c r="A11">
        <f t="shared" si="5"/>
        <v>1</v>
      </c>
      <c r="B11" s="63">
        <f t="shared" si="6"/>
        <v>43921</v>
      </c>
      <c r="C11" s="64">
        <f t="shared" si="15"/>
        <v>814.0030844733384</v>
      </c>
      <c r="D11" s="46">
        <f t="shared" si="7"/>
        <v>0.19250000000000003</v>
      </c>
      <c r="E11" s="65">
        <f t="shared" si="8"/>
        <v>18.302462631586916</v>
      </c>
      <c r="F11" s="65">
        <f t="shared" si="16"/>
        <v>143.70266422521516</v>
      </c>
      <c r="G11" s="65">
        <f t="shared" si="9"/>
        <v>48.391084736375</v>
      </c>
      <c r="H11" s="175">
        <f t="shared" si="10"/>
        <v>3.3926958197970163</v>
      </c>
      <c r="I11" s="46">
        <f t="shared" si="4"/>
        <v>0.24414278505015075</v>
      </c>
      <c r="J11" s="66">
        <f t="shared" si="0"/>
        <v>0.16798254184724945</v>
      </c>
      <c r="K11" s="46">
        <f t="shared" si="1"/>
        <v>0.1273634189753277</v>
      </c>
      <c r="L11" s="67">
        <f t="shared" si="17"/>
        <v>0.1445986435349208</v>
      </c>
      <c r="M11" s="68">
        <f ca="1" t="shared" si="11"/>
        <v>1.3291485165452166</v>
      </c>
      <c r="N11" s="65">
        <f t="shared" si="18"/>
        <v>12.39305928824535</v>
      </c>
      <c r="O11" s="47">
        <f t="shared" si="12"/>
        <v>35.75871451446036</v>
      </c>
      <c r="P11" s="13">
        <f t="shared" si="19"/>
        <v>26.903475472707925</v>
      </c>
      <c r="Q11" s="69">
        <f t="shared" si="20"/>
        <v>19.217909959319947</v>
      </c>
      <c r="R11" s="14">
        <f t="shared" si="13"/>
        <v>2761.6648619945727</v>
      </c>
      <c r="S11" s="49">
        <f t="shared" si="14"/>
        <v>0.22725688247157105</v>
      </c>
      <c r="T11" s="62"/>
      <c r="U11" s="106"/>
      <c r="V11" s="10" t="s">
        <v>387</v>
      </c>
      <c r="W11" s="10"/>
      <c r="X11" s="152"/>
      <c r="Y11" s="26" t="s">
        <v>386</v>
      </c>
      <c r="Z11" s="153">
        <f>term_disc_rate-3%</f>
        <v>0.08600000000000001</v>
      </c>
      <c r="AA11" s="26" t="s">
        <v>388</v>
      </c>
      <c r="AB11" s="145">
        <f>term_disc_rate-10%</f>
        <v>0.016</v>
      </c>
    </row>
    <row r="12" spans="1:28" ht="12.75">
      <c r="A12">
        <f t="shared" si="5"/>
        <v>1</v>
      </c>
      <c r="B12" s="63">
        <f t="shared" si="6"/>
        <v>44286</v>
      </c>
      <c r="C12" s="64">
        <f t="shared" si="15"/>
        <v>981.685025632702</v>
      </c>
      <c r="D12" s="46">
        <f t="shared" si="7"/>
        <v>0.20000000000000004</v>
      </c>
      <c r="E12" s="65">
        <f t="shared" si="8"/>
        <v>21.376956826505182</v>
      </c>
      <c r="F12" s="65">
        <f t="shared" si="16"/>
        <v>179.56881101060407</v>
      </c>
      <c r="G12" s="65">
        <f t="shared" si="9"/>
        <v>49.35890640947</v>
      </c>
      <c r="H12" s="175">
        <f t="shared" si="10"/>
        <v>3.44333500275543</v>
      </c>
      <c r="I12" s="46">
        <f t="shared" si="4"/>
        <v>0.24958581651053047</v>
      </c>
      <c r="J12" s="66">
        <f t="shared" si="0"/>
        <v>0.17619079092165646</v>
      </c>
      <c r="K12" s="46">
        <f t="shared" si="1"/>
        <v>0.11904604539171788</v>
      </c>
      <c r="L12" s="67">
        <f t="shared" si="17"/>
        <v>0.1445986435349208</v>
      </c>
      <c r="M12" s="68">
        <f ca="1" t="shared" si="11"/>
        <v>1.5213415890941069</v>
      </c>
      <c r="N12" s="65">
        <f t="shared" si="18"/>
        <v>12.646246761262088</v>
      </c>
      <c r="O12" s="47">
        <f t="shared" si="12"/>
        <v>49.7417785440446</v>
      </c>
      <c r="P12" s="13">
        <f t="shared" si="19"/>
        <v>32.69599602129044</v>
      </c>
      <c r="Q12" s="69">
        <f t="shared" si="20"/>
        <v>18.824373739615226</v>
      </c>
      <c r="R12" s="14">
        <f t="shared" si="13"/>
        <v>3380.2704104419445</v>
      </c>
      <c r="S12" s="49">
        <f t="shared" si="14"/>
        <v>0.2317379324628328</v>
      </c>
      <c r="T12" s="62"/>
      <c r="U12" s="106"/>
      <c r="V12" s="10" t="s">
        <v>372</v>
      </c>
      <c r="W12" s="10"/>
      <c r="X12" s="10"/>
      <c r="Y12" s="26" t="s">
        <v>388</v>
      </c>
      <c r="Z12" s="154">
        <f>discount_rate-5%</f>
        <v>0.0945986435349208</v>
      </c>
      <c r="AA12" s="26" t="s">
        <v>386</v>
      </c>
      <c r="AB12" s="155">
        <f>discount_rate+2%</f>
        <v>0.1645986435349208</v>
      </c>
    </row>
    <row r="13" spans="1:28" ht="12.75">
      <c r="A13">
        <f t="shared" si="5"/>
        <v>2</v>
      </c>
      <c r="B13" s="63">
        <f t="shared" si="6"/>
        <v>44651</v>
      </c>
      <c r="C13" s="64">
        <f t="shared" si="15"/>
        <v>1139.876879816801</v>
      </c>
      <c r="D13" s="46">
        <f t="shared" si="7"/>
        <v>0.19500000000000003</v>
      </c>
      <c r="E13" s="65">
        <f t="shared" si="8"/>
        <v>26.9034163402738</v>
      </c>
      <c r="F13" s="65">
        <f t="shared" si="16"/>
        <v>206.85228578132654</v>
      </c>
      <c r="G13" s="65">
        <f t="shared" si="9"/>
        <v>49.35890640947</v>
      </c>
      <c r="H13" s="175">
        <f t="shared" si="10"/>
        <v>3.3446251409805376</v>
      </c>
      <c r="I13" s="46">
        <f t="shared" si="4"/>
        <v>0.15193882844783846</v>
      </c>
      <c r="J13" s="66">
        <f t="shared" si="0"/>
        <v>0.16963810386944742</v>
      </c>
      <c r="K13" s="46">
        <f t="shared" si="1"/>
        <v>0.13006100579770577</v>
      </c>
      <c r="L13" s="67">
        <f t="shared" si="17"/>
        <v>0.14221542324034406</v>
      </c>
      <c r="M13" s="68">
        <f ca="1" t="shared" si="11"/>
        <v>1.7264834391168957</v>
      </c>
      <c r="N13" s="65">
        <f t="shared" si="18"/>
        <v>14.024504468245302</v>
      </c>
      <c r="O13" s="47">
        <f t="shared" si="12"/>
        <v>55.99287362428064</v>
      </c>
      <c r="P13" s="13">
        <f t="shared" si="19"/>
        <v>32.4317467261205</v>
      </c>
      <c r="Q13" s="69">
        <f t="shared" si="20"/>
        <v>18.430837519910504</v>
      </c>
      <c r="R13" s="14">
        <f t="shared" si="13"/>
        <v>3812.4608698577235</v>
      </c>
      <c r="S13" s="49">
        <f t="shared" si="14"/>
        <v>0.135815724782808</v>
      </c>
      <c r="T13" s="62"/>
      <c r="U13" s="106"/>
      <c r="V13" s="10" t="s">
        <v>390</v>
      </c>
      <c r="W13" s="10"/>
      <c r="X13" s="10"/>
      <c r="Y13" s="26" t="s">
        <v>386</v>
      </c>
      <c r="Z13" s="144">
        <v>0.75</v>
      </c>
      <c r="AA13" s="26" t="s">
        <v>388</v>
      </c>
      <c r="AB13" s="145">
        <v>0.3</v>
      </c>
    </row>
    <row r="14" spans="1:28" ht="12.75">
      <c r="A14">
        <f t="shared" si="5"/>
        <v>2</v>
      </c>
      <c r="B14" s="63">
        <f t="shared" si="6"/>
        <v>45016</v>
      </c>
      <c r="C14" s="64">
        <f t="shared" si="15"/>
        <v>1319.8257492578537</v>
      </c>
      <c r="D14" s="46">
        <f t="shared" si="7"/>
        <v>0.19000000000000003</v>
      </c>
      <c r="E14" s="65">
        <f t="shared" si="8"/>
        <v>33.66996913715753</v>
      </c>
      <c r="F14" s="65">
        <f t="shared" si="16"/>
        <v>233.6717497620922</v>
      </c>
      <c r="G14" s="65">
        <f t="shared" si="9"/>
        <v>49.35890640947</v>
      </c>
      <c r="H14" s="175">
        <f t="shared" si="10"/>
        <v>3.1934577410504064</v>
      </c>
      <c r="I14" s="46">
        <f t="shared" si="4"/>
        <v>0.12965514922623478</v>
      </c>
      <c r="J14" s="66">
        <f t="shared" si="0"/>
        <v>0.16262273191957013</v>
      </c>
      <c r="K14" s="46">
        <f t="shared" si="1"/>
        <v>0.1440908846338416</v>
      </c>
      <c r="L14" s="67">
        <f t="shared" si="17"/>
        <v>0.13983220294576731</v>
      </c>
      <c r="M14" s="68">
        <f ca="1" t="shared" si="11"/>
        <v>1.9510932521715894</v>
      </c>
      <c r="N14" s="65">
        <f t="shared" si="18"/>
        <v>15.531278266538116</v>
      </c>
      <c r="O14" s="47">
        <f t="shared" si="12"/>
        <v>61.69893115458996</v>
      </c>
      <c r="P14" s="13">
        <f t="shared" si="19"/>
        <v>31.62274846982241</v>
      </c>
      <c r="Q14" s="69">
        <f t="shared" si="20"/>
        <v>18.037301300205783</v>
      </c>
      <c r="R14" s="14">
        <f t="shared" si="13"/>
        <v>4214.8077558051455</v>
      </c>
      <c r="S14" s="49">
        <f t="shared" si="14"/>
        <v>0.11436625055796346</v>
      </c>
      <c r="T14" s="62"/>
      <c r="U14" s="106"/>
      <c r="V14" s="10" t="s">
        <v>344</v>
      </c>
      <c r="W14" s="10"/>
      <c r="X14" s="10"/>
      <c r="Y14" s="156" t="s">
        <v>388</v>
      </c>
      <c r="Z14" s="149">
        <v>0.3</v>
      </c>
      <c r="AA14" s="156" t="s">
        <v>386</v>
      </c>
      <c r="AB14" s="150">
        <v>0.7</v>
      </c>
    </row>
    <row r="15" spans="1:28" ht="12.75">
      <c r="A15">
        <f t="shared" si="5"/>
        <v>2</v>
      </c>
      <c r="B15" s="63">
        <f t="shared" si="6"/>
        <v>45382</v>
      </c>
      <c r="C15" s="64">
        <f t="shared" si="15"/>
        <v>1519.8275298827882</v>
      </c>
      <c r="D15" s="46">
        <f t="shared" si="7"/>
        <v>0.18500000000000003</v>
      </c>
      <c r="E15" s="65">
        <f t="shared" si="8"/>
        <v>41.885654507021975</v>
      </c>
      <c r="F15" s="65">
        <f t="shared" si="16"/>
        <v>262.66792832050936</v>
      </c>
      <c r="G15" s="65">
        <f t="shared" si="9"/>
        <v>49.35890640947</v>
      </c>
      <c r="H15" s="175">
        <f t="shared" si="10"/>
        <v>3.049327065306138</v>
      </c>
      <c r="I15" s="46">
        <f t="shared" si="4"/>
        <v>0.12408936291160133</v>
      </c>
      <c r="J15" s="66">
        <f t="shared" si="0"/>
        <v>0.15549945863834636</v>
      </c>
      <c r="K15" s="46">
        <f t="shared" si="1"/>
        <v>0.15946238573866844</v>
      </c>
      <c r="L15" s="67">
        <f t="shared" si="17"/>
        <v>0.13744898265119057</v>
      </c>
      <c r="M15" s="68">
        <f ca="1" t="shared" si="11"/>
        <v>2.1964488084240714</v>
      </c>
      <c r="N15" s="65">
        <f t="shared" si="18"/>
        <v>17.162744204071405</v>
      </c>
      <c r="O15" s="47">
        <f t="shared" si="12"/>
        <v>67.51420117051015</v>
      </c>
      <c r="P15" s="13">
        <f t="shared" si="19"/>
        <v>30.737889684281267</v>
      </c>
      <c r="Q15" s="69">
        <f t="shared" si="20"/>
        <v>17.643765080501062</v>
      </c>
      <c r="R15" s="14">
        <f t="shared" si="13"/>
        <v>4634.451221468959</v>
      </c>
      <c r="S15" s="49">
        <f t="shared" si="14"/>
        <v>0.10950181999052311</v>
      </c>
      <c r="T15" s="62"/>
      <c r="U15" s="83"/>
      <c r="V15" s="97" t="s">
        <v>365</v>
      </c>
      <c r="W15" s="84"/>
      <c r="X15" s="84"/>
      <c r="Y15" s="157" t="s">
        <v>386</v>
      </c>
      <c r="Z15" s="183">
        <f>exit_pe+3</f>
        <v>15.134258004634983</v>
      </c>
      <c r="AA15" s="158" t="s">
        <v>388</v>
      </c>
      <c r="AB15" s="184">
        <f>exit_pe-3</f>
        <v>9.134258004634983</v>
      </c>
    </row>
    <row r="16" spans="1:28" ht="12.75">
      <c r="A16">
        <f t="shared" si="5"/>
        <v>2</v>
      </c>
      <c r="B16" s="63">
        <f t="shared" si="6"/>
        <v>45747</v>
      </c>
      <c r="C16" s="64">
        <f t="shared" si="15"/>
        <v>1740.6098036962755</v>
      </c>
      <c r="D16" s="46">
        <f t="shared" si="7"/>
        <v>0.18000000000000002</v>
      </c>
      <c r="E16" s="65">
        <f t="shared" si="8"/>
        <v>51.786770685107065</v>
      </c>
      <c r="F16" s="65">
        <f t="shared" si="16"/>
        <v>293.43936002211575</v>
      </c>
      <c r="G16" s="65">
        <f t="shared" si="9"/>
        <v>49.35890640947</v>
      </c>
      <c r="H16" s="175">
        <f t="shared" si="10"/>
        <v>2.908116515486647</v>
      </c>
      <c r="I16" s="46">
        <f t="shared" si="4"/>
        <v>0.11714955799270199</v>
      </c>
      <c r="J16" s="66">
        <f t="shared" si="0"/>
        <v>0.14823323659574258</v>
      </c>
      <c r="K16" s="46">
        <f t="shared" si="1"/>
        <v>0.17648201891254137</v>
      </c>
      <c r="L16" s="67">
        <f t="shared" si="17"/>
        <v>0.13506576235661383</v>
      </c>
      <c r="M16" s="68">
        <f ca="1" t="shared" si="11"/>
        <v>2.4613698088512135</v>
      </c>
      <c r="N16" s="65">
        <f t="shared" si="18"/>
        <v>18.93583542342611</v>
      </c>
      <c r="O16" s="47">
        <f t="shared" si="12"/>
        <v>73.25263298420504</v>
      </c>
      <c r="P16" s="13">
        <f t="shared" si="19"/>
        <v>29.760921223939924</v>
      </c>
      <c r="Q16" s="69">
        <f t="shared" si="20"/>
        <v>17.25022886079634</v>
      </c>
      <c r="R16" s="14">
        <f t="shared" si="13"/>
        <v>5061.896117147109</v>
      </c>
      <c r="S16" s="49">
        <f t="shared" si="14"/>
        <v>0.10340634596459464</v>
      </c>
      <c r="T16" s="62"/>
      <c r="U16" s="219" t="s">
        <v>391</v>
      </c>
      <c r="V16" s="40"/>
      <c r="W16" s="40"/>
      <c r="X16" s="40"/>
      <c r="Y16" s="40"/>
      <c r="Z16" s="40"/>
      <c r="AA16" s="40"/>
      <c r="AB16" s="30"/>
    </row>
    <row r="17" spans="1:28" ht="12.75">
      <c r="A17">
        <f t="shared" si="5"/>
        <v>2</v>
      </c>
      <c r="B17" s="63">
        <f t="shared" si="6"/>
        <v>46112</v>
      </c>
      <c r="C17" s="64">
        <f t="shared" si="15"/>
        <v>1982.2623930332843</v>
      </c>
      <c r="D17" s="46">
        <f t="shared" si="7"/>
        <v>0.17500000000000002</v>
      </c>
      <c r="E17" s="65">
        <f t="shared" si="8"/>
        <v>63.625721708764154</v>
      </c>
      <c r="F17" s="65">
        <f t="shared" si="16"/>
        <v>325.7513172138365</v>
      </c>
      <c r="G17" s="65">
        <f t="shared" si="9"/>
        <v>49.35890640947</v>
      </c>
      <c r="H17" s="175">
        <f t="shared" si="10"/>
        <v>2.7701124992346955</v>
      </c>
      <c r="I17" s="46">
        <f t="shared" si="4"/>
        <v>0.11011459808692847</v>
      </c>
      <c r="J17" s="66">
        <f t="shared" si="0"/>
        <v>0.14081901373640623</v>
      </c>
      <c r="K17" s="46">
        <f t="shared" si="1"/>
        <v>0.1953199215062502</v>
      </c>
      <c r="L17" s="67">
        <f t="shared" si="17"/>
        <v>0.13268254206203708</v>
      </c>
      <c r="M17" s="68">
        <f ca="1" t="shared" si="11"/>
        <v>2.746599401285047</v>
      </c>
      <c r="N17" s="65">
        <f t="shared" si="18"/>
        <v>20.8487446371306</v>
      </c>
      <c r="O17" s="47">
        <f t="shared" si="12"/>
        <v>78.7712437967574</v>
      </c>
      <c r="P17" s="13">
        <f t="shared" si="19"/>
        <v>28.679553254072225</v>
      </c>
      <c r="Q17" s="69">
        <f t="shared" si="20"/>
        <v>16.85669264109162</v>
      </c>
      <c r="R17" s="14">
        <f t="shared" si="13"/>
        <v>5491.089831704379</v>
      </c>
      <c r="S17" s="49">
        <f t="shared" si="14"/>
        <v>0.09735866261589488</v>
      </c>
      <c r="T17" s="62"/>
      <c r="U17" s="83"/>
      <c r="V17" s="84" t="s">
        <v>392</v>
      </c>
      <c r="W17" s="84"/>
      <c r="X17" s="84"/>
      <c r="Y17" s="157" t="s">
        <v>386</v>
      </c>
      <c r="Z17" s="158">
        <v>1.5</v>
      </c>
      <c r="AA17" s="157" t="s">
        <v>393</v>
      </c>
      <c r="AB17" s="159">
        <v>1</v>
      </c>
    </row>
    <row r="18" spans="1:20" ht="12.75">
      <c r="A18">
        <f t="shared" si="5"/>
        <v>2</v>
      </c>
      <c r="B18" s="63">
        <f t="shared" si="6"/>
        <v>46477</v>
      </c>
      <c r="C18" s="64">
        <f t="shared" si="15"/>
        <v>2244.3879885383567</v>
      </c>
      <c r="D18" s="46">
        <f t="shared" si="7"/>
        <v>0.17</v>
      </c>
      <c r="E18" s="65">
        <f t="shared" si="8"/>
        <v>77.66641340422353</v>
      </c>
      <c r="F18" s="65">
        <f t="shared" si="16"/>
        <v>359.26528243358945</v>
      </c>
      <c r="G18" s="65">
        <f t="shared" si="9"/>
        <v>49.35890640947</v>
      </c>
      <c r="H18" s="175">
        <f t="shared" si="10"/>
        <v>2.635302172210339</v>
      </c>
      <c r="I18" s="46">
        <f t="shared" si="4"/>
        <v>0.10288205587746857</v>
      </c>
      <c r="J18" s="66">
        <f t="shared" si="0"/>
        <v>0.13324918959805518</v>
      </c>
      <c r="K18" s="46">
        <f t="shared" si="1"/>
        <v>0.21618123765849892</v>
      </c>
      <c r="L18" s="67">
        <f t="shared" si="17"/>
        <v>0.13029932176746034</v>
      </c>
      <c r="M18" s="68">
        <f ca="1" t="shared" si="11"/>
        <v>3.0519022828717843</v>
      </c>
      <c r="N18" s="65">
        <f t="shared" si="18"/>
        <v>22.90367304880639</v>
      </c>
      <c r="O18" s="47">
        <f t="shared" si="12"/>
        <v>83.90044340010836</v>
      </c>
      <c r="P18" s="13">
        <f t="shared" si="19"/>
        <v>27.491195858721785</v>
      </c>
      <c r="Q18" s="69">
        <f t="shared" si="20"/>
        <v>16.4631564213869</v>
      </c>
      <c r="R18" s="14">
        <f t="shared" si="13"/>
        <v>5914.640541477926</v>
      </c>
      <c r="S18" s="49">
        <f t="shared" si="14"/>
        <v>0.09127825960592562</v>
      </c>
      <c r="T18" s="62"/>
    </row>
    <row r="19" spans="1:20" ht="12.75">
      <c r="A19">
        <f t="shared" si="5"/>
        <v>2</v>
      </c>
      <c r="B19" s="63">
        <f t="shared" si="6"/>
        <v>46843</v>
      </c>
      <c r="C19" s="64">
        <f t="shared" si="15"/>
        <v>2525.986857567723</v>
      </c>
      <c r="D19" s="46">
        <f t="shared" si="7"/>
        <v>0.165</v>
      </c>
      <c r="E19" s="65">
        <f t="shared" si="8"/>
        <v>94.17647805277652</v>
      </c>
      <c r="F19" s="65">
        <f t="shared" si="16"/>
        <v>393.55592480375157</v>
      </c>
      <c r="G19" s="65">
        <f t="shared" si="9"/>
        <v>49.35890640947</v>
      </c>
      <c r="H19" s="175">
        <f t="shared" si="10"/>
        <v>2.5036924561863128</v>
      </c>
      <c r="I19" s="46">
        <f t="shared" si="4"/>
        <v>0.09544657958009273</v>
      </c>
      <c r="J19" s="66">
        <f t="shared" si="0"/>
        <v>0.12551610991129972</v>
      </c>
      <c r="K19" s="46">
        <f t="shared" si="1"/>
        <v>0.2392963035678806</v>
      </c>
      <c r="L19" s="67">
        <f t="shared" si="17"/>
        <v>0.1279161014728836</v>
      </c>
      <c r="M19" s="68">
        <f ca="1" t="shared" si="11"/>
        <v>3.377848385953627</v>
      </c>
      <c r="N19" s="65">
        <f t="shared" si="18"/>
        <v>25.09255021627323</v>
      </c>
      <c r="O19" s="47">
        <f t="shared" si="12"/>
        <v>88.45204836465321</v>
      </c>
      <c r="P19" s="13">
        <f t="shared" si="19"/>
        <v>26.18591430345729</v>
      </c>
      <c r="Q19" s="69">
        <f t="shared" si="20"/>
        <v>16.069620201682177</v>
      </c>
      <c r="R19" s="14">
        <f t="shared" si="13"/>
        <v>6324.294239718078</v>
      </c>
      <c r="S19" s="49">
        <f t="shared" si="14"/>
        <v>0.08518356656836379</v>
      </c>
      <c r="T19" s="62"/>
    </row>
    <row r="20" spans="1:20" ht="12.75">
      <c r="A20">
        <f t="shared" si="5"/>
        <v>2</v>
      </c>
      <c r="B20" s="63">
        <f t="shared" si="6"/>
        <v>47208</v>
      </c>
      <c r="C20" s="64">
        <f t="shared" si="15"/>
        <v>2825.366304318698</v>
      </c>
      <c r="D20" s="46">
        <f t="shared" si="7"/>
        <v>0.16</v>
      </c>
      <c r="E20" s="65">
        <f t="shared" si="8"/>
        <v>113.41694324872549</v>
      </c>
      <c r="F20" s="65">
        <f t="shared" si="16"/>
        <v>428.10825295091365</v>
      </c>
      <c r="G20" s="65">
        <f t="shared" si="9"/>
        <v>49.35890640947</v>
      </c>
      <c r="H20" s="175">
        <f t="shared" si="10"/>
        <v>2.375288795784821</v>
      </c>
      <c r="I20" s="46">
        <f t="shared" si="4"/>
        <v>0.08779521783185396</v>
      </c>
      <c r="J20" s="66">
        <f t="shared" si="0"/>
        <v>0.11761186383417664</v>
      </c>
      <c r="K20" s="46">
        <f t="shared" si="1"/>
        <v>0.264925851036396</v>
      </c>
      <c r="L20" s="67">
        <f t="shared" si="17"/>
        <v>0.12553288117830685</v>
      </c>
      <c r="M20" s="68">
        <f ca="1" t="shared" si="11"/>
        <v>3.7214231783212868</v>
      </c>
      <c r="N20" s="65">
        <f t="shared" si="18"/>
        <v>27.429089365187036</v>
      </c>
      <c r="O20" s="47">
        <f t="shared" si="12"/>
        <v>92.2228626437913</v>
      </c>
      <c r="P20" s="13">
        <f t="shared" si="19"/>
        <v>24.781611288128893</v>
      </c>
      <c r="Q20" s="69">
        <f t="shared" si="20"/>
        <v>15.676083981977456</v>
      </c>
      <c r="R20" s="14">
        <f t="shared" si="13"/>
        <v>6711.060926636171</v>
      </c>
      <c r="S20" s="49">
        <f t="shared" si="14"/>
        <v>0.07908924082398716</v>
      </c>
      <c r="T20" s="62"/>
    </row>
    <row r="21" spans="1:20" ht="12.75">
      <c r="A21">
        <f t="shared" si="5"/>
        <v>2</v>
      </c>
      <c r="B21" s="63">
        <f t="shared" si="6"/>
        <v>47573</v>
      </c>
      <c r="C21" s="64">
        <f t="shared" si="15"/>
        <v>3140.057614020886</v>
      </c>
      <c r="D21" s="46">
        <f t="shared" si="7"/>
        <v>0.155</v>
      </c>
      <c r="E21" s="65">
        <f t="shared" si="8"/>
        <v>135.62904982800393</v>
      </c>
      <c r="F21" s="65">
        <f t="shared" si="16"/>
        <v>462.3203536713178</v>
      </c>
      <c r="G21" s="65">
        <f t="shared" si="9"/>
        <v>49.35890640947</v>
      </c>
      <c r="H21" s="175">
        <f t="shared" si="10"/>
        <v>2.2500965762234393</v>
      </c>
      <c r="I21" s="46">
        <f t="shared" si="4"/>
        <v>0.07991460217032276</v>
      </c>
      <c r="J21" s="66">
        <f t="shared" si="0"/>
        <v>0.10952827772690632</v>
      </c>
      <c r="K21" s="46">
        <f t="shared" si="1"/>
        <v>0.2933659501489915</v>
      </c>
      <c r="L21" s="67">
        <f t="shared" si="17"/>
        <v>0.12314966088373012</v>
      </c>
      <c r="M21" s="68">
        <f ca="1" t="shared" si="11"/>
        <v>4.082415090154747</v>
      </c>
      <c r="N21" s="65">
        <f t="shared" si="18"/>
        <v>29.9004736533483</v>
      </c>
      <c r="O21" s="47">
        <f t="shared" si="12"/>
        <v>95.00038738571158</v>
      </c>
      <c r="P21" s="13">
        <f t="shared" si="19"/>
        <v>23.270633996728275</v>
      </c>
      <c r="Q21" s="69">
        <f t="shared" si="20"/>
        <v>15.282547762272735</v>
      </c>
      <c r="R21" s="14">
        <f t="shared" si="13"/>
        <v>7065.432886452737</v>
      </c>
      <c r="S21" s="49">
        <f t="shared" si="14"/>
        <v>0.07301394146188689</v>
      </c>
      <c r="T21" s="62"/>
    </row>
    <row r="22" spans="1:20" ht="12.75">
      <c r="A22">
        <f t="shared" si="5"/>
        <v>2</v>
      </c>
      <c r="B22" s="63">
        <f t="shared" si="6"/>
        <v>47938</v>
      </c>
      <c r="C22" s="64">
        <f t="shared" si="15"/>
        <v>3466.7489178641995</v>
      </c>
      <c r="D22" s="46">
        <f t="shared" si="7"/>
        <v>0.15</v>
      </c>
      <c r="E22" s="65">
        <f t="shared" si="8"/>
        <v>161.01816468998013</v>
      </c>
      <c r="F22" s="65">
        <f t="shared" si="16"/>
        <v>495.51048989138144</v>
      </c>
      <c r="G22" s="65">
        <f t="shared" si="9"/>
        <v>49.35890640947</v>
      </c>
      <c r="H22" s="175">
        <f t="shared" si="10"/>
        <v>2.1281210662356105</v>
      </c>
      <c r="I22" s="46">
        <f t="shared" si="4"/>
        <v>0.07179034181925692</v>
      </c>
      <c r="J22" s="66">
        <f t="shared" si="0"/>
        <v>0.10125688517958231</v>
      </c>
      <c r="K22" s="46">
        <f t="shared" si="1"/>
        <v>0.32495409880278453</v>
      </c>
      <c r="L22" s="67">
        <f t="shared" si="17"/>
        <v>0.1207664405891534</v>
      </c>
      <c r="M22" s="68">
        <f ca="1" t="shared" si="11"/>
        <v>4.459216001278888</v>
      </c>
      <c r="N22" s="65">
        <f t="shared" si="18"/>
        <v>32.498167431095645</v>
      </c>
      <c r="O22" s="47">
        <f t="shared" si="12"/>
        <v>96.57023563291601</v>
      </c>
      <c r="P22" s="13">
        <f t="shared" si="19"/>
        <v>21.656326045928253</v>
      </c>
      <c r="Q22" s="69">
        <f t="shared" si="20"/>
        <v>14.889011542568014</v>
      </c>
      <c r="R22" s="14">
        <f t="shared" si="13"/>
        <v>7377.661403456309</v>
      </c>
      <c r="S22" s="49">
        <f t="shared" si="14"/>
        <v>0.06698056429082433</v>
      </c>
      <c r="T22" s="62"/>
    </row>
    <row r="23" spans="1:20" ht="12.75">
      <c r="A23">
        <f t="shared" si="5"/>
        <v>2</v>
      </c>
      <c r="B23" s="63">
        <f t="shared" si="6"/>
        <v>48304</v>
      </c>
      <c r="C23" s="64">
        <f t="shared" si="15"/>
        <v>3801.241243065601</v>
      </c>
      <c r="D23" s="46">
        <f t="shared" si="7"/>
        <v>0.145</v>
      </c>
      <c r="E23" s="65">
        <f t="shared" si="8"/>
        <v>189.73492787908796</v>
      </c>
      <c r="F23" s="65">
        <f t="shared" si="16"/>
        <v>526.9292866674105</v>
      </c>
      <c r="G23" s="65">
        <f t="shared" si="9"/>
        <v>49.35890640947</v>
      </c>
      <c r="H23" s="175">
        <f t="shared" si="10"/>
        <v>2.009367462724225</v>
      </c>
      <c r="I23" s="46">
        <f t="shared" si="4"/>
        <v>0.06340692561910477</v>
      </c>
      <c r="J23" s="66">
        <f t="shared" si="0"/>
        <v>0.09278888697482357</v>
      </c>
      <c r="K23" s="46">
        <f t="shared" si="1"/>
        <v>0.36007664155294083</v>
      </c>
      <c r="L23" s="67">
        <f t="shared" si="17"/>
        <v>0.11838322029457667</v>
      </c>
      <c r="M23" s="68">
        <f ca="1" t="shared" si="11"/>
        <v>4.851323627203747</v>
      </c>
      <c r="N23" s="65">
        <f t="shared" si="18"/>
        <v>35.19893707639626</v>
      </c>
      <c r="O23" s="47">
        <f t="shared" si="12"/>
        <v>96.72524650732636</v>
      </c>
      <c r="P23" s="13">
        <f t="shared" si="19"/>
        <v>19.93790848438569</v>
      </c>
      <c r="Q23" s="69">
        <f t="shared" si="20"/>
        <v>14.495475322863292</v>
      </c>
      <c r="R23" s="14">
        <f t="shared" si="13"/>
        <v>7638.0904717814055</v>
      </c>
      <c r="S23" s="49">
        <f t="shared" si="14"/>
        <v>0.061017166766868636</v>
      </c>
      <c r="T23" s="62"/>
    </row>
    <row r="24" spans="1:20" ht="12.75">
      <c r="A24">
        <f t="shared" si="5"/>
        <v>2</v>
      </c>
      <c r="B24" s="63">
        <f t="shared" si="6"/>
        <v>48669</v>
      </c>
      <c r="C24" s="64">
        <f t="shared" si="15"/>
        <v>4138.435601853924</v>
      </c>
      <c r="D24" s="46">
        <f t="shared" si="7"/>
        <v>0.13999999999999999</v>
      </c>
      <c r="E24" s="65">
        <f t="shared" si="8"/>
        <v>221.85403610324352</v>
      </c>
      <c r="F24" s="65">
        <f t="shared" si="16"/>
        <v>555.7773791443666</v>
      </c>
      <c r="G24" s="65">
        <f t="shared" si="9"/>
        <v>49.35890640947</v>
      </c>
      <c r="H24" s="175">
        <f t="shared" si="10"/>
        <v>1.8938409364388546</v>
      </c>
      <c r="I24" s="46">
        <f t="shared" si="4"/>
        <v>0.05474755950538879</v>
      </c>
      <c r="J24" s="66">
        <f t="shared" si="0"/>
        <v>0.08411509676361588</v>
      </c>
      <c r="K24" s="46">
        <f t="shared" si="1"/>
        <v>0.39917788025988654</v>
      </c>
      <c r="L24" s="67">
        <f t="shared" si="17"/>
        <v>0.11599999999999994</v>
      </c>
      <c r="M24" s="68">
        <f ca="1" t="shared" si="11"/>
        <v>5.253485840669544</v>
      </c>
      <c r="N24" s="65">
        <f t="shared" si="18"/>
        <v>38.00688505662211</v>
      </c>
      <c r="O24" s="47">
        <f t="shared" si="12"/>
        <v>95.27612213903448</v>
      </c>
      <c r="P24" s="13">
        <f t="shared" si="19"/>
        <v>18.13579117344528</v>
      </c>
      <c r="Q24" s="69">
        <f t="shared" si="20"/>
        <v>14.101939103158571</v>
      </c>
      <c r="R24" s="14">
        <f t="shared" si="13"/>
        <v>7837.53875560693</v>
      </c>
      <c r="S24" s="49">
        <f t="shared" si="14"/>
        <v>0.05515806882430252</v>
      </c>
      <c r="T24" s="62"/>
    </row>
    <row r="25" spans="1:20" ht="12.75">
      <c r="A25">
        <f t="shared" si="5"/>
        <v>3</v>
      </c>
      <c r="B25" s="63">
        <f t="shared" si="6"/>
        <v>49034</v>
      </c>
      <c r="C25" s="64">
        <f t="shared" si="15"/>
        <v>4472.358944895047</v>
      </c>
      <c r="D25" s="46">
        <f t="shared" si="7"/>
        <v>0.14</v>
      </c>
      <c r="E25" s="65">
        <f t="shared" si="8"/>
        <v>240.5153098174666</v>
      </c>
      <c r="F25" s="65">
        <f t="shared" si="16"/>
        <v>602.7556182724279</v>
      </c>
      <c r="G25" s="65">
        <f t="shared" si="9"/>
        <v>49.35890640947</v>
      </c>
      <c r="H25" s="175">
        <f t="shared" si="10"/>
        <v>1.8475298958227206</v>
      </c>
      <c r="I25" s="46">
        <f t="shared" si="4"/>
        <v>0.08452708024998334</v>
      </c>
      <c r="J25" s="66">
        <f t="shared" si="0"/>
        <v>0.08413632597742707</v>
      </c>
      <c r="K25" s="46">
        <f t="shared" si="1"/>
        <v>0.3990262430183782</v>
      </c>
      <c r="L25" s="67">
        <f t="shared" si="17"/>
        <v>0.116</v>
      </c>
      <c r="M25" s="68">
        <f ca="1" t="shared" si="11"/>
        <v>5.862890198187228</v>
      </c>
      <c r="N25" s="65">
        <f t="shared" si="18"/>
        <v>36.92100167638298</v>
      </c>
      <c r="O25" s="47">
        <f t="shared" si="12"/>
        <v>103.32953456098767</v>
      </c>
      <c r="P25" s="13">
        <f t="shared" si="19"/>
        <v>17.624333915197077</v>
      </c>
      <c r="Q25" s="69">
        <f t="shared" si="20"/>
        <v>13.70840288345385</v>
      </c>
      <c r="R25" s="14">
        <f t="shared" si="13"/>
        <v>8262.816855543759</v>
      </c>
      <c r="S25" s="49">
        <f t="shared" si="14"/>
        <v>0.08494929728774747</v>
      </c>
      <c r="T25" s="62"/>
    </row>
    <row r="26" spans="1:20" ht="12.75">
      <c r="A26">
        <f t="shared" si="5"/>
        <v>3</v>
      </c>
      <c r="B26" s="63">
        <f t="shared" si="6"/>
        <v>49399</v>
      </c>
      <c r="C26" s="64">
        <f t="shared" si="15"/>
        <v>4834.599253350008</v>
      </c>
      <c r="D26" s="46">
        <f t="shared" si="7"/>
        <v>0.14</v>
      </c>
      <c r="E26" s="65">
        <f t="shared" si="8"/>
        <v>260.7513843268308</v>
      </c>
      <c r="F26" s="65">
        <f t="shared" si="16"/>
        <v>651.4870738771539</v>
      </c>
      <c r="G26" s="65">
        <f t="shared" si="9"/>
        <v>49.35890640947</v>
      </c>
      <c r="H26" s="175">
        <f t="shared" si="10"/>
        <v>1.7942466515336595</v>
      </c>
      <c r="I26" s="46">
        <f t="shared" si="4"/>
        <v>0.08084778329299747</v>
      </c>
      <c r="J26" s="66">
        <f t="shared" si="0"/>
        <v>0.08396635747735523</v>
      </c>
      <c r="K26" s="46">
        <f t="shared" si="1"/>
        <v>0.40024030373317704</v>
      </c>
      <c r="L26" s="67">
        <f t="shared" si="17"/>
        <v>0.116</v>
      </c>
      <c r="M26" s="68">
        <f ca="1" t="shared" si="11"/>
        <v>6.542985461176946</v>
      </c>
      <c r="N26" s="65">
        <f t="shared" si="18"/>
        <v>35.866845079605966</v>
      </c>
      <c r="O26" s="47">
        <f t="shared" si="12"/>
        <v>111.68349837894068</v>
      </c>
      <c r="P26" s="13">
        <f t="shared" si="19"/>
        <v>17.069195559369494</v>
      </c>
      <c r="Q26" s="69">
        <f t="shared" si="20"/>
        <v>13.314866663749129</v>
      </c>
      <c r="R26" s="14">
        <f t="shared" si="13"/>
        <v>8674.463521830383</v>
      </c>
      <c r="S26" s="49">
        <f t="shared" si="14"/>
        <v>0.0813763710812887</v>
      </c>
      <c r="T26" s="62"/>
    </row>
    <row r="27" spans="1:20" ht="12.75">
      <c r="A27">
        <f t="shared" si="5"/>
        <v>3</v>
      </c>
      <c r="B27" s="63">
        <f t="shared" si="6"/>
        <v>49765</v>
      </c>
      <c r="C27" s="64">
        <f t="shared" si="15"/>
        <v>5225.334942900332</v>
      </c>
      <c r="D27" s="46">
        <f t="shared" si="7"/>
        <v>0.14</v>
      </c>
      <c r="E27" s="65">
        <f t="shared" si="8"/>
        <v>282.64572827593275</v>
      </c>
      <c r="F27" s="65">
        <f t="shared" si="16"/>
        <v>704.1953937375239</v>
      </c>
      <c r="G27" s="65">
        <f t="shared" si="9"/>
        <v>49.35890640947</v>
      </c>
      <c r="H27" s="175">
        <f t="shared" si="10"/>
        <v>1.741350837618461</v>
      </c>
      <c r="I27" s="46">
        <f t="shared" si="4"/>
        <v>0.08090462876982385</v>
      </c>
      <c r="J27" s="66">
        <f t="shared" si="0"/>
        <v>0.08380763874553299</v>
      </c>
      <c r="K27" s="46">
        <f t="shared" si="1"/>
        <v>0.4013740089604787</v>
      </c>
      <c r="L27" s="67">
        <f t="shared" si="17"/>
        <v>0.116</v>
      </c>
      <c r="M27" s="68">
        <f ca="1" t="shared" si="11"/>
        <v>7.304167714969391</v>
      </c>
      <c r="N27" s="65">
        <f t="shared" si="18"/>
        <v>34.826850282613684</v>
      </c>
      <c r="O27" s="47">
        <f t="shared" si="12"/>
        <v>120.71921035500412</v>
      </c>
      <c r="P27" s="13">
        <f t="shared" si="19"/>
        <v>16.527442285806003</v>
      </c>
      <c r="Q27" s="69">
        <f t="shared" si="20"/>
        <v>12.921330444044408</v>
      </c>
      <c r="R27" s="14">
        <f t="shared" si="13"/>
        <v>9099.141379656507</v>
      </c>
      <c r="S27" s="49">
        <f t="shared" si="14"/>
        <v>0.08154090271081182</v>
      </c>
      <c r="T27" s="62"/>
    </row>
    <row r="28" spans="1:20" ht="12.75">
      <c r="A28">
        <f t="shared" si="5"/>
        <v>3</v>
      </c>
      <c r="B28" s="63">
        <f t="shared" si="6"/>
        <v>50130</v>
      </c>
      <c r="C28" s="70">
        <f t="shared" si="15"/>
        <v>5646.884608361923</v>
      </c>
      <c r="D28" s="71">
        <f t="shared" si="7"/>
        <v>0.14</v>
      </c>
      <c r="E28" s="72">
        <f t="shared" si="8"/>
        <v>306.33359936425023</v>
      </c>
      <c r="F28" s="72">
        <f t="shared" si="16"/>
        <v>761.0553685883579</v>
      </c>
      <c r="G28" s="72">
        <f t="shared" si="9"/>
        <v>49.35890640947</v>
      </c>
      <c r="H28" s="176">
        <f t="shared" si="10"/>
        <v>1.6884256917319427</v>
      </c>
      <c r="I28" s="71">
        <f t="shared" si="4"/>
        <v>0.0807445992355178</v>
      </c>
      <c r="J28" s="75">
        <f t="shared" si="0"/>
        <v>0.08364837871054855</v>
      </c>
      <c r="K28" s="76">
        <f t="shared" si="1"/>
        <v>0.402511580638939</v>
      </c>
      <c r="L28" s="77">
        <f t="shared" si="17"/>
        <v>0.116</v>
      </c>
      <c r="M28" s="78">
        <f ca="1" t="shared" si="11"/>
        <v>8.15145116990584</v>
      </c>
      <c r="N28" s="72">
        <f t="shared" si="18"/>
        <v>33.822227929877904</v>
      </c>
      <c r="O28" s="79">
        <f t="shared" si="12"/>
        <v>130.4666346151471</v>
      </c>
      <c r="P28" s="73">
        <f t="shared" si="19"/>
        <v>16.005326155521107</v>
      </c>
      <c r="Q28" s="80">
        <f t="shared" si="20"/>
        <v>12.527794224339686</v>
      </c>
      <c r="R28" s="81">
        <f t="shared" si="13"/>
        <v>9534.34505100394</v>
      </c>
      <c r="S28" s="52">
        <f t="shared" si="14"/>
        <v>0.08149530156434137</v>
      </c>
      <c r="T28" s="62"/>
    </row>
    <row r="29" spans="2:19" ht="12.75">
      <c r="B29" s="82" t="s">
        <v>353</v>
      </c>
      <c r="C29" s="83"/>
      <c r="D29" s="84"/>
      <c r="E29" s="84"/>
      <c r="F29" s="84"/>
      <c r="G29" s="84"/>
      <c r="H29" s="84"/>
      <c r="I29" s="10"/>
      <c r="J29" s="10"/>
      <c r="K29" s="10"/>
      <c r="M29" s="10"/>
      <c r="N29" s="15"/>
      <c r="O29" s="10"/>
      <c r="P29" s="48"/>
      <c r="Q29" s="28"/>
      <c r="R29" s="85"/>
      <c r="S29" s="117"/>
    </row>
    <row r="30" spans="2:19" ht="12.75">
      <c r="B30" s="86" t="s">
        <v>354</v>
      </c>
      <c r="C30" s="87">
        <f>RATE(3,0,-C5,C8)</f>
        <v>0.34800680626243125</v>
      </c>
      <c r="D30" s="88">
        <f>AVERAGE(D6:D8)</f>
        <v>0.1938949258474171</v>
      </c>
      <c r="E30" s="88">
        <f>RATE(3,0,-E5,E8)</f>
        <v>0.14471424255333176</v>
      </c>
      <c r="F30" s="88">
        <f>RATE(3,0,-F5,F8)</f>
        <v>0.17906436892864194</v>
      </c>
      <c r="G30" s="89">
        <f>RATE(3,0,-G5,G8)</f>
        <v>0.0813834204079348</v>
      </c>
      <c r="H30" s="16"/>
      <c r="I30" s="90"/>
      <c r="J30" s="90">
        <f>AVERAGE(J6:J8)</f>
        <v>0.16024166921573058</v>
      </c>
      <c r="K30" s="90">
        <f>AVERAGE(K6:K8)</f>
        <v>0.17275515016665596</v>
      </c>
      <c r="L30" s="91"/>
      <c r="M30" s="91"/>
      <c r="N30" s="91"/>
      <c r="O30" s="90">
        <f>RATE(3,0,-O5,O8)</f>
        <v>-0.18217155185170414</v>
      </c>
      <c r="P30" s="30"/>
      <c r="Q30" s="180">
        <f>AVERAGE(Q6:Q8)</f>
        <v>12.420479668729877</v>
      </c>
      <c r="R30" s="88"/>
      <c r="S30" s="48"/>
    </row>
    <row r="31" spans="2:19" ht="12.75">
      <c r="B31" s="86" t="s">
        <v>355</v>
      </c>
      <c r="C31" s="87">
        <f ca="1">RATE(growth_phase_years,0,-C8,OFFSET(C8,growth_phase_years,0))</f>
        <v>0.19380481230666824</v>
      </c>
      <c r="D31" s="92">
        <f ca="1">AVERAGE(OFFSET(D9,0,0,growth_phase_years,1))</f>
        <v>0.18875000000000003</v>
      </c>
      <c r="E31" s="88">
        <f ca="1">RATE(growth_phase_years,0,-E8,OFFSET(E8,growth_phase_years,0))</f>
        <v>0.15529038397443765</v>
      </c>
      <c r="F31" s="88">
        <f ca="1">RATE(growth_phase_years,0,-F8,OFFSET(F8,growth_phase_years,0))</f>
        <v>0.25131189062225273</v>
      </c>
      <c r="G31" s="16"/>
      <c r="H31" s="16"/>
      <c r="I31" s="16"/>
      <c r="J31" s="92">
        <f ca="1">AVERAGE(OFFSET(J9,0,0,growth_phase_years,1))</f>
        <v>0.16384100392819675</v>
      </c>
      <c r="K31" s="92">
        <f ca="1">AVERAGE(OFFSET(K9,0,0,growth_phase_years,1))</f>
        <v>0.13242568617085493</v>
      </c>
      <c r="L31" s="16"/>
      <c r="M31" s="16"/>
      <c r="N31" s="16"/>
      <c r="O31" s="88">
        <f ca="1">RATE(growth_phase_years,0,-O8,OFFSET(O8,growth_phase_years,0))</f>
        <v>0.48258814392525784</v>
      </c>
      <c r="P31" s="48"/>
      <c r="Q31" s="181">
        <f ca="1">AVERAGE(OFFSET(Q9,0,0,growth_phase_years,1))</f>
        <v>19.414678069172307</v>
      </c>
      <c r="R31" s="88"/>
      <c r="S31" s="48"/>
    </row>
    <row r="32" spans="2:19" ht="12.75">
      <c r="B32" s="86" t="s">
        <v>356</v>
      </c>
      <c r="C32" s="87">
        <f ca="1">RATE(slowdown_phase_years,0,-OFFSET(C8,growth_phase_years,0),OFFSET(C8,growth_phase_years+slowdown_phase_years,0))</f>
        <v>0.12738435296146466</v>
      </c>
      <c r="D32" s="92">
        <f ca="1">AVERAGE(OFFSET(D9,growth_phase_years,0,slowdown_phase_years,1))</f>
        <v>0.1675</v>
      </c>
      <c r="E32" s="88">
        <f ca="1">RATE(slowdown_phase_years,0,-OFFSET(E8,growth_phase_years,0),OFFSET(E8,growth_phase_years+slowdown_phase_years,0))</f>
        <v>0.21528122313046366</v>
      </c>
      <c r="F32" s="88">
        <f ca="1">RATE(slowdown_phase_years,0,-OFFSET(F8,growth_phase_years,0),OFFSET(F8,growth_phase_years+slowdown_phase_years,0))</f>
        <v>0.09872539687530239</v>
      </c>
      <c r="G32" s="16"/>
      <c r="H32" s="16"/>
      <c r="I32" s="16"/>
      <c r="J32" s="92">
        <f ca="1">AVERAGE(OFFSET(J9,growth_phase_years,0,slowdown_phase_years,1))</f>
        <v>0.12840657122899768</v>
      </c>
      <c r="K32" s="92">
        <f ca="1">AVERAGE(OFFSET(K9,growth_phase_years,0,slowdown_phase_years,1))</f>
        <v>0.24194951496803221</v>
      </c>
      <c r="L32" s="16"/>
      <c r="M32" s="16"/>
      <c r="N32" s="16"/>
      <c r="O32" s="88">
        <f ca="1">RATE(slowdown_phase_years,0,-OFFSET(O8,growth_phase_years,0),OFFSET(O8,growth_phase_years+slowdown_phase_years,0))</f>
        <v>0.055654727440951804</v>
      </c>
      <c r="P32" s="48"/>
      <c r="Q32" s="181">
        <f ca="1">AVERAGE(OFFSET(Q9,growth_phase_years,0,slowdown_phase_years,1))</f>
        <v>16.266388311534538</v>
      </c>
      <c r="R32" s="88"/>
      <c r="S32" s="48"/>
    </row>
    <row r="33" spans="2:19" ht="12.75">
      <c r="B33" s="93" t="s">
        <v>357</v>
      </c>
      <c r="C33" s="94">
        <f>C28/C27-1</f>
        <v>0.08067419028025191</v>
      </c>
      <c r="D33" s="95">
        <f>terminal_roe</f>
        <v>0.14</v>
      </c>
      <c r="E33" s="96">
        <f>J28</f>
        <v>0.08364837871054855</v>
      </c>
      <c r="F33" s="96">
        <f>terminal_growth_rate</f>
        <v>0.08364837871054855</v>
      </c>
      <c r="G33" s="97"/>
      <c r="H33" s="97"/>
      <c r="I33" s="97"/>
      <c r="J33" s="95">
        <f>terminal_growth_rate</f>
        <v>0.08364837871054855</v>
      </c>
      <c r="K33" s="95">
        <f>K28</f>
        <v>0.402511580638939</v>
      </c>
      <c r="L33" s="97"/>
      <c r="M33" s="97"/>
      <c r="N33" s="97"/>
      <c r="O33" s="98">
        <f>terminal_roe-term_disc_rate</f>
        <v>0.024000000000000007</v>
      </c>
      <c r="P33" s="99"/>
      <c r="Q33" s="182">
        <f>Q28</f>
        <v>12.527794224339686</v>
      </c>
      <c r="R33" s="84"/>
      <c r="S33" s="74"/>
    </row>
    <row r="35" spans="1:19" ht="25.5">
      <c r="A35" s="1"/>
      <c r="B35" s="100"/>
      <c r="C35" s="101" t="s">
        <v>358</v>
      </c>
      <c r="D35" s="101" t="s">
        <v>359</v>
      </c>
      <c r="E35" s="102" t="s">
        <v>357</v>
      </c>
      <c r="F35" s="1"/>
      <c r="G35" s="188" t="s">
        <v>371</v>
      </c>
      <c r="H35" s="102"/>
      <c r="I35" s="100" t="s">
        <v>402</v>
      </c>
      <c r="J35" s="100" t="s">
        <v>360</v>
      </c>
      <c r="K35" s="100" t="s">
        <v>396</v>
      </c>
      <c r="M35" s="103"/>
      <c r="N35" s="102"/>
      <c r="O35" s="189" t="s">
        <v>361</v>
      </c>
      <c r="P35" s="190" t="str">
        <f>"In "&amp;growth_phase_years&amp;" Years"</f>
        <v>In 4 Years</v>
      </c>
      <c r="Q35" s="190" t="str">
        <f>growth_phase_years&amp;" Year CAGR"</f>
        <v>4 Year CAGR</v>
      </c>
      <c r="R35" s="190" t="s">
        <v>362</v>
      </c>
      <c r="S35" s="191" t="s">
        <v>363</v>
      </c>
    </row>
    <row r="36" spans="2:19" ht="12.75">
      <c r="B36" s="86" t="s">
        <v>364</v>
      </c>
      <c r="C36" s="104">
        <v>4</v>
      </c>
      <c r="D36" s="104">
        <v>12</v>
      </c>
      <c r="E36" s="48"/>
      <c r="G36" s="29" t="s">
        <v>365</v>
      </c>
      <c r="H36" s="30"/>
      <c r="I36" s="205">
        <f>I37/F28</f>
        <v>12.134258004634983</v>
      </c>
      <c r="J36" s="105"/>
      <c r="K36" s="86"/>
      <c r="M36" s="106" t="s">
        <v>397</v>
      </c>
      <c r="N36" s="48"/>
      <c r="O36" s="172">
        <v>17328.78</v>
      </c>
      <c r="P36" s="14">
        <f>O36*P38/O38</f>
        <v>36357.14610277007</v>
      </c>
      <c r="Q36" s="107">
        <f ca="1">RATE((OFFSET(B8,growth_phase_years,0)-TODAY())/365,0,-O36,P36)</f>
        <v>0.2693594404944374</v>
      </c>
      <c r="R36" s="14">
        <f>O36*R38/O38</f>
        <v>209134.9092336189</v>
      </c>
      <c r="S36" s="192">
        <f aca="true" t="shared" si="21" ref="S36:S43">RATE(20,0,-O36,R36)</f>
        <v>0.1326166122717315</v>
      </c>
    </row>
    <row r="37" spans="2:19" ht="12.75">
      <c r="B37" s="86" t="s">
        <v>366</v>
      </c>
      <c r="C37" s="109">
        <v>0.2</v>
      </c>
      <c r="D37" s="10"/>
      <c r="E37" s="110">
        <v>0.14</v>
      </c>
      <c r="G37" s="106" t="s">
        <v>367</v>
      </c>
      <c r="H37" s="48"/>
      <c r="I37" s="111">
        <f>(1-C46)*E28*(1+J28)/(E40-J28)</f>
        <v>9234.842198263708</v>
      </c>
      <c r="J37" s="112">
        <f>O28*(1+O33)/(term_disc_rate-O33)</f>
        <v>1452.150367890333</v>
      </c>
      <c r="K37" s="86"/>
      <c r="M37" s="106" t="s">
        <v>398</v>
      </c>
      <c r="N37" s="48"/>
      <c r="O37" s="172">
        <v>3563.74</v>
      </c>
      <c r="P37" s="14">
        <f>P40*P39</f>
        <v>8863.320136732213</v>
      </c>
      <c r="Q37" s="197">
        <f ca="1">RATE((OFFSET(B8,growth_phase_years,0)-TODAY())/365,0,-O37,P37)</f>
        <v>0.34078972921511475</v>
      </c>
      <c r="R37" s="14">
        <f>R40*R39</f>
        <v>37564.86071057745</v>
      </c>
      <c r="S37" s="108">
        <f t="shared" si="21"/>
        <v>0.12497737588805732</v>
      </c>
    </row>
    <row r="38" spans="2:19" ht="12.75">
      <c r="B38" s="86" t="s">
        <v>368</v>
      </c>
      <c r="C38" s="109">
        <v>1</v>
      </c>
      <c r="D38" s="113">
        <v>1.07</v>
      </c>
      <c r="E38" s="48"/>
      <c r="G38" s="114" t="s">
        <v>369</v>
      </c>
      <c r="H38" s="48"/>
      <c r="I38" s="111">
        <f>I37/M28</f>
        <v>1132.907749279983</v>
      </c>
      <c r="J38" s="111">
        <f>J37/M28</f>
        <v>178.1462389484089</v>
      </c>
      <c r="K38" s="86"/>
      <c r="M38" s="106" t="s">
        <v>399</v>
      </c>
      <c r="N38" s="48"/>
      <c r="O38" s="172">
        <v>23094.89</v>
      </c>
      <c r="P38" s="14">
        <f>P41*P39</f>
        <v>48454.8993037827</v>
      </c>
      <c r="Q38" s="107">
        <f ca="1">RATE((OFFSET(B8,growth_phase_years,0)-TODAY())/365,0,-O38,P38)</f>
        <v>0.2693594404944373</v>
      </c>
      <c r="R38" s="14">
        <f>R41*R39</f>
        <v>278724.04888921283</v>
      </c>
      <c r="S38" s="192">
        <f t="shared" si="21"/>
        <v>0.13261661227173133</v>
      </c>
    </row>
    <row r="39" spans="2:19" ht="12.75">
      <c r="B39" s="86" t="s">
        <v>370</v>
      </c>
      <c r="C39" s="113">
        <v>0.019999999552965164</v>
      </c>
      <c r="D39" s="10"/>
      <c r="E39" s="48"/>
      <c r="G39" s="114" t="s">
        <v>371</v>
      </c>
      <c r="H39" s="48"/>
      <c r="I39" s="187">
        <f>SUM(N9:N28,I38)</f>
        <v>1621.3158014944624</v>
      </c>
      <c r="J39" s="112">
        <f>SUM(C8,P9:P28,J38)</f>
        <v>1141.7994562538202</v>
      </c>
      <c r="K39" s="112">
        <f ca="1">PV(discount_rate,(OFFSET(B8,growth_phase_years,0)-TODAY())/365,-AVERAGE(OFFSET(E8,0,0,growth_phase_years,1)),-P44)</f>
        <v>2257.3251983495725</v>
      </c>
      <c r="M39" s="106" t="s">
        <v>400</v>
      </c>
      <c r="N39" s="48"/>
      <c r="O39" s="131">
        <v>45.7</v>
      </c>
      <c r="P39" s="15">
        <f ca="1">OFFSET(G8,growth_phase_years,0)</f>
        <v>49.35890640947</v>
      </c>
      <c r="Q39" s="107">
        <f ca="1">RATE((OFFSET(B8,growth_phase_years,0)-TODAY())/365,0,-O39,P39)</f>
        <v>0.02510020030268932</v>
      </c>
      <c r="R39" s="15">
        <f>G28</f>
        <v>49.35890640947</v>
      </c>
      <c r="S39" s="193">
        <f t="shared" si="21"/>
        <v>0.0038584209173619945</v>
      </c>
    </row>
    <row r="40" spans="2:19" ht="12.75">
      <c r="B40" s="93" t="s">
        <v>372</v>
      </c>
      <c r="C40" s="75">
        <f>CAPM_Disc_Rate</f>
        <v>0.1445986435349208</v>
      </c>
      <c r="D40" s="84"/>
      <c r="E40" s="199">
        <f>E45</f>
        <v>0.116</v>
      </c>
      <c r="G40" s="116" t="s">
        <v>403</v>
      </c>
      <c r="H40" s="85"/>
      <c r="I40" s="118">
        <f>I38/I39</f>
        <v>0.6987582235587385</v>
      </c>
      <c r="J40" s="119">
        <f>J38/J39</f>
        <v>0.15602235398928696</v>
      </c>
      <c r="K40" s="27"/>
      <c r="M40" s="29" t="s">
        <v>373</v>
      </c>
      <c r="N40" s="30"/>
      <c r="O40" s="177">
        <v>81.0456</v>
      </c>
      <c r="P40" s="120">
        <f ca="1">OFFSET(F8,growth_phase_years,0)</f>
        <v>179.56881101060407</v>
      </c>
      <c r="Q40" s="198">
        <f ca="1">RATE((OFFSET(B8,growth_phase_years,0)-TODAY())/365,0,-O40,P40)</f>
        <v>0.29183301625285835</v>
      </c>
      <c r="R40" s="120">
        <f>F28</f>
        <v>761.0553685883579</v>
      </c>
      <c r="S40" s="194">
        <f t="shared" si="21"/>
        <v>0.1184957561223571</v>
      </c>
    </row>
    <row r="41" spans="2:19" ht="12.75">
      <c r="B41" s="121"/>
      <c r="C41" s="40"/>
      <c r="D41" s="40"/>
      <c r="E41" s="30"/>
      <c r="M41" s="106" t="s">
        <v>374</v>
      </c>
      <c r="N41" s="48"/>
      <c r="O41" s="202">
        <f>O38/O39</f>
        <v>505.3586433260393</v>
      </c>
      <c r="P41" s="122">
        <f ca="1">OFFSET(C8,growth_phase_years,0)</f>
        <v>981.685025632702</v>
      </c>
      <c r="Q41" s="107">
        <f ca="1">RATE((OFFSET(B8,growth_phase_years,0)-TODAY())/365,0,-O41,P41)</f>
        <v>0.23827840450791524</v>
      </c>
      <c r="R41" s="122">
        <f>C28</f>
        <v>5646.884608361923</v>
      </c>
      <c r="S41" s="192">
        <f t="shared" si="21"/>
        <v>0.1282632975649859</v>
      </c>
    </row>
    <row r="42" spans="2:19" ht="12.75">
      <c r="B42" s="29" t="s">
        <v>322</v>
      </c>
      <c r="C42" s="123">
        <f>erp</f>
        <v>0.07381575767262621</v>
      </c>
      <c r="D42" s="40"/>
      <c r="E42" s="171">
        <v>0.06</v>
      </c>
      <c r="G42" s="28"/>
      <c r="H42" s="117"/>
      <c r="I42" s="117" t="s">
        <v>375</v>
      </c>
      <c r="J42" s="27" t="s">
        <v>376</v>
      </c>
      <c r="K42" s="27" t="s">
        <v>377</v>
      </c>
      <c r="M42" s="83" t="s">
        <v>378</v>
      </c>
      <c r="N42" s="74"/>
      <c r="O42" s="178">
        <v>491.3403</v>
      </c>
      <c r="P42" s="81">
        <f>O42*P41/O41</f>
        <v>954.4536763541414</v>
      </c>
      <c r="Q42" s="124">
        <f ca="1">RATE((OFFSET(B8,growth_phase_years,0)-TODAY())/365,0,-O42,P42)</f>
        <v>0.23827840450791526</v>
      </c>
      <c r="R42" s="125">
        <f>O42*R41/O41</f>
        <v>5490.243442314875</v>
      </c>
      <c r="S42" s="195">
        <f t="shared" si="21"/>
        <v>0.12826329756498595</v>
      </c>
    </row>
    <row r="43" spans="2:19" ht="12.75">
      <c r="B43" s="106" t="s">
        <v>320</v>
      </c>
      <c r="C43" s="126">
        <f>rfr</f>
        <v>0.06</v>
      </c>
      <c r="D43" s="10"/>
      <c r="E43" s="110">
        <v>0.05</v>
      </c>
      <c r="G43" s="106" t="s">
        <v>350</v>
      </c>
      <c r="H43" s="48"/>
      <c r="I43" s="13">
        <f>O44/O40</f>
        <v>22.75385708786165</v>
      </c>
      <c r="J43" s="127">
        <f>I39/O40</f>
        <v>20.00498239872939</v>
      </c>
      <c r="K43" s="128">
        <f>I36</f>
        <v>12.134258004634983</v>
      </c>
      <c r="M43" s="106" t="s">
        <v>401</v>
      </c>
      <c r="N43" s="48"/>
      <c r="O43" s="201">
        <f>O44*O39</f>
        <v>84275.37</v>
      </c>
      <c r="P43" s="42">
        <f>P44*P39</f>
        <v>166846.45082770468</v>
      </c>
      <c r="Q43" s="129">
        <f ca="1">RATE((OFFSET(B8,growth_phase_years,0)-TODAY())/365,0,-O43,P43)</f>
        <v>0.24586715994216118</v>
      </c>
      <c r="R43" s="130">
        <f>R38*K44</f>
        <v>455821.71177032264</v>
      </c>
      <c r="S43" s="194">
        <f t="shared" si="21"/>
        <v>0.08806469059113083</v>
      </c>
    </row>
    <row r="44" spans="2:19" ht="12.75">
      <c r="B44" s="106" t="s">
        <v>318</v>
      </c>
      <c r="C44" s="200">
        <f>beta</f>
        <v>1.1460783740799199</v>
      </c>
      <c r="D44" s="10"/>
      <c r="E44" s="132">
        <v>1.1</v>
      </c>
      <c r="G44" s="114" t="s">
        <v>379</v>
      </c>
      <c r="H44" s="48"/>
      <c r="I44" s="133">
        <f>O44/O41</f>
        <v>3.6490916388863512</v>
      </c>
      <c r="J44" s="134">
        <f>I39/O41</f>
        <v>3.2082478906934364</v>
      </c>
      <c r="K44" s="135">
        <f>I37/C28</f>
        <v>1.635387091953097</v>
      </c>
      <c r="M44" s="83" t="s">
        <v>380</v>
      </c>
      <c r="N44" s="74"/>
      <c r="O44" s="179">
        <v>1844.1</v>
      </c>
      <c r="P44" s="125">
        <f ca="1">OFFSET(R8,growth_phase_years,0)</f>
        <v>3380.2704104419445</v>
      </c>
      <c r="Q44" s="136"/>
      <c r="R44" s="81">
        <f>I37</f>
        <v>9234.842198263708</v>
      </c>
      <c r="S44" s="196">
        <f>IRR((Q45,E9:E27,R45))</f>
        <v>0.10490930657387147</v>
      </c>
    </row>
    <row r="45" spans="2:18" ht="12.75">
      <c r="B45" s="114" t="s">
        <v>381</v>
      </c>
      <c r="C45" s="169">
        <f>C$43+C$44*C$42</f>
        <v>0.1445986435349208</v>
      </c>
      <c r="D45" s="84"/>
      <c r="E45" s="170">
        <f>E$43+E$44*E$42</f>
        <v>0.116</v>
      </c>
      <c r="G45" s="114" t="s">
        <v>382</v>
      </c>
      <c r="H45" s="48"/>
      <c r="I45" s="15">
        <f>O44/O42</f>
        <v>3.7532032279867944</v>
      </c>
      <c r="J45" s="137">
        <f>I39/O42</f>
        <v>3.2997818446694938</v>
      </c>
      <c r="K45" s="48"/>
      <c r="Q45" s="173">
        <f>-O44</f>
        <v>-1844.1</v>
      </c>
      <c r="R45" s="173">
        <f>I37+E28</f>
        <v>9541.175797627959</v>
      </c>
    </row>
    <row r="46" spans="2:18" ht="12.75">
      <c r="B46" s="27" t="s">
        <v>404</v>
      </c>
      <c r="C46" s="168">
        <v>0.1</v>
      </c>
      <c r="G46" s="115" t="s">
        <v>383</v>
      </c>
      <c r="H46" s="74"/>
      <c r="I46" s="138">
        <f>E8/O44</f>
        <v>0.006507239303725394</v>
      </c>
      <c r="J46" s="139">
        <f>E8/I39</f>
        <v>0.007401395822417133</v>
      </c>
      <c r="K46" s="140">
        <f>E28/I37</f>
        <v>0.033171503398492896</v>
      </c>
      <c r="Q46" s="141">
        <f ca="1">TODAY()</f>
        <v>43152</v>
      </c>
      <c r="R46" s="142"/>
    </row>
    <row r="47" ht="12.75">
      <c r="P47" s="23"/>
    </row>
    <row r="48" spans="11:12" ht="12.75">
      <c r="K48" s="19"/>
      <c r="L48" s="22"/>
    </row>
  </sheetData>
  <conditionalFormatting sqref="AB14">
    <cfRule type="expression" priority="1" dxfId="1" stopIfTrue="1">
      <formula>$K$28&gt;=AB14</formula>
    </cfRule>
  </conditionalFormatting>
  <conditionalFormatting sqref="Z14">
    <cfRule type="cellIs" priority="2" dxfId="1" operator="greaterThanOrEqual" stopIfTrue="1">
      <formula>$K$28</formula>
    </cfRule>
  </conditionalFormatting>
  <conditionalFormatting sqref="AB10">
    <cfRule type="expression" priority="3" dxfId="1" stopIfTrue="1">
      <formula>$E$37&lt;=AB10</formula>
    </cfRule>
  </conditionalFormatting>
  <conditionalFormatting sqref="AB11">
    <cfRule type="expression" priority="4" dxfId="1" stopIfTrue="1">
      <formula>$J$28&lt;=AB11</formula>
    </cfRule>
  </conditionalFormatting>
  <conditionalFormatting sqref="AB12">
    <cfRule type="expression" priority="5" dxfId="1" stopIfTrue="1">
      <formula>$E$40&gt;=AB12</formula>
    </cfRule>
  </conditionalFormatting>
  <conditionalFormatting sqref="AB13">
    <cfRule type="expression" priority="6" dxfId="1" stopIfTrue="1">
      <formula>$I$40&lt;=AB13</formula>
    </cfRule>
  </conditionalFormatting>
  <conditionalFormatting sqref="Z10">
    <cfRule type="expression" priority="7" dxfId="1" stopIfTrue="1">
      <formula>$E$37&gt;=Z10</formula>
    </cfRule>
  </conditionalFormatting>
  <conditionalFormatting sqref="Z11">
    <cfRule type="expression" priority="8" dxfId="1" stopIfTrue="1">
      <formula>$J$28&gt;=Z11</formula>
    </cfRule>
  </conditionalFormatting>
  <conditionalFormatting sqref="Z12">
    <cfRule type="expression" priority="9" dxfId="1" stopIfTrue="1">
      <formula>$E$40&lt;=Z12</formula>
    </cfRule>
  </conditionalFormatting>
  <conditionalFormatting sqref="Z13">
    <cfRule type="expression" priority="10" dxfId="1" stopIfTrue="1">
      <formula>$I$40&gt;=Z13</formula>
    </cfRule>
  </conditionalFormatting>
  <conditionalFormatting sqref="Z8">
    <cfRule type="cellIs" priority="11" dxfId="1" operator="lessThan" stopIfTrue="1">
      <formula>$D$36</formula>
    </cfRule>
  </conditionalFormatting>
  <conditionalFormatting sqref="Z6">
    <cfRule type="cellIs" priority="12" dxfId="1" operator="greaterThanOrEqual" stopIfTrue="1">
      <formula>$K$31</formula>
    </cfRule>
  </conditionalFormatting>
  <conditionalFormatting sqref="AB6">
    <cfRule type="cellIs" priority="13" dxfId="1" operator="lessThanOrEqual" stopIfTrue="1">
      <formula>$K$31</formula>
    </cfRule>
  </conditionalFormatting>
  <conditionalFormatting sqref="Z5">
    <cfRule type="expression" priority="14" dxfId="1" stopIfTrue="1">
      <formula>$C$40&lt;=Z5</formula>
    </cfRule>
  </conditionalFormatting>
  <conditionalFormatting sqref="AB4">
    <cfRule type="expression" priority="15" dxfId="1" stopIfTrue="1">
      <formula>$F$31&lt;=AB4</formula>
    </cfRule>
  </conditionalFormatting>
  <conditionalFormatting sqref="Z4">
    <cfRule type="expression" priority="16" dxfId="1" stopIfTrue="1">
      <formula>$F$31&gt;=Z4</formula>
    </cfRule>
  </conditionalFormatting>
  <conditionalFormatting sqref="Z3">
    <cfRule type="cellIs" priority="17" dxfId="1" operator="lessThan" stopIfTrue="1">
      <formula>$C$36</formula>
    </cfRule>
  </conditionalFormatting>
  <conditionalFormatting sqref="Z15">
    <cfRule type="cellIs" priority="18" dxfId="1" operator="lessThanOrEqual" stopIfTrue="1">
      <formula>$I$36</formula>
    </cfRule>
  </conditionalFormatting>
  <conditionalFormatting sqref="AB15">
    <cfRule type="cellIs" priority="19" dxfId="1" operator="greaterThan" stopIfTrue="1">
      <formula>$I$36</formula>
    </cfRule>
  </conditionalFormatting>
  <conditionalFormatting sqref="Z17">
    <cfRule type="cellIs" priority="20" dxfId="1" operator="lessThan" stopIfTrue="1">
      <formula>$I$39/$J$39</formula>
    </cfRule>
  </conditionalFormatting>
  <conditionalFormatting sqref="S44">
    <cfRule type="cellIs" priority="21" dxfId="1" operator="lessThan" stopIfTrue="1">
      <formula>#REF!</formula>
    </cfRule>
    <cfRule type="cellIs" priority="22" dxfId="1" operator="lessThan" stopIfTrue="1">
      <formula>$E$42+$E$43</formula>
    </cfRule>
  </conditionalFormatting>
  <conditionalFormatting sqref="I39">
    <cfRule type="cellIs" priority="23" dxfId="2" operator="greaterThanOrEqual" stopIfTrue="1">
      <formula>$O$44</formula>
    </cfRule>
    <cfRule type="cellIs" priority="24" dxfId="3" operator="lessThanOrEqual" stopIfTrue="1">
      <formula>$O$44</formula>
    </cfRule>
  </conditionalFormatting>
  <conditionalFormatting sqref="I40">
    <cfRule type="cellIs" priority="25" dxfId="4" operator="greaterThan" stopIfTrue="1">
      <formula>0.75</formula>
    </cfRule>
  </conditionalFormatting>
  <conditionalFormatting sqref="I3:P8">
    <cfRule type="expression" priority="26" dxfId="0" stopIfTrue="1">
      <formula>ISERROR(I3)</formula>
    </cfRule>
  </conditionalFormatting>
  <conditionalFormatting sqref="C40">
    <cfRule type="cellIs" priority="27" dxfId="4" operator="lessThan" stopIfTrue="1">
      <formula>#REF!</formula>
    </cfRule>
  </conditionalFormatting>
  <conditionalFormatting sqref="E37">
    <cfRule type="cellIs" priority="28" dxfId="4" operator="greaterThanOrEqual" stopIfTrue="1">
      <formula>$E$40+0.04</formula>
    </cfRule>
  </conditionalFormatting>
  <conditionalFormatting sqref="F33">
    <cfRule type="cellIs" priority="29" dxfId="1" operator="greaterThan" stopIfTrue="1">
      <formula>0.09</formula>
    </cfRule>
  </conditionalFormatting>
  <conditionalFormatting sqref="F31">
    <cfRule type="cellIs" priority="30" dxfId="1" operator="greaterThan" stopIfTrue="1">
      <formula>0.25</formula>
    </cfRule>
  </conditionalFormatting>
  <conditionalFormatting sqref="E8">
    <cfRule type="cellIs" priority="31" dxfId="5" operator="equal" stopIfTrue="1">
      <formula>0</formula>
    </cfRule>
  </conditionalFormatting>
  <conditionalFormatting sqref="E40">
    <cfRule type="cellIs" priority="32" dxfId="4" operator="lessThan" stopIfTrue="1">
      <formula>$J$28+0.02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Yogesh Sane</cp:lastModifiedBy>
  <dcterms:created xsi:type="dcterms:W3CDTF">2017-07-29T12:21:23Z</dcterms:created>
  <dcterms:modified xsi:type="dcterms:W3CDTF">2018-02-21T08:21:01Z</dcterms:modified>
  <cp:category/>
  <cp:version/>
  <cp:contentType/>
  <cp:contentStatus/>
</cp:coreProperties>
</file>