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Users/kashifkidwai/Desktop/Investment/Company Research/Realty/"/>
    </mc:Choice>
  </mc:AlternateContent>
  <bookViews>
    <workbookView xWindow="0" yWindow="0" windowWidth="28800" windowHeight="18000" activeTab="6"/>
  </bookViews>
  <sheets>
    <sheet name="Oberoi" sheetId="1" r:id="rId1"/>
    <sheet name="Sunteck" sheetId="2" r:id="rId2"/>
    <sheet name="Godrej" sheetId="3" r:id="rId3"/>
    <sheet name="prestige" sheetId="4" r:id="rId4"/>
    <sheet name="DLF" sheetId="6" r:id="rId5"/>
    <sheet name="HDIL" sheetId="7" r:id="rId6"/>
    <sheet name="Indiabulls" sheetId="8" r:id="rId7"/>
    <sheet name="Sheet2" sheetId="5" r:id="rId8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4" i="8" l="1"/>
  <c r="F53" i="8"/>
  <c r="F52" i="8"/>
  <c r="F50" i="7"/>
  <c r="F49" i="7"/>
  <c r="F48" i="7"/>
  <c r="F53" i="6"/>
  <c r="F52" i="6"/>
  <c r="F51" i="6"/>
  <c r="G55" i="4"/>
  <c r="G54" i="4"/>
  <c r="G53" i="4"/>
  <c r="G53" i="3"/>
  <c r="G52" i="3"/>
  <c r="G51" i="3"/>
  <c r="G53" i="2"/>
  <c r="G52" i="2"/>
  <c r="G51" i="2"/>
  <c r="F60" i="1"/>
  <c r="F59" i="1"/>
  <c r="F58" i="1"/>
  <c r="F48" i="6"/>
  <c r="G48" i="6"/>
  <c r="B40" i="6"/>
  <c r="E40" i="6"/>
  <c r="F40" i="6"/>
  <c r="G40" i="6"/>
  <c r="I40" i="6"/>
  <c r="H35" i="6"/>
  <c r="I35" i="6"/>
  <c r="J40" i="6"/>
  <c r="E42" i="4"/>
  <c r="G42" i="4"/>
  <c r="I42" i="4"/>
  <c r="I37" i="4"/>
  <c r="J42" i="4"/>
  <c r="I40" i="3"/>
  <c r="I35" i="3"/>
  <c r="J40" i="3"/>
  <c r="I47" i="1"/>
  <c r="I42" i="1"/>
  <c r="J47" i="1"/>
  <c r="I40" i="2"/>
  <c r="I35" i="2"/>
  <c r="J40" i="2"/>
  <c r="B13" i="4"/>
  <c r="C13" i="4"/>
  <c r="D13" i="4"/>
  <c r="E13" i="4"/>
  <c r="F13" i="4"/>
  <c r="G13" i="4"/>
  <c r="H13" i="4"/>
  <c r="L3" i="4"/>
  <c r="L2" i="3"/>
  <c r="B14" i="3"/>
  <c r="C14" i="3"/>
  <c r="D14" i="3"/>
  <c r="E14" i="3"/>
  <c r="F14" i="3"/>
  <c r="G14" i="3"/>
  <c r="H14" i="3"/>
  <c r="L3" i="3"/>
  <c r="L4" i="3"/>
  <c r="B3" i="3"/>
  <c r="C3" i="3"/>
  <c r="D8" i="3"/>
  <c r="E8" i="3"/>
  <c r="F8" i="3"/>
  <c r="G8" i="3"/>
  <c r="H8" i="3"/>
  <c r="D9" i="3"/>
  <c r="D10" i="3"/>
  <c r="E9" i="3"/>
  <c r="E10" i="3"/>
  <c r="F9" i="3"/>
  <c r="F10" i="3"/>
  <c r="G9" i="3"/>
  <c r="G10" i="3"/>
  <c r="H9" i="3"/>
  <c r="H10" i="3"/>
  <c r="L5" i="3"/>
  <c r="L1" i="3"/>
  <c r="M2" i="3"/>
  <c r="C13" i="1"/>
  <c r="L2" i="1"/>
  <c r="F44" i="8"/>
  <c r="B44" i="8"/>
  <c r="F45" i="8"/>
  <c r="F40" i="7"/>
  <c r="B40" i="7"/>
  <c r="F41" i="7"/>
  <c r="F43" i="6"/>
  <c r="H25" i="6"/>
  <c r="B43" i="6"/>
  <c r="F44" i="6"/>
  <c r="G45" i="4"/>
  <c r="B45" i="4"/>
  <c r="G46" i="4"/>
  <c r="G43" i="3"/>
  <c r="B43" i="3"/>
  <c r="G44" i="3"/>
  <c r="G43" i="2"/>
  <c r="B43" i="2"/>
  <c r="G44" i="2"/>
  <c r="F50" i="1"/>
  <c r="B50" i="1"/>
  <c r="F51" i="1"/>
  <c r="F16" i="1"/>
  <c r="G17" i="1"/>
  <c r="G16" i="1"/>
  <c r="H17" i="1"/>
  <c r="H16" i="1"/>
  <c r="L3" i="1"/>
  <c r="L4" i="1"/>
  <c r="B4" i="1"/>
  <c r="C4" i="1"/>
  <c r="D4" i="1"/>
  <c r="E4" i="1"/>
  <c r="F4" i="1"/>
  <c r="G4" i="1"/>
  <c r="H4" i="1"/>
  <c r="L5" i="1"/>
  <c r="L6" i="1"/>
  <c r="L1" i="1"/>
  <c r="E11" i="6"/>
  <c r="F11" i="6"/>
  <c r="B12" i="6"/>
  <c r="C12" i="6"/>
  <c r="D12" i="6"/>
  <c r="E12" i="6"/>
  <c r="F12" i="6"/>
  <c r="G12" i="6"/>
  <c r="H12" i="6"/>
  <c r="L8" i="6"/>
  <c r="L7" i="6"/>
  <c r="B4" i="3"/>
  <c r="C4" i="3"/>
  <c r="D4" i="3"/>
  <c r="E4" i="3"/>
  <c r="F4" i="3"/>
  <c r="G4" i="3"/>
  <c r="H4" i="3"/>
  <c r="L12" i="3"/>
  <c r="M12" i="3"/>
  <c r="B5" i="1"/>
  <c r="C5" i="1"/>
  <c r="D5" i="1"/>
  <c r="E5" i="1"/>
  <c r="F5" i="1"/>
  <c r="G5" i="1"/>
  <c r="H5" i="1"/>
  <c r="L9" i="1"/>
  <c r="M9" i="1"/>
  <c r="L18" i="3"/>
  <c r="L47" i="8"/>
  <c r="M48" i="8"/>
  <c r="B46" i="8"/>
  <c r="B47" i="8"/>
  <c r="B48" i="8"/>
  <c r="C48" i="8"/>
  <c r="C56" i="8"/>
  <c r="D56" i="8"/>
  <c r="N48" i="8"/>
  <c r="H27" i="8"/>
  <c r="L44" i="8"/>
  <c r="M44" i="8"/>
  <c r="N44" i="8"/>
  <c r="L46" i="3"/>
  <c r="M47" i="3"/>
  <c r="C47" i="3"/>
  <c r="C55" i="3"/>
  <c r="D55" i="3"/>
  <c r="N47" i="3"/>
  <c r="H27" i="3"/>
  <c r="L43" i="3"/>
  <c r="M43" i="3"/>
  <c r="N43" i="3"/>
  <c r="F46" i="8"/>
  <c r="F47" i="8"/>
  <c r="F48" i="8"/>
  <c r="F49" i="8"/>
  <c r="G49" i="8"/>
  <c r="G48" i="8"/>
  <c r="G47" i="8"/>
  <c r="G46" i="8"/>
  <c r="G45" i="8"/>
  <c r="G44" i="8"/>
  <c r="G45" i="3"/>
  <c r="G46" i="3"/>
  <c r="G47" i="3"/>
  <c r="G48" i="3"/>
  <c r="H48" i="3"/>
  <c r="H47" i="3"/>
  <c r="H46" i="3"/>
  <c r="H45" i="3"/>
  <c r="H44" i="3"/>
  <c r="H43" i="3"/>
  <c r="C53" i="1"/>
  <c r="C61" i="1"/>
  <c r="D61" i="1"/>
  <c r="F52" i="1"/>
  <c r="F53" i="1"/>
  <c r="F54" i="1"/>
  <c r="F55" i="1"/>
  <c r="G55" i="1"/>
  <c r="G54" i="1"/>
  <c r="G53" i="1"/>
  <c r="G52" i="1"/>
  <c r="G51" i="1"/>
  <c r="G50" i="1"/>
  <c r="F44" i="7"/>
  <c r="F47" i="6"/>
  <c r="G49" i="4"/>
  <c r="G47" i="2"/>
  <c r="B47" i="6"/>
  <c r="F46" i="6"/>
  <c r="F45" i="6"/>
  <c r="G48" i="4"/>
  <c r="L53" i="1"/>
  <c r="M54" i="1"/>
  <c r="N54" i="1"/>
  <c r="M50" i="1"/>
  <c r="N50" i="1"/>
  <c r="L50" i="8"/>
  <c r="M50" i="8"/>
  <c r="N50" i="8"/>
  <c r="G23" i="7"/>
  <c r="L40" i="7"/>
  <c r="M40" i="7"/>
  <c r="L43" i="7"/>
  <c r="M44" i="7"/>
  <c r="C52" i="7"/>
  <c r="B43" i="7"/>
  <c r="F43" i="7"/>
  <c r="B42" i="7"/>
  <c r="F42" i="7"/>
  <c r="B41" i="7"/>
  <c r="H24" i="6"/>
  <c r="L43" i="6"/>
  <c r="M43" i="6"/>
  <c r="L46" i="6"/>
  <c r="M47" i="6"/>
  <c r="C56" i="6"/>
  <c r="B48" i="6"/>
  <c r="B45" i="6"/>
  <c r="B44" i="6"/>
  <c r="H28" i="4"/>
  <c r="L45" i="4"/>
  <c r="M45" i="4"/>
  <c r="L48" i="4"/>
  <c r="M49" i="4"/>
  <c r="C57" i="4"/>
  <c r="B47" i="4"/>
  <c r="G47" i="4"/>
  <c r="B46" i="4"/>
  <c r="C49" i="4"/>
  <c r="D57" i="4"/>
  <c r="L49" i="3"/>
  <c r="M49" i="3"/>
  <c r="N49" i="3"/>
  <c r="H26" i="2"/>
  <c r="L43" i="2"/>
  <c r="M43" i="2"/>
  <c r="L46" i="2"/>
  <c r="M47" i="2"/>
  <c r="C54" i="2"/>
  <c r="B46" i="2"/>
  <c r="G46" i="2"/>
  <c r="B45" i="2"/>
  <c r="G45" i="2"/>
  <c r="B44" i="2"/>
  <c r="L56" i="1"/>
  <c r="M56" i="1"/>
  <c r="N56" i="1"/>
  <c r="H34" i="8"/>
  <c r="H35" i="8"/>
  <c r="H36" i="8"/>
  <c r="G28" i="8"/>
  <c r="G34" i="8"/>
  <c r="G35" i="8"/>
  <c r="G36" i="8"/>
  <c r="F28" i="8"/>
  <c r="F34" i="8"/>
  <c r="F35" i="8"/>
  <c r="F36" i="8"/>
  <c r="E28" i="8"/>
  <c r="E34" i="8"/>
  <c r="E35" i="8"/>
  <c r="E36" i="8"/>
  <c r="D34" i="8"/>
  <c r="D35" i="8"/>
  <c r="D36" i="8"/>
  <c r="L11" i="8"/>
  <c r="B11" i="8"/>
  <c r="C11" i="8"/>
  <c r="D11" i="8"/>
  <c r="H11" i="8"/>
  <c r="L2" i="8"/>
  <c r="B12" i="8"/>
  <c r="C12" i="8"/>
  <c r="D12" i="8"/>
  <c r="E12" i="8"/>
  <c r="F12" i="8"/>
  <c r="G12" i="8"/>
  <c r="H12" i="8"/>
  <c r="L3" i="8"/>
  <c r="C6" i="8"/>
  <c r="E6" i="8"/>
  <c r="L4" i="8"/>
  <c r="B10" i="8"/>
  <c r="C10" i="8"/>
  <c r="F10" i="8"/>
  <c r="G10" i="8"/>
  <c r="L5" i="8"/>
  <c r="L1" i="8"/>
  <c r="M11" i="8"/>
  <c r="B4" i="8"/>
  <c r="C4" i="8"/>
  <c r="D4" i="8"/>
  <c r="E4" i="8"/>
  <c r="F4" i="8"/>
  <c r="G4" i="8"/>
  <c r="H4" i="8"/>
  <c r="L10" i="8"/>
  <c r="M10" i="8"/>
  <c r="B18" i="8"/>
  <c r="C18" i="8"/>
  <c r="D18" i="8"/>
  <c r="E18" i="8"/>
  <c r="F18" i="8"/>
  <c r="G18" i="8"/>
  <c r="H18" i="8"/>
  <c r="G19" i="8"/>
  <c r="H19" i="8"/>
  <c r="F20" i="8"/>
  <c r="G20" i="8"/>
  <c r="H20" i="8"/>
  <c r="C21" i="8"/>
  <c r="L12" i="8"/>
  <c r="G27" i="8"/>
  <c r="F27" i="8"/>
  <c r="P5" i="8"/>
  <c r="H26" i="8"/>
  <c r="G26" i="8"/>
  <c r="F26" i="8"/>
  <c r="E26" i="8"/>
  <c r="D26" i="8"/>
  <c r="D39" i="8"/>
  <c r="E27" i="8"/>
  <c r="D27" i="8"/>
  <c r="C26" i="8"/>
  <c r="C38" i="8"/>
  <c r="C28" i="8"/>
  <c r="C35" i="8"/>
  <c r="C36" i="8"/>
  <c r="C39" i="8"/>
  <c r="C27" i="8"/>
  <c r="C40" i="8"/>
  <c r="C41" i="8"/>
  <c r="B26" i="8"/>
  <c r="B38" i="8"/>
  <c r="B28" i="8"/>
  <c r="B35" i="8"/>
  <c r="B36" i="8"/>
  <c r="B39" i="8"/>
  <c r="B27" i="8"/>
  <c r="B40" i="8"/>
  <c r="B41" i="8"/>
  <c r="H38" i="8"/>
  <c r="G38" i="8"/>
  <c r="F38" i="8"/>
  <c r="E38" i="8"/>
  <c r="D38" i="8"/>
  <c r="H40" i="8"/>
  <c r="B11" i="7"/>
  <c r="C11" i="7"/>
  <c r="D11" i="7"/>
  <c r="E11" i="7"/>
  <c r="F11" i="7"/>
  <c r="G11" i="7"/>
  <c r="L14" i="7"/>
  <c r="L13" i="7"/>
  <c r="L12" i="7"/>
  <c r="B17" i="7"/>
  <c r="C17" i="7"/>
  <c r="E17" i="7"/>
  <c r="L11" i="7"/>
  <c r="B2" i="7"/>
  <c r="B3" i="7"/>
  <c r="B4" i="7"/>
  <c r="C2" i="7"/>
  <c r="C3" i="7"/>
  <c r="C4" i="7"/>
  <c r="D2" i="7"/>
  <c r="D3" i="7"/>
  <c r="D4" i="7"/>
  <c r="E2" i="7"/>
  <c r="E4" i="7"/>
  <c r="F2" i="7"/>
  <c r="F3" i="7"/>
  <c r="F4" i="7"/>
  <c r="G2" i="7"/>
  <c r="G3" i="7"/>
  <c r="G4" i="7"/>
  <c r="L10" i="7"/>
  <c r="L6" i="7"/>
  <c r="L5" i="7"/>
  <c r="L4" i="7"/>
  <c r="B10" i="7"/>
  <c r="C10" i="7"/>
  <c r="L2" i="7"/>
  <c r="G29" i="7"/>
  <c r="F29" i="7"/>
  <c r="F30" i="7"/>
  <c r="F31" i="7"/>
  <c r="F23" i="7"/>
  <c r="G22" i="7"/>
  <c r="G33" i="7"/>
  <c r="B22" i="7"/>
  <c r="B30" i="7"/>
  <c r="B31" i="7"/>
  <c r="B34" i="7"/>
  <c r="D29" i="7"/>
  <c r="D30" i="7"/>
  <c r="D31" i="7"/>
  <c r="D35" i="7"/>
  <c r="E29" i="7"/>
  <c r="E30" i="7"/>
  <c r="E31" i="7"/>
  <c r="C22" i="7"/>
  <c r="C33" i="7"/>
  <c r="C30" i="7"/>
  <c r="C31" i="7"/>
  <c r="C34" i="7"/>
  <c r="C23" i="7"/>
  <c r="C35" i="7"/>
  <c r="C36" i="7"/>
  <c r="B23" i="7"/>
  <c r="B35" i="7"/>
  <c r="F22" i="7"/>
  <c r="F33" i="7"/>
  <c r="E22" i="7"/>
  <c r="E33" i="7"/>
  <c r="D22" i="7"/>
  <c r="D34" i="7"/>
  <c r="G30" i="7"/>
  <c r="G31" i="7"/>
  <c r="G35" i="7"/>
  <c r="B15" i="6"/>
  <c r="C15" i="6"/>
  <c r="L2" i="6"/>
  <c r="B13" i="6"/>
  <c r="C13" i="6"/>
  <c r="D13" i="6"/>
  <c r="E13" i="6"/>
  <c r="F13" i="6"/>
  <c r="G13" i="6"/>
  <c r="H13" i="6"/>
  <c r="L3" i="6"/>
  <c r="B3" i="6"/>
  <c r="C3" i="6"/>
  <c r="D3" i="6"/>
  <c r="E3" i="6"/>
  <c r="F3" i="6"/>
  <c r="G3" i="6"/>
  <c r="H3" i="6"/>
  <c r="B4" i="6"/>
  <c r="C4" i="6"/>
  <c r="D4" i="6"/>
  <c r="E4" i="6"/>
  <c r="F4" i="6"/>
  <c r="G4" i="6"/>
  <c r="H4" i="6"/>
  <c r="L5" i="6"/>
  <c r="F9" i="6"/>
  <c r="L6" i="6"/>
  <c r="L1" i="6"/>
  <c r="M6" i="6"/>
  <c r="B5" i="6"/>
  <c r="C5" i="6"/>
  <c r="D5" i="6"/>
  <c r="E5" i="6"/>
  <c r="F5" i="6"/>
  <c r="G5" i="6"/>
  <c r="H5" i="6"/>
  <c r="L11" i="6"/>
  <c r="B19" i="6"/>
  <c r="C19" i="6"/>
  <c r="D19" i="6"/>
  <c r="E19" i="6"/>
  <c r="F19" i="6"/>
  <c r="G19" i="6"/>
  <c r="H19" i="6"/>
  <c r="L12" i="6"/>
  <c r="L13" i="6"/>
  <c r="B21" i="6"/>
  <c r="C21" i="6"/>
  <c r="D21" i="6"/>
  <c r="E21" i="6"/>
  <c r="F21" i="6"/>
  <c r="H21" i="6"/>
  <c r="L14" i="6"/>
  <c r="L15" i="6"/>
  <c r="L10" i="6"/>
  <c r="H23" i="6"/>
  <c r="G23" i="6"/>
  <c r="G36" i="6"/>
  <c r="H32" i="6"/>
  <c r="G32" i="6"/>
  <c r="H33" i="6"/>
  <c r="G33" i="6"/>
  <c r="G25" i="6"/>
  <c r="G34" i="6"/>
  <c r="G24" i="6"/>
  <c r="F32" i="6"/>
  <c r="F33" i="6"/>
  <c r="E32" i="6"/>
  <c r="F25" i="6"/>
  <c r="E25" i="6"/>
  <c r="F24" i="6"/>
  <c r="E24" i="6"/>
  <c r="D32" i="6"/>
  <c r="C32" i="6"/>
  <c r="E33" i="6"/>
  <c r="E34" i="6"/>
  <c r="E38" i="6"/>
  <c r="D33" i="6"/>
  <c r="D25" i="6"/>
  <c r="D34" i="6"/>
  <c r="D24" i="6"/>
  <c r="D38" i="6"/>
  <c r="C33" i="6"/>
  <c r="C25" i="6"/>
  <c r="C34" i="6"/>
  <c r="C24" i="6"/>
  <c r="F23" i="6"/>
  <c r="F36" i="6"/>
  <c r="E23" i="6"/>
  <c r="E36" i="6"/>
  <c r="D23" i="6"/>
  <c r="D36" i="6"/>
  <c r="C23" i="6"/>
  <c r="C36" i="6"/>
  <c r="B23" i="6"/>
  <c r="B25" i="6"/>
  <c r="B33" i="6"/>
  <c r="B34" i="6"/>
  <c r="B24" i="6"/>
  <c r="B38" i="6"/>
  <c r="B36" i="6"/>
  <c r="P1" i="1"/>
  <c r="L15" i="4"/>
  <c r="D14" i="4"/>
  <c r="E14" i="4"/>
  <c r="L2" i="4"/>
  <c r="H8" i="4"/>
  <c r="B4" i="4"/>
  <c r="C4" i="4"/>
  <c r="D4" i="4"/>
  <c r="E4" i="4"/>
  <c r="F4" i="4"/>
  <c r="G4" i="4"/>
  <c r="H4" i="4"/>
  <c r="F8" i="4"/>
  <c r="L5" i="4"/>
  <c r="L16" i="4"/>
  <c r="C20" i="4"/>
  <c r="D20" i="4"/>
  <c r="E20" i="4"/>
  <c r="F20" i="4"/>
  <c r="G20" i="4"/>
  <c r="H20" i="4"/>
  <c r="B21" i="4"/>
  <c r="C21" i="4"/>
  <c r="D21" i="4"/>
  <c r="F21" i="4"/>
  <c r="G21" i="4"/>
  <c r="H21" i="4"/>
  <c r="L14" i="4"/>
  <c r="L13" i="4"/>
  <c r="L12" i="4"/>
  <c r="B18" i="4"/>
  <c r="C18" i="4"/>
  <c r="D18" i="4"/>
  <c r="E18" i="4"/>
  <c r="F18" i="4"/>
  <c r="G18" i="4"/>
  <c r="L11" i="4"/>
  <c r="B5" i="4"/>
  <c r="C5" i="4"/>
  <c r="D5" i="4"/>
  <c r="E5" i="4"/>
  <c r="F5" i="4"/>
  <c r="G5" i="4"/>
  <c r="H5" i="4"/>
  <c r="L10" i="4"/>
  <c r="B19" i="4"/>
  <c r="C19" i="4"/>
  <c r="D19" i="4"/>
  <c r="E19" i="4"/>
  <c r="F19" i="4"/>
  <c r="G19" i="4"/>
  <c r="H19" i="4"/>
  <c r="L7" i="4"/>
  <c r="L6" i="4"/>
  <c r="H32" i="4"/>
  <c r="P1" i="4"/>
  <c r="H34" i="4"/>
  <c r="H35" i="4"/>
  <c r="H36" i="4"/>
  <c r="H40" i="4"/>
  <c r="G32" i="4"/>
  <c r="G27" i="4"/>
  <c r="G38" i="4"/>
  <c r="G34" i="4"/>
  <c r="G35" i="4"/>
  <c r="G36" i="4"/>
  <c r="F34" i="4"/>
  <c r="G28" i="4"/>
  <c r="F28" i="4"/>
  <c r="E27" i="4"/>
  <c r="E38" i="4"/>
  <c r="D27" i="4"/>
  <c r="D38" i="4"/>
  <c r="E34" i="4"/>
  <c r="D34" i="4"/>
  <c r="E35" i="4"/>
  <c r="E36" i="4"/>
  <c r="E28" i="4"/>
  <c r="E40" i="4"/>
  <c r="D35" i="4"/>
  <c r="D36" i="4"/>
  <c r="D28" i="4"/>
  <c r="D40" i="4"/>
  <c r="H27" i="4"/>
  <c r="F27" i="4"/>
  <c r="F38" i="4"/>
  <c r="C27" i="4"/>
  <c r="B27" i="4"/>
  <c r="C35" i="4"/>
  <c r="C36" i="4"/>
  <c r="C28" i="4"/>
  <c r="C40" i="4"/>
  <c r="B35" i="4"/>
  <c r="B36" i="4"/>
  <c r="B28" i="4"/>
  <c r="B40" i="4"/>
  <c r="C39" i="4"/>
  <c r="B38" i="4"/>
  <c r="F35" i="4"/>
  <c r="F36" i="4"/>
  <c r="F40" i="4"/>
  <c r="B5" i="2"/>
  <c r="C5" i="2"/>
  <c r="D5" i="2"/>
  <c r="E5" i="2"/>
  <c r="F4" i="2"/>
  <c r="F5" i="2"/>
  <c r="G4" i="2"/>
  <c r="G5" i="2"/>
  <c r="H4" i="2"/>
  <c r="H5" i="2"/>
  <c r="L10" i="2"/>
  <c r="H14" i="2"/>
  <c r="L2" i="2"/>
  <c r="L3" i="2"/>
  <c r="L4" i="2"/>
  <c r="H7" i="2"/>
  <c r="L5" i="2"/>
  <c r="L6" i="2"/>
  <c r="L1" i="2"/>
  <c r="M10" i="2"/>
  <c r="L15" i="2"/>
  <c r="L14" i="2"/>
  <c r="L13" i="2"/>
  <c r="L12" i="2"/>
  <c r="C19" i="2"/>
  <c r="L11" i="2"/>
  <c r="B20" i="3"/>
  <c r="F21" i="3"/>
  <c r="L17" i="3"/>
  <c r="L16" i="3"/>
  <c r="L15" i="3"/>
  <c r="L14" i="3"/>
  <c r="L13" i="3"/>
  <c r="H32" i="3"/>
  <c r="G32" i="3"/>
  <c r="H33" i="3"/>
  <c r="G33" i="3"/>
  <c r="G30" i="3"/>
  <c r="G34" i="3"/>
  <c r="G27" i="3"/>
  <c r="G38" i="3"/>
  <c r="H30" i="3"/>
  <c r="F32" i="3"/>
  <c r="E32" i="3"/>
  <c r="E33" i="3"/>
  <c r="E34" i="3"/>
  <c r="D32" i="3"/>
  <c r="D33" i="3"/>
  <c r="D34" i="3"/>
  <c r="D27" i="3"/>
  <c r="D38" i="3"/>
  <c r="C32" i="3"/>
  <c r="F27" i="3"/>
  <c r="E27" i="3"/>
  <c r="C33" i="3"/>
  <c r="C34" i="3"/>
  <c r="B26" i="3"/>
  <c r="B33" i="3"/>
  <c r="B34" i="3"/>
  <c r="B27" i="3"/>
  <c r="B38" i="3"/>
  <c r="H26" i="3"/>
  <c r="H36" i="3"/>
  <c r="G26" i="3"/>
  <c r="G36" i="3"/>
  <c r="F26" i="3"/>
  <c r="F36" i="3"/>
  <c r="E26" i="3"/>
  <c r="E36" i="3"/>
  <c r="D26" i="3"/>
  <c r="D36" i="3"/>
  <c r="F33" i="3"/>
  <c r="F34" i="3"/>
  <c r="F37" i="3"/>
  <c r="C27" i="3"/>
  <c r="C26" i="3"/>
  <c r="H31" i="2"/>
  <c r="H32" i="2"/>
  <c r="G32" i="2"/>
  <c r="F32" i="2"/>
  <c r="F31" i="2"/>
  <c r="F33" i="2"/>
  <c r="F34" i="2"/>
  <c r="G31" i="2"/>
  <c r="G33" i="2"/>
  <c r="G34" i="2"/>
  <c r="G26" i="2"/>
  <c r="G38" i="2"/>
  <c r="G30" i="2"/>
  <c r="F26" i="2"/>
  <c r="E31" i="2"/>
  <c r="E32" i="2"/>
  <c r="E33" i="2"/>
  <c r="E34" i="2"/>
  <c r="D31" i="2"/>
  <c r="D32" i="2"/>
  <c r="D33" i="2"/>
  <c r="D34" i="2"/>
  <c r="E26" i="2"/>
  <c r="D26" i="2"/>
  <c r="C33" i="2"/>
  <c r="C34" i="2"/>
  <c r="C26" i="2"/>
  <c r="C38" i="2"/>
  <c r="B33" i="2"/>
  <c r="B34" i="2"/>
  <c r="B26" i="2"/>
  <c r="B38" i="2"/>
  <c r="D25" i="2"/>
  <c r="D36" i="2"/>
  <c r="B25" i="2"/>
  <c r="B36" i="2"/>
  <c r="B37" i="2"/>
  <c r="B39" i="2"/>
  <c r="H33" i="2"/>
  <c r="H34" i="2"/>
  <c r="H25" i="2"/>
  <c r="G25" i="2"/>
  <c r="G36" i="2"/>
  <c r="F25" i="2"/>
  <c r="F36" i="2"/>
  <c r="E25" i="2"/>
  <c r="E36" i="2"/>
  <c r="C25" i="2"/>
  <c r="C36" i="2"/>
  <c r="H39" i="1"/>
  <c r="H40" i="1"/>
  <c r="H41" i="1"/>
  <c r="H34" i="1"/>
  <c r="H44" i="1"/>
  <c r="G39" i="1"/>
  <c r="E34" i="1"/>
  <c r="E43" i="1"/>
  <c r="E40" i="1"/>
  <c r="E41" i="1"/>
  <c r="E44" i="1"/>
  <c r="E45" i="1"/>
  <c r="E46" i="1"/>
  <c r="D34" i="1"/>
  <c r="D43" i="1"/>
  <c r="D40" i="1"/>
  <c r="D41" i="1"/>
  <c r="D44" i="1"/>
  <c r="D45" i="1"/>
  <c r="D46" i="1"/>
  <c r="H43" i="1"/>
  <c r="G34" i="1"/>
  <c r="G43" i="1"/>
  <c r="F34" i="1"/>
  <c r="F43" i="1"/>
  <c r="G40" i="1"/>
  <c r="G41" i="1"/>
  <c r="G45" i="1"/>
  <c r="F40" i="1"/>
  <c r="F41" i="1"/>
  <c r="F45" i="1"/>
  <c r="C34" i="1"/>
  <c r="C43" i="1"/>
  <c r="C40" i="1"/>
  <c r="C41" i="1"/>
  <c r="C44" i="1"/>
  <c r="C45" i="1"/>
  <c r="C46" i="1"/>
  <c r="B34" i="1"/>
  <c r="B43" i="1"/>
  <c r="B40" i="1"/>
  <c r="B41" i="1"/>
  <c r="B44" i="1"/>
  <c r="B45" i="1"/>
  <c r="B46" i="1"/>
  <c r="L12" i="1"/>
  <c r="L11" i="1"/>
  <c r="C44" i="7"/>
  <c r="D52" i="7"/>
  <c r="G43" i="7"/>
  <c r="C48" i="6"/>
  <c r="D56" i="6"/>
  <c r="C46" i="2"/>
  <c r="D54" i="2"/>
  <c r="H45" i="2"/>
  <c r="N45" i="4"/>
  <c r="H49" i="4"/>
  <c r="N49" i="4"/>
  <c r="H48" i="4"/>
  <c r="H46" i="4"/>
  <c r="H45" i="4"/>
  <c r="G50" i="4"/>
  <c r="H50" i="4"/>
  <c r="L51" i="4"/>
  <c r="M51" i="4"/>
  <c r="N51" i="4"/>
  <c r="H47" i="4"/>
  <c r="H39" i="8"/>
  <c r="H41" i="8"/>
  <c r="G39" i="8"/>
  <c r="F39" i="8"/>
  <c r="G40" i="8"/>
  <c r="F40" i="8"/>
  <c r="E39" i="8"/>
  <c r="D40" i="8"/>
  <c r="D41" i="8"/>
  <c r="E40" i="8"/>
  <c r="F34" i="7"/>
  <c r="F35" i="7"/>
  <c r="B33" i="7"/>
  <c r="B36" i="7"/>
  <c r="D33" i="7"/>
  <c r="D36" i="7"/>
  <c r="G34" i="7"/>
  <c r="G36" i="7"/>
  <c r="E35" i="7"/>
  <c r="E34" i="7"/>
  <c r="E36" i="7"/>
  <c r="H36" i="6"/>
  <c r="G37" i="6"/>
  <c r="H34" i="6"/>
  <c r="H37" i="6"/>
  <c r="G38" i="6"/>
  <c r="F34" i="6"/>
  <c r="F37" i="6"/>
  <c r="E37" i="6"/>
  <c r="E39" i="6"/>
  <c r="C37" i="6"/>
  <c r="H38" i="6"/>
  <c r="G39" i="6"/>
  <c r="D37" i="6"/>
  <c r="D39" i="6"/>
  <c r="C38" i="6"/>
  <c r="B37" i="6"/>
  <c r="B39" i="6"/>
  <c r="H39" i="4"/>
  <c r="G39" i="4"/>
  <c r="G40" i="4"/>
  <c r="F39" i="4"/>
  <c r="F41" i="4"/>
  <c r="G41" i="4"/>
  <c r="E39" i="4"/>
  <c r="E41" i="4"/>
  <c r="D39" i="4"/>
  <c r="D41" i="4"/>
  <c r="H38" i="4"/>
  <c r="C38" i="4"/>
  <c r="C41" i="4"/>
  <c r="B39" i="4"/>
  <c r="B41" i="4"/>
  <c r="H34" i="3"/>
  <c r="H37" i="3"/>
  <c r="H38" i="3"/>
  <c r="G37" i="3"/>
  <c r="G39" i="3"/>
  <c r="E37" i="3"/>
  <c r="E38" i="3"/>
  <c r="F38" i="3"/>
  <c r="F39" i="3"/>
  <c r="C38" i="3"/>
  <c r="C37" i="3"/>
  <c r="D37" i="3"/>
  <c r="D39" i="3"/>
  <c r="C36" i="3"/>
  <c r="B37" i="3"/>
  <c r="B36" i="3"/>
  <c r="H37" i="2"/>
  <c r="H38" i="2"/>
  <c r="H36" i="2"/>
  <c r="F37" i="2"/>
  <c r="F38" i="2"/>
  <c r="D38" i="2"/>
  <c r="D37" i="2"/>
  <c r="D39" i="2"/>
  <c r="E38" i="2"/>
  <c r="C37" i="2"/>
  <c r="C39" i="2"/>
  <c r="E37" i="2"/>
  <c r="G37" i="2"/>
  <c r="G39" i="2"/>
  <c r="H45" i="1"/>
  <c r="H46" i="1"/>
  <c r="G44" i="1"/>
  <c r="G46" i="1"/>
  <c r="F44" i="1"/>
  <c r="F46" i="1"/>
  <c r="L46" i="7"/>
  <c r="M46" i="7"/>
  <c r="N46" i="7"/>
  <c r="N40" i="7"/>
  <c r="G44" i="7"/>
  <c r="G40" i="7"/>
  <c r="N44" i="7"/>
  <c r="G41" i="7"/>
  <c r="F45" i="7"/>
  <c r="G45" i="7"/>
  <c r="G42" i="7"/>
  <c r="N43" i="6"/>
  <c r="G47" i="6"/>
  <c r="G45" i="6"/>
  <c r="G43" i="6"/>
  <c r="G46" i="6"/>
  <c r="G44" i="6"/>
  <c r="N47" i="6"/>
  <c r="L49" i="6"/>
  <c r="M49" i="6"/>
  <c r="N49" i="6"/>
  <c r="N43" i="2"/>
  <c r="H47" i="2"/>
  <c r="H43" i="2"/>
  <c r="N47" i="2"/>
  <c r="H44" i="2"/>
  <c r="L49" i="2"/>
  <c r="M49" i="2"/>
  <c r="N49" i="2"/>
  <c r="G48" i="2"/>
  <c r="H48" i="2"/>
  <c r="H46" i="2"/>
  <c r="F41" i="8"/>
  <c r="G41" i="8"/>
  <c r="E41" i="8"/>
  <c r="F36" i="7"/>
  <c r="H39" i="6"/>
  <c r="F38" i="6"/>
  <c r="F39" i="6"/>
  <c r="C39" i="6"/>
  <c r="H41" i="4"/>
  <c r="H39" i="3"/>
  <c r="E39" i="3"/>
  <c r="C39" i="3"/>
  <c r="B39" i="3"/>
  <c r="H39" i="2"/>
  <c r="F39" i="2"/>
  <c r="E39" i="2"/>
  <c r="P1" i="3"/>
  <c r="P1" i="2"/>
  <c r="P1" i="7"/>
  <c r="P1" i="8"/>
  <c r="L16" i="8"/>
  <c r="L15" i="8"/>
  <c r="F23" i="8"/>
  <c r="L14" i="8"/>
  <c r="L13" i="8"/>
  <c r="M12" i="6"/>
  <c r="O9" i="2"/>
  <c r="O10" i="2"/>
  <c r="O11" i="2"/>
  <c r="L15" i="1"/>
  <c r="L14" i="1"/>
  <c r="L13" i="1"/>
  <c r="L10" i="1"/>
  <c r="L9" i="8"/>
  <c r="L9" i="7"/>
  <c r="L1" i="7"/>
  <c r="M11" i="6"/>
  <c r="L9" i="4"/>
  <c r="L1" i="4"/>
  <c r="M10" i="4"/>
  <c r="L11" i="3"/>
  <c r="M16" i="3"/>
  <c r="M14" i="3"/>
  <c r="M17" i="3"/>
  <c r="M15" i="3"/>
  <c r="M13" i="3"/>
  <c r="M3" i="6"/>
  <c r="M8" i="6"/>
  <c r="M14" i="6"/>
  <c r="M2" i="6"/>
  <c r="M5" i="6"/>
  <c r="M7" i="6"/>
  <c r="M13" i="6"/>
  <c r="M15" i="6"/>
  <c r="M4" i="3"/>
  <c r="M5" i="3"/>
  <c r="M3" i="3"/>
  <c r="M15" i="8"/>
  <c r="M2" i="8"/>
  <c r="M4" i="8"/>
  <c r="M5" i="8"/>
  <c r="M16" i="8"/>
  <c r="M13" i="8"/>
  <c r="M12" i="8"/>
  <c r="M14" i="8"/>
  <c r="M3" i="8"/>
  <c r="M13" i="7"/>
  <c r="M11" i="7"/>
  <c r="M5" i="7"/>
  <c r="M2" i="7"/>
  <c r="M14" i="7"/>
  <c r="M12" i="7"/>
  <c r="M6" i="7"/>
  <c r="M10" i="7"/>
  <c r="M4" i="7"/>
  <c r="M15" i="4"/>
  <c r="M13" i="4"/>
  <c r="M11" i="4"/>
  <c r="M6" i="4"/>
  <c r="M2" i="4"/>
  <c r="M16" i="4"/>
  <c r="M14" i="4"/>
  <c r="M12" i="4"/>
  <c r="M7" i="4"/>
  <c r="M3" i="4"/>
  <c r="M5" i="4"/>
  <c r="M6" i="2"/>
  <c r="M12" i="1"/>
  <c r="M4" i="1"/>
  <c r="M15" i="1"/>
  <c r="M2" i="1"/>
  <c r="M13" i="1"/>
  <c r="M11" i="1"/>
  <c r="M14" i="1"/>
  <c r="M10" i="1"/>
  <c r="M5" i="2"/>
  <c r="M14" i="2"/>
  <c r="M15" i="2"/>
  <c r="M13" i="2"/>
  <c r="M11" i="2"/>
  <c r="M12" i="2"/>
  <c r="L9" i="2"/>
  <c r="M4" i="2"/>
  <c r="M2" i="2"/>
  <c r="M3" i="2"/>
  <c r="H6" i="1"/>
  <c r="G6" i="1"/>
  <c r="F6" i="1"/>
  <c r="E6" i="1"/>
  <c r="D6" i="1"/>
  <c r="C6" i="1"/>
  <c r="B6" i="1"/>
  <c r="L8" i="1"/>
  <c r="M6" i="1"/>
  <c r="M3" i="1"/>
  <c r="M5" i="1"/>
</calcChain>
</file>

<file path=xl/comments1.xml><?xml version="1.0" encoding="utf-8"?>
<comments xmlns="http://schemas.openxmlformats.org/spreadsheetml/2006/main">
  <authors>
    <author>Lenovo</author>
  </authors>
  <commentList>
    <comment ref="A11" authorId="0">
      <text>
        <r>
          <rPr>
            <b/>
            <sz val="9"/>
            <color indexed="81"/>
            <rFont val="Tahoma"/>
            <charset val="1"/>
          </rPr>
          <t>Advance to vendors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<sst xmlns="http://schemas.openxmlformats.org/spreadsheetml/2006/main" count="569" uniqueCount="153">
  <si>
    <t>Inflows</t>
  </si>
  <si>
    <t>Equity</t>
  </si>
  <si>
    <t>Pref share</t>
  </si>
  <si>
    <t>Debt</t>
  </si>
  <si>
    <t>Long term</t>
  </si>
  <si>
    <t>short term</t>
  </si>
  <si>
    <t>Outflows</t>
  </si>
  <si>
    <t>Dividend</t>
  </si>
  <si>
    <t>Expenses</t>
  </si>
  <si>
    <t>Interest rec</t>
  </si>
  <si>
    <t>Dividend rec</t>
  </si>
  <si>
    <t>Loans and adv to JVs</t>
  </si>
  <si>
    <t>Sale of investments</t>
  </si>
  <si>
    <t>Acquisition of investments</t>
  </si>
  <si>
    <t>Interest</t>
  </si>
  <si>
    <t>Taxes</t>
  </si>
  <si>
    <t>Project revenue</t>
  </si>
  <si>
    <t>Prop management and rentals</t>
  </si>
  <si>
    <t>Operating expenses</t>
  </si>
  <si>
    <t>Net cash flow before wc changes</t>
  </si>
  <si>
    <t>Capex</t>
  </si>
  <si>
    <t>Trade receivables</t>
  </si>
  <si>
    <t>Trade payables</t>
  </si>
  <si>
    <t>Inventory</t>
  </si>
  <si>
    <t>Other liabilities</t>
  </si>
  <si>
    <t>Loans and advances</t>
  </si>
  <si>
    <t>Other assets</t>
  </si>
  <si>
    <t>Customer advances</t>
  </si>
  <si>
    <t>Rental &amp; others</t>
  </si>
  <si>
    <t>Total</t>
  </si>
  <si>
    <t>Interest and dividend</t>
  </si>
  <si>
    <t>Total Outflow</t>
  </si>
  <si>
    <t>Op expenses</t>
  </si>
  <si>
    <t>Investments</t>
  </si>
  <si>
    <t>Revenue from ops</t>
  </si>
  <si>
    <t>Inventories</t>
  </si>
  <si>
    <t>Sundry debtors</t>
  </si>
  <si>
    <t>Other receivables</t>
  </si>
  <si>
    <t>Current liab and provision</t>
  </si>
  <si>
    <t>Outflow</t>
  </si>
  <si>
    <t>Investment</t>
  </si>
  <si>
    <t>Investment in sub</t>
  </si>
  <si>
    <t>OCRPS</t>
  </si>
  <si>
    <t>Loans</t>
  </si>
  <si>
    <t xml:space="preserve">Debt </t>
  </si>
  <si>
    <t>Customer adv</t>
  </si>
  <si>
    <t>Other rev</t>
  </si>
  <si>
    <t>Tax</t>
  </si>
  <si>
    <t>Div and int</t>
  </si>
  <si>
    <t>Sales</t>
  </si>
  <si>
    <t>non current liab</t>
  </si>
  <si>
    <t>current liab</t>
  </si>
  <si>
    <t>Non current assets</t>
  </si>
  <si>
    <t>Investments in subs</t>
  </si>
  <si>
    <t>Int</t>
  </si>
  <si>
    <t>llp</t>
  </si>
  <si>
    <t>Fixed deposit</t>
  </si>
  <si>
    <t>Int &amp; Div</t>
  </si>
  <si>
    <t>Div</t>
  </si>
  <si>
    <t>Debtors</t>
  </si>
  <si>
    <t>L&amp;A</t>
  </si>
  <si>
    <t>Current liab</t>
  </si>
  <si>
    <t>Prov</t>
  </si>
  <si>
    <t>Corp deposits</t>
  </si>
  <si>
    <t>Purchase of property</t>
  </si>
  <si>
    <t>Change in partnership current account</t>
  </si>
  <si>
    <t>Loan</t>
  </si>
  <si>
    <t>Cust adv</t>
  </si>
  <si>
    <t>Int and div</t>
  </si>
  <si>
    <t>Minority shareholders</t>
  </si>
  <si>
    <t>Min shareholders</t>
  </si>
  <si>
    <t>Deposits</t>
  </si>
  <si>
    <t>risk</t>
  </si>
  <si>
    <t>leverage</t>
  </si>
  <si>
    <t>competitive adv</t>
  </si>
  <si>
    <t>cust adv</t>
  </si>
  <si>
    <t>valuation</t>
  </si>
  <si>
    <t>rental income</t>
  </si>
  <si>
    <t>Oberoi</t>
  </si>
  <si>
    <t>Prestige</t>
  </si>
  <si>
    <t>Godrej</t>
  </si>
  <si>
    <t>Sunteck</t>
  </si>
  <si>
    <t>Leverage</t>
  </si>
  <si>
    <t>Quality</t>
  </si>
  <si>
    <t>Rental</t>
  </si>
  <si>
    <t>Fixed assets</t>
  </si>
  <si>
    <t>Profit</t>
  </si>
  <si>
    <t>DLF</t>
  </si>
  <si>
    <t>Revenue</t>
  </si>
  <si>
    <t>Payables</t>
  </si>
  <si>
    <t>Recevables</t>
  </si>
  <si>
    <t>Exceptional items</t>
  </si>
  <si>
    <t>Interest/ div</t>
  </si>
  <si>
    <t>Fixed deposits</t>
  </si>
  <si>
    <t>HDIL</t>
  </si>
  <si>
    <t xml:space="preserve">Indiabulls </t>
  </si>
  <si>
    <t>Pref shares</t>
  </si>
  <si>
    <t>Exc items</t>
  </si>
  <si>
    <t>Int / div</t>
  </si>
  <si>
    <t>tax</t>
  </si>
  <si>
    <t>Unbilled receivables</t>
  </si>
  <si>
    <t>loans and adv</t>
  </si>
  <si>
    <t>trade payables</t>
  </si>
  <si>
    <t>other liab and prov</t>
  </si>
  <si>
    <t>capex</t>
  </si>
  <si>
    <t>LTI</t>
  </si>
  <si>
    <t>CI</t>
  </si>
  <si>
    <t>Intercorporate loans and adv</t>
  </si>
  <si>
    <t>Buyback</t>
  </si>
  <si>
    <t>Trade rec</t>
  </si>
  <si>
    <t>Other rec</t>
  </si>
  <si>
    <t>Other payable</t>
  </si>
  <si>
    <t>Disposal of sub</t>
  </si>
  <si>
    <t>disposal</t>
  </si>
  <si>
    <t>Networth</t>
  </si>
  <si>
    <t>Total assets</t>
  </si>
  <si>
    <t>CA</t>
  </si>
  <si>
    <t>CL (less borrowings)</t>
  </si>
  <si>
    <t>WC</t>
  </si>
  <si>
    <t>PAT</t>
  </si>
  <si>
    <t>PAT Margin</t>
  </si>
  <si>
    <t>Asset turnover</t>
  </si>
  <si>
    <t>ROE</t>
  </si>
  <si>
    <t>Goodwill</t>
  </si>
  <si>
    <t>Rental and other revenue</t>
  </si>
  <si>
    <t>Receivables</t>
  </si>
  <si>
    <t>Other Current assets</t>
  </si>
  <si>
    <t>Rental and other income</t>
  </si>
  <si>
    <t>Deferred tax</t>
  </si>
  <si>
    <t>Other</t>
  </si>
  <si>
    <t>FDs / Inv</t>
  </si>
  <si>
    <t>Other operating income</t>
  </si>
  <si>
    <t>Assets</t>
  </si>
  <si>
    <t>Current</t>
  </si>
  <si>
    <t>Account receivables</t>
  </si>
  <si>
    <t>Cash</t>
  </si>
  <si>
    <t>Others</t>
  </si>
  <si>
    <t>Short term</t>
  </si>
  <si>
    <t>Float</t>
  </si>
  <si>
    <t>FA</t>
  </si>
  <si>
    <t>Trade receivable</t>
  </si>
  <si>
    <t>LT</t>
  </si>
  <si>
    <t>ST</t>
  </si>
  <si>
    <t>Increase in cash</t>
  </si>
  <si>
    <t>Market cap</t>
  </si>
  <si>
    <t>Mcap</t>
  </si>
  <si>
    <t>Remuneration</t>
  </si>
  <si>
    <t>pavan</t>
  </si>
  <si>
    <t>shishir</t>
  </si>
  <si>
    <t>Remnueration</t>
  </si>
  <si>
    <t>M/TA</t>
  </si>
  <si>
    <t>M/B</t>
  </si>
  <si>
    <t>M/E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</si>
</sst>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9" fontId="0" fillId="0" borderId="0" xfId="2" applyFont="1"/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  <xf numFmtId="164" fontId="0" fillId="0" borderId="0" xfId="0" applyNumberFormat="1"/>
    <xf numFmtId="2" fontId="0" fillId="0" borderId="0" xfId="0" applyNumberFormat="1"/>
    <xf numFmtId="165" fontId="0" fillId="2" borderId="0" xfId="1" applyNumberFormat="1" applyFont="1" applyFill="1"/>
    <xf numFmtId="166" fontId="0" fillId="0" borderId="0" xfId="2" applyNumberFormat="1" applyFont="1"/>
    <xf numFmtId="164" fontId="0" fillId="0" borderId="0" xfId="1" applyFont="1"/>
    <xf numFmtId="165" fontId="0" fillId="0" borderId="0" xfId="1" applyNumberFormat="1" applyFont="1" applyFill="1"/>
    <xf numFmtId="167" fontId="0" fillId="0" borderId="0" xfId="1" applyNumberFormat="1" applyFont="1"/>
    <xf numFmtId="167" fontId="0" fillId="0" borderId="0" xfId="0" applyNumberFormat="1"/>
    <xf numFmtId="167" fontId="0" fillId="0" borderId="0" xfId="2" applyNumberFormat="1" applyFont="1"/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workbookViewId="0">
      <pane xSplit="1" ySplit="1" topLeftCell="B27" activePane="bottomRight" state="frozen"/>
      <selection pane="topRight" activeCell="B1" sqref="B1"/>
      <selection pane="bottomLeft" activeCell="A2" sqref="A2"/>
      <selection pane="bottomRight" activeCell="F58" sqref="F58"/>
    </sheetView>
  </sheetViews>
  <sheetFormatPr baseColWidth="10" defaultColWidth="8.83203125" defaultRowHeight="15" x14ac:dyDescent="0.2"/>
  <cols>
    <col min="1" max="1" width="30.5" bestFit="1" customWidth="1"/>
    <col min="2" max="3" width="9.5" bestFit="1" customWidth="1"/>
    <col min="4" max="5" width="9.33203125" bestFit="1" customWidth="1"/>
    <col min="6" max="6" width="10.5" bestFit="1" customWidth="1"/>
    <col min="7" max="7" width="10.33203125" bestFit="1" customWidth="1"/>
    <col min="8" max="9" width="9.5" bestFit="1" customWidth="1"/>
    <col min="11" max="11" width="20.33203125" bestFit="1" customWidth="1"/>
    <col min="12" max="12" width="10.5" bestFit="1" customWidth="1"/>
    <col min="15" max="15" width="10.5" bestFit="1" customWidth="1"/>
  </cols>
  <sheetData>
    <row r="1" spans="1:16" x14ac:dyDescent="0.2">
      <c r="B1">
        <v>2010</v>
      </c>
      <c r="C1">
        <v>2011</v>
      </c>
      <c r="D1">
        <v>2012</v>
      </c>
      <c r="E1">
        <v>2013</v>
      </c>
      <c r="F1">
        <v>2014</v>
      </c>
      <c r="G1">
        <v>2015</v>
      </c>
      <c r="H1">
        <v>2016</v>
      </c>
      <c r="K1" t="s">
        <v>29</v>
      </c>
      <c r="L1" s="1">
        <f>SUM(L2:L6)</f>
        <v>9589.2999999999993</v>
      </c>
      <c r="O1" s="1">
        <v>10200</v>
      </c>
      <c r="P1" s="6">
        <f>O1/(I9+H36)</f>
        <v>1.5442846328538986</v>
      </c>
    </row>
    <row r="2" spans="1:16" x14ac:dyDescent="0.2">
      <c r="A2" t="s">
        <v>0</v>
      </c>
      <c r="K2" t="s">
        <v>1</v>
      </c>
      <c r="L2" s="1">
        <f>SUM(B13:H14)</f>
        <v>1296</v>
      </c>
      <c r="M2" s="9">
        <f>L2/$L$1</f>
        <v>0.13515063664709626</v>
      </c>
    </row>
    <row r="3" spans="1:16" x14ac:dyDescent="0.2">
      <c r="A3" t="s">
        <v>16</v>
      </c>
      <c r="B3" s="1">
        <v>678</v>
      </c>
      <c r="C3" s="1">
        <v>787</v>
      </c>
      <c r="D3" s="1">
        <v>577</v>
      </c>
      <c r="E3" s="1">
        <v>781</v>
      </c>
      <c r="F3" s="1">
        <v>480</v>
      </c>
      <c r="G3" s="1">
        <v>590</v>
      </c>
      <c r="H3" s="1">
        <v>1063</v>
      </c>
      <c r="K3" t="s">
        <v>3</v>
      </c>
      <c r="L3" s="1">
        <f>SUM(B16:H16)</f>
        <v>630</v>
      </c>
      <c r="M3" s="9">
        <f t="shared" ref="M3:M6" si="0">L3/$L$1</f>
        <v>6.5698226147894015E-2</v>
      </c>
    </row>
    <row r="4" spans="1:16" x14ac:dyDescent="0.2">
      <c r="A4" t="s">
        <v>17</v>
      </c>
      <c r="B4" s="1">
        <f>777-B3+13</f>
        <v>112</v>
      </c>
      <c r="C4" s="1">
        <f>984-C3+12</f>
        <v>209</v>
      </c>
      <c r="D4" s="1">
        <f>825-D3</f>
        <v>248</v>
      </c>
      <c r="E4" s="1">
        <f>1048-E3</f>
        <v>267</v>
      </c>
      <c r="F4" s="1">
        <f>798-F3</f>
        <v>318</v>
      </c>
      <c r="G4" s="1">
        <f>922-G3</f>
        <v>332</v>
      </c>
      <c r="H4" s="1">
        <f>1408-H3</f>
        <v>345</v>
      </c>
      <c r="K4" t="s">
        <v>27</v>
      </c>
      <c r="L4" s="1">
        <f>SUM(B3:H3)+SUM(B7:C7)+SUM(D10:H10)+SUM(D11:H11)+SUM(B8:C8)+SUM(D7:H8)</f>
        <v>5449</v>
      </c>
      <c r="M4" s="9">
        <f>L4/$L$1</f>
        <v>0.56823751472995943</v>
      </c>
    </row>
    <row r="5" spans="1:16" x14ac:dyDescent="0.2">
      <c r="A5" t="s">
        <v>18</v>
      </c>
      <c r="B5" s="1">
        <f>-(B3+B4-475)</f>
        <v>-315</v>
      </c>
      <c r="C5" s="1">
        <f>-(C3+C4-577)</f>
        <v>-419</v>
      </c>
      <c r="D5" s="1">
        <f>-(D3+D4-485)</f>
        <v>-340</v>
      </c>
      <c r="E5" s="1">
        <f>-(E3+E4-613)</f>
        <v>-435</v>
      </c>
      <c r="F5" s="1">
        <f>-(F3+F4-434)</f>
        <v>-364</v>
      </c>
      <c r="G5" s="1">
        <f>-(G3+G4-599)</f>
        <v>-323</v>
      </c>
      <c r="H5" s="1">
        <f>-(H3+H4-738)</f>
        <v>-670</v>
      </c>
      <c r="K5" t="s">
        <v>28</v>
      </c>
      <c r="L5" s="1">
        <f>SUM(B4:H4)</f>
        <v>1831</v>
      </c>
      <c r="M5" s="9">
        <f t="shared" si="0"/>
        <v>0.19094198742348245</v>
      </c>
    </row>
    <row r="6" spans="1:16" x14ac:dyDescent="0.2">
      <c r="A6" t="s">
        <v>19</v>
      </c>
      <c r="B6" s="1">
        <f>B3+B4+B5</f>
        <v>475</v>
      </c>
      <c r="C6" s="1">
        <f>C3+C4+C5</f>
        <v>577</v>
      </c>
      <c r="D6" s="1">
        <f t="shared" ref="D6:F6" si="1">D3+D4+D5</f>
        <v>485</v>
      </c>
      <c r="E6" s="1">
        <f t="shared" si="1"/>
        <v>613</v>
      </c>
      <c r="F6" s="1">
        <f t="shared" si="1"/>
        <v>434</v>
      </c>
      <c r="G6" s="1">
        <f t="shared" ref="G6" si="2">G3+G4+G5</f>
        <v>599</v>
      </c>
      <c r="H6" s="1">
        <f t="shared" ref="H6" si="3">H3+H4+H5</f>
        <v>738</v>
      </c>
      <c r="K6" t="s">
        <v>30</v>
      </c>
      <c r="L6" s="1">
        <f>SUM(B20:H21)</f>
        <v>383.3</v>
      </c>
      <c r="M6" s="9">
        <f t="shared" si="0"/>
        <v>3.9971635051567894E-2</v>
      </c>
    </row>
    <row r="7" spans="1:16" x14ac:dyDescent="0.2">
      <c r="A7" t="s">
        <v>22</v>
      </c>
      <c r="B7" s="1">
        <v>278</v>
      </c>
      <c r="C7" s="1">
        <v>-73</v>
      </c>
      <c r="D7" s="1">
        <v>-15</v>
      </c>
      <c r="E7" s="1">
        <v>14</v>
      </c>
      <c r="F7" s="1">
        <v>-4</v>
      </c>
      <c r="G7" s="1">
        <v>15</v>
      </c>
      <c r="H7" s="1">
        <v>16</v>
      </c>
    </row>
    <row r="8" spans="1:16" x14ac:dyDescent="0.2">
      <c r="A8" t="s">
        <v>21</v>
      </c>
      <c r="B8" s="1">
        <v>-237</v>
      </c>
      <c r="C8" s="1">
        <v>-9</v>
      </c>
      <c r="D8" s="1">
        <v>-21</v>
      </c>
      <c r="E8" s="1">
        <v>16</v>
      </c>
      <c r="F8" s="1">
        <v>-34</v>
      </c>
      <c r="G8" s="1">
        <v>3</v>
      </c>
      <c r="H8" s="1">
        <v>-34</v>
      </c>
      <c r="K8" t="s">
        <v>31</v>
      </c>
      <c r="L8" s="3">
        <f>SUM(L9:L15)</f>
        <v>-9587.1</v>
      </c>
    </row>
    <row r="9" spans="1:16" x14ac:dyDescent="0.2">
      <c r="A9" t="s">
        <v>23</v>
      </c>
      <c r="B9" s="1">
        <v>90</v>
      </c>
      <c r="C9" s="1">
        <v>-155</v>
      </c>
      <c r="D9" s="1">
        <v>-245</v>
      </c>
      <c r="E9" s="1">
        <v>-225</v>
      </c>
      <c r="F9" s="1">
        <v>-404</v>
      </c>
      <c r="G9" s="1">
        <v>-1832</v>
      </c>
      <c r="H9" s="1">
        <v>-449</v>
      </c>
      <c r="I9" s="1">
        <v>3930</v>
      </c>
      <c r="K9" t="s">
        <v>32</v>
      </c>
      <c r="L9" s="1">
        <f>SUM(B5:H5)+SUM(B9:H9)</f>
        <v>-6086</v>
      </c>
      <c r="M9" s="9">
        <f>L9/$L$1</f>
        <v>-0.6346657211683856</v>
      </c>
    </row>
    <row r="10" spans="1:16" x14ac:dyDescent="0.2">
      <c r="A10" t="s">
        <v>24</v>
      </c>
      <c r="B10" s="1"/>
      <c r="C10" s="1"/>
      <c r="D10" s="1">
        <v>367</v>
      </c>
      <c r="E10" s="1">
        <v>63</v>
      </c>
      <c r="F10" s="1">
        <v>-117</v>
      </c>
      <c r="G10" s="1">
        <v>524</v>
      </c>
      <c r="H10" s="1">
        <v>314</v>
      </c>
      <c r="K10" t="s">
        <v>20</v>
      </c>
      <c r="L10" s="1">
        <f>SUM(B28:H28)</f>
        <v>-619</v>
      </c>
      <c r="M10" s="9">
        <f t="shared" ref="M10:M15" si="4">L10/$L$1</f>
        <v>-6.4551114262772047E-2</v>
      </c>
    </row>
    <row r="11" spans="1:16" x14ac:dyDescent="0.2">
      <c r="A11" t="s">
        <v>25</v>
      </c>
      <c r="B11" s="1"/>
      <c r="C11" s="1"/>
      <c r="D11" s="1">
        <v>-111</v>
      </c>
      <c r="E11" s="1">
        <v>-169</v>
      </c>
      <c r="F11" s="1">
        <v>-250</v>
      </c>
      <c r="G11" s="1">
        <v>-97</v>
      </c>
      <c r="H11" s="1">
        <v>54</v>
      </c>
      <c r="K11" t="s">
        <v>11</v>
      </c>
      <c r="L11" s="1">
        <f>SUM(B29:H29)</f>
        <v>-827</v>
      </c>
      <c r="M11" s="9">
        <f t="shared" si="4"/>
        <v>-8.6241957181441828E-2</v>
      </c>
    </row>
    <row r="12" spans="1:16" x14ac:dyDescent="0.2">
      <c r="K12" t="s">
        <v>33</v>
      </c>
      <c r="L12" s="1">
        <f>SUM(B30:H31)+SUM(B22:H22)</f>
        <v>-435.7</v>
      </c>
      <c r="M12" s="9">
        <f t="shared" si="4"/>
        <v>-4.5436058940694315E-2</v>
      </c>
    </row>
    <row r="13" spans="1:16" x14ac:dyDescent="0.2">
      <c r="A13" t="s">
        <v>1</v>
      </c>
      <c r="B13" s="1">
        <v>0</v>
      </c>
      <c r="C13" s="1">
        <f>1028-37</f>
        <v>991</v>
      </c>
      <c r="D13" s="1">
        <v>0</v>
      </c>
      <c r="E13" s="1">
        <v>0</v>
      </c>
      <c r="F13" s="1"/>
      <c r="G13" s="1"/>
      <c r="H13" s="1">
        <v>326</v>
      </c>
      <c r="K13" t="s">
        <v>14</v>
      </c>
      <c r="L13" s="1">
        <f>SUM(B27:H27)</f>
        <v>-140.80000000000001</v>
      </c>
      <c r="M13" s="9">
        <f t="shared" si="4"/>
        <v>-1.4683032129561076E-2</v>
      </c>
    </row>
    <row r="14" spans="1:16" x14ac:dyDescent="0.2">
      <c r="A14" t="s">
        <v>2</v>
      </c>
      <c r="B14" s="1">
        <v>-21</v>
      </c>
      <c r="C14" s="1">
        <v>0</v>
      </c>
      <c r="D14" s="1"/>
      <c r="E14" s="1"/>
      <c r="F14" s="1"/>
      <c r="G14" s="1"/>
      <c r="H14" s="1"/>
      <c r="K14" t="s">
        <v>7</v>
      </c>
      <c r="L14" s="1">
        <f>SUM(B26:H26)</f>
        <v>-444.6</v>
      </c>
      <c r="M14" s="9">
        <f t="shared" si="4"/>
        <v>-4.6364176738656636E-2</v>
      </c>
    </row>
    <row r="15" spans="1:16" x14ac:dyDescent="0.2">
      <c r="K15" t="s">
        <v>15</v>
      </c>
      <c r="L15" s="1">
        <f>SUM(B32:H32)</f>
        <v>-1034</v>
      </c>
      <c r="M15" s="9">
        <f t="shared" si="4"/>
        <v>-0.10782851720146414</v>
      </c>
    </row>
    <row r="16" spans="1:16" x14ac:dyDescent="0.2">
      <c r="A16" t="s">
        <v>3</v>
      </c>
      <c r="B16" s="1">
        <v>-10</v>
      </c>
      <c r="C16" s="1">
        <v>0</v>
      </c>
      <c r="D16" s="1">
        <v>0</v>
      </c>
      <c r="E16" s="1">
        <v>0</v>
      </c>
      <c r="F16" s="1">
        <f>F18+F17</f>
        <v>76</v>
      </c>
      <c r="G16" s="1">
        <f t="shared" ref="G16:H16" si="5">G18+G17</f>
        <v>825</v>
      </c>
      <c r="H16" s="1">
        <f t="shared" si="5"/>
        <v>-261</v>
      </c>
    </row>
    <row r="17" spans="1:8" x14ac:dyDescent="0.2">
      <c r="A17" t="s">
        <v>4</v>
      </c>
      <c r="B17" s="1"/>
      <c r="C17" s="1"/>
      <c r="D17" s="1"/>
      <c r="E17" s="1"/>
      <c r="F17" s="1">
        <v>75</v>
      </c>
      <c r="G17" s="1">
        <f>174+750-99</f>
        <v>825</v>
      </c>
      <c r="H17" s="1">
        <f>54-14-250-51</f>
        <v>-261</v>
      </c>
    </row>
    <row r="18" spans="1:8" x14ac:dyDescent="0.2">
      <c r="A18" t="s">
        <v>5</v>
      </c>
      <c r="B18" s="1"/>
      <c r="C18" s="1"/>
      <c r="D18" s="1"/>
      <c r="E18" s="1"/>
      <c r="F18" s="1">
        <v>1</v>
      </c>
      <c r="G18" s="1"/>
      <c r="H18" s="1"/>
    </row>
    <row r="20" spans="1:8" x14ac:dyDescent="0.2">
      <c r="A20" t="s">
        <v>9</v>
      </c>
      <c r="B20" s="1">
        <v>12</v>
      </c>
      <c r="C20" s="1">
        <v>33</v>
      </c>
      <c r="D20" s="1">
        <v>104</v>
      </c>
      <c r="E20" s="1">
        <v>86</v>
      </c>
      <c r="F20" s="1">
        <v>49</v>
      </c>
      <c r="G20" s="1">
        <v>8</v>
      </c>
      <c r="H20" s="1">
        <v>19</v>
      </c>
    </row>
    <row r="21" spans="1:8" x14ac:dyDescent="0.2">
      <c r="A21" t="s">
        <v>10</v>
      </c>
      <c r="B21" s="1">
        <v>2</v>
      </c>
      <c r="C21" s="1">
        <v>13.6</v>
      </c>
      <c r="D21" s="1">
        <v>24</v>
      </c>
      <c r="E21" s="1">
        <v>17</v>
      </c>
      <c r="F21" s="1">
        <v>10</v>
      </c>
      <c r="G21" s="1">
        <v>4.7</v>
      </c>
      <c r="H21" s="1">
        <v>1</v>
      </c>
    </row>
    <row r="22" spans="1:8" x14ac:dyDescent="0.2">
      <c r="A22" t="s">
        <v>12</v>
      </c>
      <c r="B22" s="1">
        <v>0</v>
      </c>
      <c r="C22" s="1">
        <v>14</v>
      </c>
      <c r="D22" s="1"/>
      <c r="E22" s="1"/>
      <c r="F22" s="1">
        <v>8.8000000000000007</v>
      </c>
      <c r="G22" s="1">
        <v>4.5</v>
      </c>
      <c r="H22" s="1">
        <v>14</v>
      </c>
    </row>
    <row r="24" spans="1:8" x14ac:dyDescent="0.2">
      <c r="A24" t="s">
        <v>6</v>
      </c>
    </row>
    <row r="26" spans="1:8" x14ac:dyDescent="0.2">
      <c r="A26" t="s">
        <v>7</v>
      </c>
      <c r="B26" s="1">
        <v>-8.5</v>
      </c>
      <c r="C26" s="1">
        <v>-7.1</v>
      </c>
      <c r="D26" s="1">
        <v>-38</v>
      </c>
      <c r="E26" s="1">
        <v>-76</v>
      </c>
      <c r="F26" s="1">
        <v>-77</v>
      </c>
      <c r="G26" s="1">
        <v>-77</v>
      </c>
      <c r="H26" s="1">
        <v>-161</v>
      </c>
    </row>
    <row r="27" spans="1:8" x14ac:dyDescent="0.2">
      <c r="A27" t="s">
        <v>14</v>
      </c>
      <c r="B27" s="1">
        <v>0.2</v>
      </c>
      <c r="C27" s="1">
        <v>0</v>
      </c>
      <c r="D27" s="1">
        <v>0</v>
      </c>
      <c r="E27" s="1">
        <v>0</v>
      </c>
      <c r="F27" s="1">
        <v>0</v>
      </c>
      <c r="G27" s="1">
        <v>-55</v>
      </c>
      <c r="H27" s="1">
        <v>-86</v>
      </c>
    </row>
    <row r="28" spans="1:8" x14ac:dyDescent="0.2">
      <c r="A28" t="s">
        <v>20</v>
      </c>
      <c r="B28" s="1">
        <v>-167</v>
      </c>
      <c r="C28" s="1">
        <v>-172</v>
      </c>
      <c r="D28" s="1">
        <v>-96</v>
      </c>
      <c r="E28" s="1">
        <v>-118</v>
      </c>
      <c r="F28" s="1">
        <v>-48</v>
      </c>
      <c r="G28" s="1">
        <v>29</v>
      </c>
      <c r="H28" s="1">
        <v>-47</v>
      </c>
    </row>
    <row r="29" spans="1:8" x14ac:dyDescent="0.2">
      <c r="A29" t="s">
        <v>11</v>
      </c>
      <c r="B29" s="8">
        <v>-67</v>
      </c>
      <c r="C29" s="8">
        <v>-31</v>
      </c>
      <c r="D29" s="8">
        <v>-244</v>
      </c>
      <c r="E29" s="8">
        <v>-272</v>
      </c>
      <c r="F29" s="8">
        <v>-24</v>
      </c>
      <c r="G29" s="8">
        <v>-58</v>
      </c>
      <c r="H29" s="8">
        <v>-131</v>
      </c>
    </row>
    <row r="30" spans="1:8" x14ac:dyDescent="0.2">
      <c r="A30" t="s">
        <v>13</v>
      </c>
      <c r="B30" s="8">
        <v>-64</v>
      </c>
      <c r="C30" s="8">
        <v>0</v>
      </c>
      <c r="D30" s="8">
        <v>-244</v>
      </c>
      <c r="E30" s="8">
        <v>0</v>
      </c>
      <c r="F30" s="8"/>
      <c r="G30" s="8"/>
      <c r="H30" s="8"/>
    </row>
    <row r="31" spans="1:8" x14ac:dyDescent="0.2">
      <c r="A31" t="s">
        <v>26</v>
      </c>
      <c r="B31" s="8"/>
      <c r="C31" s="8"/>
      <c r="D31" s="8">
        <v>-167</v>
      </c>
      <c r="E31" s="8">
        <v>-546</v>
      </c>
      <c r="F31" s="8">
        <v>720</v>
      </c>
      <c r="G31" s="8">
        <v>-77</v>
      </c>
      <c r="H31" s="8">
        <v>-99</v>
      </c>
    </row>
    <row r="32" spans="1:8" x14ac:dyDescent="0.2">
      <c r="A32" t="s">
        <v>15</v>
      </c>
      <c r="B32" s="1">
        <v>-86</v>
      </c>
      <c r="C32" s="1">
        <v>-140</v>
      </c>
      <c r="D32" s="1">
        <v>-132</v>
      </c>
      <c r="E32" s="1">
        <v>-170</v>
      </c>
      <c r="F32" s="1">
        <v>-141</v>
      </c>
      <c r="G32" s="1">
        <v>-153</v>
      </c>
      <c r="H32" s="1">
        <v>-212</v>
      </c>
    </row>
    <row r="34" spans="1:12" x14ac:dyDescent="0.2">
      <c r="A34" t="s">
        <v>88</v>
      </c>
      <c r="B34" s="1">
        <f>B3+B4</f>
        <v>790</v>
      </c>
      <c r="C34" s="1">
        <f>C3+C4</f>
        <v>996</v>
      </c>
      <c r="D34" s="1">
        <f t="shared" ref="D34:H34" si="6">D3+D4</f>
        <v>825</v>
      </c>
      <c r="E34" s="1">
        <f t="shared" si="6"/>
        <v>1048</v>
      </c>
      <c r="F34" s="1">
        <f t="shared" si="6"/>
        <v>798</v>
      </c>
      <c r="G34" s="1">
        <f t="shared" si="6"/>
        <v>922</v>
      </c>
      <c r="H34" s="1">
        <f t="shared" si="6"/>
        <v>1408</v>
      </c>
    </row>
    <row r="35" spans="1:12" x14ac:dyDescent="0.2">
      <c r="A35" t="s">
        <v>114</v>
      </c>
      <c r="B35" s="1">
        <v>1864</v>
      </c>
      <c r="C35" s="1">
        <v>3348</v>
      </c>
      <c r="D35" s="1">
        <v>3734</v>
      </c>
      <c r="E35" s="1">
        <v>4162</v>
      </c>
      <c r="F35" s="1">
        <v>4396</v>
      </c>
      <c r="G35" s="1">
        <v>4634</v>
      </c>
      <c r="H35" s="1">
        <v>5304</v>
      </c>
      <c r="L35" t="s">
        <v>147</v>
      </c>
    </row>
    <row r="36" spans="1:12" x14ac:dyDescent="0.2">
      <c r="A36" t="s">
        <v>85</v>
      </c>
      <c r="B36" s="1">
        <v>817</v>
      </c>
      <c r="C36" s="1">
        <v>969</v>
      </c>
      <c r="D36" s="1">
        <v>2244</v>
      </c>
      <c r="E36" s="1">
        <v>2583</v>
      </c>
      <c r="F36" s="1">
        <v>2606</v>
      </c>
      <c r="G36" s="1">
        <v>2554</v>
      </c>
      <c r="H36" s="1">
        <v>2675</v>
      </c>
      <c r="L36" t="s">
        <v>148</v>
      </c>
    </row>
    <row r="37" spans="1:12" x14ac:dyDescent="0.2">
      <c r="A37" t="s">
        <v>33</v>
      </c>
      <c r="B37" s="1">
        <v>79</v>
      </c>
      <c r="C37" s="1">
        <v>65</v>
      </c>
      <c r="D37" s="1"/>
      <c r="E37" s="1"/>
      <c r="F37" s="1"/>
      <c r="G37" s="1"/>
      <c r="H37" s="1"/>
    </row>
    <row r="38" spans="1:12" x14ac:dyDescent="0.2">
      <c r="A38" t="s">
        <v>116</v>
      </c>
      <c r="B38" s="1">
        <v>1651</v>
      </c>
      <c r="C38" s="1">
        <v>2954</v>
      </c>
      <c r="D38" s="1">
        <v>2540</v>
      </c>
      <c r="E38" s="1">
        <v>2706</v>
      </c>
      <c r="F38" s="1">
        <v>2880</v>
      </c>
      <c r="G38" s="1">
        <v>4566</v>
      </c>
      <c r="H38" s="1">
        <v>5084</v>
      </c>
    </row>
    <row r="39" spans="1:12" x14ac:dyDescent="0.2">
      <c r="A39" t="s">
        <v>117</v>
      </c>
      <c r="B39" s="1">
        <v>684</v>
      </c>
      <c r="C39" s="1">
        <v>641</v>
      </c>
      <c r="D39" s="1">
        <v>973</v>
      </c>
      <c r="E39" s="1">
        <v>1059</v>
      </c>
      <c r="F39" s="1">
        <v>904</v>
      </c>
      <c r="G39" s="1">
        <f>1651-108-63.5</f>
        <v>1479.5</v>
      </c>
      <c r="H39" s="1">
        <f>1889-108-49</f>
        <v>1732</v>
      </c>
    </row>
    <row r="40" spans="1:12" x14ac:dyDescent="0.2">
      <c r="A40" t="s">
        <v>118</v>
      </c>
      <c r="B40" s="1">
        <f>B38-B39</f>
        <v>967</v>
      </c>
      <c r="C40" s="1">
        <f>C38-C39</f>
        <v>2313</v>
      </c>
      <c r="D40" s="1">
        <f t="shared" ref="D40:H40" si="7">D38-D39</f>
        <v>1567</v>
      </c>
      <c r="E40" s="1">
        <f t="shared" si="7"/>
        <v>1647</v>
      </c>
      <c r="F40" s="1">
        <f t="shared" si="7"/>
        <v>1976</v>
      </c>
      <c r="G40" s="1">
        <f t="shared" si="7"/>
        <v>3086.5</v>
      </c>
      <c r="H40" s="1">
        <f t="shared" si="7"/>
        <v>3352</v>
      </c>
    </row>
    <row r="41" spans="1:12" x14ac:dyDescent="0.2">
      <c r="A41" t="s">
        <v>115</v>
      </c>
      <c r="B41" s="1">
        <f>B36+B37+B40</f>
        <v>1863</v>
      </c>
      <c r="C41" s="1">
        <f>C36+C37+C40</f>
        <v>3347</v>
      </c>
      <c r="D41" s="1">
        <f t="shared" ref="D41:H41" si="8">D36+D37+D40</f>
        <v>3811</v>
      </c>
      <c r="E41" s="1">
        <f t="shared" si="8"/>
        <v>4230</v>
      </c>
      <c r="F41" s="1">
        <f t="shared" si="8"/>
        <v>4582</v>
      </c>
      <c r="G41" s="1">
        <f t="shared" si="8"/>
        <v>5640.5</v>
      </c>
      <c r="H41" s="1">
        <f t="shared" si="8"/>
        <v>6027</v>
      </c>
    </row>
    <row r="42" spans="1:12" x14ac:dyDescent="0.2">
      <c r="A42" t="s">
        <v>119</v>
      </c>
      <c r="B42" s="1">
        <v>458</v>
      </c>
      <c r="C42" s="1">
        <v>517</v>
      </c>
      <c r="D42" s="1">
        <v>463</v>
      </c>
      <c r="E42" s="1">
        <v>505</v>
      </c>
      <c r="F42" s="1">
        <v>311</v>
      </c>
      <c r="G42" s="1">
        <v>317</v>
      </c>
      <c r="H42" s="1">
        <v>426</v>
      </c>
      <c r="I42" s="3">
        <f>SUM(B42:H42)</f>
        <v>2997</v>
      </c>
    </row>
    <row r="43" spans="1:12" x14ac:dyDescent="0.2">
      <c r="A43" t="s">
        <v>120</v>
      </c>
      <c r="B43" s="2">
        <f>B42/B34</f>
        <v>0.57974683544303796</v>
      </c>
      <c r="C43" s="2">
        <f>C42/C34</f>
        <v>0.51907630522088355</v>
      </c>
      <c r="D43" s="2">
        <f t="shared" ref="D43:H43" si="9">D42/D34</f>
        <v>0.56121212121212116</v>
      </c>
      <c r="E43" s="2">
        <f t="shared" si="9"/>
        <v>0.4818702290076336</v>
      </c>
      <c r="F43" s="2">
        <f t="shared" si="9"/>
        <v>0.38972431077694236</v>
      </c>
      <c r="G43" s="2">
        <f t="shared" si="9"/>
        <v>0.3438177874186551</v>
      </c>
      <c r="H43" s="9">
        <f t="shared" si="9"/>
        <v>0.30255681818181818</v>
      </c>
    </row>
    <row r="44" spans="1:12" x14ac:dyDescent="0.2">
      <c r="A44" t="s">
        <v>121</v>
      </c>
      <c r="B44" s="10">
        <f>B34/B41</f>
        <v>0.42404723564143854</v>
      </c>
      <c r="C44" s="10">
        <f>C34/C41</f>
        <v>0.29757992231849417</v>
      </c>
      <c r="D44" s="10">
        <f t="shared" ref="D44:H44" si="10">D34/D41</f>
        <v>0.21647861453686695</v>
      </c>
      <c r="E44" s="10">
        <f t="shared" si="10"/>
        <v>0.24775413711583924</v>
      </c>
      <c r="F44" s="10">
        <f t="shared" si="10"/>
        <v>0.17415975556525534</v>
      </c>
      <c r="G44" s="10">
        <f t="shared" si="10"/>
        <v>0.16346068610938747</v>
      </c>
      <c r="H44" s="10">
        <f t="shared" si="10"/>
        <v>0.23361539737846357</v>
      </c>
    </row>
    <row r="45" spans="1:12" x14ac:dyDescent="0.2">
      <c r="A45" t="s">
        <v>82</v>
      </c>
      <c r="B45" s="10">
        <f>B41/B35</f>
        <v>0.99946351931330468</v>
      </c>
      <c r="C45" s="10">
        <f>C41/C35</f>
        <v>0.99970131421744324</v>
      </c>
      <c r="D45" s="10">
        <f t="shared" ref="D45:H45" si="11">D41/D35</f>
        <v>1.0206213176218533</v>
      </c>
      <c r="E45" s="10">
        <f t="shared" si="11"/>
        <v>1.0163382988947622</v>
      </c>
      <c r="F45" s="10">
        <f t="shared" si="11"/>
        <v>1.0423111919927206</v>
      </c>
      <c r="G45" s="10">
        <f t="shared" si="11"/>
        <v>1.217198964177816</v>
      </c>
      <c r="H45" s="10">
        <f t="shared" si="11"/>
        <v>1.1363122171945701</v>
      </c>
    </row>
    <row r="46" spans="1:12" x14ac:dyDescent="0.2">
      <c r="A46" t="s">
        <v>122</v>
      </c>
      <c r="B46" s="2">
        <f>B43*B44*B45</f>
        <v>0.24570815450643774</v>
      </c>
      <c r="C46" s="2">
        <f>C43*C44*C45</f>
        <v>0.1544205495818399</v>
      </c>
      <c r="D46" s="2">
        <f t="shared" ref="D46:H46" si="12">D43*D44*D45</f>
        <v>0.12399571505088375</v>
      </c>
      <c r="E46" s="2">
        <f t="shared" si="12"/>
        <v>0.12133589620374821</v>
      </c>
      <c r="F46" s="2">
        <f t="shared" si="12"/>
        <v>7.0746132848043666E-2</v>
      </c>
      <c r="G46" s="2">
        <f t="shared" si="12"/>
        <v>6.8407423392317646E-2</v>
      </c>
      <c r="H46" s="9">
        <f t="shared" si="12"/>
        <v>8.0316742081447956E-2</v>
      </c>
    </row>
    <row r="47" spans="1:12" x14ac:dyDescent="0.2">
      <c r="A47" t="s">
        <v>146</v>
      </c>
      <c r="B47" s="12">
        <v>1.31</v>
      </c>
      <c r="C47" s="12">
        <v>1.92</v>
      </c>
      <c r="D47" s="12">
        <v>1.92</v>
      </c>
      <c r="E47" s="12">
        <v>1.92</v>
      </c>
      <c r="F47" s="12">
        <v>1.92</v>
      </c>
      <c r="G47" s="12">
        <v>1.29</v>
      </c>
      <c r="H47" s="12">
        <v>0</v>
      </c>
      <c r="I47" s="13">
        <f>SUM(B47:H47)</f>
        <v>10.280000000000001</v>
      </c>
      <c r="J47" s="9">
        <f>I47/I42</f>
        <v>3.430096763430097E-3</v>
      </c>
    </row>
    <row r="49" spans="1:14" x14ac:dyDescent="0.2">
      <c r="A49" t="s">
        <v>132</v>
      </c>
      <c r="K49" t="s">
        <v>1</v>
      </c>
    </row>
    <row r="50" spans="1:14" x14ac:dyDescent="0.2">
      <c r="A50" t="s">
        <v>85</v>
      </c>
      <c r="B50">
        <f>974+3+54</f>
        <v>1031</v>
      </c>
      <c r="E50" t="s">
        <v>23</v>
      </c>
      <c r="F50" s="1">
        <f>B57</f>
        <v>3931</v>
      </c>
      <c r="G50" s="2">
        <f>F50/$D$61</f>
        <v>0.50663745328006182</v>
      </c>
      <c r="K50" t="s">
        <v>114</v>
      </c>
      <c r="L50">
        <v>5304</v>
      </c>
      <c r="M50">
        <f>L50</f>
        <v>5304</v>
      </c>
      <c r="N50" s="2">
        <f>M50/D61</f>
        <v>0.68359324655239073</v>
      </c>
    </row>
    <row r="51" spans="1:14" x14ac:dyDescent="0.2">
      <c r="A51" t="s">
        <v>123</v>
      </c>
      <c r="B51">
        <v>265</v>
      </c>
      <c r="E51" t="s">
        <v>139</v>
      </c>
      <c r="F51" s="1">
        <f>B50</f>
        <v>1031</v>
      </c>
      <c r="G51" s="2">
        <f t="shared" ref="G51:G55" si="13">F51/$D$61</f>
        <v>0.13287794818919965</v>
      </c>
    </row>
    <row r="52" spans="1:14" x14ac:dyDescent="0.2">
      <c r="A52" t="s">
        <v>33</v>
      </c>
      <c r="B52">
        <v>0</v>
      </c>
      <c r="E52" t="s">
        <v>33</v>
      </c>
      <c r="F52" s="1">
        <f>B56</f>
        <v>74</v>
      </c>
      <c r="G52" s="2">
        <f t="shared" si="13"/>
        <v>9.5373115092151056E-3</v>
      </c>
      <c r="K52" t="s">
        <v>3</v>
      </c>
    </row>
    <row r="53" spans="1:14" x14ac:dyDescent="0.2">
      <c r="A53" t="s">
        <v>60</v>
      </c>
      <c r="B53">
        <v>1379</v>
      </c>
      <c r="C53">
        <f>SUM(B50:B53)</f>
        <v>2675</v>
      </c>
      <c r="E53" t="s">
        <v>60</v>
      </c>
      <c r="F53" s="1">
        <f>B53+B60</f>
        <v>1994</v>
      </c>
      <c r="G53" s="2">
        <f t="shared" si="13"/>
        <v>0.25699188039695836</v>
      </c>
      <c r="K53" t="s">
        <v>4</v>
      </c>
      <c r="L53">
        <f>484+49</f>
        <v>533</v>
      </c>
    </row>
    <row r="54" spans="1:14" x14ac:dyDescent="0.2">
      <c r="E54" t="s">
        <v>135</v>
      </c>
      <c r="F54">
        <f>B59</f>
        <v>320</v>
      </c>
      <c r="G54" s="2">
        <f t="shared" si="13"/>
        <v>4.1242428147957214E-2</v>
      </c>
      <c r="K54" t="s">
        <v>137</v>
      </c>
      <c r="L54">
        <v>108</v>
      </c>
      <c r="M54">
        <f>L53+L54</f>
        <v>641</v>
      </c>
      <c r="N54" s="2">
        <f>M54/D61</f>
        <v>8.2613738883876783E-2</v>
      </c>
    </row>
    <row r="55" spans="1:14" x14ac:dyDescent="0.2">
      <c r="A55" t="s">
        <v>133</v>
      </c>
      <c r="E55" t="s">
        <v>136</v>
      </c>
      <c r="F55" s="1">
        <f>D61-SUM(F50:F54)</f>
        <v>409</v>
      </c>
      <c r="G55" s="2">
        <f t="shared" si="13"/>
        <v>5.2712978476607809E-2</v>
      </c>
    </row>
    <row r="56" spans="1:14" x14ac:dyDescent="0.2">
      <c r="A56" t="s">
        <v>33</v>
      </c>
      <c r="B56">
        <v>74</v>
      </c>
      <c r="K56" t="s">
        <v>138</v>
      </c>
      <c r="L56">
        <f>D61-M50-M54</f>
        <v>1814</v>
      </c>
      <c r="M56">
        <f>L56</f>
        <v>1814</v>
      </c>
      <c r="N56" s="2">
        <f>M56/D61</f>
        <v>0.23379301456373244</v>
      </c>
    </row>
    <row r="57" spans="1:14" x14ac:dyDescent="0.2">
      <c r="A57" t="s">
        <v>35</v>
      </c>
      <c r="B57">
        <v>3931</v>
      </c>
      <c r="E57" t="s">
        <v>144</v>
      </c>
      <c r="F57" s="1">
        <v>11227</v>
      </c>
      <c r="G57" s="6"/>
    </row>
    <row r="58" spans="1:14" x14ac:dyDescent="0.2">
      <c r="A58" t="s">
        <v>134</v>
      </c>
      <c r="B58">
        <v>117</v>
      </c>
      <c r="E58" t="s">
        <v>150</v>
      </c>
      <c r="F58" s="10">
        <f>F57/D61</f>
        <v>1.4469648150534862</v>
      </c>
    </row>
    <row r="59" spans="1:14" x14ac:dyDescent="0.2">
      <c r="A59" t="s">
        <v>135</v>
      </c>
      <c r="B59">
        <v>320</v>
      </c>
      <c r="E59" t="s">
        <v>151</v>
      </c>
      <c r="F59" s="10">
        <f>F57/H35</f>
        <v>2.1167043740573153</v>
      </c>
    </row>
    <row r="60" spans="1:14" x14ac:dyDescent="0.2">
      <c r="A60" t="s">
        <v>60</v>
      </c>
      <c r="B60">
        <v>615</v>
      </c>
      <c r="E60" t="s">
        <v>152</v>
      </c>
      <c r="F60" s="10">
        <f>F57/H42</f>
        <v>26.354460093896712</v>
      </c>
    </row>
    <row r="61" spans="1:14" x14ac:dyDescent="0.2">
      <c r="A61" t="s">
        <v>136</v>
      </c>
      <c r="B61">
        <v>27</v>
      </c>
      <c r="C61">
        <f>SUM(B56:B61)</f>
        <v>5084</v>
      </c>
      <c r="D61">
        <f>C53+C61</f>
        <v>7759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pane xSplit="1" ySplit="1" topLeftCell="B25" activePane="bottomRight" state="frozen"/>
      <selection pane="topRight" activeCell="B1" sqref="B1"/>
      <selection pane="bottomLeft" activeCell="A2" sqref="A2"/>
      <selection pane="bottomRight" activeCell="F51" sqref="F51:F53"/>
    </sheetView>
  </sheetViews>
  <sheetFormatPr baseColWidth="10" defaultColWidth="8.83203125" defaultRowHeight="15" x14ac:dyDescent="0.2"/>
  <cols>
    <col min="1" max="1" width="17.5" bestFit="1" customWidth="1"/>
    <col min="2" max="3" width="9.5" bestFit="1" customWidth="1"/>
    <col min="4" max="8" width="9.33203125" bestFit="1" customWidth="1"/>
    <col min="9" max="9" width="9.5" bestFit="1" customWidth="1"/>
    <col min="11" max="11" width="13.33203125" bestFit="1" customWidth="1"/>
    <col min="16" max="16" width="9.5" bestFit="1" customWidth="1"/>
  </cols>
  <sheetData>
    <row r="1" spans="1:16" x14ac:dyDescent="0.2">
      <c r="B1">
        <v>2010</v>
      </c>
      <c r="C1">
        <v>2011</v>
      </c>
      <c r="D1">
        <v>2012</v>
      </c>
      <c r="E1">
        <v>2013</v>
      </c>
      <c r="F1">
        <v>2014</v>
      </c>
      <c r="G1">
        <v>2015</v>
      </c>
      <c r="H1">
        <v>2016</v>
      </c>
      <c r="K1" s="4" t="s">
        <v>0</v>
      </c>
      <c r="L1" s="5">
        <f>SUM(L2:L6)</f>
        <v>4307.3</v>
      </c>
      <c r="O1">
        <v>1400</v>
      </c>
      <c r="P1" s="6">
        <f>O1/I6</f>
        <v>0.37154989384288745</v>
      </c>
    </row>
    <row r="2" spans="1:16" x14ac:dyDescent="0.2">
      <c r="A2" t="s">
        <v>0</v>
      </c>
      <c r="K2" t="s">
        <v>44</v>
      </c>
      <c r="L2" s="3">
        <f>SUM(B14:H14)</f>
        <v>1102</v>
      </c>
      <c r="M2" s="9">
        <f>L2/$L$1</f>
        <v>0.25584472871636521</v>
      </c>
    </row>
    <row r="3" spans="1:16" x14ac:dyDescent="0.2">
      <c r="A3" t="s">
        <v>34</v>
      </c>
      <c r="B3" s="1">
        <v>28.4</v>
      </c>
      <c r="C3" s="1">
        <v>20.399999999999999</v>
      </c>
      <c r="D3" s="1">
        <v>17</v>
      </c>
      <c r="E3" s="1">
        <v>30</v>
      </c>
      <c r="F3" s="1">
        <v>912</v>
      </c>
      <c r="G3" s="1">
        <v>282</v>
      </c>
      <c r="H3" s="1">
        <v>773</v>
      </c>
      <c r="K3" t="s">
        <v>1</v>
      </c>
      <c r="L3" s="3">
        <f>SUM(B12:H13)</f>
        <v>229.7</v>
      </c>
      <c r="M3" s="9">
        <f t="shared" ref="M3:M4" si="0">L3/$L$1</f>
        <v>5.3328070949318594E-2</v>
      </c>
    </row>
    <row r="4" spans="1:16" x14ac:dyDescent="0.2">
      <c r="A4" t="s">
        <v>124</v>
      </c>
      <c r="B4" s="1"/>
      <c r="C4" s="1"/>
      <c r="D4" s="1"/>
      <c r="E4" s="1"/>
      <c r="F4" s="1">
        <f>926-F3</f>
        <v>14</v>
      </c>
      <c r="G4" s="1">
        <f>303-G3</f>
        <v>21</v>
      </c>
      <c r="H4" s="1">
        <f>786-H3</f>
        <v>13</v>
      </c>
      <c r="K4" t="s">
        <v>48</v>
      </c>
      <c r="L4" s="3">
        <f>SUM(B10:H11)</f>
        <v>69.5</v>
      </c>
      <c r="M4" s="9">
        <f t="shared" si="0"/>
        <v>1.6135398045179113E-2</v>
      </c>
    </row>
    <row r="5" spans="1:16" x14ac:dyDescent="0.2">
      <c r="A5" t="s">
        <v>32</v>
      </c>
      <c r="B5" s="1">
        <f>12.2-B3-B4</f>
        <v>-16.2</v>
      </c>
      <c r="C5" s="1">
        <f>3.7-C3-C4</f>
        <v>-16.7</v>
      </c>
      <c r="D5" s="1">
        <f>4.2-D3-D4</f>
        <v>-12.8</v>
      </c>
      <c r="E5" s="1">
        <f>5.6-E3-E4</f>
        <v>-24.4</v>
      </c>
      <c r="F5" s="1">
        <f>277-F3-F4</f>
        <v>-649</v>
      </c>
      <c r="G5" s="1">
        <f>136-G3-G4</f>
        <v>-167</v>
      </c>
      <c r="H5" s="1">
        <f>250-H3-H4</f>
        <v>-536</v>
      </c>
      <c r="K5" t="s">
        <v>45</v>
      </c>
      <c r="L5" s="3">
        <f>SUM(B3:H3)+SUM(B9:H9)+SUM(B7:H7)+SUM(B8:H8)</f>
        <v>2858.1</v>
      </c>
      <c r="M5" s="9">
        <f>L5/$L$1</f>
        <v>0.66354793025793413</v>
      </c>
    </row>
    <row r="6" spans="1:16" x14ac:dyDescent="0.2">
      <c r="A6" t="s">
        <v>35</v>
      </c>
      <c r="B6" s="1">
        <v>-614</v>
      </c>
      <c r="C6" s="1">
        <v>-683</v>
      </c>
      <c r="D6" s="1">
        <v>-334</v>
      </c>
      <c r="E6" s="1">
        <v>-166</v>
      </c>
      <c r="F6" s="1">
        <v>190</v>
      </c>
      <c r="G6" s="1">
        <v>-419</v>
      </c>
      <c r="H6" s="1">
        <v>-324</v>
      </c>
      <c r="I6" s="1">
        <v>3768</v>
      </c>
      <c r="K6" t="s">
        <v>46</v>
      </c>
      <c r="L6" s="3">
        <f>SUM(B4:H4)</f>
        <v>48</v>
      </c>
      <c r="M6" s="9">
        <f>L6/$L$1</f>
        <v>1.1143872031202842E-2</v>
      </c>
    </row>
    <row r="7" spans="1:16" x14ac:dyDescent="0.2">
      <c r="A7" t="s">
        <v>36</v>
      </c>
      <c r="B7" s="1">
        <v>-5.6</v>
      </c>
      <c r="C7" s="1">
        <v>6.3</v>
      </c>
      <c r="D7" s="1">
        <v>-35.299999999999997</v>
      </c>
      <c r="E7" s="1">
        <v>-20.7</v>
      </c>
      <c r="F7" s="1">
        <v>-54</v>
      </c>
      <c r="G7" s="1">
        <v>-98</v>
      </c>
      <c r="H7" s="1">
        <f>210-160</f>
        <v>50</v>
      </c>
    </row>
    <row r="8" spans="1:16" x14ac:dyDescent="0.2">
      <c r="A8" t="s">
        <v>37</v>
      </c>
      <c r="B8" s="1">
        <v>-349</v>
      </c>
      <c r="C8" s="1">
        <v>60</v>
      </c>
      <c r="D8" s="1">
        <v>-52</v>
      </c>
      <c r="E8" s="1">
        <v>-63</v>
      </c>
      <c r="F8" s="1">
        <v>-304</v>
      </c>
      <c r="G8" s="1">
        <v>377</v>
      </c>
      <c r="H8" s="1">
        <v>4.5999999999999996</v>
      </c>
    </row>
    <row r="9" spans="1:16" x14ac:dyDescent="0.2">
      <c r="A9" t="s">
        <v>38</v>
      </c>
      <c r="B9" s="1">
        <v>250</v>
      </c>
      <c r="C9" s="1">
        <v>526</v>
      </c>
      <c r="D9" s="1">
        <v>341</v>
      </c>
      <c r="E9" s="1">
        <v>377</v>
      </c>
      <c r="F9" s="1">
        <v>-126</v>
      </c>
      <c r="G9" s="11">
        <v>-28</v>
      </c>
      <c r="H9" s="1">
        <v>-61</v>
      </c>
      <c r="K9" s="4" t="s">
        <v>6</v>
      </c>
      <c r="L9" s="5">
        <f>SUM(L10:L15)</f>
        <v>-4242.2999999999993</v>
      </c>
      <c r="O9">
        <f>2682-1070</f>
        <v>1612</v>
      </c>
    </row>
    <row r="10" spans="1:16" x14ac:dyDescent="0.2">
      <c r="A10" t="s">
        <v>14</v>
      </c>
      <c r="B10" s="1">
        <v>0.7</v>
      </c>
      <c r="C10" s="1">
        <v>8.6</v>
      </c>
      <c r="D10" s="1">
        <v>7.3</v>
      </c>
      <c r="E10" s="1">
        <v>11.7</v>
      </c>
      <c r="F10" s="1">
        <v>10</v>
      </c>
      <c r="G10" s="11">
        <v>21</v>
      </c>
      <c r="H10" s="1">
        <v>7.2</v>
      </c>
      <c r="K10" t="s">
        <v>8</v>
      </c>
      <c r="L10" s="3">
        <f>SUM(B5:H6)</f>
        <v>-3772.1</v>
      </c>
      <c r="M10" s="9">
        <f>L10/$L$1</f>
        <v>-0.87574582685208824</v>
      </c>
      <c r="O10">
        <f>2727-1208</f>
        <v>1519</v>
      </c>
    </row>
    <row r="11" spans="1:16" x14ac:dyDescent="0.2">
      <c r="A11" t="s">
        <v>7</v>
      </c>
      <c r="B11" s="1">
        <v>1.2</v>
      </c>
      <c r="C11" s="1">
        <v>1.2</v>
      </c>
      <c r="D11" s="1">
        <v>0.3</v>
      </c>
      <c r="E11" s="1">
        <v>0.2</v>
      </c>
      <c r="F11" s="1">
        <v>0</v>
      </c>
      <c r="G11" s="1">
        <v>0.1</v>
      </c>
      <c r="H11" s="1">
        <v>0</v>
      </c>
      <c r="K11" t="s">
        <v>20</v>
      </c>
      <c r="L11" s="3">
        <f>SUM(B19:H19)</f>
        <v>-8.1</v>
      </c>
      <c r="M11" s="9">
        <f t="shared" ref="M11:M15" si="1">L11/$L$1</f>
        <v>-1.8805284052654794E-3</v>
      </c>
      <c r="O11">
        <f>O9-O10</f>
        <v>93</v>
      </c>
    </row>
    <row r="12" spans="1:16" x14ac:dyDescent="0.2">
      <c r="A12" t="s">
        <v>1</v>
      </c>
      <c r="B12" s="1">
        <v>188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K12" t="s">
        <v>40</v>
      </c>
      <c r="L12" s="3">
        <f>SUM(B20:H21)</f>
        <v>-144.19999999999999</v>
      </c>
      <c r="M12" s="9">
        <f t="shared" si="1"/>
        <v>-3.3478048893738531E-2</v>
      </c>
    </row>
    <row r="13" spans="1:16" x14ac:dyDescent="0.2">
      <c r="A13" t="s">
        <v>42</v>
      </c>
      <c r="B13" s="1">
        <v>208</v>
      </c>
      <c r="C13" s="1">
        <v>78</v>
      </c>
      <c r="D13" s="1">
        <v>10.7</v>
      </c>
      <c r="E13" s="1">
        <v>-166</v>
      </c>
      <c r="F13" s="1"/>
      <c r="G13" s="1">
        <v>-89</v>
      </c>
      <c r="H13" s="1">
        <v>0</v>
      </c>
      <c r="K13" t="s">
        <v>14</v>
      </c>
      <c r="L13" s="3">
        <f>SUM(B23:H23)</f>
        <v>-89.4</v>
      </c>
      <c r="M13" s="9">
        <f t="shared" si="1"/>
        <v>-2.0755461658115294E-2</v>
      </c>
    </row>
    <row r="14" spans="1:16" x14ac:dyDescent="0.2">
      <c r="A14" t="s">
        <v>43</v>
      </c>
      <c r="B14" s="1">
        <v>278</v>
      </c>
      <c r="C14" s="1">
        <v>15</v>
      </c>
      <c r="D14" s="1">
        <v>86</v>
      </c>
      <c r="E14" s="1">
        <v>20</v>
      </c>
      <c r="F14" s="1">
        <v>84</v>
      </c>
      <c r="G14" s="1">
        <v>440</v>
      </c>
      <c r="H14" s="1">
        <f>475-411+115</f>
        <v>179</v>
      </c>
      <c r="K14" t="s">
        <v>7</v>
      </c>
      <c r="L14" s="3">
        <f>SUM(B22:H22)</f>
        <v>-9.6999999999999993</v>
      </c>
      <c r="M14" s="9">
        <f t="shared" si="1"/>
        <v>-2.2519908063055741E-3</v>
      </c>
    </row>
    <row r="15" spans="1:16" x14ac:dyDescent="0.2">
      <c r="K15" t="s">
        <v>47</v>
      </c>
      <c r="L15" s="3">
        <f>SUM(B18:H18)</f>
        <v>-218.8</v>
      </c>
      <c r="M15" s="9">
        <f t="shared" si="1"/>
        <v>-5.0797483342232955E-2</v>
      </c>
    </row>
    <row r="17" spans="1:11" x14ac:dyDescent="0.2">
      <c r="A17" t="s">
        <v>39</v>
      </c>
    </row>
    <row r="18" spans="1:11" x14ac:dyDescent="0.2">
      <c r="A18" t="s">
        <v>15</v>
      </c>
      <c r="B18" s="1">
        <v>-1.9</v>
      </c>
      <c r="C18" s="1">
        <v>-1.8</v>
      </c>
      <c r="D18" s="1">
        <v>-11.6</v>
      </c>
      <c r="E18" s="1">
        <v>-6.5</v>
      </c>
      <c r="F18" s="1">
        <v>-86</v>
      </c>
      <c r="G18" s="1">
        <v>-53</v>
      </c>
      <c r="H18" s="1">
        <v>-58</v>
      </c>
    </row>
    <row r="19" spans="1:11" x14ac:dyDescent="0.2">
      <c r="A19" t="s">
        <v>20</v>
      </c>
      <c r="B19" s="1">
        <v>-2.8</v>
      </c>
      <c r="C19" s="1">
        <f>-0.4-0.7</f>
        <v>-1.1000000000000001</v>
      </c>
      <c r="D19" s="1">
        <v>0.5</v>
      </c>
      <c r="E19" s="1">
        <v>-0.5</v>
      </c>
      <c r="F19" s="1">
        <v>-1</v>
      </c>
      <c r="G19" s="1">
        <v>-1.8</v>
      </c>
      <c r="H19" s="1">
        <v>-1.4</v>
      </c>
    </row>
    <row r="20" spans="1:11" x14ac:dyDescent="0.2">
      <c r="A20" t="s">
        <v>40</v>
      </c>
      <c r="B20" s="1">
        <v>132</v>
      </c>
      <c r="C20" s="1">
        <v>-19</v>
      </c>
      <c r="D20" s="1">
        <v>-2</v>
      </c>
      <c r="E20" s="1">
        <v>32</v>
      </c>
      <c r="F20" s="1">
        <v>8</v>
      </c>
      <c r="G20" s="1">
        <v>0</v>
      </c>
      <c r="H20" s="1">
        <v>0</v>
      </c>
    </row>
    <row r="21" spans="1:11" x14ac:dyDescent="0.2">
      <c r="A21" t="s">
        <v>41</v>
      </c>
      <c r="B21" s="1">
        <v>-81</v>
      </c>
      <c r="C21" s="1">
        <v>11</v>
      </c>
      <c r="D21" s="1">
        <v>0.3</v>
      </c>
      <c r="E21" s="1">
        <v>-0.5</v>
      </c>
      <c r="F21" s="1">
        <v>0</v>
      </c>
      <c r="G21" s="11">
        <v>-178</v>
      </c>
      <c r="H21" s="1">
        <v>-47</v>
      </c>
    </row>
    <row r="22" spans="1:11" x14ac:dyDescent="0.2">
      <c r="A22" t="s">
        <v>7</v>
      </c>
      <c r="B22" s="1"/>
      <c r="C22" s="1">
        <v>-1.8</v>
      </c>
      <c r="D22" s="1">
        <v>-2.1</v>
      </c>
      <c r="E22" s="1">
        <v>-0.8</v>
      </c>
      <c r="F22" s="1">
        <v>-1.2</v>
      </c>
      <c r="G22" s="1">
        <v>-1.8</v>
      </c>
      <c r="H22" s="1">
        <v>-2</v>
      </c>
    </row>
    <row r="23" spans="1:11" x14ac:dyDescent="0.2">
      <c r="A23" t="s">
        <v>14</v>
      </c>
      <c r="B23" s="1">
        <v>-0.5</v>
      </c>
      <c r="C23" s="1">
        <v>-3.7</v>
      </c>
      <c r="D23" s="1">
        <v>-5.0999999999999996</v>
      </c>
      <c r="E23" s="1">
        <v>-11</v>
      </c>
      <c r="F23" s="1">
        <v>-17</v>
      </c>
      <c r="G23" s="1">
        <v>-17.600000000000001</v>
      </c>
      <c r="H23" s="1">
        <v>-34.5</v>
      </c>
    </row>
    <row r="25" spans="1:11" x14ac:dyDescent="0.2">
      <c r="A25" t="s">
        <v>88</v>
      </c>
      <c r="B25" s="1">
        <f>B3+B4</f>
        <v>28.4</v>
      </c>
      <c r="C25" s="1">
        <f t="shared" ref="C25:H25" si="2">C3+C4</f>
        <v>20.399999999999999</v>
      </c>
      <c r="D25" s="1">
        <f t="shared" si="2"/>
        <v>17</v>
      </c>
      <c r="E25" s="1">
        <f t="shared" si="2"/>
        <v>30</v>
      </c>
      <c r="F25" s="1">
        <f t="shared" si="2"/>
        <v>926</v>
      </c>
      <c r="G25" s="1">
        <f t="shared" si="2"/>
        <v>303</v>
      </c>
      <c r="H25" s="1">
        <f t="shared" si="2"/>
        <v>786</v>
      </c>
    </row>
    <row r="26" spans="1:11" x14ac:dyDescent="0.2">
      <c r="A26" t="s">
        <v>114</v>
      </c>
      <c r="B26" s="1">
        <f>12+382+208+36</f>
        <v>638</v>
      </c>
      <c r="C26" s="1">
        <f>12+388+286+2.5</f>
        <v>688.5</v>
      </c>
      <c r="D26" s="1">
        <f>12+386+255+4</f>
        <v>657</v>
      </c>
      <c r="E26" s="1">
        <f>12+388+89</f>
        <v>489</v>
      </c>
      <c r="F26" s="1">
        <f>11.9+536+89.5+32.2</f>
        <v>669.6</v>
      </c>
      <c r="G26" s="1">
        <f>11.9+1458+62.8</f>
        <v>1532.7</v>
      </c>
      <c r="H26" s="1">
        <f>11.9+1622+55.5</f>
        <v>1689.4</v>
      </c>
      <c r="I26" s="3"/>
      <c r="J26" s="6"/>
      <c r="K26" s="6"/>
    </row>
    <row r="27" spans="1:11" x14ac:dyDescent="0.2">
      <c r="A27" t="s">
        <v>85</v>
      </c>
      <c r="B27" s="1">
        <v>10.6</v>
      </c>
      <c r="C27" s="1">
        <v>16.100000000000001</v>
      </c>
      <c r="D27" s="1">
        <v>15.6</v>
      </c>
      <c r="E27" s="1">
        <v>14.5</v>
      </c>
      <c r="F27" s="1">
        <v>14.1</v>
      </c>
      <c r="G27" s="1">
        <v>13.2</v>
      </c>
      <c r="H27" s="1">
        <v>12.3</v>
      </c>
    </row>
    <row r="28" spans="1:11" x14ac:dyDescent="0.2">
      <c r="A28" t="s">
        <v>123</v>
      </c>
      <c r="B28" s="1">
        <v>112</v>
      </c>
      <c r="C28" s="1">
        <v>68</v>
      </c>
      <c r="D28" s="1">
        <v>63</v>
      </c>
      <c r="E28" s="1">
        <v>60</v>
      </c>
      <c r="F28" s="1">
        <v>60</v>
      </c>
      <c r="G28" s="1">
        <v>60</v>
      </c>
      <c r="H28" s="1">
        <v>60</v>
      </c>
    </row>
    <row r="29" spans="1:11" x14ac:dyDescent="0.2">
      <c r="A29" t="s">
        <v>33</v>
      </c>
      <c r="B29" s="1">
        <v>47</v>
      </c>
      <c r="C29" s="1">
        <v>61</v>
      </c>
      <c r="D29" s="1">
        <v>45</v>
      </c>
      <c r="E29" s="1">
        <v>34</v>
      </c>
      <c r="F29" s="1">
        <v>27</v>
      </c>
      <c r="G29" s="1">
        <v>27</v>
      </c>
      <c r="H29" s="1">
        <v>24.7</v>
      </c>
    </row>
    <row r="30" spans="1:11" x14ac:dyDescent="0.2">
      <c r="A30" t="s">
        <v>60</v>
      </c>
      <c r="B30" s="1">
        <v>0</v>
      </c>
      <c r="C30" s="1">
        <v>0</v>
      </c>
      <c r="D30" s="1">
        <v>17.7</v>
      </c>
      <c r="E30" s="1">
        <v>28.8</v>
      </c>
      <c r="F30" s="1">
        <v>88.7</v>
      </c>
      <c r="G30" s="1">
        <f>11.1+2.5</f>
        <v>13.6</v>
      </c>
      <c r="H30" s="1">
        <v>13.6</v>
      </c>
    </row>
    <row r="31" spans="1:11" x14ac:dyDescent="0.2">
      <c r="A31" t="s">
        <v>116</v>
      </c>
      <c r="B31" s="1">
        <v>1326</v>
      </c>
      <c r="C31" s="1">
        <v>1943</v>
      </c>
      <c r="D31" s="1">
        <f>21.8+1903+37+27+350+1</f>
        <v>2339.8000000000002</v>
      </c>
      <c r="E31" s="1">
        <f>2.7+2076+58+41+392+6.8</f>
        <v>2576.5</v>
      </c>
      <c r="F31" s="1">
        <f>2.7+1886+111+22+480+162</f>
        <v>2663.7</v>
      </c>
      <c r="G31" s="1">
        <f>2.8+3460+210+107+331+40</f>
        <v>4150.8</v>
      </c>
      <c r="H31" s="1">
        <f>26+3768+160+93+212+86</f>
        <v>4345</v>
      </c>
    </row>
    <row r="32" spans="1:11" x14ac:dyDescent="0.2">
      <c r="A32" t="s">
        <v>117</v>
      </c>
      <c r="B32" s="1">
        <v>468</v>
      </c>
      <c r="C32" s="1">
        <v>994</v>
      </c>
      <c r="D32" s="1">
        <f>325+1003+1</f>
        <v>1329</v>
      </c>
      <c r="E32" s="1">
        <f>317+1386+1.5</f>
        <v>1704.5</v>
      </c>
      <c r="F32" s="1">
        <f>389+1124+71</f>
        <v>1584</v>
      </c>
      <c r="G32" s="1">
        <f>173+1454+29</f>
        <v>1656</v>
      </c>
      <c r="H32" s="1">
        <f>343+1058+117</f>
        <v>1518</v>
      </c>
    </row>
    <row r="33" spans="1:14" x14ac:dyDescent="0.2">
      <c r="A33" t="s">
        <v>118</v>
      </c>
      <c r="B33" s="1">
        <f>B31-B32</f>
        <v>858</v>
      </c>
      <c r="C33" s="1">
        <f t="shared" ref="C33:H33" si="3">C31-C32</f>
        <v>949</v>
      </c>
      <c r="D33" s="1">
        <f t="shared" si="3"/>
        <v>1010.8000000000002</v>
      </c>
      <c r="E33" s="1">
        <f t="shared" si="3"/>
        <v>872</v>
      </c>
      <c r="F33" s="1">
        <f t="shared" si="3"/>
        <v>1079.6999999999998</v>
      </c>
      <c r="G33" s="1">
        <f t="shared" si="3"/>
        <v>2494.8000000000002</v>
      </c>
      <c r="H33" s="1">
        <f t="shared" si="3"/>
        <v>2827</v>
      </c>
    </row>
    <row r="34" spans="1:14" x14ac:dyDescent="0.2">
      <c r="A34" t="s">
        <v>115</v>
      </c>
      <c r="B34" s="1">
        <f>B27+B28+B29+B33</f>
        <v>1027.5999999999999</v>
      </c>
      <c r="C34" s="1">
        <f t="shared" ref="C34:H34" si="4">C27+C28+C29+C33</f>
        <v>1094.0999999999999</v>
      </c>
      <c r="D34" s="1">
        <f>D27+D28+D29+D33+D30</f>
        <v>1152.1000000000001</v>
      </c>
      <c r="E34" s="1">
        <f>E27+E28+E29+E33+E30</f>
        <v>1009.3</v>
      </c>
      <c r="F34" s="1">
        <f t="shared" si="4"/>
        <v>1180.7999999999997</v>
      </c>
      <c r="G34" s="1">
        <f t="shared" si="4"/>
        <v>2595</v>
      </c>
      <c r="H34" s="1">
        <f t="shared" si="4"/>
        <v>2924</v>
      </c>
    </row>
    <row r="35" spans="1:14" x14ac:dyDescent="0.2">
      <c r="A35" t="s">
        <v>119</v>
      </c>
      <c r="B35" s="1">
        <v>6.2</v>
      </c>
      <c r="C35" s="1">
        <v>3.4</v>
      </c>
      <c r="D35" s="1">
        <v>4.5</v>
      </c>
      <c r="E35" s="1">
        <v>4.5</v>
      </c>
      <c r="F35" s="1">
        <v>183</v>
      </c>
      <c r="G35" s="1">
        <v>81</v>
      </c>
      <c r="H35" s="1">
        <v>159</v>
      </c>
      <c r="I35" s="3">
        <f>SUM(B35:H35)</f>
        <v>441.6</v>
      </c>
    </row>
    <row r="36" spans="1:14" x14ac:dyDescent="0.2">
      <c r="A36" t="s">
        <v>120</v>
      </c>
      <c r="B36" s="2">
        <f>B35/B25</f>
        <v>0.21830985915492959</v>
      </c>
      <c r="C36" s="2">
        <f t="shared" ref="C36:H36" si="5">C35/C25</f>
        <v>0.16666666666666669</v>
      </c>
      <c r="D36" s="2">
        <f t="shared" si="5"/>
        <v>0.26470588235294118</v>
      </c>
      <c r="E36" s="2">
        <f t="shared" si="5"/>
        <v>0.15</v>
      </c>
      <c r="F36" s="2">
        <f t="shared" si="5"/>
        <v>0.19762419006479481</v>
      </c>
      <c r="G36" s="2">
        <f t="shared" si="5"/>
        <v>0.26732673267326734</v>
      </c>
      <c r="H36" s="9">
        <f t="shared" si="5"/>
        <v>0.20229007633587787</v>
      </c>
    </row>
    <row r="37" spans="1:14" x14ac:dyDescent="0.2">
      <c r="A37" t="s">
        <v>121</v>
      </c>
      <c r="B37" s="10">
        <f>B25/B34</f>
        <v>2.7637212923316466E-2</v>
      </c>
      <c r="C37" s="10">
        <f t="shared" ref="C37:H37" si="6">C25/C34</f>
        <v>1.8645462023581024E-2</v>
      </c>
      <c r="D37" s="10">
        <f t="shared" si="6"/>
        <v>1.4755663570870582E-2</v>
      </c>
      <c r="E37" s="10">
        <f t="shared" si="6"/>
        <v>2.972357079163777E-2</v>
      </c>
      <c r="F37" s="10">
        <f t="shared" si="6"/>
        <v>0.78421409214092164</v>
      </c>
      <c r="G37" s="10">
        <f t="shared" si="6"/>
        <v>0.11676300578034682</v>
      </c>
      <c r="H37" s="10">
        <f t="shared" si="6"/>
        <v>0.26880984952120385</v>
      </c>
    </row>
    <row r="38" spans="1:14" x14ac:dyDescent="0.2">
      <c r="A38" t="s">
        <v>82</v>
      </c>
      <c r="B38" s="10">
        <f>B34/B26</f>
        <v>1.6106583072100311</v>
      </c>
      <c r="C38" s="10">
        <f t="shared" ref="C38:H38" si="7">C34/C26</f>
        <v>1.589106753812636</v>
      </c>
      <c r="D38" s="10">
        <f t="shared" si="7"/>
        <v>1.7535768645357688</v>
      </c>
      <c r="E38" s="10">
        <f t="shared" si="7"/>
        <v>2.0640081799590999</v>
      </c>
      <c r="F38" s="10">
        <f t="shared" si="7"/>
        <v>1.7634408602150533</v>
      </c>
      <c r="G38" s="10">
        <f t="shared" si="7"/>
        <v>1.6930906243883344</v>
      </c>
      <c r="H38" s="10">
        <f t="shared" si="7"/>
        <v>1.7307919971587544</v>
      </c>
    </row>
    <row r="39" spans="1:14" x14ac:dyDescent="0.2">
      <c r="A39" t="s">
        <v>122</v>
      </c>
      <c r="B39" s="2">
        <f>B36*B37*B38</f>
        <v>9.7178683385579917E-3</v>
      </c>
      <c r="C39" s="2">
        <f t="shared" ref="C39:H39" si="8">C36*C37*C38</f>
        <v>4.9382716049382715E-3</v>
      </c>
      <c r="D39" s="2">
        <f t="shared" si="8"/>
        <v>6.8493150684931503E-3</v>
      </c>
      <c r="E39" s="2">
        <f t="shared" si="8"/>
        <v>9.2024539877300603E-3</v>
      </c>
      <c r="F39" s="2">
        <f t="shared" si="8"/>
        <v>0.27329749103942652</v>
      </c>
      <c r="G39" s="2">
        <f t="shared" si="8"/>
        <v>5.2847915443335294E-2</v>
      </c>
      <c r="H39" s="9">
        <f t="shared" si="8"/>
        <v>9.4116254291464418E-2</v>
      </c>
    </row>
    <row r="40" spans="1:14" x14ac:dyDescent="0.2">
      <c r="A40" t="s">
        <v>146</v>
      </c>
      <c r="B40" s="14">
        <v>0.35</v>
      </c>
      <c r="C40" s="14">
        <v>0.53659999999999997</v>
      </c>
      <c r="D40" s="14">
        <v>0.7</v>
      </c>
      <c r="E40" s="14">
        <v>0.75</v>
      </c>
      <c r="F40" s="14">
        <v>2.97</v>
      </c>
      <c r="G40" s="14">
        <v>1.6051</v>
      </c>
      <c r="H40" s="12">
        <v>2.8786</v>
      </c>
      <c r="I40" s="13">
        <f>SUM(B40:H40)</f>
        <v>9.7903000000000002</v>
      </c>
      <c r="J40" s="9">
        <f>I40/I35</f>
        <v>2.2170063405797101E-2</v>
      </c>
    </row>
    <row r="42" spans="1:14" x14ac:dyDescent="0.2">
      <c r="A42" t="s">
        <v>132</v>
      </c>
      <c r="K42" t="s">
        <v>1</v>
      </c>
    </row>
    <row r="43" spans="1:14" x14ac:dyDescent="0.2">
      <c r="A43" t="s">
        <v>139</v>
      </c>
      <c r="B43" s="3">
        <f>H27</f>
        <v>12.3</v>
      </c>
      <c r="F43" t="s">
        <v>23</v>
      </c>
      <c r="G43">
        <f>B50</f>
        <v>3768</v>
      </c>
      <c r="H43" s="2">
        <f>G43/$D$54</f>
        <v>0.84567734985187171</v>
      </c>
      <c r="K43" t="s">
        <v>114</v>
      </c>
      <c r="L43" s="3">
        <f>H26</f>
        <v>1689.4</v>
      </c>
      <c r="M43" s="3">
        <f>L43</f>
        <v>1689.4</v>
      </c>
      <c r="N43" s="2">
        <f>M43/D54</f>
        <v>0.37916330011670707</v>
      </c>
    </row>
    <row r="44" spans="1:14" x14ac:dyDescent="0.2">
      <c r="A44" t="s">
        <v>123</v>
      </c>
      <c r="B44" s="3">
        <f>H28</f>
        <v>60</v>
      </c>
      <c r="F44" t="s">
        <v>139</v>
      </c>
      <c r="G44" s="3">
        <f>B43</f>
        <v>12.3</v>
      </c>
      <c r="H44" s="2">
        <f t="shared" ref="H44:H48" si="9">G44/$D$54</f>
        <v>2.7605709668731483E-3</v>
      </c>
    </row>
    <row r="45" spans="1:14" x14ac:dyDescent="0.2">
      <c r="A45" t="s">
        <v>33</v>
      </c>
      <c r="B45" s="3">
        <f>H29</f>
        <v>24.7</v>
      </c>
      <c r="F45" t="s">
        <v>33</v>
      </c>
      <c r="G45" s="3">
        <f>B45+B49</f>
        <v>50.7</v>
      </c>
      <c r="H45" s="2">
        <f t="shared" si="9"/>
        <v>1.1378938863452733E-2</v>
      </c>
      <c r="K45" t="s">
        <v>3</v>
      </c>
    </row>
    <row r="46" spans="1:14" x14ac:dyDescent="0.2">
      <c r="A46" t="s">
        <v>60</v>
      </c>
      <c r="B46" s="3">
        <f>H30</f>
        <v>13.6</v>
      </c>
      <c r="C46" s="3">
        <f>SUM(B43:B46)</f>
        <v>110.6</v>
      </c>
      <c r="F46" t="s">
        <v>60</v>
      </c>
      <c r="G46" s="3">
        <f>B46+B53</f>
        <v>225.6</v>
      </c>
      <c r="H46" s="2">
        <f t="shared" si="9"/>
        <v>5.0632911392405056E-2</v>
      </c>
      <c r="K46" t="s">
        <v>141</v>
      </c>
      <c r="L46">
        <f>35</f>
        <v>35</v>
      </c>
    </row>
    <row r="47" spans="1:14" x14ac:dyDescent="0.2">
      <c r="F47" t="s">
        <v>135</v>
      </c>
      <c r="G47">
        <f>B52</f>
        <v>93</v>
      </c>
      <c r="H47" s="2">
        <f t="shared" si="9"/>
        <v>2.0872609749528682E-2</v>
      </c>
      <c r="K47" t="s">
        <v>142</v>
      </c>
      <c r="L47">
        <v>1209</v>
      </c>
      <c r="M47">
        <f>L46+L47</f>
        <v>1244</v>
      </c>
      <c r="N47" s="2">
        <f>M47/D54</f>
        <v>0.27919920998294279</v>
      </c>
    </row>
    <row r="48" spans="1:14" x14ac:dyDescent="0.2">
      <c r="A48" t="s">
        <v>116</v>
      </c>
      <c r="F48" t="s">
        <v>136</v>
      </c>
      <c r="G48" s="3">
        <f>D54-SUM(G43:G47)</f>
        <v>306</v>
      </c>
      <c r="H48" s="2">
        <f t="shared" si="9"/>
        <v>6.8677619175868565E-2</v>
      </c>
    </row>
    <row r="49" spans="1:14" x14ac:dyDescent="0.2">
      <c r="A49" t="s">
        <v>33</v>
      </c>
      <c r="B49">
        <v>26</v>
      </c>
      <c r="K49" t="s">
        <v>138</v>
      </c>
      <c r="L49" s="3">
        <f>D54-M43-M47</f>
        <v>1522.2000000000003</v>
      </c>
      <c r="M49" s="3">
        <f>L49</f>
        <v>1522.2000000000003</v>
      </c>
      <c r="N49" s="2">
        <f>M49/D54</f>
        <v>0.34163748990035014</v>
      </c>
    </row>
    <row r="50" spans="1:14" x14ac:dyDescent="0.2">
      <c r="A50" t="s">
        <v>35</v>
      </c>
      <c r="B50">
        <v>3768</v>
      </c>
      <c r="F50" t="s">
        <v>144</v>
      </c>
      <c r="G50">
        <v>1650</v>
      </c>
      <c r="H50" s="6"/>
    </row>
    <row r="51" spans="1:14" x14ac:dyDescent="0.2">
      <c r="A51" t="s">
        <v>140</v>
      </c>
      <c r="B51">
        <v>160</v>
      </c>
      <c r="F51" t="s">
        <v>150</v>
      </c>
      <c r="G51" s="15">
        <f>G50/D54</f>
        <v>0.37032049555615404</v>
      </c>
    </row>
    <row r="52" spans="1:14" x14ac:dyDescent="0.2">
      <c r="A52" t="s">
        <v>135</v>
      </c>
      <c r="B52">
        <v>93</v>
      </c>
      <c r="F52" t="s">
        <v>151</v>
      </c>
      <c r="G52" s="15">
        <f>G50/H26</f>
        <v>0.97667811057180054</v>
      </c>
    </row>
    <row r="53" spans="1:14" x14ac:dyDescent="0.2">
      <c r="A53" t="s">
        <v>60</v>
      </c>
      <c r="B53">
        <v>212</v>
      </c>
      <c r="F53" t="s">
        <v>152</v>
      </c>
      <c r="G53" s="15">
        <f>G50/H35</f>
        <v>10.377358490566039</v>
      </c>
    </row>
    <row r="54" spans="1:14" x14ac:dyDescent="0.2">
      <c r="A54" t="s">
        <v>136</v>
      </c>
      <c r="B54">
        <v>86</v>
      </c>
      <c r="C54">
        <f>SUM(B49:B54)</f>
        <v>4345</v>
      </c>
      <c r="D54" s="3">
        <f>C46+C54</f>
        <v>4455.6000000000004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F51" sqref="F51:F53"/>
    </sheetView>
  </sheetViews>
  <sheetFormatPr baseColWidth="10" defaultColWidth="8.83203125" defaultRowHeight="15" x14ac:dyDescent="0.2"/>
  <cols>
    <col min="1" max="1" width="17" bestFit="1" customWidth="1"/>
    <col min="2" max="3" width="9.33203125" bestFit="1" customWidth="1"/>
    <col min="4" max="4" width="10.33203125" bestFit="1" customWidth="1"/>
    <col min="5" max="5" width="9.5" bestFit="1" customWidth="1"/>
    <col min="6" max="8" width="10.33203125" bestFit="1" customWidth="1"/>
    <col min="9" max="9" width="9.5" bestFit="1" customWidth="1"/>
    <col min="11" max="11" width="13.33203125" bestFit="1" customWidth="1"/>
    <col min="12" max="12" width="11.33203125" bestFit="1" customWidth="1"/>
  </cols>
  <sheetData>
    <row r="1" spans="1:16" x14ac:dyDescent="0.2">
      <c r="B1">
        <v>2010</v>
      </c>
      <c r="C1">
        <v>2011</v>
      </c>
      <c r="D1">
        <v>2012</v>
      </c>
      <c r="E1">
        <v>2013</v>
      </c>
      <c r="F1">
        <v>2014</v>
      </c>
      <c r="G1">
        <v>2015</v>
      </c>
      <c r="H1">
        <v>2016</v>
      </c>
      <c r="K1" s="4" t="s">
        <v>0</v>
      </c>
      <c r="L1" s="5">
        <f>SUM(L2:L5)</f>
        <v>13018.3</v>
      </c>
      <c r="O1">
        <v>7700</v>
      </c>
      <c r="P1">
        <f>O1/I10</f>
        <v>1.4879227053140096</v>
      </c>
    </row>
    <row r="2" spans="1:16" x14ac:dyDescent="0.2">
      <c r="A2" t="s">
        <v>0</v>
      </c>
      <c r="K2" t="s">
        <v>1</v>
      </c>
      <c r="L2" s="1">
        <f>SUM(B13:H13)</f>
        <v>1581</v>
      </c>
      <c r="M2" s="9">
        <f>L2/$L$1</f>
        <v>0.12144442822795604</v>
      </c>
    </row>
    <row r="3" spans="1:16" x14ac:dyDescent="0.2">
      <c r="A3" t="s">
        <v>49</v>
      </c>
      <c r="B3" s="1">
        <f>211+31.2</f>
        <v>242.2</v>
      </c>
      <c r="C3" s="1">
        <f>441+10.3</f>
        <v>451.3</v>
      </c>
      <c r="D3" s="1">
        <v>770</v>
      </c>
      <c r="E3" s="1">
        <v>1037</v>
      </c>
      <c r="F3" s="1">
        <v>1179</v>
      </c>
      <c r="G3" s="1">
        <v>1843</v>
      </c>
      <c r="H3" s="1">
        <v>2634</v>
      </c>
      <c r="K3" t="s">
        <v>3</v>
      </c>
      <c r="L3" s="1">
        <f>SUM(B14:H15)</f>
        <v>2603</v>
      </c>
      <c r="M3" s="9">
        <f t="shared" ref="M3:M5" si="0">L3/$L$1</f>
        <v>0.19994930213622364</v>
      </c>
    </row>
    <row r="4" spans="1:16" x14ac:dyDescent="0.2">
      <c r="A4" t="s">
        <v>8</v>
      </c>
      <c r="B4" s="1">
        <f>18-B3</f>
        <v>-224.2</v>
      </c>
      <c r="C4" s="1">
        <f>106-C3</f>
        <v>-345.3</v>
      </c>
      <c r="D4" s="1">
        <f>166-D3</f>
        <v>-604</v>
      </c>
      <c r="E4" s="1">
        <f>289-E3</f>
        <v>-748</v>
      </c>
      <c r="F4" s="1">
        <f>284-F3</f>
        <v>-895</v>
      </c>
      <c r="G4" s="1">
        <f>270-G3</f>
        <v>-1573</v>
      </c>
      <c r="H4" s="1">
        <f>363-H3</f>
        <v>-2271</v>
      </c>
      <c r="K4" t="s">
        <v>57</v>
      </c>
      <c r="L4" s="1">
        <f>SUM(B11:H12)</f>
        <v>153.69999999999996</v>
      </c>
      <c r="M4" s="9">
        <f t="shared" si="0"/>
        <v>1.1806457064286425E-2</v>
      </c>
    </row>
    <row r="5" spans="1:16" x14ac:dyDescent="0.2">
      <c r="A5" t="s">
        <v>50</v>
      </c>
      <c r="B5" s="1">
        <v>0</v>
      </c>
      <c r="C5" s="1">
        <v>-0.8</v>
      </c>
      <c r="D5" s="1">
        <v>-0.6</v>
      </c>
      <c r="E5" s="1">
        <v>0</v>
      </c>
      <c r="F5" s="1">
        <v>0</v>
      </c>
      <c r="G5" s="1">
        <v>2</v>
      </c>
      <c r="H5" s="1">
        <v>-0.5</v>
      </c>
      <c r="K5" t="s">
        <v>45</v>
      </c>
      <c r="L5" s="1">
        <f>SUM(B3:H3)+SUM(B5:H8)+SUM(B10:H10)</f>
        <v>8680.6</v>
      </c>
      <c r="M5" s="9">
        <f t="shared" si="0"/>
        <v>0.66679981257153398</v>
      </c>
    </row>
    <row r="6" spans="1:16" x14ac:dyDescent="0.2">
      <c r="A6" t="s">
        <v>51</v>
      </c>
      <c r="B6" s="1">
        <v>62</v>
      </c>
      <c r="C6" s="1">
        <v>130</v>
      </c>
      <c r="D6" s="1">
        <v>788</v>
      </c>
      <c r="E6" s="1">
        <v>336</v>
      </c>
      <c r="F6" s="1">
        <v>101</v>
      </c>
      <c r="G6" s="1">
        <v>220</v>
      </c>
      <c r="H6" s="1">
        <v>474</v>
      </c>
    </row>
    <row r="7" spans="1:16" x14ac:dyDescent="0.2">
      <c r="A7" t="s">
        <v>52</v>
      </c>
      <c r="B7" s="1">
        <v>0</v>
      </c>
      <c r="C7" s="1">
        <v>0</v>
      </c>
      <c r="D7" s="1">
        <v>44</v>
      </c>
      <c r="E7" s="1">
        <v>-18</v>
      </c>
      <c r="F7" s="1">
        <v>47</v>
      </c>
      <c r="G7" s="1">
        <v>-36</v>
      </c>
      <c r="H7" s="1">
        <v>-28</v>
      </c>
    </row>
    <row r="8" spans="1:16" x14ac:dyDescent="0.2">
      <c r="A8" t="s">
        <v>125</v>
      </c>
      <c r="B8" s="1">
        <v>-41</v>
      </c>
      <c r="C8" s="1">
        <v>-110</v>
      </c>
      <c r="D8" s="1">
        <f>41-249</f>
        <v>-208</v>
      </c>
      <c r="E8" s="1">
        <f>249-107</f>
        <v>142</v>
      </c>
      <c r="F8" s="1">
        <f>105-160</f>
        <v>-55</v>
      </c>
      <c r="G8" s="1">
        <f>159-169</f>
        <v>-10</v>
      </c>
      <c r="H8" s="1">
        <f>169-191</f>
        <v>-22</v>
      </c>
    </row>
    <row r="9" spans="1:16" x14ac:dyDescent="0.2">
      <c r="A9" t="s">
        <v>23</v>
      </c>
      <c r="B9" s="1">
        <v>-249</v>
      </c>
      <c r="C9" s="1">
        <v>-290</v>
      </c>
      <c r="D9" s="1">
        <f>1015-2738</f>
        <v>-1723</v>
      </c>
      <c r="E9" s="1">
        <f>2738-3235</f>
        <v>-497</v>
      </c>
      <c r="F9" s="1">
        <f>3235-3727</f>
        <v>-492</v>
      </c>
      <c r="G9" s="1">
        <f>3726-4727</f>
        <v>-1001</v>
      </c>
      <c r="H9" s="1">
        <f>4727-5175</f>
        <v>-448</v>
      </c>
    </row>
    <row r="10" spans="1:16" x14ac:dyDescent="0.2">
      <c r="A10" t="s">
        <v>126</v>
      </c>
      <c r="B10" s="1">
        <v>-95</v>
      </c>
      <c r="C10" s="8">
        <v>-227</v>
      </c>
      <c r="D10" s="1">
        <f>-2154-D9-D8</f>
        <v>-223</v>
      </c>
      <c r="E10" s="1">
        <f>-381-E9-E8</f>
        <v>-26</v>
      </c>
      <c r="F10" s="1">
        <f>-1000-F9-F8</f>
        <v>-453</v>
      </c>
      <c r="G10" s="1">
        <f>-1280-G9-G8</f>
        <v>-269</v>
      </c>
      <c r="H10" s="1">
        <f>-469-H9-H8</f>
        <v>1</v>
      </c>
      <c r="I10" s="1">
        <v>5175</v>
      </c>
    </row>
    <row r="11" spans="1:16" x14ac:dyDescent="0.2">
      <c r="A11" t="s">
        <v>54</v>
      </c>
      <c r="B11" s="1">
        <v>70</v>
      </c>
      <c r="C11" s="1">
        <v>5.7</v>
      </c>
      <c r="D11" s="1">
        <v>10</v>
      </c>
      <c r="E11" s="1">
        <v>10</v>
      </c>
      <c r="F11" s="1">
        <v>9</v>
      </c>
      <c r="G11" s="1">
        <v>10</v>
      </c>
      <c r="H11" s="1">
        <v>25</v>
      </c>
      <c r="K11" s="4" t="s">
        <v>6</v>
      </c>
      <c r="L11" s="5">
        <f>SUM(L12:L17)</f>
        <v>-12639</v>
      </c>
    </row>
    <row r="12" spans="1:16" x14ac:dyDescent="0.2">
      <c r="A12" t="s">
        <v>7</v>
      </c>
      <c r="B12" s="1">
        <v>2.4</v>
      </c>
      <c r="C12" s="1">
        <v>8.6999999999999993</v>
      </c>
      <c r="D12" s="1">
        <v>1.1000000000000001</v>
      </c>
      <c r="E12" s="1">
        <v>1.6</v>
      </c>
      <c r="F12" s="1">
        <v>0.2</v>
      </c>
      <c r="G12" s="1">
        <v>0</v>
      </c>
      <c r="H12" s="1">
        <v>0</v>
      </c>
      <c r="K12" t="s">
        <v>8</v>
      </c>
      <c r="L12" s="1">
        <f>SUM(B4:H4)+SUM(B9:H9)</f>
        <v>-11360.5</v>
      </c>
      <c r="M12" s="9">
        <f>L12/$L$1</f>
        <v>-0.87265618398715661</v>
      </c>
    </row>
    <row r="13" spans="1:16" x14ac:dyDescent="0.2">
      <c r="A13" t="s">
        <v>1</v>
      </c>
      <c r="B13" s="1">
        <v>428</v>
      </c>
      <c r="C13" s="1">
        <v>0</v>
      </c>
      <c r="D13" s="1">
        <v>459</v>
      </c>
      <c r="E13" s="1">
        <v>0</v>
      </c>
      <c r="F13" s="1">
        <v>694</v>
      </c>
      <c r="G13" s="1">
        <v>0</v>
      </c>
      <c r="H13" s="1">
        <v>0</v>
      </c>
      <c r="K13" t="s">
        <v>20</v>
      </c>
      <c r="L13" s="1">
        <f>SUM(B19:H19)</f>
        <v>-171</v>
      </c>
      <c r="M13" s="9">
        <f t="shared" ref="M13:M17" si="1">L13/$L$1</f>
        <v>-1.3135355614788414E-2</v>
      </c>
    </row>
    <row r="14" spans="1:16" x14ac:dyDescent="0.2">
      <c r="A14" t="s">
        <v>3</v>
      </c>
      <c r="B14" s="1">
        <f>-68-15+63</f>
        <v>-20</v>
      </c>
      <c r="C14" s="1">
        <f>47+188</f>
        <v>235</v>
      </c>
      <c r="D14" s="1">
        <f>790+353</f>
        <v>1143</v>
      </c>
      <c r="E14" s="1">
        <f>188-596</f>
        <v>-408</v>
      </c>
      <c r="F14" s="1">
        <f>-90+986</f>
        <v>896</v>
      </c>
      <c r="G14" s="1">
        <f>280+621</f>
        <v>901</v>
      </c>
      <c r="H14" s="1">
        <f>-174-43</f>
        <v>-217</v>
      </c>
      <c r="K14" t="s">
        <v>47</v>
      </c>
      <c r="L14" s="1">
        <f>SUM(B18:H18)</f>
        <v>-652</v>
      </c>
      <c r="M14" s="9">
        <f t="shared" si="1"/>
        <v>-5.0083344215450562E-2</v>
      </c>
    </row>
    <row r="15" spans="1:16" x14ac:dyDescent="0.2">
      <c r="A15" t="s">
        <v>56</v>
      </c>
      <c r="B15" s="1">
        <v>73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K15" t="s">
        <v>54</v>
      </c>
      <c r="L15" s="1">
        <f>SUM(B23:H23)</f>
        <v>-103.10000000000001</v>
      </c>
      <c r="M15" s="9">
        <f t="shared" si="1"/>
        <v>-7.9196208414309098E-3</v>
      </c>
    </row>
    <row r="16" spans="1:16" x14ac:dyDescent="0.2">
      <c r="K16" t="s">
        <v>58</v>
      </c>
      <c r="L16" s="1">
        <f>SUM(B24:H24)</f>
        <v>-246</v>
      </c>
      <c r="M16" s="9">
        <f t="shared" si="1"/>
        <v>-1.8896476498467544E-2</v>
      </c>
    </row>
    <row r="17" spans="1:13" x14ac:dyDescent="0.2">
      <c r="A17" t="s">
        <v>6</v>
      </c>
      <c r="K17" t="s">
        <v>33</v>
      </c>
      <c r="L17" s="1">
        <f>SUM(B20:H22)</f>
        <v>-106.4</v>
      </c>
      <c r="M17" s="9">
        <f t="shared" si="1"/>
        <v>-8.1731101603127916E-3</v>
      </c>
    </row>
    <row r="18" spans="1:13" x14ac:dyDescent="0.2">
      <c r="A18" t="s">
        <v>47</v>
      </c>
      <c r="B18" s="1">
        <v>-37</v>
      </c>
      <c r="C18" s="1">
        <v>-54</v>
      </c>
      <c r="D18" s="1">
        <v>-71</v>
      </c>
      <c r="E18" s="1">
        <v>-104</v>
      </c>
      <c r="F18" s="1">
        <v>-122</v>
      </c>
      <c r="G18" s="1">
        <v>-117</v>
      </c>
      <c r="H18" s="1">
        <v>-147</v>
      </c>
      <c r="K18" t="s">
        <v>143</v>
      </c>
      <c r="L18" s="1">
        <f>-B53+96</f>
        <v>-544</v>
      </c>
    </row>
    <row r="19" spans="1:13" x14ac:dyDescent="0.2">
      <c r="A19" t="s">
        <v>20</v>
      </c>
      <c r="B19" s="1">
        <v>-7</v>
      </c>
      <c r="C19" s="1">
        <v>-24</v>
      </c>
      <c r="D19" s="1">
        <v>-22</v>
      </c>
      <c r="E19" s="1">
        <v>-21</v>
      </c>
      <c r="F19" s="1">
        <v>-61</v>
      </c>
      <c r="G19" s="1">
        <v>-12</v>
      </c>
      <c r="H19" s="1">
        <v>-24</v>
      </c>
    </row>
    <row r="20" spans="1:13" x14ac:dyDescent="0.2">
      <c r="A20" t="s">
        <v>33</v>
      </c>
      <c r="B20" s="1">
        <f>245-298</f>
        <v>-53</v>
      </c>
      <c r="C20" s="1"/>
      <c r="D20" s="1"/>
      <c r="E20" s="1">
        <v>0</v>
      </c>
      <c r="F20" s="1">
        <v>18.600000000000001</v>
      </c>
      <c r="G20" s="1">
        <v>65</v>
      </c>
      <c r="H20" s="1">
        <v>68</v>
      </c>
    </row>
    <row r="21" spans="1:13" x14ac:dyDescent="0.2">
      <c r="A21" t="s">
        <v>53</v>
      </c>
      <c r="B21" s="1"/>
      <c r="C21" s="1">
        <v>90</v>
      </c>
      <c r="D21" s="1">
        <v>38</v>
      </c>
      <c r="E21" s="1">
        <v>-5.5</v>
      </c>
      <c r="F21" s="1">
        <f>40-192</f>
        <v>-152</v>
      </c>
      <c r="G21" s="1">
        <v>-162</v>
      </c>
      <c r="H21" s="1">
        <v>0</v>
      </c>
    </row>
    <row r="22" spans="1:13" x14ac:dyDescent="0.2">
      <c r="A22" t="s">
        <v>55</v>
      </c>
      <c r="B22" s="1"/>
      <c r="C22" s="1"/>
      <c r="D22" s="1"/>
      <c r="E22" s="1">
        <v>0</v>
      </c>
      <c r="F22" s="1">
        <v>17.5</v>
      </c>
      <c r="G22" s="1">
        <v>0</v>
      </c>
      <c r="H22" s="1">
        <v>-31</v>
      </c>
    </row>
    <row r="23" spans="1:13" x14ac:dyDescent="0.2">
      <c r="A23" t="s">
        <v>14</v>
      </c>
      <c r="B23" s="1">
        <v>-66</v>
      </c>
      <c r="C23" s="1">
        <v>-4.2</v>
      </c>
      <c r="D23" s="1">
        <v>-1.9</v>
      </c>
      <c r="E23" s="1">
        <v>-6.6</v>
      </c>
      <c r="F23" s="1">
        <v>-4.4000000000000004</v>
      </c>
      <c r="G23" s="1">
        <v>-5</v>
      </c>
      <c r="H23" s="1">
        <v>-15</v>
      </c>
    </row>
    <row r="24" spans="1:13" x14ac:dyDescent="0.2">
      <c r="A24" t="s">
        <v>7</v>
      </c>
      <c r="B24" s="1">
        <v>-18</v>
      </c>
      <c r="C24" s="1">
        <v>-33</v>
      </c>
      <c r="D24" s="1">
        <v>-36</v>
      </c>
      <c r="E24" s="1">
        <v>-27</v>
      </c>
      <c r="F24" s="1">
        <v>-37</v>
      </c>
      <c r="G24" s="1">
        <v>-47</v>
      </c>
      <c r="H24" s="1">
        <v>-48</v>
      </c>
    </row>
    <row r="26" spans="1:13" x14ac:dyDescent="0.2">
      <c r="A26" t="s">
        <v>88</v>
      </c>
      <c r="B26" s="3">
        <f>B3</f>
        <v>242.2</v>
      </c>
      <c r="C26" s="3">
        <f t="shared" ref="C26:H26" si="2">C3</f>
        <v>451.3</v>
      </c>
      <c r="D26" s="3">
        <f t="shared" si="2"/>
        <v>770</v>
      </c>
      <c r="E26" s="3">
        <f t="shared" si="2"/>
        <v>1037</v>
      </c>
      <c r="F26" s="3">
        <f t="shared" si="2"/>
        <v>1179</v>
      </c>
      <c r="G26" s="3">
        <f t="shared" si="2"/>
        <v>1843</v>
      </c>
      <c r="H26" s="3">
        <f t="shared" si="2"/>
        <v>2634</v>
      </c>
    </row>
    <row r="27" spans="1:13" x14ac:dyDescent="0.2">
      <c r="A27" t="s">
        <v>114</v>
      </c>
      <c r="B27" s="1">
        <f>69.9+747.4</f>
        <v>817.3</v>
      </c>
      <c r="C27" s="1">
        <f>69.9+841.7</f>
        <v>911.6</v>
      </c>
      <c r="D27" s="1">
        <f>1443+47</f>
        <v>1490</v>
      </c>
      <c r="E27" s="1">
        <f>1429+106</f>
        <v>1535</v>
      </c>
      <c r="F27" s="1">
        <f>1793+203</f>
        <v>1996</v>
      </c>
      <c r="G27" s="1">
        <f>1847+228</f>
        <v>2075</v>
      </c>
      <c r="H27" s="1">
        <f>2168+117</f>
        <v>2285</v>
      </c>
    </row>
    <row r="28" spans="1:13" x14ac:dyDescent="0.2">
      <c r="A28" t="s">
        <v>85</v>
      </c>
      <c r="B28" s="1">
        <v>27.8</v>
      </c>
      <c r="C28" s="1">
        <v>47.5</v>
      </c>
      <c r="D28" s="1">
        <v>65</v>
      </c>
      <c r="E28" s="1">
        <v>86</v>
      </c>
      <c r="F28" s="1">
        <v>126</v>
      </c>
      <c r="G28" s="1">
        <v>189</v>
      </c>
      <c r="H28" s="1">
        <v>146</v>
      </c>
    </row>
    <row r="29" spans="1:13" x14ac:dyDescent="0.2">
      <c r="A29" t="s">
        <v>33</v>
      </c>
      <c r="B29" s="1">
        <v>207.8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</row>
    <row r="30" spans="1:13" x14ac:dyDescent="0.2">
      <c r="A30" t="s">
        <v>60</v>
      </c>
      <c r="B30" s="1"/>
      <c r="C30" s="1">
        <v>58</v>
      </c>
      <c r="D30" s="1">
        <v>12</v>
      </c>
      <c r="E30" s="1">
        <v>170</v>
      </c>
      <c r="F30" s="1">
        <v>132</v>
      </c>
      <c r="G30" s="1">
        <f>174+28</f>
        <v>202</v>
      </c>
      <c r="H30" s="1">
        <f>222+66</f>
        <v>288</v>
      </c>
    </row>
    <row r="31" spans="1:13" x14ac:dyDescent="0.2">
      <c r="A31" t="s">
        <v>116</v>
      </c>
      <c r="B31" s="1">
        <v>1493</v>
      </c>
      <c r="C31" s="1">
        <v>2111</v>
      </c>
      <c r="D31" s="1">
        <v>4631</v>
      </c>
      <c r="E31" s="1">
        <v>4422</v>
      </c>
      <c r="F31" s="1">
        <v>5888</v>
      </c>
      <c r="G31" s="1">
        <v>6970</v>
      </c>
      <c r="H31" s="1">
        <v>7388</v>
      </c>
    </row>
    <row r="32" spans="1:13" x14ac:dyDescent="0.2">
      <c r="A32" t="s">
        <v>117</v>
      </c>
      <c r="B32" s="1">
        <v>199</v>
      </c>
      <c r="C32" s="1">
        <f>1099-732-28</f>
        <v>339</v>
      </c>
      <c r="D32" s="1">
        <f>2237-959-86-67</f>
        <v>1125</v>
      </c>
      <c r="E32" s="1">
        <f>2765-1288-15</f>
        <v>1462</v>
      </c>
      <c r="F32" s="1">
        <f>3860-2143-145</f>
        <v>1572</v>
      </c>
      <c r="G32" s="1">
        <f>4715-2722-172-22</f>
        <v>1799</v>
      </c>
      <c r="H32" s="1">
        <f>4913-2680-5</f>
        <v>2228</v>
      </c>
    </row>
    <row r="33" spans="1:14" x14ac:dyDescent="0.2">
      <c r="A33" t="s">
        <v>118</v>
      </c>
      <c r="B33" s="1">
        <f>B31-B32</f>
        <v>1294</v>
      </c>
      <c r="C33" s="1">
        <f>C31-C32</f>
        <v>1772</v>
      </c>
      <c r="D33" s="1">
        <f>D31-D32</f>
        <v>3506</v>
      </c>
      <c r="E33" s="1">
        <f t="shared" ref="E33:H33" si="3">E31-E32</f>
        <v>2960</v>
      </c>
      <c r="F33" s="1">
        <f t="shared" si="3"/>
        <v>4316</v>
      </c>
      <c r="G33" s="1">
        <f t="shared" si="3"/>
        <v>5171</v>
      </c>
      <c r="H33" s="1">
        <f t="shared" si="3"/>
        <v>5160</v>
      </c>
    </row>
    <row r="34" spans="1:14" x14ac:dyDescent="0.2">
      <c r="A34" t="s">
        <v>115</v>
      </c>
      <c r="B34" s="1">
        <f>B28+B29+B33</f>
        <v>1529.6</v>
      </c>
      <c r="C34" s="1">
        <f>C28+C29+C33+C30</f>
        <v>1877.5</v>
      </c>
      <c r="D34" s="1">
        <f t="shared" ref="D34:H34" si="4">D28+D29+D33+D30</f>
        <v>3583</v>
      </c>
      <c r="E34" s="1">
        <f t="shared" si="4"/>
        <v>3216</v>
      </c>
      <c r="F34" s="1">
        <f t="shared" si="4"/>
        <v>4574</v>
      </c>
      <c r="G34" s="1">
        <f t="shared" si="4"/>
        <v>5562</v>
      </c>
      <c r="H34" s="1">
        <f t="shared" si="4"/>
        <v>5594</v>
      </c>
    </row>
    <row r="35" spans="1:14" x14ac:dyDescent="0.2">
      <c r="A35" t="s">
        <v>119</v>
      </c>
      <c r="B35" s="1">
        <v>124</v>
      </c>
      <c r="C35" s="1">
        <v>143</v>
      </c>
      <c r="D35" s="1">
        <v>129</v>
      </c>
      <c r="E35" s="1">
        <v>197</v>
      </c>
      <c r="F35" s="1">
        <v>236</v>
      </c>
      <c r="G35" s="1">
        <v>235</v>
      </c>
      <c r="H35" s="1">
        <v>289</v>
      </c>
      <c r="I35" s="3">
        <f>SUM(B35:H35)</f>
        <v>1353</v>
      </c>
    </row>
    <row r="36" spans="1:14" x14ac:dyDescent="0.2">
      <c r="A36" t="s">
        <v>120</v>
      </c>
      <c r="B36" s="2">
        <f>B35/B26</f>
        <v>0.51197357555739065</v>
      </c>
      <c r="C36" s="2">
        <f t="shared" ref="C36:H36" si="5">C35/C26</f>
        <v>0.31686239751828049</v>
      </c>
      <c r="D36" s="2">
        <f t="shared" si="5"/>
        <v>0.16753246753246753</v>
      </c>
      <c r="E36" s="2">
        <f t="shared" si="5"/>
        <v>0.18997107039537126</v>
      </c>
      <c r="F36" s="2">
        <f t="shared" si="5"/>
        <v>0.20016963528413911</v>
      </c>
      <c r="G36" s="2">
        <f t="shared" si="5"/>
        <v>0.12750949538795442</v>
      </c>
      <c r="H36" s="9">
        <f t="shared" si="5"/>
        <v>0.10971905846621109</v>
      </c>
    </row>
    <row r="37" spans="1:14" x14ac:dyDescent="0.2">
      <c r="A37" t="s">
        <v>121</v>
      </c>
      <c r="B37" s="10">
        <f>B26/B34</f>
        <v>0.15834205020920503</v>
      </c>
      <c r="C37" s="10">
        <f t="shared" ref="C37:H37" si="6">C26/C34</f>
        <v>0.24037283621837552</v>
      </c>
      <c r="D37" s="10">
        <f t="shared" si="6"/>
        <v>0.21490371197320682</v>
      </c>
      <c r="E37" s="10">
        <f t="shared" si="6"/>
        <v>0.32245024875621892</v>
      </c>
      <c r="F37" s="10">
        <f t="shared" si="6"/>
        <v>0.25776125929164845</v>
      </c>
      <c r="G37" s="10">
        <f t="shared" si="6"/>
        <v>0.33135562747213232</v>
      </c>
      <c r="H37" s="10">
        <f t="shared" si="6"/>
        <v>0.47086163746871651</v>
      </c>
    </row>
    <row r="38" spans="1:14" x14ac:dyDescent="0.2">
      <c r="A38" t="s">
        <v>82</v>
      </c>
      <c r="B38" s="10">
        <f>B34/B27</f>
        <v>1.8715282026183775</v>
      </c>
      <c r="C38" s="10">
        <f t="shared" ref="C38:H38" si="7">C34/C27</f>
        <v>2.0595655989469064</v>
      </c>
      <c r="D38" s="10">
        <f t="shared" si="7"/>
        <v>2.4046979865771814</v>
      </c>
      <c r="E38" s="10">
        <f t="shared" si="7"/>
        <v>2.0951140065146578</v>
      </c>
      <c r="F38" s="10">
        <f t="shared" si="7"/>
        <v>2.2915831663326651</v>
      </c>
      <c r="G38" s="10">
        <f t="shared" si="7"/>
        <v>2.6804819277108436</v>
      </c>
      <c r="H38" s="10">
        <f t="shared" si="7"/>
        <v>2.4481400437636762</v>
      </c>
    </row>
    <row r="39" spans="1:14" x14ac:dyDescent="0.2">
      <c r="A39" t="s">
        <v>122</v>
      </c>
      <c r="B39" s="2">
        <f>B36*B37*B38</f>
        <v>0.15171907500305887</v>
      </c>
      <c r="C39" s="2">
        <f t="shared" ref="C39:H39" si="8">C36*C37*C38</f>
        <v>0.15686704695041684</v>
      </c>
      <c r="D39" s="2">
        <f t="shared" si="8"/>
        <v>8.6577181208053702E-2</v>
      </c>
      <c r="E39" s="2">
        <f t="shared" si="8"/>
        <v>0.12833876221498369</v>
      </c>
      <c r="F39" s="2">
        <f t="shared" si="8"/>
        <v>0.11823647294589179</v>
      </c>
      <c r="G39" s="2">
        <f t="shared" si="8"/>
        <v>0.11325301204819277</v>
      </c>
      <c r="H39" s="9">
        <f t="shared" si="8"/>
        <v>0.1264770240700219</v>
      </c>
    </row>
    <row r="40" spans="1:14" x14ac:dyDescent="0.2">
      <c r="A40" t="s">
        <v>146</v>
      </c>
      <c r="B40" s="12">
        <v>2.4</v>
      </c>
      <c r="C40" s="12">
        <v>2.13</v>
      </c>
      <c r="D40" s="12">
        <v>3.65</v>
      </c>
      <c r="E40" s="12">
        <v>2.4</v>
      </c>
      <c r="F40" s="12">
        <v>2.98</v>
      </c>
      <c r="G40" s="12">
        <v>3.53</v>
      </c>
      <c r="H40" s="12">
        <v>4</v>
      </c>
      <c r="I40" s="13">
        <f>SUM(B40:H40)</f>
        <v>21.09</v>
      </c>
      <c r="J40" s="9">
        <f>I40/I35</f>
        <v>1.5587583148558758E-2</v>
      </c>
    </row>
    <row r="42" spans="1:14" x14ac:dyDescent="0.2">
      <c r="A42" t="s">
        <v>132</v>
      </c>
      <c r="K42" t="s">
        <v>1</v>
      </c>
    </row>
    <row r="43" spans="1:14" x14ac:dyDescent="0.2">
      <c r="A43" t="s">
        <v>139</v>
      </c>
      <c r="B43" s="3">
        <f>H28</f>
        <v>146</v>
      </c>
      <c r="F43" t="s">
        <v>23</v>
      </c>
      <c r="G43">
        <f>B51</f>
        <v>5176</v>
      </c>
      <c r="H43" s="2">
        <f>G43/$D$55</f>
        <v>0.66163875750990664</v>
      </c>
      <c r="K43" t="s">
        <v>114</v>
      </c>
      <c r="L43" s="3">
        <f>H27</f>
        <v>2285</v>
      </c>
      <c r="M43" s="3">
        <f>L43</f>
        <v>2285</v>
      </c>
      <c r="N43" s="2">
        <f>M43/D55</f>
        <v>0.29208743448804808</v>
      </c>
    </row>
    <row r="44" spans="1:14" x14ac:dyDescent="0.2">
      <c r="A44" t="s">
        <v>123</v>
      </c>
      <c r="B44">
        <v>0</v>
      </c>
      <c r="F44" t="s">
        <v>139</v>
      </c>
      <c r="G44" s="3">
        <f>B43</f>
        <v>146</v>
      </c>
      <c r="H44" s="2">
        <f t="shared" ref="H44:H48" si="9">G44/$D$55</f>
        <v>1.8662917039498912E-2</v>
      </c>
      <c r="N44" s="2"/>
    </row>
    <row r="45" spans="1:14" x14ac:dyDescent="0.2">
      <c r="A45" t="s">
        <v>33</v>
      </c>
      <c r="B45">
        <v>0</v>
      </c>
      <c r="F45" t="s">
        <v>33</v>
      </c>
      <c r="G45">
        <f>B45+B50</f>
        <v>0</v>
      </c>
      <c r="H45" s="2">
        <f t="shared" si="9"/>
        <v>0</v>
      </c>
      <c r="K45" t="s">
        <v>3</v>
      </c>
      <c r="N45" s="2"/>
    </row>
    <row r="46" spans="1:14" x14ac:dyDescent="0.2">
      <c r="A46" t="s">
        <v>60</v>
      </c>
      <c r="B46">
        <v>222</v>
      </c>
      <c r="F46" t="s">
        <v>60</v>
      </c>
      <c r="G46">
        <f>B46+B54</f>
        <v>1075</v>
      </c>
      <c r="H46" s="2">
        <f t="shared" si="9"/>
        <v>0.1374153138182283</v>
      </c>
      <c r="K46" t="s">
        <v>141</v>
      </c>
      <c r="L46">
        <f>584+5</f>
        <v>589</v>
      </c>
      <c r="N46" s="2"/>
    </row>
    <row r="47" spans="1:14" x14ac:dyDescent="0.2">
      <c r="A47" t="s">
        <v>136</v>
      </c>
      <c r="B47">
        <v>66</v>
      </c>
      <c r="C47" s="3">
        <f>SUM(B43:B47)</f>
        <v>434</v>
      </c>
      <c r="F47" t="s">
        <v>135</v>
      </c>
      <c r="G47">
        <f>B53</f>
        <v>640</v>
      </c>
      <c r="H47" s="2">
        <f t="shared" si="9"/>
        <v>8.1810047296433597E-2</v>
      </c>
      <c r="K47" t="s">
        <v>142</v>
      </c>
      <c r="L47">
        <v>2680</v>
      </c>
      <c r="M47">
        <f>L46+L47</f>
        <v>3269</v>
      </c>
      <c r="N47" s="2">
        <f>M47/D55</f>
        <v>0.41787038220631473</v>
      </c>
    </row>
    <row r="48" spans="1:14" x14ac:dyDescent="0.2">
      <c r="F48" t="s">
        <v>136</v>
      </c>
      <c r="G48" s="3">
        <f>D55-SUM(G43:G47)</f>
        <v>786</v>
      </c>
      <c r="H48" s="2">
        <f t="shared" si="9"/>
        <v>0.1004729643359325</v>
      </c>
    </row>
    <row r="49" spans="1:14" x14ac:dyDescent="0.2">
      <c r="A49" t="s">
        <v>116</v>
      </c>
      <c r="K49" t="s">
        <v>138</v>
      </c>
      <c r="L49" s="3">
        <f>D55-M43-M47</f>
        <v>2269</v>
      </c>
      <c r="M49" s="3">
        <f>L49</f>
        <v>2269</v>
      </c>
      <c r="N49" s="2">
        <f>M49/D55</f>
        <v>0.29004218330563725</v>
      </c>
    </row>
    <row r="50" spans="1:14" x14ac:dyDescent="0.2">
      <c r="A50" t="s">
        <v>33</v>
      </c>
      <c r="B50">
        <v>0</v>
      </c>
      <c r="F50" t="s">
        <v>145</v>
      </c>
      <c r="G50">
        <v>7600</v>
      </c>
      <c r="H50" s="6"/>
    </row>
    <row r="51" spans="1:14" x14ac:dyDescent="0.2">
      <c r="A51" t="s">
        <v>35</v>
      </c>
      <c r="B51">
        <v>5176</v>
      </c>
      <c r="F51" t="s">
        <v>150</v>
      </c>
      <c r="G51" s="10">
        <f>G50/D55</f>
        <v>0.97149431164514888</v>
      </c>
    </row>
    <row r="52" spans="1:14" x14ac:dyDescent="0.2">
      <c r="A52" t="s">
        <v>140</v>
      </c>
      <c r="B52">
        <v>192</v>
      </c>
      <c r="F52" t="s">
        <v>151</v>
      </c>
      <c r="G52" s="10">
        <f>G50/H27</f>
        <v>3.3260393873085339</v>
      </c>
    </row>
    <row r="53" spans="1:14" x14ac:dyDescent="0.2">
      <c r="A53" t="s">
        <v>135</v>
      </c>
      <c r="B53">
        <v>640</v>
      </c>
      <c r="F53" t="s">
        <v>152</v>
      </c>
      <c r="G53" s="10">
        <f>G50/H35</f>
        <v>26.297577854671282</v>
      </c>
    </row>
    <row r="54" spans="1:14" x14ac:dyDescent="0.2">
      <c r="A54" t="s">
        <v>60</v>
      </c>
      <c r="B54">
        <v>853</v>
      </c>
    </row>
    <row r="55" spans="1:14" x14ac:dyDescent="0.2">
      <c r="A55" t="s">
        <v>136</v>
      </c>
      <c r="B55">
        <v>528</v>
      </c>
      <c r="C55">
        <f>SUM(B50:B55)</f>
        <v>7389</v>
      </c>
      <c r="D55" s="3">
        <f>C47+C55</f>
        <v>7823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pane xSplit="1" ySplit="1" topLeftCell="B22" activePane="bottomRight" state="frozen"/>
      <selection pane="topRight" activeCell="B1" sqref="B1"/>
      <selection pane="bottomLeft" activeCell="A2" sqref="A2"/>
      <selection pane="bottomRight" activeCell="G53" sqref="G53:G55"/>
    </sheetView>
  </sheetViews>
  <sheetFormatPr baseColWidth="10" defaultColWidth="8.83203125" defaultRowHeight="15" x14ac:dyDescent="0.2"/>
  <cols>
    <col min="1" max="1" width="35.5" bestFit="1" customWidth="1"/>
    <col min="2" max="2" width="9.5" bestFit="1" customWidth="1"/>
    <col min="3" max="3" width="10.33203125" bestFit="1" customWidth="1"/>
    <col min="7" max="7" width="9.5" bestFit="1" customWidth="1"/>
    <col min="9" max="9" width="9.5" bestFit="1" customWidth="1"/>
    <col min="11" max="11" width="16.5" bestFit="1" customWidth="1"/>
  </cols>
  <sheetData>
    <row r="1" spans="1:16" x14ac:dyDescent="0.2">
      <c r="B1">
        <v>2010</v>
      </c>
      <c r="C1">
        <v>2011</v>
      </c>
      <c r="D1">
        <v>2012</v>
      </c>
      <c r="E1">
        <v>2013</v>
      </c>
      <c r="F1">
        <v>2014</v>
      </c>
      <c r="G1">
        <v>2015</v>
      </c>
      <c r="H1">
        <v>2016</v>
      </c>
      <c r="L1" s="3">
        <f>SUM(L2:L7)</f>
        <v>22671.899999999998</v>
      </c>
      <c r="O1">
        <v>7485</v>
      </c>
      <c r="P1">
        <f>(O1/(I7+H29+H31+H32))</f>
        <v>1.0204498977505112</v>
      </c>
    </row>
    <row r="2" spans="1:16" x14ac:dyDescent="0.2">
      <c r="A2" t="s">
        <v>0</v>
      </c>
      <c r="K2" t="s">
        <v>1</v>
      </c>
      <c r="L2" s="3">
        <f>SUM(B14:H14)</f>
        <v>2088.3000000000002</v>
      </c>
      <c r="M2" s="9">
        <f>L2/$L$1</f>
        <v>9.2109615868101055E-2</v>
      </c>
    </row>
    <row r="3" spans="1:16" x14ac:dyDescent="0.2">
      <c r="A3" t="s">
        <v>49</v>
      </c>
      <c r="B3" s="1">
        <v>806</v>
      </c>
      <c r="C3" s="1">
        <v>1181</v>
      </c>
      <c r="D3" s="1">
        <v>606</v>
      </c>
      <c r="E3" s="1">
        <v>1317</v>
      </c>
      <c r="F3" s="1">
        <v>1752</v>
      </c>
      <c r="G3" s="1">
        <v>2387</v>
      </c>
      <c r="H3" s="1">
        <v>3453</v>
      </c>
      <c r="K3" t="s">
        <v>3</v>
      </c>
      <c r="L3" s="3">
        <f>SUM(B13:H13)</f>
        <v>3604.6</v>
      </c>
      <c r="M3" s="9">
        <f t="shared" ref="M3:M7" si="0">L3/$L$1</f>
        <v>0.15898976265773931</v>
      </c>
    </row>
    <row r="4" spans="1:16" x14ac:dyDescent="0.2">
      <c r="A4" t="s">
        <v>127</v>
      </c>
      <c r="B4" s="1">
        <f>79+139</f>
        <v>218</v>
      </c>
      <c r="C4" s="1">
        <f>15+177+170</f>
        <v>362</v>
      </c>
      <c r="D4" s="1">
        <f>3+227+191+25</f>
        <v>446</v>
      </c>
      <c r="E4" s="1">
        <f>47+300+266+17</f>
        <v>630</v>
      </c>
      <c r="F4" s="1">
        <f>82+352+308+56</f>
        <v>798</v>
      </c>
      <c r="G4" s="1">
        <f>64+458+411+99</f>
        <v>1032</v>
      </c>
      <c r="H4" s="1">
        <f>15+557+545+65</f>
        <v>1182</v>
      </c>
      <c r="L4" s="3"/>
      <c r="M4" s="9"/>
    </row>
    <row r="5" spans="1:16" x14ac:dyDescent="0.2">
      <c r="A5" t="s">
        <v>8</v>
      </c>
      <c r="B5" s="1">
        <f>229-B3-B4</f>
        <v>-795</v>
      </c>
      <c r="C5" s="1">
        <f>379-C3-C4</f>
        <v>-1164</v>
      </c>
      <c r="D5" s="1">
        <f>301-D3-D4</f>
        <v>-751</v>
      </c>
      <c r="E5" s="1">
        <f>584-E3-E4</f>
        <v>-1363</v>
      </c>
      <c r="F5" s="1">
        <f>752-F3-F4</f>
        <v>-1798</v>
      </c>
      <c r="G5" s="1">
        <f>1003-G3-G4</f>
        <v>-2416</v>
      </c>
      <c r="H5" s="1">
        <f>1058-H3-H4</f>
        <v>-3577</v>
      </c>
      <c r="K5" t="s">
        <v>67</v>
      </c>
      <c r="L5" s="3">
        <f>SUM(B3:H4)+SUM(B6:H6)+SUM(B8:H10)</f>
        <v>16546.8</v>
      </c>
      <c r="M5" s="9">
        <f>L5/$L$1</f>
        <v>0.72983737578235619</v>
      </c>
    </row>
    <row r="6" spans="1:16" x14ac:dyDescent="0.2">
      <c r="A6" t="s">
        <v>59</v>
      </c>
      <c r="B6" s="1">
        <v>-110</v>
      </c>
      <c r="C6" s="1">
        <v>-579</v>
      </c>
      <c r="D6" s="1">
        <v>78</v>
      </c>
      <c r="E6" s="1">
        <v>25</v>
      </c>
      <c r="F6" s="1">
        <v>75</v>
      </c>
      <c r="G6" s="1">
        <v>-157</v>
      </c>
      <c r="H6" s="1">
        <v>-103</v>
      </c>
      <c r="K6" t="s">
        <v>68</v>
      </c>
      <c r="L6" s="3">
        <f>SUM(B11:H12)</f>
        <v>203.2</v>
      </c>
      <c r="M6" s="9">
        <f t="shared" si="0"/>
        <v>8.962636567733627E-3</v>
      </c>
    </row>
    <row r="7" spans="1:16" x14ac:dyDescent="0.2">
      <c r="A7" t="s">
        <v>35</v>
      </c>
      <c r="B7" s="1">
        <v>-193</v>
      </c>
      <c r="C7" s="1">
        <v>-75</v>
      </c>
      <c r="D7" s="1">
        <v>-298</v>
      </c>
      <c r="E7" s="1">
        <v>-253</v>
      </c>
      <c r="F7" s="1">
        <v>-771</v>
      </c>
      <c r="G7" s="1">
        <v>-1715</v>
      </c>
      <c r="H7" s="1">
        <v>-455</v>
      </c>
      <c r="I7" s="1">
        <v>1741</v>
      </c>
      <c r="K7" t="s">
        <v>71</v>
      </c>
      <c r="L7" s="3">
        <f>SUM(B19:H19)</f>
        <v>229</v>
      </c>
      <c r="M7" s="9">
        <f t="shared" si="0"/>
        <v>1.0100609124069885E-2</v>
      </c>
    </row>
    <row r="8" spans="1:16" x14ac:dyDescent="0.2">
      <c r="A8" t="s">
        <v>60</v>
      </c>
      <c r="B8" s="1">
        <v>-0.7</v>
      </c>
      <c r="C8" s="1">
        <v>-97</v>
      </c>
      <c r="D8" s="1">
        <v>-102</v>
      </c>
      <c r="E8" s="1">
        <v>-690</v>
      </c>
      <c r="F8" s="1">
        <f>-431-20</f>
        <v>-451</v>
      </c>
      <c r="G8" s="1">
        <v>-399</v>
      </c>
      <c r="H8" s="1">
        <f>401+14</f>
        <v>415</v>
      </c>
    </row>
    <row r="9" spans="1:16" x14ac:dyDescent="0.2">
      <c r="A9" t="s">
        <v>61</v>
      </c>
      <c r="B9" s="1">
        <v>-208</v>
      </c>
      <c r="C9" s="1">
        <v>-112</v>
      </c>
      <c r="D9" s="1">
        <v>456</v>
      </c>
      <c r="E9" s="1">
        <v>644</v>
      </c>
      <c r="F9" s="1">
        <v>727</v>
      </c>
      <c r="G9" s="1">
        <v>1062</v>
      </c>
      <c r="H9" s="1">
        <v>-174</v>
      </c>
      <c r="K9" t="s">
        <v>39</v>
      </c>
      <c r="L9" s="3">
        <f>SUM(L10:L16)</f>
        <v>-22434.6</v>
      </c>
    </row>
    <row r="10" spans="1:16" x14ac:dyDescent="0.2">
      <c r="A10" t="s">
        <v>62</v>
      </c>
      <c r="B10" s="1">
        <v>11</v>
      </c>
      <c r="C10" s="1">
        <v>185</v>
      </c>
      <c r="D10" s="1">
        <v>-94</v>
      </c>
      <c r="E10" s="1">
        <v>-88</v>
      </c>
      <c r="F10" s="1">
        <v>-22</v>
      </c>
      <c r="G10" s="1">
        <v>0.5</v>
      </c>
      <c r="H10" s="1">
        <v>85</v>
      </c>
      <c r="K10" t="s">
        <v>8</v>
      </c>
      <c r="L10" s="3">
        <f>SUM(B5:H5)+SUM(B7:H7)+SUM(B24:H24)</f>
        <v>-15789</v>
      </c>
      <c r="M10" s="9">
        <f>L10/$L$1</f>
        <v>-0.69641273999973541</v>
      </c>
    </row>
    <row r="11" spans="1:16" x14ac:dyDescent="0.2">
      <c r="A11" t="s">
        <v>54</v>
      </c>
      <c r="B11" s="1">
        <v>6</v>
      </c>
      <c r="C11" s="1">
        <v>20</v>
      </c>
      <c r="D11" s="1">
        <v>0.9</v>
      </c>
      <c r="E11" s="1">
        <v>24</v>
      </c>
      <c r="F11" s="1">
        <v>45</v>
      </c>
      <c r="G11" s="1">
        <v>49</v>
      </c>
      <c r="H11" s="1">
        <v>45</v>
      </c>
      <c r="K11" t="s">
        <v>20</v>
      </c>
      <c r="L11" s="3">
        <f>SUM(B18:H18)</f>
        <v>-2745</v>
      </c>
      <c r="M11" s="9">
        <f t="shared" ref="M11:M16" si="1">L11/$L$1</f>
        <v>-0.12107498709856696</v>
      </c>
    </row>
    <row r="12" spans="1:16" x14ac:dyDescent="0.2">
      <c r="A12" t="s">
        <v>58</v>
      </c>
      <c r="B12" s="1">
        <v>0.5</v>
      </c>
      <c r="C12" s="1">
        <v>1.4</v>
      </c>
      <c r="D12" s="1">
        <v>0</v>
      </c>
      <c r="E12" s="1">
        <v>10</v>
      </c>
      <c r="F12" s="1">
        <v>0.2</v>
      </c>
      <c r="G12" s="1">
        <v>1</v>
      </c>
      <c r="H12" s="1">
        <v>0.2</v>
      </c>
      <c r="K12" t="s">
        <v>54</v>
      </c>
      <c r="L12" s="3">
        <f>SUM(B22:H22)</f>
        <v>-1356</v>
      </c>
      <c r="M12" s="9">
        <f t="shared" si="1"/>
        <v>-5.9809720402789361E-2</v>
      </c>
    </row>
    <row r="13" spans="1:16" x14ac:dyDescent="0.2">
      <c r="A13" t="s">
        <v>66</v>
      </c>
      <c r="B13" s="1">
        <f>2050-1469+45-12-55-104+44</f>
        <v>499</v>
      </c>
      <c r="C13" s="1">
        <f>560-755-35+34+6.6</f>
        <v>-189.4</v>
      </c>
      <c r="D13" s="1">
        <f>1483-1187+8-41+12</f>
        <v>275</v>
      </c>
      <c r="E13" s="1">
        <f>1112-538+5+14</f>
        <v>593</v>
      </c>
      <c r="F13" s="1">
        <f>2041-1357+20-103+10</f>
        <v>611</v>
      </c>
      <c r="G13" s="1">
        <f>2408-1571-12+16</f>
        <v>841</v>
      </c>
      <c r="H13" s="1">
        <f>2023-1056-21+29</f>
        <v>975</v>
      </c>
      <c r="K13" t="s">
        <v>58</v>
      </c>
      <c r="L13" s="3">
        <f>SUM(B23:H23)</f>
        <v>-331.3</v>
      </c>
      <c r="M13" s="9">
        <f t="shared" si="1"/>
        <v>-1.4612802632333419E-2</v>
      </c>
    </row>
    <row r="14" spans="1:16" x14ac:dyDescent="0.2">
      <c r="A14" t="s">
        <v>1</v>
      </c>
      <c r="B14" s="1">
        <v>-9.6999999999999993</v>
      </c>
      <c r="C14" s="1">
        <v>1148</v>
      </c>
      <c r="D14" s="1">
        <f>5+3-10</f>
        <v>-2</v>
      </c>
      <c r="E14" s="1">
        <f>354</f>
        <v>354</v>
      </c>
      <c r="F14" s="1">
        <v>6</v>
      </c>
      <c r="G14" s="1">
        <v>599</v>
      </c>
      <c r="H14" s="1">
        <v>-7</v>
      </c>
      <c r="K14" t="s">
        <v>40</v>
      </c>
      <c r="L14" s="3">
        <f>SUM(B20:H21)</f>
        <v>-891.1</v>
      </c>
      <c r="M14" s="9">
        <f t="shared" si="1"/>
        <v>-3.930416065702478E-2</v>
      </c>
    </row>
    <row r="15" spans="1:16" x14ac:dyDescent="0.2">
      <c r="K15" t="s">
        <v>70</v>
      </c>
      <c r="L15" s="3">
        <f>SUM(B25:H25)</f>
        <v>-347</v>
      </c>
      <c r="M15" s="9">
        <f t="shared" si="1"/>
        <v>-1.5305289808088427E-2</v>
      </c>
    </row>
    <row r="16" spans="1:16" x14ac:dyDescent="0.2">
      <c r="A16" t="s">
        <v>39</v>
      </c>
      <c r="K16" s="2" t="s">
        <v>47</v>
      </c>
      <c r="L16" s="3">
        <f>SUM(B17:H17)</f>
        <v>-975.2</v>
      </c>
      <c r="M16" s="9">
        <f t="shared" si="1"/>
        <v>-4.3013598330973589E-2</v>
      </c>
    </row>
    <row r="17" spans="1:12" x14ac:dyDescent="0.2">
      <c r="A17" t="s">
        <v>47</v>
      </c>
      <c r="B17" s="1">
        <v>-14</v>
      </c>
      <c r="C17" s="1">
        <v>-1.2</v>
      </c>
      <c r="D17" s="1">
        <v>-104</v>
      </c>
      <c r="E17" s="1">
        <v>-108</v>
      </c>
      <c r="F17" s="1">
        <v>-163</v>
      </c>
      <c r="G17" s="1">
        <v>-256</v>
      </c>
      <c r="H17" s="1">
        <v>-329</v>
      </c>
      <c r="K17" t="s">
        <v>72</v>
      </c>
      <c r="L17" t="s">
        <v>73</v>
      </c>
    </row>
    <row r="18" spans="1:12" x14ac:dyDescent="0.2">
      <c r="A18" t="s">
        <v>20</v>
      </c>
      <c r="B18" s="1">
        <f>-154+69</f>
        <v>-85</v>
      </c>
      <c r="C18" s="1">
        <f>-319+11</f>
        <v>-308</v>
      </c>
      <c r="D18" s="1">
        <f>-397+16</f>
        <v>-381</v>
      </c>
      <c r="E18" s="1">
        <f>-589</f>
        <v>-589</v>
      </c>
      <c r="F18" s="1">
        <f>-478+2</f>
        <v>-476</v>
      </c>
      <c r="G18" s="1">
        <f>-397+9</f>
        <v>-388</v>
      </c>
      <c r="H18" s="1">
        <v>-518</v>
      </c>
      <c r="L18" t="s">
        <v>77</v>
      </c>
    </row>
    <row r="19" spans="1:12" x14ac:dyDescent="0.2">
      <c r="A19" t="s">
        <v>63</v>
      </c>
      <c r="B19" s="1">
        <f>36+15</f>
        <v>51</v>
      </c>
      <c r="C19" s="1">
        <f>-97-4</f>
        <v>-101</v>
      </c>
      <c r="D19" s="1">
        <f>11+48</f>
        <v>59</v>
      </c>
      <c r="E19" s="1">
        <f>17+67</f>
        <v>84</v>
      </c>
      <c r="F19" s="1">
        <f>-12-83</f>
        <v>-95</v>
      </c>
      <c r="G19" s="1">
        <f>-34-75</f>
        <v>-109</v>
      </c>
      <c r="H19" s="1">
        <f>378-38</f>
        <v>340</v>
      </c>
    </row>
    <row r="20" spans="1:12" x14ac:dyDescent="0.2">
      <c r="A20" t="s">
        <v>33</v>
      </c>
      <c r="B20" s="1">
        <v>-44</v>
      </c>
      <c r="C20" s="1">
        <f>-363+195</f>
        <v>-168</v>
      </c>
      <c r="D20" s="1">
        <f>-157+74-5</f>
        <v>-88</v>
      </c>
      <c r="E20" s="1">
        <f>-323+170</f>
        <v>-153</v>
      </c>
      <c r="F20" s="1">
        <f>115-280</f>
        <v>-165</v>
      </c>
      <c r="G20" s="1">
        <f>96-108</f>
        <v>-12</v>
      </c>
      <c r="H20" s="1">
        <f>-500</f>
        <v>-500</v>
      </c>
    </row>
    <row r="21" spans="1:12" x14ac:dyDescent="0.2">
      <c r="A21" t="s">
        <v>65</v>
      </c>
      <c r="B21" s="1">
        <f>-34+10.3</f>
        <v>-23.7</v>
      </c>
      <c r="C21" s="1">
        <f>157+2.6</f>
        <v>159.6</v>
      </c>
      <c r="D21" s="1">
        <f>34+42</f>
        <v>76</v>
      </c>
      <c r="E21" s="1">
        <v>23</v>
      </c>
      <c r="F21" s="1">
        <f>-3</f>
        <v>-3</v>
      </c>
      <c r="G21" s="1">
        <f>25</f>
        <v>25</v>
      </c>
      <c r="H21" s="1">
        <f>-18</f>
        <v>-18</v>
      </c>
      <c r="K21" t="s">
        <v>74</v>
      </c>
      <c r="L21" t="s">
        <v>75</v>
      </c>
    </row>
    <row r="22" spans="1:12" x14ac:dyDescent="0.2">
      <c r="A22" t="s">
        <v>14</v>
      </c>
      <c r="B22" s="1">
        <v>-78</v>
      </c>
      <c r="C22" s="1">
        <v>-125</v>
      </c>
      <c r="D22" s="1">
        <v>-109</v>
      </c>
      <c r="E22" s="1">
        <v>-146</v>
      </c>
      <c r="F22" s="1">
        <v>-227</v>
      </c>
      <c r="G22" s="1">
        <v>-318</v>
      </c>
      <c r="H22" s="1">
        <v>-353</v>
      </c>
      <c r="K22" t="s">
        <v>76</v>
      </c>
    </row>
    <row r="23" spans="1:12" x14ac:dyDescent="0.2">
      <c r="A23" t="s">
        <v>7</v>
      </c>
      <c r="B23" s="1">
        <v>0</v>
      </c>
      <c r="C23" s="1">
        <v>-2.2999999999999998</v>
      </c>
      <c r="D23" s="1">
        <v>-46</v>
      </c>
      <c r="E23" s="1">
        <v>-46</v>
      </c>
      <c r="F23" s="1">
        <v>-49</v>
      </c>
      <c r="G23" s="1">
        <v>-66</v>
      </c>
      <c r="H23" s="1">
        <v>-122</v>
      </c>
    </row>
    <row r="24" spans="1:12" x14ac:dyDescent="0.2">
      <c r="A24" t="s">
        <v>64</v>
      </c>
      <c r="B24" s="1">
        <v>0</v>
      </c>
      <c r="C24" s="1">
        <v>0</v>
      </c>
      <c r="D24" s="1">
        <v>-165</v>
      </c>
      <c r="E24" s="1">
        <v>0</v>
      </c>
      <c r="F24" s="1"/>
      <c r="G24" s="1"/>
      <c r="H24" s="1"/>
    </row>
    <row r="25" spans="1:12" x14ac:dyDescent="0.2">
      <c r="A25" t="s">
        <v>69</v>
      </c>
      <c r="B25" s="1"/>
      <c r="C25" s="1"/>
      <c r="D25" s="1"/>
      <c r="E25" s="1"/>
      <c r="F25" s="1">
        <v>29</v>
      </c>
      <c r="G25" s="1">
        <v>34</v>
      </c>
      <c r="H25" s="1">
        <v>-410</v>
      </c>
    </row>
    <row r="27" spans="1:12" x14ac:dyDescent="0.2">
      <c r="A27" t="s">
        <v>88</v>
      </c>
      <c r="B27" s="3">
        <f>SUM(B3:B4)</f>
        <v>1024</v>
      </c>
      <c r="C27" s="3">
        <f t="shared" ref="C27:H27" si="2">SUM(C3:C4)</f>
        <v>1543</v>
      </c>
      <c r="D27" s="3">
        <f t="shared" si="2"/>
        <v>1052</v>
      </c>
      <c r="E27" s="3">
        <f t="shared" si="2"/>
        <v>1947</v>
      </c>
      <c r="F27" s="3">
        <f t="shared" si="2"/>
        <v>2550</v>
      </c>
      <c r="G27" s="3">
        <f t="shared" si="2"/>
        <v>3419</v>
      </c>
      <c r="H27" s="3">
        <f t="shared" si="2"/>
        <v>4635</v>
      </c>
    </row>
    <row r="28" spans="1:12" x14ac:dyDescent="0.2">
      <c r="A28" t="s">
        <v>114</v>
      </c>
      <c r="B28" s="1">
        <f>262.5+396+106+272</f>
        <v>1036.5</v>
      </c>
      <c r="C28" s="1">
        <f>328+1715+71+224</f>
        <v>2338</v>
      </c>
      <c r="D28" s="1">
        <f>2151+267</f>
        <v>2418</v>
      </c>
      <c r="E28" s="1">
        <f>2742+262</f>
        <v>3004</v>
      </c>
      <c r="F28" s="1">
        <f>2979+299</f>
        <v>3278</v>
      </c>
      <c r="G28" s="1">
        <f>3820+397</f>
        <v>4217</v>
      </c>
      <c r="H28" s="1">
        <f>4144+323</f>
        <v>4467</v>
      </c>
    </row>
    <row r="29" spans="1:12" x14ac:dyDescent="0.2">
      <c r="A29" t="s">
        <v>85</v>
      </c>
      <c r="B29" s="1">
        <v>1130</v>
      </c>
      <c r="C29" s="1">
        <v>1417</v>
      </c>
      <c r="D29" s="1">
        <v>1908</v>
      </c>
      <c r="E29" s="1">
        <v>2493</v>
      </c>
      <c r="F29" s="1">
        <v>2920</v>
      </c>
      <c r="G29" s="1">
        <v>3282</v>
      </c>
      <c r="H29" s="1">
        <v>4025</v>
      </c>
    </row>
    <row r="30" spans="1:12" x14ac:dyDescent="0.2">
      <c r="A30" t="s">
        <v>123</v>
      </c>
      <c r="B30" s="1">
        <v>110</v>
      </c>
      <c r="C30" s="1">
        <v>108</v>
      </c>
      <c r="D30" s="1">
        <v>160</v>
      </c>
      <c r="E30" s="1">
        <v>449</v>
      </c>
      <c r="F30" s="1">
        <v>452</v>
      </c>
      <c r="G30" s="1">
        <v>504</v>
      </c>
      <c r="H30" s="1">
        <v>900</v>
      </c>
    </row>
    <row r="31" spans="1:12" x14ac:dyDescent="0.2">
      <c r="A31" t="s">
        <v>33</v>
      </c>
      <c r="B31" s="1">
        <v>161</v>
      </c>
      <c r="C31" s="1">
        <v>268</v>
      </c>
      <c r="D31" s="1">
        <v>87</v>
      </c>
      <c r="E31" s="1">
        <v>89</v>
      </c>
      <c r="F31" s="1">
        <v>100</v>
      </c>
      <c r="G31" s="1">
        <v>109</v>
      </c>
      <c r="H31" s="1">
        <v>76</v>
      </c>
    </row>
    <row r="32" spans="1:12" x14ac:dyDescent="0.2">
      <c r="A32" t="s">
        <v>60</v>
      </c>
      <c r="B32" s="1"/>
      <c r="C32" s="1"/>
      <c r="D32" s="1">
        <v>584</v>
      </c>
      <c r="E32" s="1">
        <v>911</v>
      </c>
      <c r="F32" s="1">
        <v>1179</v>
      </c>
      <c r="G32" s="1">
        <f>1192+37</f>
        <v>1229</v>
      </c>
      <c r="H32" s="1">
        <f>1422+71</f>
        <v>1493</v>
      </c>
    </row>
    <row r="33" spans="1:14" x14ac:dyDescent="0.2">
      <c r="A33" t="s">
        <v>116</v>
      </c>
      <c r="B33" s="1">
        <v>2319</v>
      </c>
      <c r="C33" s="1">
        <v>3366</v>
      </c>
      <c r="D33" s="1">
        <v>3161</v>
      </c>
      <c r="E33" s="1">
        <v>3779</v>
      </c>
      <c r="F33" s="1">
        <v>4661</v>
      </c>
      <c r="G33" s="1">
        <v>7231</v>
      </c>
      <c r="H33" s="1">
        <v>7957</v>
      </c>
    </row>
    <row r="34" spans="1:14" x14ac:dyDescent="0.2">
      <c r="A34" t="s">
        <v>117</v>
      </c>
      <c r="B34" s="1">
        <v>1082</v>
      </c>
      <c r="C34" s="1">
        <v>1295</v>
      </c>
      <c r="D34" s="1">
        <f>2706-1065-119</f>
        <v>1522</v>
      </c>
      <c r="E34" s="1">
        <f>3596-1377-114</f>
        <v>2105</v>
      </c>
      <c r="F34" s="1">
        <f>4696-1590-349</f>
        <v>2757</v>
      </c>
      <c r="G34" s="1">
        <f>6214-2137-203</f>
        <v>3874</v>
      </c>
      <c r="H34" s="1">
        <f>6111-2137-163</f>
        <v>3811</v>
      </c>
    </row>
    <row r="35" spans="1:14" x14ac:dyDescent="0.2">
      <c r="A35" t="s">
        <v>118</v>
      </c>
      <c r="B35" s="1">
        <f>B33-B34</f>
        <v>1237</v>
      </c>
      <c r="C35" s="1">
        <f t="shared" ref="C35:H35" si="3">C33-C34</f>
        <v>2071</v>
      </c>
      <c r="D35" s="1">
        <f t="shared" si="3"/>
        <v>1639</v>
      </c>
      <c r="E35" s="1">
        <f t="shared" si="3"/>
        <v>1674</v>
      </c>
      <c r="F35" s="1">
        <f t="shared" si="3"/>
        <v>1904</v>
      </c>
      <c r="G35" s="1">
        <f t="shared" si="3"/>
        <v>3357</v>
      </c>
      <c r="H35" s="1">
        <f t="shared" si="3"/>
        <v>4146</v>
      </c>
    </row>
    <row r="36" spans="1:14" x14ac:dyDescent="0.2">
      <c r="A36" t="s">
        <v>115</v>
      </c>
      <c r="B36" s="1">
        <f>B29+B30+B31+B35</f>
        <v>2638</v>
      </c>
      <c r="C36" s="1">
        <f t="shared" ref="C36:H36" si="4">C29+C30+C31+C35</f>
        <v>3864</v>
      </c>
      <c r="D36" s="1">
        <f t="shared" si="4"/>
        <v>3794</v>
      </c>
      <c r="E36" s="1">
        <f t="shared" si="4"/>
        <v>4705</v>
      </c>
      <c r="F36" s="1">
        <f t="shared" si="4"/>
        <v>5376</v>
      </c>
      <c r="G36" s="1">
        <f t="shared" si="4"/>
        <v>7252</v>
      </c>
      <c r="H36" s="1">
        <f t="shared" si="4"/>
        <v>9147</v>
      </c>
    </row>
    <row r="37" spans="1:14" x14ac:dyDescent="0.2">
      <c r="A37" t="s">
        <v>119</v>
      </c>
      <c r="B37" s="1">
        <v>147</v>
      </c>
      <c r="C37" s="1">
        <v>172</v>
      </c>
      <c r="D37" s="1">
        <v>82</v>
      </c>
      <c r="E37" s="1">
        <v>291</v>
      </c>
      <c r="F37" s="1">
        <v>321</v>
      </c>
      <c r="G37" s="1">
        <v>367</v>
      </c>
      <c r="H37" s="1">
        <v>388</v>
      </c>
      <c r="I37" s="3">
        <f>SUM(B37:H37)</f>
        <v>1768</v>
      </c>
    </row>
    <row r="38" spans="1:14" x14ac:dyDescent="0.2">
      <c r="A38" t="s">
        <v>120</v>
      </c>
      <c r="B38" s="2">
        <f>B37/B27</f>
        <v>0.1435546875</v>
      </c>
      <c r="C38" s="2">
        <f t="shared" ref="C38:H38" si="5">C37/C27</f>
        <v>0.11147116007777058</v>
      </c>
      <c r="D38" s="2">
        <f t="shared" si="5"/>
        <v>7.7946768060836502E-2</v>
      </c>
      <c r="E38" s="2">
        <f t="shared" si="5"/>
        <v>0.14946070878274267</v>
      </c>
      <c r="F38" s="2">
        <f t="shared" si="5"/>
        <v>0.12588235294117647</v>
      </c>
      <c r="G38" s="2">
        <f t="shared" si="5"/>
        <v>0.10734132787364727</v>
      </c>
      <c r="H38" s="9">
        <f t="shared" si="5"/>
        <v>8.3710895361380794E-2</v>
      </c>
    </row>
    <row r="39" spans="1:14" x14ac:dyDescent="0.2">
      <c r="A39" t="s">
        <v>121</v>
      </c>
      <c r="B39" s="10">
        <f>B27/B36</f>
        <v>0.38817285822592873</v>
      </c>
      <c r="C39" s="10">
        <f t="shared" ref="C39:H39" si="6">C27/C36</f>
        <v>0.39932712215320909</v>
      </c>
      <c r="D39" s="10">
        <f t="shared" si="6"/>
        <v>0.27727991565629945</v>
      </c>
      <c r="E39" s="10">
        <f t="shared" si="6"/>
        <v>0.41381509032943675</v>
      </c>
      <c r="F39" s="10">
        <f t="shared" si="6"/>
        <v>0.47433035714285715</v>
      </c>
      <c r="G39" s="10">
        <f t="shared" si="6"/>
        <v>0.47145615002757862</v>
      </c>
      <c r="H39" s="10">
        <f t="shared" si="6"/>
        <v>0.50672351590685472</v>
      </c>
    </row>
    <row r="40" spans="1:14" x14ac:dyDescent="0.2">
      <c r="A40" t="s">
        <v>82</v>
      </c>
      <c r="B40" s="10">
        <f>B36/B28</f>
        <v>2.5451037144235409</v>
      </c>
      <c r="C40" s="10">
        <f t="shared" ref="C40:H40" si="7">C36/C28</f>
        <v>1.652694610778443</v>
      </c>
      <c r="D40" s="10">
        <f t="shared" si="7"/>
        <v>1.5690653432588917</v>
      </c>
      <c r="E40" s="10">
        <f t="shared" si="7"/>
        <v>1.5662450066577895</v>
      </c>
      <c r="F40" s="10">
        <f t="shared" si="7"/>
        <v>1.6400244051250763</v>
      </c>
      <c r="G40" s="10">
        <f t="shared" si="7"/>
        <v>1.7197059520986484</v>
      </c>
      <c r="H40" s="10">
        <f t="shared" si="7"/>
        <v>2.0476830087306919</v>
      </c>
    </row>
    <row r="41" spans="1:14" x14ac:dyDescent="0.2">
      <c r="A41" t="s">
        <v>122</v>
      </c>
      <c r="B41" s="2">
        <f>B38*B39*B40</f>
        <v>0.1418234442836469</v>
      </c>
      <c r="C41" s="2">
        <f t="shared" ref="C41:H41" si="8">C38*C39*C40</f>
        <v>7.3567151411462778E-2</v>
      </c>
      <c r="D41" s="2">
        <f t="shared" si="8"/>
        <v>3.3912324234904881E-2</v>
      </c>
      <c r="E41" s="2">
        <f t="shared" si="8"/>
        <v>9.6870838881491339E-2</v>
      </c>
      <c r="F41" s="2">
        <f t="shared" si="8"/>
        <v>9.792556436851739E-2</v>
      </c>
      <c r="G41" s="2">
        <f t="shared" si="8"/>
        <v>8.7028693383922232E-2</v>
      </c>
      <c r="H41" s="9">
        <f t="shared" si="8"/>
        <v>8.6859189612715465E-2</v>
      </c>
    </row>
    <row r="42" spans="1:14" x14ac:dyDescent="0.2">
      <c r="A42" t="s">
        <v>146</v>
      </c>
      <c r="B42" s="12">
        <v>4.8</v>
      </c>
      <c r="C42" s="12">
        <v>4.8</v>
      </c>
      <c r="D42" s="12">
        <v>4.8</v>
      </c>
      <c r="E42" s="12">
        <f>7.4*2</f>
        <v>14.8</v>
      </c>
      <c r="F42" s="12">
        <v>4.8</v>
      </c>
      <c r="G42" s="12">
        <f>7.4*2</f>
        <v>14.8</v>
      </c>
      <c r="H42" s="12">
        <v>4.8</v>
      </c>
      <c r="I42" s="13">
        <f>SUM(B42:H42)</f>
        <v>53.599999999999994</v>
      </c>
      <c r="J42" s="9">
        <f>I42/I37</f>
        <v>3.031674208144796E-2</v>
      </c>
    </row>
    <row r="44" spans="1:14" x14ac:dyDescent="0.2">
      <c r="A44" t="s">
        <v>132</v>
      </c>
      <c r="K44" t="s">
        <v>1</v>
      </c>
    </row>
    <row r="45" spans="1:14" x14ac:dyDescent="0.2">
      <c r="A45" t="s">
        <v>139</v>
      </c>
      <c r="B45" s="3">
        <f>H29</f>
        <v>4025</v>
      </c>
      <c r="F45" t="s">
        <v>23</v>
      </c>
      <c r="G45" s="1">
        <f>B53</f>
        <v>5098</v>
      </c>
      <c r="H45" s="2">
        <f>G45/$D$57</f>
        <v>0.35277835443913919</v>
      </c>
      <c r="K45" t="s">
        <v>114</v>
      </c>
      <c r="L45" s="3">
        <f>H28</f>
        <v>4467</v>
      </c>
      <c r="M45" s="3">
        <f>L45</f>
        <v>4467</v>
      </c>
      <c r="N45" s="2">
        <f>M45/D57</f>
        <v>0.30911355615528335</v>
      </c>
    </row>
    <row r="46" spans="1:14" x14ac:dyDescent="0.2">
      <c r="A46" t="s">
        <v>123</v>
      </c>
      <c r="B46" s="3">
        <f>H30</f>
        <v>900</v>
      </c>
      <c r="F46" t="s">
        <v>139</v>
      </c>
      <c r="G46" s="3">
        <f>B45</f>
        <v>4025</v>
      </c>
      <c r="H46" s="2">
        <f t="shared" ref="H46:H50" si="9">G46/$D$57</f>
        <v>0.27852743754757459</v>
      </c>
    </row>
    <row r="47" spans="1:14" x14ac:dyDescent="0.2">
      <c r="A47" t="s">
        <v>33</v>
      </c>
      <c r="B47" s="3">
        <f>H31</f>
        <v>76</v>
      </c>
      <c r="F47" t="s">
        <v>33</v>
      </c>
      <c r="G47" s="3">
        <f>B47+B52</f>
        <v>254</v>
      </c>
      <c r="H47" s="2">
        <f t="shared" si="9"/>
        <v>1.7576638294927685E-2</v>
      </c>
      <c r="K47" t="s">
        <v>3</v>
      </c>
    </row>
    <row r="48" spans="1:14" x14ac:dyDescent="0.2">
      <c r="A48" t="s">
        <v>60</v>
      </c>
      <c r="B48" s="3">
        <v>1422</v>
      </c>
      <c r="F48" t="s">
        <v>60</v>
      </c>
      <c r="G48" s="3">
        <f>B48+B56</f>
        <v>2514</v>
      </c>
      <c r="H48" s="2">
        <f t="shared" si="9"/>
        <v>0.17396719950176459</v>
      </c>
      <c r="K48" t="s">
        <v>141</v>
      </c>
      <c r="L48">
        <f>3657+163</f>
        <v>3820</v>
      </c>
    </row>
    <row r="49" spans="1:14" x14ac:dyDescent="0.2">
      <c r="A49" t="s">
        <v>136</v>
      </c>
      <c r="B49">
        <v>71</v>
      </c>
      <c r="C49" s="3">
        <f>SUM(B45:B49)</f>
        <v>6494</v>
      </c>
      <c r="F49" t="s">
        <v>135</v>
      </c>
      <c r="G49">
        <f>B55</f>
        <v>486</v>
      </c>
      <c r="H49" s="2">
        <f t="shared" si="9"/>
        <v>3.3630890595806519E-2</v>
      </c>
      <c r="K49" t="s">
        <v>142</v>
      </c>
      <c r="L49">
        <v>2137</v>
      </c>
      <c r="M49">
        <f>L48+L49</f>
        <v>5957</v>
      </c>
      <c r="N49" s="2">
        <f>M49/D57</f>
        <v>0.41222060757041035</v>
      </c>
    </row>
    <row r="50" spans="1:14" x14ac:dyDescent="0.2">
      <c r="F50" t="s">
        <v>136</v>
      </c>
      <c r="G50" s="3">
        <f>D57-SUM(G45:G49)</f>
        <v>2074</v>
      </c>
      <c r="H50" s="2">
        <f t="shared" si="9"/>
        <v>0.14351947962078748</v>
      </c>
    </row>
    <row r="51" spans="1:14" x14ac:dyDescent="0.2">
      <c r="A51" t="s">
        <v>116</v>
      </c>
      <c r="K51" t="s">
        <v>138</v>
      </c>
      <c r="L51" s="3">
        <f>D57-M45-M49</f>
        <v>4027</v>
      </c>
      <c r="M51" s="3">
        <f>L51</f>
        <v>4027</v>
      </c>
      <c r="N51" s="2">
        <f>M51/D57</f>
        <v>0.2786658362743063</v>
      </c>
    </row>
    <row r="52" spans="1:14" x14ac:dyDescent="0.2">
      <c r="A52" t="s">
        <v>33</v>
      </c>
      <c r="B52">
        <v>178</v>
      </c>
      <c r="F52" t="s">
        <v>145</v>
      </c>
      <c r="G52">
        <v>7900</v>
      </c>
      <c r="H52" s="6"/>
    </row>
    <row r="53" spans="1:14" x14ac:dyDescent="0.2">
      <c r="A53" t="s">
        <v>35</v>
      </c>
      <c r="B53">
        <v>5098</v>
      </c>
      <c r="F53" t="s">
        <v>150</v>
      </c>
      <c r="G53" s="10">
        <f>G52/D57</f>
        <v>0.54667497059027059</v>
      </c>
    </row>
    <row r="54" spans="1:14" x14ac:dyDescent="0.2">
      <c r="A54" t="s">
        <v>140</v>
      </c>
      <c r="B54">
        <v>1008</v>
      </c>
      <c r="F54" t="s">
        <v>151</v>
      </c>
      <c r="G54" s="10">
        <f>G52/H28</f>
        <v>1.7685247369599284</v>
      </c>
    </row>
    <row r="55" spans="1:14" x14ac:dyDescent="0.2">
      <c r="A55" t="s">
        <v>135</v>
      </c>
      <c r="B55">
        <v>486</v>
      </c>
      <c r="F55" t="s">
        <v>152</v>
      </c>
      <c r="G55" s="10">
        <f>G52/H37</f>
        <v>20.36082474226804</v>
      </c>
    </row>
    <row r="56" spans="1:14" x14ac:dyDescent="0.2">
      <c r="A56" t="s">
        <v>60</v>
      </c>
      <c r="B56">
        <v>1092</v>
      </c>
    </row>
    <row r="57" spans="1:14" x14ac:dyDescent="0.2">
      <c r="A57" t="s">
        <v>136</v>
      </c>
      <c r="B57">
        <v>95</v>
      </c>
      <c r="C57">
        <f>SUM(B52:B57)</f>
        <v>7957</v>
      </c>
      <c r="D57" s="3">
        <f>C49+C57</f>
        <v>14451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pane xSplit="1" ySplit="1" topLeftCell="B18" activePane="bottomRight" state="frozen"/>
      <selection pane="topRight" activeCell="B1" sqref="B1"/>
      <selection pane="bottomLeft" activeCell="A2" sqref="A2"/>
      <selection pane="bottomRight" activeCell="F53" sqref="F51:F53"/>
    </sheetView>
  </sheetViews>
  <sheetFormatPr baseColWidth="10" defaultColWidth="8.83203125" defaultRowHeight="15" x14ac:dyDescent="0.2"/>
  <cols>
    <col min="1" max="1" width="24" bestFit="1" customWidth="1"/>
    <col min="2" max="3" width="10.5" bestFit="1" customWidth="1"/>
    <col min="4" max="5" width="10.33203125" bestFit="1" customWidth="1"/>
    <col min="7" max="8" width="10.33203125" bestFit="1" customWidth="1"/>
    <col min="9" max="9" width="10.5" bestFit="1" customWidth="1"/>
    <col min="11" max="11" width="9.5" bestFit="1" customWidth="1"/>
    <col min="13" max="13" width="10.5" bestFit="1" customWidth="1"/>
  </cols>
  <sheetData>
    <row r="1" spans="1:13" x14ac:dyDescent="0.2">
      <c r="B1">
        <v>2010</v>
      </c>
      <c r="C1">
        <v>2011</v>
      </c>
      <c r="D1">
        <v>2012</v>
      </c>
      <c r="E1">
        <v>2013</v>
      </c>
      <c r="F1">
        <v>2014</v>
      </c>
      <c r="G1">
        <v>2015</v>
      </c>
      <c r="H1">
        <v>2016</v>
      </c>
      <c r="K1" t="s">
        <v>0</v>
      </c>
      <c r="L1" s="3">
        <f>SUM(L2:L8)</f>
        <v>87091</v>
      </c>
    </row>
    <row r="2" spans="1:13" x14ac:dyDescent="0.2">
      <c r="B2" s="1"/>
      <c r="C2" s="1"/>
      <c r="D2" s="1"/>
      <c r="E2" s="1"/>
      <c r="F2" s="1"/>
      <c r="G2" s="1"/>
      <c r="H2" s="1"/>
      <c r="K2" t="s">
        <v>1</v>
      </c>
      <c r="L2" s="3">
        <f>SUM(B14:H15)</f>
        <v>1148</v>
      </c>
      <c r="M2" s="9">
        <f>L2/$L$1</f>
        <v>1.3181614632970112E-2</v>
      </c>
    </row>
    <row r="3" spans="1:13" x14ac:dyDescent="0.2">
      <c r="A3" t="s">
        <v>88</v>
      </c>
      <c r="B3" s="1">
        <f>115+4431+1007+8</f>
        <v>5561</v>
      </c>
      <c r="C3" s="1">
        <f>1592+4986+4+1281</f>
        <v>7863</v>
      </c>
      <c r="D3" s="1">
        <f>2607+3489+1550</f>
        <v>7646</v>
      </c>
      <c r="E3" s="1">
        <f>983+2918</f>
        <v>3901</v>
      </c>
      <c r="F3" s="1">
        <f>268+3928</f>
        <v>4196</v>
      </c>
      <c r="G3" s="1">
        <f>394+3373</f>
        <v>3767</v>
      </c>
      <c r="H3" s="1">
        <f>1910+3202</f>
        <v>5112</v>
      </c>
      <c r="K3" t="s">
        <v>3</v>
      </c>
      <c r="L3" s="3">
        <f>SUM(B13:H13)</f>
        <v>10691</v>
      </c>
      <c r="M3" s="9">
        <f t="shared" ref="M3:M8" si="0">L3/$L$1</f>
        <v>0.12275665683021207</v>
      </c>
    </row>
    <row r="4" spans="1:13" x14ac:dyDescent="0.2">
      <c r="A4" t="s">
        <v>124</v>
      </c>
      <c r="B4" s="1">
        <f>725+443+23+23+227+262+52+28+47+32</f>
        <v>1862</v>
      </c>
      <c r="C4" s="1">
        <f>9530-C3+31</f>
        <v>1698</v>
      </c>
      <c r="D4" s="1">
        <f>9595-D3+35</f>
        <v>1984</v>
      </c>
      <c r="E4" s="1">
        <f>7754-E3+19</f>
        <v>3872</v>
      </c>
      <c r="F4" s="1">
        <f>8280-F3+18</f>
        <v>4102</v>
      </c>
      <c r="G4" s="1">
        <f>7615-G3+33</f>
        <v>3881</v>
      </c>
      <c r="H4" s="1">
        <f>9247-H3+13</f>
        <v>4148</v>
      </c>
      <c r="L4" s="3"/>
      <c r="M4" s="9"/>
    </row>
    <row r="5" spans="1:13" x14ac:dyDescent="0.2">
      <c r="A5" t="s">
        <v>8</v>
      </c>
      <c r="B5" s="1">
        <f>3740-B3-B4</f>
        <v>-3683</v>
      </c>
      <c r="C5" s="1">
        <f>3981-C3-C4</f>
        <v>-5580</v>
      </c>
      <c r="D5" s="1">
        <f>4138-D3-D4</f>
        <v>-5492</v>
      </c>
      <c r="E5" s="1">
        <f>2951-E3-E4</f>
        <v>-4822</v>
      </c>
      <c r="F5" s="1">
        <f>2900-F3-F4</f>
        <v>-5398</v>
      </c>
      <c r="G5" s="1">
        <f>3281-G3-G4</f>
        <v>-4367</v>
      </c>
      <c r="H5" s="1">
        <f>3987-H3-H4</f>
        <v>-5273</v>
      </c>
      <c r="K5" t="s">
        <v>67</v>
      </c>
      <c r="L5" s="3">
        <f>SUM(B3:H4)+SUM(B7:H7)+SUM(B8:H8)</f>
        <v>66197</v>
      </c>
      <c r="M5" s="9">
        <f t="shared" si="0"/>
        <v>0.76009002078285925</v>
      </c>
    </row>
    <row r="6" spans="1:13" x14ac:dyDescent="0.2">
      <c r="A6" t="s">
        <v>23</v>
      </c>
      <c r="B6" s="1">
        <v>-912</v>
      </c>
      <c r="C6" s="1">
        <v>-2035</v>
      </c>
      <c r="D6" s="1">
        <v>-611</v>
      </c>
      <c r="E6" s="1">
        <v>-816</v>
      </c>
      <c r="F6" s="1">
        <v>-324</v>
      </c>
      <c r="G6" s="1">
        <v>1291</v>
      </c>
      <c r="H6" s="1">
        <v>-431</v>
      </c>
      <c r="I6" s="1">
        <v>17507</v>
      </c>
      <c r="K6" t="s">
        <v>97</v>
      </c>
      <c r="L6" s="3">
        <f>SUM(B9:H9)</f>
        <v>1526</v>
      </c>
      <c r="M6" s="9">
        <f>L6/$L$1</f>
        <v>1.7521902377972465E-2</v>
      </c>
    </row>
    <row r="7" spans="1:13" x14ac:dyDescent="0.2">
      <c r="A7" t="s">
        <v>90</v>
      </c>
      <c r="B7" s="1">
        <v>5892</v>
      </c>
      <c r="C7" s="1">
        <v>-3019</v>
      </c>
      <c r="D7" s="1">
        <v>-561</v>
      </c>
      <c r="E7" s="1">
        <v>-627</v>
      </c>
      <c r="F7" s="1">
        <v>-1822</v>
      </c>
      <c r="G7" s="1">
        <v>-1407</v>
      </c>
      <c r="H7" s="1">
        <v>465</v>
      </c>
      <c r="K7" t="s">
        <v>98</v>
      </c>
      <c r="L7" s="3">
        <f>SUM(B10:H10)</f>
        <v>1616</v>
      </c>
      <c r="M7" s="9">
        <f t="shared" si="0"/>
        <v>1.8555304222020647E-2</v>
      </c>
    </row>
    <row r="8" spans="1:13" x14ac:dyDescent="0.2">
      <c r="A8" t="s">
        <v>89</v>
      </c>
      <c r="B8" s="1">
        <v>764</v>
      </c>
      <c r="C8" s="1">
        <v>4595</v>
      </c>
      <c r="D8" s="1">
        <v>703</v>
      </c>
      <c r="E8" s="1">
        <v>1441</v>
      </c>
      <c r="F8" s="1">
        <v>1129</v>
      </c>
      <c r="G8" s="1">
        <v>-542</v>
      </c>
      <c r="H8" s="1">
        <v>-407</v>
      </c>
      <c r="K8" t="s">
        <v>130</v>
      </c>
      <c r="L8" s="3">
        <f>SUM(B11:H12)</f>
        <v>5913</v>
      </c>
      <c r="M8" s="9">
        <f t="shared" si="0"/>
        <v>6.7894501153965392E-2</v>
      </c>
    </row>
    <row r="9" spans="1:13" x14ac:dyDescent="0.2">
      <c r="A9" t="s">
        <v>91</v>
      </c>
      <c r="B9" s="1"/>
      <c r="C9" s="1"/>
      <c r="D9" s="1"/>
      <c r="E9" s="1">
        <v>0</v>
      </c>
      <c r="F9" s="1">
        <f>676+77+608</f>
        <v>1361</v>
      </c>
      <c r="G9" s="1">
        <v>54</v>
      </c>
      <c r="H9" s="1">
        <v>111</v>
      </c>
    </row>
    <row r="10" spans="1:13" x14ac:dyDescent="0.2">
      <c r="A10" t="s">
        <v>92</v>
      </c>
      <c r="B10" s="1">
        <v>127</v>
      </c>
      <c r="C10" s="1">
        <v>266</v>
      </c>
      <c r="D10" s="1">
        <v>307</v>
      </c>
      <c r="E10" s="1">
        <v>242</v>
      </c>
      <c r="F10" s="1">
        <v>247</v>
      </c>
      <c r="G10" s="1">
        <v>407</v>
      </c>
      <c r="H10" s="1">
        <v>20</v>
      </c>
      <c r="K10" t="s">
        <v>6</v>
      </c>
      <c r="L10" s="3">
        <f>SUM(L11:L15)</f>
        <v>-85425</v>
      </c>
    </row>
    <row r="11" spans="1:13" x14ac:dyDescent="0.2">
      <c r="A11" t="s">
        <v>93</v>
      </c>
      <c r="B11" s="1"/>
      <c r="C11" s="1">
        <v>-213</v>
      </c>
      <c r="D11" s="1">
        <v>-217</v>
      </c>
      <c r="E11" s="1">
        <f>-256+15</f>
        <v>-241</v>
      </c>
      <c r="F11" s="1">
        <f>280+35</f>
        <v>315</v>
      </c>
      <c r="G11" s="1">
        <v>242</v>
      </c>
      <c r="H11" s="1">
        <v>-456</v>
      </c>
      <c r="K11" t="s">
        <v>8</v>
      </c>
      <c r="L11" s="3">
        <f>SUM(B5:H5)+SUM(B6:H6)</f>
        <v>-38453</v>
      </c>
      <c r="M11" s="9">
        <f t="shared" ref="M11:M12" si="1">L11/$L$1</f>
        <v>-0.4415266789909405</v>
      </c>
    </row>
    <row r="12" spans="1:13" x14ac:dyDescent="0.2">
      <c r="A12" t="s">
        <v>33</v>
      </c>
      <c r="B12" s="1">
        <f>15125-18234</f>
        <v>-3109</v>
      </c>
      <c r="C12" s="1">
        <f>4867-399</f>
        <v>4468</v>
      </c>
      <c r="D12" s="1">
        <f>630-701</f>
        <v>-71</v>
      </c>
      <c r="E12" s="1">
        <f>3467-324</f>
        <v>3143</v>
      </c>
      <c r="F12" s="1">
        <f>2217-524</f>
        <v>1693</v>
      </c>
      <c r="G12" s="1">
        <f>432-144</f>
        <v>288</v>
      </c>
      <c r="H12" s="1">
        <f>119-48</f>
        <v>71</v>
      </c>
      <c r="K12" t="s">
        <v>20</v>
      </c>
      <c r="L12" s="3">
        <f>SUM(B19:H19)</f>
        <v>-16293</v>
      </c>
      <c r="M12" s="9">
        <f t="shared" si="1"/>
        <v>-0.18708018050085543</v>
      </c>
    </row>
    <row r="13" spans="1:13" x14ac:dyDescent="0.2">
      <c r="A13" t="s">
        <v>44</v>
      </c>
      <c r="B13" s="1">
        <f>1067+11098-6140-643</f>
        <v>5382</v>
      </c>
      <c r="C13" s="1">
        <f>500+9284-7468</f>
        <v>2316</v>
      </c>
      <c r="D13" s="1">
        <f>-300+6429-5054</f>
        <v>1075</v>
      </c>
      <c r="E13" s="1">
        <f>-1025+8595-7834</f>
        <v>-264</v>
      </c>
      <c r="F13" s="1">
        <f>-670+8902-10448</f>
        <v>-2216</v>
      </c>
      <c r="G13" s="1">
        <f>918+6724-5424+68</f>
        <v>2286</v>
      </c>
      <c r="H13" s="1">
        <f>1375-562+11193-9503-391</f>
        <v>2112</v>
      </c>
      <c r="K13" t="s">
        <v>54</v>
      </c>
      <c r="L13" s="3">
        <f>SUM(B20:H20)</f>
        <v>-20673</v>
      </c>
      <c r="M13" s="9">
        <f>L13/$L$1</f>
        <v>-0.23737240357786682</v>
      </c>
    </row>
    <row r="14" spans="1:13" x14ac:dyDescent="0.2">
      <c r="A14" t="s">
        <v>1</v>
      </c>
      <c r="B14" s="1"/>
      <c r="C14" s="1">
        <v>132</v>
      </c>
      <c r="D14" s="1">
        <v>105</v>
      </c>
      <c r="E14" s="1">
        <v>139</v>
      </c>
      <c r="F14" s="1">
        <v>1515</v>
      </c>
      <c r="G14" s="1">
        <v>0</v>
      </c>
      <c r="H14" s="1">
        <v>91</v>
      </c>
      <c r="K14" t="s">
        <v>58</v>
      </c>
      <c r="L14" s="3">
        <f>SUM(B21:H21)</f>
        <v>-4617</v>
      </c>
      <c r="M14" s="9">
        <f t="shared" ref="M14:M15" si="2">L14/$L$1</f>
        <v>-5.3013514599671609E-2</v>
      </c>
    </row>
    <row r="15" spans="1:13" x14ac:dyDescent="0.2">
      <c r="A15" t="s">
        <v>96</v>
      </c>
      <c r="B15" s="1">
        <f>4524</f>
        <v>4524</v>
      </c>
      <c r="C15" s="1">
        <f>-4109-1238</f>
        <v>-5347</v>
      </c>
      <c r="D15" s="1">
        <v>-11</v>
      </c>
      <c r="E15" s="1"/>
      <c r="F15" s="1"/>
      <c r="G15" s="1"/>
      <c r="H15" s="1"/>
      <c r="K15" t="s">
        <v>99</v>
      </c>
      <c r="L15" s="3">
        <f>SUM(B18:H18)</f>
        <v>-5389</v>
      </c>
      <c r="M15" s="9">
        <f t="shared" si="2"/>
        <v>-6.1877805973062659E-2</v>
      </c>
    </row>
    <row r="16" spans="1:13" x14ac:dyDescent="0.2">
      <c r="B16" s="1"/>
      <c r="C16" s="1"/>
      <c r="D16" s="1"/>
      <c r="E16" s="1"/>
      <c r="F16" s="1"/>
      <c r="G16" s="1"/>
      <c r="H16" s="1"/>
    </row>
    <row r="17" spans="1:8" x14ac:dyDescent="0.2">
      <c r="B17" s="1"/>
      <c r="C17" s="1"/>
      <c r="D17" s="1"/>
      <c r="E17" s="1"/>
      <c r="F17" s="1"/>
      <c r="G17" s="1"/>
      <c r="H17" s="1"/>
    </row>
    <row r="18" spans="1:8" x14ac:dyDescent="0.2">
      <c r="A18" t="s">
        <v>15</v>
      </c>
      <c r="B18" s="1">
        <v>-856</v>
      </c>
      <c r="C18" s="1">
        <v>-747</v>
      </c>
      <c r="D18" s="1">
        <v>-1150</v>
      </c>
      <c r="E18" s="1">
        <v>-940</v>
      </c>
      <c r="F18" s="1">
        <v>-416</v>
      </c>
      <c r="G18" s="1">
        <v>-640</v>
      </c>
      <c r="H18" s="1">
        <v>-640</v>
      </c>
    </row>
    <row r="19" spans="1:8" x14ac:dyDescent="0.2">
      <c r="A19" t="s">
        <v>20</v>
      </c>
      <c r="B19" s="1">
        <f>583-13908</f>
        <v>-13325</v>
      </c>
      <c r="C19" s="1">
        <f>414-1101</f>
        <v>-687</v>
      </c>
      <c r="D19" s="1">
        <f>534-576</f>
        <v>-42</v>
      </c>
      <c r="E19" s="1">
        <f>170-1319</f>
        <v>-1149</v>
      </c>
      <c r="F19" s="1">
        <f>1258-949</f>
        <v>309</v>
      </c>
      <c r="G19" s="1">
        <f>30-870</f>
        <v>-840</v>
      </c>
      <c r="H19" s="1">
        <f>60-619</f>
        <v>-559</v>
      </c>
    </row>
    <row r="20" spans="1:8" x14ac:dyDescent="0.2">
      <c r="A20" t="s">
        <v>14</v>
      </c>
      <c r="B20" s="1">
        <v>-2103</v>
      </c>
      <c r="C20" s="1">
        <v>-2591</v>
      </c>
      <c r="D20" s="1">
        <v>-3013</v>
      </c>
      <c r="E20" s="1">
        <v>-3243</v>
      </c>
      <c r="F20" s="1">
        <v>-3224</v>
      </c>
      <c r="G20" s="1">
        <v>-3177</v>
      </c>
      <c r="H20" s="1">
        <v>-3322</v>
      </c>
    </row>
    <row r="21" spans="1:8" x14ac:dyDescent="0.2">
      <c r="A21" t="s">
        <v>7</v>
      </c>
      <c r="B21" s="1">
        <f>-(354+29)</f>
        <v>-383</v>
      </c>
      <c r="C21" s="1">
        <f>-(830+83)</f>
        <v>-913</v>
      </c>
      <c r="D21" s="1">
        <f>-(511+85)</f>
        <v>-596</v>
      </c>
      <c r="E21" s="1">
        <f>-(502+81)</f>
        <v>-583</v>
      </c>
      <c r="F21" s="1">
        <f>-(518+88)</f>
        <v>-606</v>
      </c>
      <c r="G21" s="1">
        <v>-657</v>
      </c>
      <c r="H21" s="1">
        <f>-(727+152)</f>
        <v>-879</v>
      </c>
    </row>
    <row r="22" spans="1:8" x14ac:dyDescent="0.2">
      <c r="B22" s="1"/>
      <c r="C22" s="1"/>
      <c r="D22" s="1"/>
      <c r="E22" s="1"/>
      <c r="F22" s="1"/>
      <c r="G22" s="1"/>
      <c r="H22" s="1"/>
    </row>
    <row r="23" spans="1:8" x14ac:dyDescent="0.2">
      <c r="A23" t="s">
        <v>88</v>
      </c>
      <c r="B23" s="1">
        <f>SUM(B3:B4)</f>
        <v>7423</v>
      </c>
      <c r="C23" s="1">
        <f t="shared" ref="C23:H23" si="3">SUM(C3:C4)</f>
        <v>9561</v>
      </c>
      <c r="D23" s="1">
        <f t="shared" si="3"/>
        <v>9630</v>
      </c>
      <c r="E23" s="1">
        <f t="shared" si="3"/>
        <v>7773</v>
      </c>
      <c r="F23" s="1">
        <f t="shared" si="3"/>
        <v>8298</v>
      </c>
      <c r="G23" s="1">
        <f t="shared" si="3"/>
        <v>7648</v>
      </c>
      <c r="H23" s="1">
        <f t="shared" si="3"/>
        <v>9260</v>
      </c>
    </row>
    <row r="24" spans="1:8" x14ac:dyDescent="0.2">
      <c r="A24" t="s">
        <v>114</v>
      </c>
      <c r="B24" s="1">
        <f>30432+628</f>
        <v>31060</v>
      </c>
      <c r="C24" s="1">
        <f>26332+575</f>
        <v>26907</v>
      </c>
      <c r="D24" s="1">
        <f>27236+421</f>
        <v>27657</v>
      </c>
      <c r="E24" s="1">
        <f>27528+402</f>
        <v>27930</v>
      </c>
      <c r="F24" s="1">
        <f>29194+202</f>
        <v>29396</v>
      </c>
      <c r="G24" s="1">
        <f>27369+1799+175</f>
        <v>29343</v>
      </c>
      <c r="H24" s="1">
        <f>27360+1597+112</f>
        <v>29069</v>
      </c>
    </row>
    <row r="25" spans="1:8" x14ac:dyDescent="0.2">
      <c r="A25" t="s">
        <v>85</v>
      </c>
      <c r="B25" s="1">
        <f>16558+11129</f>
        <v>27687</v>
      </c>
      <c r="C25" s="1">
        <f>17849+23+10086+148</f>
        <v>28106</v>
      </c>
      <c r="D25" s="1">
        <f>18619+95+8874+119</f>
        <v>27707</v>
      </c>
      <c r="E25" s="1">
        <f>18071+216+7736+98</f>
        <v>26121</v>
      </c>
      <c r="F25" s="1">
        <f>17434+204+5867+111</f>
        <v>23616</v>
      </c>
      <c r="G25" s="1">
        <f>18212+201+5730+171</f>
        <v>24314</v>
      </c>
      <c r="H25" s="1">
        <f>20494+195+3637+231</f>
        <v>24557</v>
      </c>
    </row>
    <row r="26" spans="1:8" x14ac:dyDescent="0.2">
      <c r="A26" t="s">
        <v>123</v>
      </c>
      <c r="B26" s="1"/>
      <c r="C26" s="1">
        <v>1384</v>
      </c>
      <c r="D26" s="1">
        <v>1625</v>
      </c>
      <c r="E26" s="1">
        <v>1562</v>
      </c>
      <c r="F26" s="1">
        <v>1197</v>
      </c>
      <c r="G26" s="1">
        <v>1206</v>
      </c>
      <c r="H26" s="1">
        <v>1063</v>
      </c>
    </row>
    <row r="27" spans="1:8" x14ac:dyDescent="0.2">
      <c r="A27" t="s">
        <v>128</v>
      </c>
      <c r="B27" s="1"/>
      <c r="C27" s="1">
        <v>163</v>
      </c>
      <c r="D27" s="1">
        <v>335</v>
      </c>
      <c r="E27" s="1">
        <v>656</v>
      </c>
      <c r="F27" s="1">
        <v>1018</v>
      </c>
      <c r="G27" s="1">
        <v>1713</v>
      </c>
      <c r="H27" s="1">
        <v>2124</v>
      </c>
    </row>
    <row r="28" spans="1:8" x14ac:dyDescent="0.2">
      <c r="A28" t="s">
        <v>60</v>
      </c>
      <c r="B28" s="1"/>
      <c r="C28" s="1">
        <v>2017</v>
      </c>
      <c r="D28" s="1">
        <v>3146</v>
      </c>
      <c r="E28" s="1">
        <v>3658</v>
      </c>
      <c r="F28" s="1">
        <v>3822</v>
      </c>
      <c r="G28" s="1">
        <v>4590</v>
      </c>
      <c r="H28" s="1">
        <v>4921</v>
      </c>
    </row>
    <row r="29" spans="1:8" x14ac:dyDescent="0.2">
      <c r="A29" t="s">
        <v>129</v>
      </c>
      <c r="B29" s="1"/>
      <c r="C29" s="1">
        <v>188</v>
      </c>
      <c r="D29" s="1">
        <v>144</v>
      </c>
      <c r="E29" s="1">
        <v>86</v>
      </c>
      <c r="F29" s="1">
        <v>51</v>
      </c>
      <c r="G29" s="1">
        <v>172</v>
      </c>
      <c r="H29" s="1">
        <v>201</v>
      </c>
    </row>
    <row r="30" spans="1:8" x14ac:dyDescent="0.2">
      <c r="A30" t="s">
        <v>33</v>
      </c>
      <c r="B30" s="1">
        <v>5505</v>
      </c>
      <c r="C30" s="1">
        <v>715</v>
      </c>
      <c r="D30" s="1">
        <v>973</v>
      </c>
      <c r="E30" s="1">
        <v>1011</v>
      </c>
      <c r="F30" s="1">
        <v>375</v>
      </c>
      <c r="G30" s="1">
        <v>520</v>
      </c>
      <c r="H30" s="1">
        <v>875</v>
      </c>
    </row>
    <row r="31" spans="1:8" x14ac:dyDescent="0.2">
      <c r="A31" t="s">
        <v>116</v>
      </c>
      <c r="B31" s="1">
        <v>27306</v>
      </c>
      <c r="C31" s="1">
        <v>28243</v>
      </c>
      <c r="D31" s="1">
        <v>29459</v>
      </c>
      <c r="E31" s="1">
        <v>31532</v>
      </c>
      <c r="F31" s="1">
        <v>34423</v>
      </c>
      <c r="G31" s="1">
        <v>33949</v>
      </c>
      <c r="H31" s="1">
        <v>33822</v>
      </c>
    </row>
    <row r="32" spans="1:8" x14ac:dyDescent="0.2">
      <c r="A32" t="s">
        <v>117</v>
      </c>
      <c r="B32" s="1">
        <v>8777</v>
      </c>
      <c r="C32" s="1">
        <f>13129-3344-2338</f>
        <v>7447</v>
      </c>
      <c r="D32" s="1">
        <f>16538-3399-4843</f>
        <v>8296</v>
      </c>
      <c r="E32" s="1">
        <f>18850-3536-5724</f>
        <v>9590</v>
      </c>
      <c r="F32" s="1">
        <f>19257-3004-5751</f>
        <v>10502</v>
      </c>
      <c r="G32" s="1">
        <f>16726-3072-3793</f>
        <v>9861</v>
      </c>
      <c r="H32" s="1">
        <f>13882-2680-2357</f>
        <v>8845</v>
      </c>
    </row>
    <row r="33" spans="1:14" x14ac:dyDescent="0.2">
      <c r="A33" t="s">
        <v>118</v>
      </c>
      <c r="B33" s="1">
        <f>B31-B32</f>
        <v>18529</v>
      </c>
      <c r="C33" s="1">
        <f t="shared" ref="C33:H33" si="4">C31-C32</f>
        <v>20796</v>
      </c>
      <c r="D33" s="1">
        <f t="shared" si="4"/>
        <v>21163</v>
      </c>
      <c r="E33" s="1">
        <f t="shared" si="4"/>
        <v>21942</v>
      </c>
      <c r="F33" s="1">
        <f t="shared" si="4"/>
        <v>23921</v>
      </c>
      <c r="G33" s="1">
        <f t="shared" si="4"/>
        <v>24088</v>
      </c>
      <c r="H33" s="1">
        <f t="shared" si="4"/>
        <v>24977</v>
      </c>
    </row>
    <row r="34" spans="1:14" x14ac:dyDescent="0.2">
      <c r="A34" t="s">
        <v>115</v>
      </c>
      <c r="B34" s="1">
        <f>B25+B30+B33</f>
        <v>51721</v>
      </c>
      <c r="C34" s="1">
        <f>SUM(C25:C30)+C33</f>
        <v>53369</v>
      </c>
      <c r="D34" s="1">
        <f t="shared" ref="D34:H34" si="5">SUM(D25:D30)+D33</f>
        <v>55093</v>
      </c>
      <c r="E34" s="1">
        <f t="shared" si="5"/>
        <v>55036</v>
      </c>
      <c r="F34" s="1">
        <f t="shared" si="5"/>
        <v>54000</v>
      </c>
      <c r="G34" s="1">
        <f t="shared" si="5"/>
        <v>56603</v>
      </c>
      <c r="H34" s="1">
        <f t="shared" si="5"/>
        <v>58718</v>
      </c>
    </row>
    <row r="35" spans="1:14" x14ac:dyDescent="0.2">
      <c r="A35" t="s">
        <v>119</v>
      </c>
      <c r="B35" s="1">
        <v>1802</v>
      </c>
      <c r="C35" s="1">
        <v>1541</v>
      </c>
      <c r="D35" s="1">
        <v>1178</v>
      </c>
      <c r="E35" s="1">
        <v>685</v>
      </c>
      <c r="F35" s="1">
        <v>611</v>
      </c>
      <c r="G35" s="1">
        <v>465</v>
      </c>
      <c r="H35" s="1">
        <f>534-35</f>
        <v>499</v>
      </c>
      <c r="I35" s="3">
        <f>SUM(B35:H35)</f>
        <v>6781</v>
      </c>
    </row>
    <row r="36" spans="1:14" x14ac:dyDescent="0.2">
      <c r="A36" t="s">
        <v>120</v>
      </c>
      <c r="B36" s="2">
        <f>B35/B23</f>
        <v>0.24275899232116396</v>
      </c>
      <c r="C36" s="2">
        <f>C35/C23</f>
        <v>0.16117560924589477</v>
      </c>
      <c r="D36" s="2">
        <f t="shared" ref="D36:H36" si="6">D35/D23</f>
        <v>0.12232606438213915</v>
      </c>
      <c r="E36" s="2">
        <f t="shared" si="6"/>
        <v>8.8125562845748101E-2</v>
      </c>
      <c r="F36" s="2">
        <f t="shared" si="6"/>
        <v>7.3632200530248257E-2</v>
      </c>
      <c r="G36" s="2">
        <f t="shared" si="6"/>
        <v>6.0800209205020918E-2</v>
      </c>
      <c r="H36" s="9">
        <f t="shared" si="6"/>
        <v>5.3887688984881207E-2</v>
      </c>
    </row>
    <row r="37" spans="1:14" x14ac:dyDescent="0.2">
      <c r="A37" t="s">
        <v>121</v>
      </c>
      <c r="B37" s="10">
        <f>B23/B34</f>
        <v>0.14352004021577308</v>
      </c>
      <c r="C37" s="10">
        <f t="shared" ref="C37:H37" si="7">C23/C34</f>
        <v>0.17914894414360397</v>
      </c>
      <c r="D37" s="10">
        <f t="shared" si="7"/>
        <v>0.17479534605122249</v>
      </c>
      <c r="E37" s="10">
        <f t="shared" si="7"/>
        <v>0.14123482811250818</v>
      </c>
      <c r="F37" s="10">
        <f t="shared" si="7"/>
        <v>0.15366666666666667</v>
      </c>
      <c r="G37" s="10">
        <f t="shared" si="7"/>
        <v>0.13511651325901455</v>
      </c>
      <c r="H37" s="10">
        <f t="shared" si="7"/>
        <v>0.15770291903675193</v>
      </c>
    </row>
    <row r="38" spans="1:14" x14ac:dyDescent="0.2">
      <c r="A38" t="s">
        <v>82</v>
      </c>
      <c r="B38" s="10">
        <f>B34/B24</f>
        <v>1.665196394075982</v>
      </c>
      <c r="C38" s="10">
        <f t="shared" ref="C38:H38" si="8">C34/C24</f>
        <v>1.9834615527557884</v>
      </c>
      <c r="D38" s="10">
        <f t="shared" si="8"/>
        <v>1.9920092562461582</v>
      </c>
      <c r="E38" s="10">
        <f t="shared" si="8"/>
        <v>1.9704976727533119</v>
      </c>
      <c r="F38" s="10">
        <f t="shared" si="8"/>
        <v>1.8369846237583345</v>
      </c>
      <c r="G38" s="10">
        <f t="shared" si="8"/>
        <v>1.9290120301264355</v>
      </c>
      <c r="H38" s="10">
        <f t="shared" si="8"/>
        <v>2.0199525267467062</v>
      </c>
    </row>
    <row r="39" spans="1:14" x14ac:dyDescent="0.2">
      <c r="A39" t="s">
        <v>122</v>
      </c>
      <c r="B39" s="2">
        <f>B36*B37*B38</f>
        <v>5.8016741790083703E-2</v>
      </c>
      <c r="C39" s="2">
        <f t="shared" ref="C39:H39" si="9">C36*C37*C38</f>
        <v>5.7271342029955027E-2</v>
      </c>
      <c r="D39" s="2">
        <f t="shared" si="9"/>
        <v>4.2593195212785193E-2</v>
      </c>
      <c r="E39" s="2">
        <f t="shared" si="9"/>
        <v>2.4525599713569636E-2</v>
      </c>
      <c r="F39" s="2">
        <f t="shared" si="9"/>
        <v>2.0785140835487822E-2</v>
      </c>
      <c r="G39" s="2">
        <f t="shared" si="9"/>
        <v>1.5847050403844189E-2</v>
      </c>
      <c r="H39" s="9">
        <f t="shared" si="9"/>
        <v>1.7166053183804052E-2</v>
      </c>
    </row>
    <row r="40" spans="1:14" x14ac:dyDescent="0.2">
      <c r="A40" t="s">
        <v>149</v>
      </c>
      <c r="B40" s="12">
        <f>0.85+4+0.76+0.5+4+0.16</f>
        <v>10.27</v>
      </c>
      <c r="C40" s="12">
        <v>9.9</v>
      </c>
      <c r="D40" s="12">
        <v>9.9</v>
      </c>
      <c r="E40" s="12">
        <f>1.07+0.88+2.5+0.63+2.14+2.5+0.17</f>
        <v>9.89</v>
      </c>
      <c r="F40" s="12">
        <f>1.35+2.5+0.2+0.63+2.15+2.5+0.17</f>
        <v>9.5</v>
      </c>
      <c r="G40" s="12">
        <f>4.45+6.18</f>
        <v>10.629999999999999</v>
      </c>
      <c r="H40" s="12">
        <v>8.8000000000000007</v>
      </c>
      <c r="I40" s="13">
        <f>SUM(B40:H40)</f>
        <v>68.89</v>
      </c>
      <c r="J40" s="9">
        <f>I40/I35</f>
        <v>1.0159268544462469E-2</v>
      </c>
    </row>
    <row r="42" spans="1:14" x14ac:dyDescent="0.2">
      <c r="A42" t="s">
        <v>132</v>
      </c>
      <c r="K42" t="s">
        <v>1</v>
      </c>
    </row>
    <row r="43" spans="1:14" x14ac:dyDescent="0.2">
      <c r="A43" t="s">
        <v>139</v>
      </c>
      <c r="B43" s="3">
        <f>H25</f>
        <v>24557</v>
      </c>
      <c r="E43" t="s">
        <v>23</v>
      </c>
      <c r="F43" s="3">
        <f>B52</f>
        <v>17507</v>
      </c>
      <c r="G43" s="2">
        <f>F43/$D$56</f>
        <v>0.25912111658748133</v>
      </c>
      <c r="K43" t="s">
        <v>114</v>
      </c>
      <c r="L43" s="3">
        <f>H24</f>
        <v>29069</v>
      </c>
      <c r="M43" s="3">
        <f>L43</f>
        <v>29069</v>
      </c>
      <c r="N43" s="2">
        <f>M43/D56</f>
        <v>0.43025028491926054</v>
      </c>
    </row>
    <row r="44" spans="1:14" x14ac:dyDescent="0.2">
      <c r="A44" t="s">
        <v>123</v>
      </c>
      <c r="B44" s="3">
        <f>H26</f>
        <v>1063</v>
      </c>
      <c r="E44" t="s">
        <v>139</v>
      </c>
      <c r="F44" s="3">
        <f>B43</f>
        <v>24557</v>
      </c>
      <c r="G44" s="2">
        <f t="shared" ref="G44:G48" si="10">F44/$D$56</f>
        <v>0.3634681704483223</v>
      </c>
    </row>
    <row r="45" spans="1:14" x14ac:dyDescent="0.2">
      <c r="A45" t="s">
        <v>128</v>
      </c>
      <c r="B45" s="3">
        <f>H27</f>
        <v>2124</v>
      </c>
      <c r="E45" t="s">
        <v>33</v>
      </c>
      <c r="F45" s="3">
        <f>B46+B51</f>
        <v>971</v>
      </c>
      <c r="G45" s="2">
        <f t="shared" si="10"/>
        <v>1.4371771531755546E-2</v>
      </c>
      <c r="K45" t="s">
        <v>3</v>
      </c>
    </row>
    <row r="46" spans="1:14" x14ac:dyDescent="0.2">
      <c r="A46" t="s">
        <v>33</v>
      </c>
      <c r="B46" s="3">
        <v>875</v>
      </c>
      <c r="E46" t="s">
        <v>60</v>
      </c>
      <c r="F46" s="3">
        <f>B47+B55</f>
        <v>7125</v>
      </c>
      <c r="G46" s="2">
        <f t="shared" si="10"/>
        <v>0.10545712890191376</v>
      </c>
      <c r="K46" t="s">
        <v>141</v>
      </c>
      <c r="L46">
        <f>21857+2357</f>
        <v>24214</v>
      </c>
    </row>
    <row r="47" spans="1:14" x14ac:dyDescent="0.2">
      <c r="A47" t="s">
        <v>60</v>
      </c>
      <c r="B47" s="3">
        <f>H28</f>
        <v>4921</v>
      </c>
      <c r="E47" t="s">
        <v>135</v>
      </c>
      <c r="F47" s="3">
        <f>B54</f>
        <v>3371</v>
      </c>
      <c r="G47" s="2">
        <f t="shared" si="10"/>
        <v>4.9894172846084398E-2</v>
      </c>
      <c r="K47" t="s">
        <v>142</v>
      </c>
      <c r="L47">
        <v>2680</v>
      </c>
      <c r="M47" s="1">
        <f>L46+L47</f>
        <v>26894</v>
      </c>
      <c r="N47" s="2">
        <f>M47/D56</f>
        <v>0.39805810872815001</v>
      </c>
    </row>
    <row r="48" spans="1:14" x14ac:dyDescent="0.2">
      <c r="A48" t="s">
        <v>136</v>
      </c>
      <c r="B48" s="3">
        <f>H29</f>
        <v>201</v>
      </c>
      <c r="C48" s="3">
        <f>SUM(B43:B48)</f>
        <v>33741</v>
      </c>
      <c r="E48" t="s">
        <v>136</v>
      </c>
      <c r="F48" s="3">
        <f>D56-SUM(F43:F47)</f>
        <v>14032</v>
      </c>
      <c r="G48" s="2">
        <f>F48/$D$56</f>
        <v>0.20768763968444268</v>
      </c>
    </row>
    <row r="49" spans="1:14" x14ac:dyDescent="0.2">
      <c r="K49" t="s">
        <v>138</v>
      </c>
      <c r="L49" s="3">
        <f>D56-M43-M47</f>
        <v>11600</v>
      </c>
      <c r="M49" s="3">
        <f>L49</f>
        <v>11600</v>
      </c>
      <c r="N49" s="2">
        <f>M49/D56</f>
        <v>0.17169160635258943</v>
      </c>
    </row>
    <row r="50" spans="1:14" x14ac:dyDescent="0.2">
      <c r="A50" t="s">
        <v>116</v>
      </c>
      <c r="E50" t="s">
        <v>145</v>
      </c>
      <c r="F50">
        <v>27800</v>
      </c>
      <c r="G50" s="6"/>
    </row>
    <row r="51" spans="1:14" x14ac:dyDescent="0.2">
      <c r="A51" t="s">
        <v>33</v>
      </c>
      <c r="B51" s="1">
        <v>96</v>
      </c>
      <c r="C51" s="1"/>
      <c r="E51" t="s">
        <v>150</v>
      </c>
      <c r="F51" s="10">
        <f>F50/D56</f>
        <v>0.41146781522430914</v>
      </c>
    </row>
    <row r="52" spans="1:14" x14ac:dyDescent="0.2">
      <c r="A52" t="s">
        <v>35</v>
      </c>
      <c r="B52" s="1">
        <v>17507</v>
      </c>
      <c r="C52" s="1"/>
      <c r="E52" t="s">
        <v>151</v>
      </c>
      <c r="F52" s="10">
        <f>F50/H24</f>
        <v>0.95634524751453442</v>
      </c>
    </row>
    <row r="53" spans="1:14" x14ac:dyDescent="0.2">
      <c r="A53" t="s">
        <v>140</v>
      </c>
      <c r="B53" s="1">
        <v>1656</v>
      </c>
      <c r="C53" s="1"/>
      <c r="E53" t="s">
        <v>152</v>
      </c>
      <c r="F53" s="10">
        <f>F50/H35</f>
        <v>55.711422845691381</v>
      </c>
    </row>
    <row r="54" spans="1:14" x14ac:dyDescent="0.2">
      <c r="A54" t="s">
        <v>135</v>
      </c>
      <c r="B54" s="1">
        <v>3371</v>
      </c>
      <c r="C54" s="1"/>
    </row>
    <row r="55" spans="1:14" x14ac:dyDescent="0.2">
      <c r="A55" t="s">
        <v>60</v>
      </c>
      <c r="B55" s="1">
        <v>2204</v>
      </c>
      <c r="C55" s="1"/>
    </row>
    <row r="56" spans="1:14" x14ac:dyDescent="0.2">
      <c r="A56" t="s">
        <v>136</v>
      </c>
      <c r="B56" s="1">
        <v>8988</v>
      </c>
      <c r="C56" s="1">
        <f>SUM(B51:B56)</f>
        <v>33822</v>
      </c>
      <c r="D56" s="3">
        <f>C48+C56</f>
        <v>67563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pane xSplit="1" ySplit="1" topLeftCell="B18" activePane="bottomRight" state="frozen"/>
      <selection pane="topRight" activeCell="B1" sqref="B1"/>
      <selection pane="bottomLeft" activeCell="A2" sqref="A2"/>
      <selection pane="bottomRight" activeCell="F50" sqref="F48:F50"/>
    </sheetView>
  </sheetViews>
  <sheetFormatPr baseColWidth="10" defaultColWidth="8.83203125" defaultRowHeight="15" x14ac:dyDescent="0.2"/>
  <cols>
    <col min="1" max="1" width="19" bestFit="1" customWidth="1"/>
    <col min="2" max="3" width="10.5" bestFit="1" customWidth="1"/>
    <col min="6" max="6" width="9.33203125" bestFit="1" customWidth="1"/>
    <col min="7" max="7" width="9.5" bestFit="1" customWidth="1"/>
    <col min="9" max="9" width="10.5" bestFit="1" customWidth="1"/>
    <col min="11" max="11" width="10.33203125" bestFit="1" customWidth="1"/>
  </cols>
  <sheetData>
    <row r="1" spans="1:16" x14ac:dyDescent="0.2">
      <c r="B1">
        <v>2010</v>
      </c>
      <c r="C1">
        <v>2011</v>
      </c>
      <c r="D1">
        <v>2012</v>
      </c>
      <c r="E1">
        <v>2013</v>
      </c>
      <c r="F1">
        <v>2014</v>
      </c>
      <c r="G1">
        <v>2015</v>
      </c>
      <c r="H1">
        <v>2016</v>
      </c>
      <c r="K1" t="s">
        <v>0</v>
      </c>
      <c r="L1" s="3">
        <f>SUM(L2:L6)</f>
        <v>12662</v>
      </c>
      <c r="O1">
        <v>3817</v>
      </c>
      <c r="P1" s="6">
        <f>O1/I5</f>
        <v>0.29184188393608074</v>
      </c>
    </row>
    <row r="2" spans="1:16" x14ac:dyDescent="0.2">
      <c r="A2" t="s">
        <v>88</v>
      </c>
      <c r="B2" s="1">
        <f>60+1431</f>
        <v>1491</v>
      </c>
      <c r="C2" s="1">
        <f>60+1760</f>
        <v>1820</v>
      </c>
      <c r="D2" s="1">
        <f>98+1856</f>
        <v>1954</v>
      </c>
      <c r="E2" s="1">
        <f>13+954</f>
        <v>967</v>
      </c>
      <c r="F2" s="1">
        <f>652+153</f>
        <v>805</v>
      </c>
      <c r="G2" s="1">
        <f>831+167</f>
        <v>998</v>
      </c>
      <c r="H2" s="1"/>
      <c r="K2" t="s">
        <v>1</v>
      </c>
      <c r="L2" s="3">
        <f>SUM(B10:H10)</f>
        <v>3680</v>
      </c>
      <c r="M2" s="9">
        <f>L2/$L$1</f>
        <v>0.29063339124940768</v>
      </c>
    </row>
    <row r="3" spans="1:16" x14ac:dyDescent="0.2">
      <c r="A3" t="s">
        <v>131</v>
      </c>
      <c r="B3" s="1">
        <f>1502-B2</f>
        <v>11</v>
      </c>
      <c r="C3" s="1">
        <f>1850-C2</f>
        <v>30</v>
      </c>
      <c r="D3" s="1">
        <f>39+17</f>
        <v>56</v>
      </c>
      <c r="E3" s="1">
        <v>58</v>
      </c>
      <c r="F3" s="1">
        <f>37+29</f>
        <v>66</v>
      </c>
      <c r="G3" s="1">
        <f>7+17</f>
        <v>24</v>
      </c>
      <c r="H3" s="1"/>
      <c r="L3" s="3"/>
      <c r="M3" s="9"/>
    </row>
    <row r="4" spans="1:16" x14ac:dyDescent="0.2">
      <c r="A4" t="s">
        <v>8</v>
      </c>
      <c r="B4" s="1">
        <f>819-B2-B3</f>
        <v>-683</v>
      </c>
      <c r="C4" s="1">
        <f>1125-C2-C3</f>
        <v>-725</v>
      </c>
      <c r="D4" s="1">
        <f>1506-D2-D3</f>
        <v>-504</v>
      </c>
      <c r="E4" s="1">
        <f>835-E2-E3</f>
        <v>-190</v>
      </c>
      <c r="F4" s="1">
        <f>895-F2-F3</f>
        <v>24</v>
      </c>
      <c r="G4" s="1">
        <f>813-G2-G3</f>
        <v>-209</v>
      </c>
      <c r="H4" s="1"/>
      <c r="K4" t="s">
        <v>67</v>
      </c>
      <c r="L4" s="3">
        <f>SUM(B2:H2)+SUM(B6:H8)</f>
        <v>8537</v>
      </c>
      <c r="M4" s="9">
        <f>L4/$L$1</f>
        <v>0.67422208181961774</v>
      </c>
    </row>
    <row r="5" spans="1:16" x14ac:dyDescent="0.2">
      <c r="A5" t="s">
        <v>23</v>
      </c>
      <c r="B5" s="1">
        <v>-1913</v>
      </c>
      <c r="C5" s="1">
        <v>-2659</v>
      </c>
      <c r="D5" s="1">
        <v>-173</v>
      </c>
      <c r="E5" s="1">
        <v>-371</v>
      </c>
      <c r="F5" s="1">
        <v>-424</v>
      </c>
      <c r="G5" s="1">
        <v>-611</v>
      </c>
      <c r="H5" s="1"/>
      <c r="I5" s="1">
        <v>13079</v>
      </c>
      <c r="K5" t="s">
        <v>68</v>
      </c>
      <c r="L5" s="3">
        <f>SUM(B9:H9)</f>
        <v>158</v>
      </c>
      <c r="M5" s="9">
        <f>L5/$L$1</f>
        <v>1.2478281472121308E-2</v>
      </c>
    </row>
    <row r="6" spans="1:16" x14ac:dyDescent="0.2">
      <c r="A6" t="s">
        <v>109</v>
      </c>
      <c r="B6" s="1">
        <v>-36</v>
      </c>
      <c r="C6" s="1">
        <v>-158</v>
      </c>
      <c r="D6" s="1">
        <v>-502</v>
      </c>
      <c r="E6" s="1">
        <v>62</v>
      </c>
      <c r="F6" s="1">
        <v>425</v>
      </c>
      <c r="G6" s="1">
        <v>76</v>
      </c>
      <c r="H6" s="1"/>
      <c r="K6" t="s">
        <v>113</v>
      </c>
      <c r="L6" s="3">
        <f>SUM(B18:G19)</f>
        <v>287</v>
      </c>
      <c r="M6" s="9">
        <f>L6/$L$1</f>
        <v>2.2666245458853262E-2</v>
      </c>
    </row>
    <row r="7" spans="1:16" x14ac:dyDescent="0.2">
      <c r="A7" t="s">
        <v>110</v>
      </c>
      <c r="B7" s="1">
        <v>142</v>
      </c>
      <c r="C7" s="1">
        <v>-1971</v>
      </c>
      <c r="D7" s="1">
        <v>-501</v>
      </c>
      <c r="E7" s="1">
        <v>157</v>
      </c>
      <c r="F7" s="1">
        <v>382</v>
      </c>
      <c r="G7" s="1">
        <v>-262</v>
      </c>
      <c r="H7" s="1"/>
    </row>
    <row r="8" spans="1:16" x14ac:dyDescent="0.2">
      <c r="A8" t="s">
        <v>111</v>
      </c>
      <c r="B8" s="1">
        <v>192</v>
      </c>
      <c r="C8" s="1">
        <v>1350</v>
      </c>
      <c r="D8" s="1">
        <v>458</v>
      </c>
      <c r="E8" s="1">
        <v>111</v>
      </c>
      <c r="F8" s="1">
        <v>-118</v>
      </c>
      <c r="G8" s="1">
        <v>695</v>
      </c>
      <c r="H8" s="1"/>
    </row>
    <row r="9" spans="1:16" x14ac:dyDescent="0.2">
      <c r="A9" t="s">
        <v>68</v>
      </c>
      <c r="B9" s="1">
        <v>7</v>
      </c>
      <c r="C9" s="1">
        <v>28</v>
      </c>
      <c r="D9" s="1">
        <v>32</v>
      </c>
      <c r="E9" s="1">
        <v>37</v>
      </c>
      <c r="F9" s="1">
        <v>35</v>
      </c>
      <c r="G9" s="1">
        <v>19</v>
      </c>
      <c r="H9" s="1"/>
      <c r="K9" t="s">
        <v>6</v>
      </c>
      <c r="L9" s="3">
        <f>SUM(L10:L14)</f>
        <v>-12790</v>
      </c>
    </row>
    <row r="10" spans="1:16" x14ac:dyDescent="0.2">
      <c r="A10" t="s">
        <v>1</v>
      </c>
      <c r="B10" s="1">
        <f>1688+390-25</f>
        <v>2053</v>
      </c>
      <c r="C10" s="1">
        <f>1158+493-29</f>
        <v>1622</v>
      </c>
      <c r="D10" s="1">
        <v>5</v>
      </c>
      <c r="E10" s="1"/>
      <c r="F10" s="1"/>
      <c r="G10" s="1"/>
      <c r="H10" s="1"/>
      <c r="K10" t="s">
        <v>8</v>
      </c>
      <c r="L10" s="3">
        <f>SUM(B4:H5)</f>
        <v>-8438</v>
      </c>
      <c r="M10" s="9">
        <f>L10/$L$1</f>
        <v>-0.66640341178328855</v>
      </c>
    </row>
    <row r="11" spans="1:16" x14ac:dyDescent="0.2">
      <c r="A11" t="s">
        <v>3</v>
      </c>
      <c r="B11" s="1">
        <f>2031-2072</f>
        <v>-41</v>
      </c>
      <c r="C11" s="1">
        <f>1204-986</f>
        <v>218</v>
      </c>
      <c r="D11" s="1">
        <f>730-954</f>
        <v>-224</v>
      </c>
      <c r="E11" s="1">
        <f>198-276</f>
        <v>-78</v>
      </c>
      <c r="F11" s="1">
        <f>780-1287</f>
        <v>-507</v>
      </c>
      <c r="G11" s="1">
        <f>299-574</f>
        <v>-275</v>
      </c>
      <c r="H11" s="1"/>
      <c r="K11" t="s">
        <v>20</v>
      </c>
      <c r="L11" s="3">
        <f>SUM(B17:G17)</f>
        <v>-529</v>
      </c>
      <c r="M11" s="9">
        <f t="shared" ref="M11:M14" si="0">L11/$L$1</f>
        <v>-4.1778549992102357E-2</v>
      </c>
    </row>
    <row r="12" spans="1:16" x14ac:dyDescent="0.2">
      <c r="B12" s="1"/>
      <c r="C12" s="1"/>
      <c r="D12" s="1"/>
      <c r="E12" s="1"/>
      <c r="F12" s="1"/>
      <c r="G12" s="1"/>
      <c r="H12" s="1"/>
      <c r="K12" t="s">
        <v>14</v>
      </c>
      <c r="L12" s="3">
        <f>SUM(B20:H20)</f>
        <v>-2707</v>
      </c>
      <c r="M12" s="9">
        <f t="shared" si="0"/>
        <v>-0.21378929079134418</v>
      </c>
    </row>
    <row r="13" spans="1:16" x14ac:dyDescent="0.2">
      <c r="B13" s="1"/>
      <c r="C13" s="1"/>
      <c r="D13" s="1"/>
      <c r="E13" s="1"/>
      <c r="F13" s="1"/>
      <c r="G13" s="1"/>
      <c r="H13" s="1"/>
      <c r="K13" t="s">
        <v>99</v>
      </c>
      <c r="L13" s="3">
        <f>SUM(B16:H16)</f>
        <v>-209</v>
      </c>
      <c r="M13" s="9">
        <f t="shared" si="0"/>
        <v>-1.6506081187806033E-2</v>
      </c>
    </row>
    <row r="14" spans="1:16" x14ac:dyDescent="0.2">
      <c r="B14" s="1"/>
      <c r="C14" s="1"/>
      <c r="D14" s="1"/>
      <c r="E14" s="1"/>
      <c r="F14" s="1"/>
      <c r="G14" s="1"/>
      <c r="H14" s="1"/>
      <c r="K14" t="s">
        <v>3</v>
      </c>
      <c r="L14" s="3">
        <f>SUM(B11:H11)</f>
        <v>-907</v>
      </c>
      <c r="M14" s="9">
        <f t="shared" si="0"/>
        <v>-7.1631653767177381E-2</v>
      </c>
    </row>
    <row r="15" spans="1:16" x14ac:dyDescent="0.2">
      <c r="A15" t="s">
        <v>6</v>
      </c>
      <c r="B15" s="1"/>
      <c r="C15" s="1"/>
      <c r="D15" s="1"/>
      <c r="E15" s="1"/>
      <c r="F15" s="1"/>
      <c r="G15" s="1"/>
      <c r="H15" s="1"/>
    </row>
    <row r="16" spans="1:16" x14ac:dyDescent="0.2">
      <c r="A16" t="s">
        <v>47</v>
      </c>
      <c r="B16" s="1">
        <v>-120</v>
      </c>
      <c r="C16" s="1">
        <v>-51</v>
      </c>
      <c r="D16" s="1">
        <v>32</v>
      </c>
      <c r="E16" s="1">
        <v>-74</v>
      </c>
      <c r="F16" s="1">
        <v>7</v>
      </c>
      <c r="G16" s="1">
        <v>-3</v>
      </c>
      <c r="H16" s="1"/>
    </row>
    <row r="17" spans="1:8" x14ac:dyDescent="0.2">
      <c r="A17" t="s">
        <v>104</v>
      </c>
      <c r="B17" s="1">
        <f>-31-310</f>
        <v>-341</v>
      </c>
      <c r="C17" s="1">
        <f>-70-105</f>
        <v>-175</v>
      </c>
      <c r="D17" s="1">
        <v>-1</v>
      </c>
      <c r="E17" s="1">
        <f>-2-1</f>
        <v>-3</v>
      </c>
      <c r="F17" s="1">
        <v>-23</v>
      </c>
      <c r="G17" s="1">
        <v>14</v>
      </c>
      <c r="H17" s="1"/>
    </row>
    <row r="18" spans="1:8" x14ac:dyDescent="0.2">
      <c r="A18" t="s">
        <v>33</v>
      </c>
      <c r="B18" s="1">
        <v>2</v>
      </c>
      <c r="C18" s="1">
        <v>192</v>
      </c>
      <c r="D18" s="1">
        <v>-6</v>
      </c>
      <c r="E18" s="1">
        <v>-21</v>
      </c>
      <c r="F18" s="1">
        <v>66</v>
      </c>
      <c r="G18" s="1">
        <v>-51</v>
      </c>
      <c r="H18" s="1"/>
    </row>
    <row r="19" spans="1:8" x14ac:dyDescent="0.2">
      <c r="A19" t="s">
        <v>112</v>
      </c>
      <c r="B19" s="1"/>
      <c r="C19" s="1"/>
      <c r="D19" s="1"/>
      <c r="E19" s="1"/>
      <c r="F19" s="1">
        <v>0</v>
      </c>
      <c r="G19" s="1">
        <v>105</v>
      </c>
      <c r="H19" s="1"/>
    </row>
    <row r="20" spans="1:8" x14ac:dyDescent="0.2">
      <c r="A20" t="s">
        <v>14</v>
      </c>
      <c r="B20" s="1">
        <v>-47</v>
      </c>
      <c r="C20" s="1">
        <v>-84</v>
      </c>
      <c r="D20" s="1">
        <v>-624</v>
      </c>
      <c r="E20" s="1">
        <v>-692</v>
      </c>
      <c r="F20" s="1">
        <v>-707</v>
      </c>
      <c r="G20" s="1">
        <v>-553</v>
      </c>
      <c r="H20" s="1"/>
    </row>
    <row r="21" spans="1:8" x14ac:dyDescent="0.2">
      <c r="B21" s="1"/>
      <c r="C21" s="1"/>
      <c r="D21" s="1"/>
      <c r="E21" s="1"/>
      <c r="F21" s="1"/>
      <c r="G21" s="1"/>
      <c r="H21" s="1"/>
    </row>
    <row r="22" spans="1:8" x14ac:dyDescent="0.2">
      <c r="A22" t="s">
        <v>88</v>
      </c>
      <c r="B22" s="1">
        <f>SUM(B2:B3)</f>
        <v>1502</v>
      </c>
      <c r="C22" s="1">
        <f t="shared" ref="C22:F22" si="1">SUM(C2:C3)</f>
        <v>1850</v>
      </c>
      <c r="D22" s="1">
        <f t="shared" si="1"/>
        <v>2010</v>
      </c>
      <c r="E22" s="1">
        <f t="shared" si="1"/>
        <v>1025</v>
      </c>
      <c r="F22" s="1">
        <f t="shared" si="1"/>
        <v>871</v>
      </c>
      <c r="G22" s="1">
        <f>SUM(G2:G3)</f>
        <v>1022</v>
      </c>
      <c r="H22" s="1"/>
    </row>
    <row r="23" spans="1:8" x14ac:dyDescent="0.2">
      <c r="A23" t="s">
        <v>114</v>
      </c>
      <c r="B23" s="1">
        <f>359+6606+78</f>
        <v>7043</v>
      </c>
      <c r="C23" s="1">
        <f>415+8813+259+4</f>
        <v>9491</v>
      </c>
      <c r="D23" s="1">
        <v>10309</v>
      </c>
      <c r="E23" s="1">
        <v>10390</v>
      </c>
      <c r="F23" s="1">
        <f>10559+7</f>
        <v>10566</v>
      </c>
      <c r="G23" s="1">
        <f>10805+7</f>
        <v>10812</v>
      </c>
      <c r="H23" s="1"/>
    </row>
    <row r="24" spans="1:8" x14ac:dyDescent="0.2">
      <c r="A24" t="s">
        <v>85</v>
      </c>
      <c r="B24" s="1">
        <v>205</v>
      </c>
      <c r="C24" s="1">
        <v>319</v>
      </c>
      <c r="D24" s="1">
        <v>235</v>
      </c>
      <c r="E24" s="1">
        <v>225</v>
      </c>
      <c r="F24" s="1">
        <v>228</v>
      </c>
      <c r="G24" s="1">
        <v>120</v>
      </c>
      <c r="H24" s="1"/>
    </row>
    <row r="25" spans="1:8" x14ac:dyDescent="0.2">
      <c r="A25" t="s">
        <v>123</v>
      </c>
      <c r="B25" s="1">
        <v>259</v>
      </c>
      <c r="C25" s="1">
        <v>220</v>
      </c>
      <c r="D25" s="1">
        <v>146</v>
      </c>
      <c r="E25" s="1">
        <v>74</v>
      </c>
      <c r="F25" s="1">
        <v>7</v>
      </c>
      <c r="G25" s="1">
        <v>0</v>
      </c>
      <c r="H25" s="1"/>
    </row>
    <row r="26" spans="1:8" x14ac:dyDescent="0.2">
      <c r="A26" t="s">
        <v>33</v>
      </c>
      <c r="B26" s="1">
        <v>244</v>
      </c>
      <c r="C26" s="1">
        <v>53</v>
      </c>
      <c r="D26" s="1">
        <v>52</v>
      </c>
      <c r="E26" s="1">
        <v>52</v>
      </c>
      <c r="F26" s="1">
        <v>50</v>
      </c>
      <c r="G26" s="1">
        <v>160</v>
      </c>
      <c r="H26" s="1"/>
    </row>
    <row r="27" spans="1:8" x14ac:dyDescent="0.2">
      <c r="A27" t="s">
        <v>60</v>
      </c>
      <c r="B27" s="1"/>
      <c r="C27" s="1"/>
      <c r="D27" s="1">
        <v>89</v>
      </c>
      <c r="E27" s="1">
        <v>97</v>
      </c>
      <c r="F27" s="1">
        <v>86</v>
      </c>
      <c r="G27" s="1">
        <v>73</v>
      </c>
      <c r="H27" s="1"/>
    </row>
    <row r="28" spans="1:8" x14ac:dyDescent="0.2">
      <c r="A28" t="s">
        <v>116</v>
      </c>
      <c r="B28" s="1">
        <v>11319</v>
      </c>
      <c r="C28" s="1">
        <v>15558</v>
      </c>
      <c r="D28" s="1">
        <v>16738</v>
      </c>
      <c r="E28" s="1">
        <v>16867</v>
      </c>
      <c r="F28" s="1">
        <v>16515</v>
      </c>
      <c r="G28" s="1">
        <v>17266</v>
      </c>
      <c r="H28" s="1"/>
    </row>
    <row r="29" spans="1:8" x14ac:dyDescent="0.2">
      <c r="A29" t="s">
        <v>117</v>
      </c>
      <c r="B29" s="1">
        <v>876</v>
      </c>
      <c r="C29" s="1">
        <v>2331</v>
      </c>
      <c r="D29" s="1">
        <f>5682-2152-697</f>
        <v>2833</v>
      </c>
      <c r="E29" s="1">
        <f>5657-1889-880</f>
        <v>2888</v>
      </c>
      <c r="F29" s="1">
        <f>5173-1643-741</f>
        <v>2789</v>
      </c>
      <c r="G29" s="1">
        <f>5724-1646-528</f>
        <v>3550</v>
      </c>
      <c r="H29" s="1"/>
    </row>
    <row r="30" spans="1:8" x14ac:dyDescent="0.2">
      <c r="A30" t="s">
        <v>118</v>
      </c>
      <c r="B30" s="1">
        <f>B28-B29</f>
        <v>10443</v>
      </c>
      <c r="C30" s="1">
        <f t="shared" ref="C30:G30" si="2">C28-C29</f>
        <v>13227</v>
      </c>
      <c r="D30" s="1">
        <f>D28-D29</f>
        <v>13905</v>
      </c>
      <c r="E30" s="1">
        <f t="shared" si="2"/>
        <v>13979</v>
      </c>
      <c r="F30" s="1">
        <f t="shared" si="2"/>
        <v>13726</v>
      </c>
      <c r="G30" s="1">
        <f t="shared" si="2"/>
        <v>13716</v>
      </c>
      <c r="H30" s="1"/>
    </row>
    <row r="31" spans="1:8" x14ac:dyDescent="0.2">
      <c r="A31" t="s">
        <v>115</v>
      </c>
      <c r="B31" s="3">
        <f>SUM(B24:B26)+B30</f>
        <v>11151</v>
      </c>
      <c r="C31" s="3">
        <f t="shared" ref="C31" si="3">SUM(C24:C26)+C30</f>
        <v>13819</v>
      </c>
      <c r="D31" s="3">
        <f>SUM(D24:D27)+D30</f>
        <v>14427</v>
      </c>
      <c r="E31" s="3">
        <f t="shared" ref="E31:G31" si="4">SUM(E24:E27)+E30</f>
        <v>14427</v>
      </c>
      <c r="F31" s="3">
        <f t="shared" si="4"/>
        <v>14097</v>
      </c>
      <c r="G31" s="3">
        <f t="shared" si="4"/>
        <v>14069</v>
      </c>
    </row>
    <row r="32" spans="1:8" x14ac:dyDescent="0.2">
      <c r="A32" t="s">
        <v>119</v>
      </c>
      <c r="B32" s="3">
        <v>572</v>
      </c>
      <c r="C32" s="3">
        <v>822</v>
      </c>
      <c r="D32">
        <v>809</v>
      </c>
      <c r="E32">
        <v>74</v>
      </c>
      <c r="F32">
        <v>178</v>
      </c>
      <c r="G32">
        <v>219</v>
      </c>
    </row>
    <row r="33" spans="1:14" x14ac:dyDescent="0.2">
      <c r="A33" t="s">
        <v>120</v>
      </c>
      <c r="B33" s="2">
        <f>B32/B22</f>
        <v>0.38082556591211719</v>
      </c>
      <c r="C33" s="2">
        <f t="shared" ref="C33:G33" si="5">C32/C22</f>
        <v>0.44432432432432434</v>
      </c>
      <c r="D33" s="2">
        <f>D32/D22</f>
        <v>0.40248756218905474</v>
      </c>
      <c r="E33" s="2">
        <f t="shared" si="5"/>
        <v>7.2195121951219507E-2</v>
      </c>
      <c r="F33" s="2">
        <f t="shared" si="5"/>
        <v>0.20436280137772675</v>
      </c>
      <c r="G33" s="9">
        <f t="shared" si="5"/>
        <v>0.21428571428571427</v>
      </c>
    </row>
    <row r="34" spans="1:14" x14ac:dyDescent="0.2">
      <c r="A34" t="s">
        <v>121</v>
      </c>
      <c r="B34" s="10">
        <f>B22/B31</f>
        <v>0.13469643978118553</v>
      </c>
      <c r="C34" s="10">
        <f t="shared" ref="C34:G34" si="6">C22/C31</f>
        <v>0.13387365221796077</v>
      </c>
      <c r="D34" s="10">
        <f>D22/D31</f>
        <v>0.13932210438760656</v>
      </c>
      <c r="E34" s="10">
        <f t="shared" si="6"/>
        <v>7.1047341789699875E-2</v>
      </c>
      <c r="F34" s="10">
        <f t="shared" si="6"/>
        <v>6.178619564446336E-2</v>
      </c>
      <c r="G34" s="10">
        <f t="shared" si="6"/>
        <v>7.264197881867937E-2</v>
      </c>
    </row>
    <row r="35" spans="1:14" x14ac:dyDescent="0.2">
      <c r="A35" t="s">
        <v>82</v>
      </c>
      <c r="B35" s="10">
        <f>B31/B23</f>
        <v>1.5832741729376687</v>
      </c>
      <c r="C35" s="10">
        <f t="shared" ref="C35:G35" si="7">C31/C23</f>
        <v>1.4560109577494469</v>
      </c>
      <c r="D35" s="10">
        <f>D31/D23</f>
        <v>1.3994567853332041</v>
      </c>
      <c r="E35" s="10">
        <f t="shared" si="7"/>
        <v>1.3885466794995187</v>
      </c>
      <c r="F35" s="10">
        <f t="shared" si="7"/>
        <v>1.3341851220897218</v>
      </c>
      <c r="G35" s="10">
        <f t="shared" si="7"/>
        <v>1.3012393636699964</v>
      </c>
    </row>
    <row r="36" spans="1:14" x14ac:dyDescent="0.2">
      <c r="A36" t="s">
        <v>122</v>
      </c>
      <c r="B36" s="2">
        <f>B33*B34*B35</f>
        <v>8.1215391168536141E-2</v>
      </c>
      <c r="C36" s="2">
        <f t="shared" ref="C36:G36" si="8">C33*C34*C35</f>
        <v>8.6608365820250763E-2</v>
      </c>
      <c r="D36" s="2">
        <f t="shared" si="8"/>
        <v>7.8475118828208359E-2</v>
      </c>
      <c r="E36" s="2">
        <f t="shared" si="8"/>
        <v>7.1222329162656398E-3</v>
      </c>
      <c r="F36" s="2">
        <f t="shared" si="8"/>
        <v>1.6846488737459777E-2</v>
      </c>
      <c r="G36" s="9">
        <f t="shared" si="8"/>
        <v>2.0255271920088792E-2</v>
      </c>
    </row>
    <row r="37" spans="1:14" x14ac:dyDescent="0.2">
      <c r="A37" t="s">
        <v>146</v>
      </c>
      <c r="B37" s="12"/>
      <c r="C37" s="12"/>
      <c r="D37" s="12"/>
      <c r="E37" s="12"/>
      <c r="F37" s="12"/>
      <c r="G37" s="12">
        <v>0</v>
      </c>
    </row>
    <row r="39" spans="1:14" x14ac:dyDescent="0.2">
      <c r="A39" t="s">
        <v>132</v>
      </c>
      <c r="K39" t="s">
        <v>1</v>
      </c>
    </row>
    <row r="40" spans="1:14" x14ac:dyDescent="0.2">
      <c r="A40" t="s">
        <v>139</v>
      </c>
      <c r="B40" s="1">
        <f>G24</f>
        <v>120</v>
      </c>
      <c r="C40" s="1"/>
      <c r="E40" t="s">
        <v>23</v>
      </c>
      <c r="F40" s="3">
        <f>B48</f>
        <v>13079</v>
      </c>
      <c r="G40" s="2">
        <f>F40/$D$52</f>
        <v>0.74232362790169704</v>
      </c>
      <c r="K40" t="s">
        <v>114</v>
      </c>
      <c r="L40" s="3">
        <f>G23</f>
        <v>10812</v>
      </c>
      <c r="M40" s="3">
        <f>L40</f>
        <v>10812</v>
      </c>
      <c r="N40" s="2">
        <f>M40/D52</f>
        <v>0.613655712583007</v>
      </c>
    </row>
    <row r="41" spans="1:14" x14ac:dyDescent="0.2">
      <c r="A41" t="s">
        <v>123</v>
      </c>
      <c r="B41" s="1">
        <f>G25</f>
        <v>0</v>
      </c>
      <c r="C41" s="1"/>
      <c r="E41" t="s">
        <v>139</v>
      </c>
      <c r="F41" s="3">
        <f>B40</f>
        <v>120</v>
      </c>
      <c r="G41" s="2">
        <f t="shared" ref="G41:G45" si="9">F41/$D$52</f>
        <v>6.8108292184573468E-3</v>
      </c>
    </row>
    <row r="42" spans="1:14" x14ac:dyDescent="0.2">
      <c r="A42" t="s">
        <v>33</v>
      </c>
      <c r="B42" s="1">
        <f>G26</f>
        <v>160</v>
      </c>
      <c r="C42" s="1"/>
      <c r="E42" t="s">
        <v>33</v>
      </c>
      <c r="F42" s="3">
        <f>B42+B47</f>
        <v>168</v>
      </c>
      <c r="G42" s="2">
        <f t="shared" si="9"/>
        <v>9.5351609058402856E-3</v>
      </c>
      <c r="K42" t="s">
        <v>3</v>
      </c>
    </row>
    <row r="43" spans="1:14" x14ac:dyDescent="0.2">
      <c r="A43" t="s">
        <v>60</v>
      </c>
      <c r="B43" s="1">
        <f>G27</f>
        <v>73</v>
      </c>
      <c r="C43" s="1"/>
      <c r="E43" t="s">
        <v>60</v>
      </c>
      <c r="F43" s="3">
        <f>B43+B51</f>
        <v>3759</v>
      </c>
      <c r="G43" s="2">
        <f t="shared" si="9"/>
        <v>0.2133492252681764</v>
      </c>
      <c r="K43" t="s">
        <v>141</v>
      </c>
      <c r="L43">
        <f>1062+528</f>
        <v>1590</v>
      </c>
    </row>
    <row r="44" spans="1:14" x14ac:dyDescent="0.2">
      <c r="A44" t="s">
        <v>136</v>
      </c>
      <c r="B44" s="1">
        <v>0</v>
      </c>
      <c r="C44" s="1">
        <f>SUM(B40:B44)</f>
        <v>353</v>
      </c>
      <c r="E44" t="s">
        <v>135</v>
      </c>
      <c r="F44" s="3">
        <f>B50</f>
        <v>189</v>
      </c>
      <c r="G44" s="2">
        <f t="shared" si="9"/>
        <v>1.0727056019070322E-2</v>
      </c>
      <c r="K44" t="s">
        <v>142</v>
      </c>
      <c r="L44">
        <v>1646</v>
      </c>
      <c r="M44">
        <f>L43+L44</f>
        <v>3236</v>
      </c>
      <c r="N44" s="2">
        <f>M44/D52</f>
        <v>0.18366536125773314</v>
      </c>
    </row>
    <row r="45" spans="1:14" x14ac:dyDescent="0.2">
      <c r="E45" t="s">
        <v>136</v>
      </c>
      <c r="F45" s="3">
        <f>D52-SUM(F40:F44)</f>
        <v>304</v>
      </c>
      <c r="G45" s="2">
        <f t="shared" si="9"/>
        <v>1.7254100686758613E-2</v>
      </c>
    </row>
    <row r="46" spans="1:14" x14ac:dyDescent="0.2">
      <c r="A46" t="s">
        <v>116</v>
      </c>
      <c r="K46" t="s">
        <v>138</v>
      </c>
      <c r="L46" s="3">
        <f>D52-M40-M44</f>
        <v>3571</v>
      </c>
      <c r="M46" s="3">
        <f>L46</f>
        <v>3571</v>
      </c>
      <c r="N46" s="2">
        <f>M46/D52</f>
        <v>0.20267892615925989</v>
      </c>
    </row>
    <row r="47" spans="1:14" x14ac:dyDescent="0.2">
      <c r="A47" t="s">
        <v>33</v>
      </c>
      <c r="B47" s="1">
        <v>8</v>
      </c>
      <c r="C47" s="1"/>
      <c r="E47" t="s">
        <v>145</v>
      </c>
      <c r="F47">
        <v>3550</v>
      </c>
      <c r="G47" s="6"/>
    </row>
    <row r="48" spans="1:14" x14ac:dyDescent="0.2">
      <c r="A48" t="s">
        <v>35</v>
      </c>
      <c r="B48" s="1">
        <v>13079</v>
      </c>
      <c r="C48" s="1"/>
      <c r="E48" t="s">
        <v>150</v>
      </c>
      <c r="F48" s="10">
        <f>F47/D52</f>
        <v>0.20148703104602986</v>
      </c>
    </row>
    <row r="49" spans="1:6" x14ac:dyDescent="0.2">
      <c r="A49" t="s">
        <v>140</v>
      </c>
      <c r="B49" s="1">
        <v>304</v>
      </c>
      <c r="C49" s="1"/>
      <c r="E49" t="s">
        <v>151</v>
      </c>
      <c r="F49" s="10">
        <f>F47/G23</f>
        <v>0.32833888272290046</v>
      </c>
    </row>
    <row r="50" spans="1:6" x14ac:dyDescent="0.2">
      <c r="A50" t="s">
        <v>135</v>
      </c>
      <c r="B50" s="1">
        <v>189</v>
      </c>
      <c r="C50" s="1"/>
      <c r="E50" t="s">
        <v>152</v>
      </c>
      <c r="F50" s="10">
        <f>F47/G32</f>
        <v>16.210045662100455</v>
      </c>
    </row>
    <row r="51" spans="1:6" x14ac:dyDescent="0.2">
      <c r="A51" t="s">
        <v>60</v>
      </c>
      <c r="B51" s="1">
        <v>3686</v>
      </c>
      <c r="C51" s="1"/>
    </row>
    <row r="52" spans="1:6" x14ac:dyDescent="0.2">
      <c r="A52" t="s">
        <v>136</v>
      </c>
      <c r="B52" s="1">
        <v>0</v>
      </c>
      <c r="C52" s="1">
        <f>SUM(B47:B52)</f>
        <v>17266</v>
      </c>
      <c r="D52" s="3">
        <f>C44+C52</f>
        <v>17619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workbookViewId="0">
      <pane xSplit="1" ySplit="1" topLeftCell="B22" activePane="bottomRight" state="frozen"/>
      <selection pane="topRight" activeCell="B1" sqref="B1"/>
      <selection pane="bottomLeft" activeCell="A2" sqref="A2"/>
      <selection pane="bottomRight" activeCell="F51" sqref="F51"/>
    </sheetView>
  </sheetViews>
  <sheetFormatPr baseColWidth="10" defaultColWidth="8.83203125" defaultRowHeight="15" x14ac:dyDescent="0.2"/>
  <cols>
    <col min="1" max="1" width="26.83203125" bestFit="1" customWidth="1"/>
    <col min="2" max="3" width="10.5" bestFit="1" customWidth="1"/>
    <col min="7" max="8" width="9.5" bestFit="1" customWidth="1"/>
    <col min="15" max="15" width="9.5" bestFit="1" customWidth="1"/>
  </cols>
  <sheetData>
    <row r="1" spans="1:16" x14ac:dyDescent="0.2">
      <c r="B1">
        <v>2010</v>
      </c>
      <c r="C1">
        <v>2011</v>
      </c>
      <c r="D1">
        <v>2012</v>
      </c>
      <c r="E1">
        <v>2013</v>
      </c>
      <c r="F1">
        <v>2014</v>
      </c>
      <c r="G1">
        <v>2015</v>
      </c>
      <c r="H1">
        <v>2016</v>
      </c>
      <c r="K1" s="4" t="s">
        <v>0</v>
      </c>
      <c r="L1" s="5">
        <f>SUM(L2:L6)</f>
        <v>23066.799999999999</v>
      </c>
      <c r="O1" s="1">
        <v>4045</v>
      </c>
      <c r="P1" s="7">
        <f>O1/I5</f>
        <v>7.4768946395563773</v>
      </c>
    </row>
    <row r="2" spans="1:16" x14ac:dyDescent="0.2">
      <c r="K2" t="s">
        <v>1</v>
      </c>
      <c r="L2" s="3">
        <f>SUM(B11:H11)</f>
        <v>5377.8</v>
      </c>
      <c r="M2" s="9">
        <f>L2/$L$1</f>
        <v>0.23314027086548633</v>
      </c>
    </row>
    <row r="3" spans="1:16" x14ac:dyDescent="0.2">
      <c r="A3" t="s">
        <v>88</v>
      </c>
      <c r="B3" s="1">
        <v>129</v>
      </c>
      <c r="C3" s="1">
        <v>1432</v>
      </c>
      <c r="D3" s="1">
        <v>1392</v>
      </c>
      <c r="E3" s="1">
        <v>1300</v>
      </c>
      <c r="F3" s="1">
        <v>1736</v>
      </c>
      <c r="G3" s="1">
        <v>2641</v>
      </c>
      <c r="H3" s="1">
        <v>2677</v>
      </c>
      <c r="K3" t="s">
        <v>3</v>
      </c>
      <c r="L3" s="3">
        <f>SUM(B12:H12)</f>
        <v>7473</v>
      </c>
      <c r="M3" s="9">
        <f t="shared" ref="M3:M5" si="0">L3/$L$1</f>
        <v>0.32397211576811696</v>
      </c>
    </row>
    <row r="4" spans="1:16" x14ac:dyDescent="0.2">
      <c r="A4" t="s">
        <v>8</v>
      </c>
      <c r="B4" s="1">
        <f>-53-B3</f>
        <v>-182</v>
      </c>
      <c r="C4" s="1">
        <f>347-C3</f>
        <v>-1085</v>
      </c>
      <c r="D4" s="1">
        <f>385-D3</f>
        <v>-1007</v>
      </c>
      <c r="E4" s="1">
        <f>430-E3</f>
        <v>-870</v>
      </c>
      <c r="F4" s="1">
        <f>542-F3</f>
        <v>-1194</v>
      </c>
      <c r="G4" s="1">
        <f>621-G3</f>
        <v>-2020</v>
      </c>
      <c r="H4" s="1">
        <f>746-H3</f>
        <v>-1931</v>
      </c>
      <c r="K4" t="s">
        <v>67</v>
      </c>
      <c r="L4" s="3">
        <f>SUM(B3:H3)+SUM(B6:H6)+SUM(B7:H9)</f>
        <v>9838</v>
      </c>
      <c r="M4" s="9">
        <f t="shared" si="0"/>
        <v>0.42650042485303552</v>
      </c>
    </row>
    <row r="5" spans="1:16" x14ac:dyDescent="0.2">
      <c r="A5" t="s">
        <v>35</v>
      </c>
      <c r="B5" s="1">
        <v>-692</v>
      </c>
      <c r="C5" s="1">
        <v>-2273</v>
      </c>
      <c r="D5" s="1">
        <v>-389</v>
      </c>
      <c r="E5">
        <v>133</v>
      </c>
      <c r="F5" s="1">
        <v>-147</v>
      </c>
      <c r="G5" s="1">
        <v>-1040</v>
      </c>
      <c r="H5" s="1">
        <v>936</v>
      </c>
      <c r="I5">
        <v>541</v>
      </c>
      <c r="K5" t="s">
        <v>68</v>
      </c>
      <c r="L5" s="3">
        <f>SUM(B10:H10)</f>
        <v>378</v>
      </c>
      <c r="M5" s="9">
        <f t="shared" si="0"/>
        <v>1.6387188513361194E-2</v>
      </c>
      <c r="P5">
        <f>341-246</f>
        <v>95</v>
      </c>
    </row>
    <row r="6" spans="1:16" x14ac:dyDescent="0.2">
      <c r="A6" t="s">
        <v>100</v>
      </c>
      <c r="B6" s="1">
        <v>-1338</v>
      </c>
      <c r="C6" s="1">
        <f>19-583</f>
        <v>-564</v>
      </c>
      <c r="D6" s="1">
        <v>-1201</v>
      </c>
      <c r="E6" s="1">
        <f>930-722</f>
        <v>208</v>
      </c>
      <c r="F6" s="1">
        <v>-312</v>
      </c>
      <c r="G6" s="1">
        <v>-1042</v>
      </c>
      <c r="H6" s="1">
        <v>-1016</v>
      </c>
      <c r="L6" s="3"/>
      <c r="M6" s="2"/>
    </row>
    <row r="7" spans="1:16" x14ac:dyDescent="0.2">
      <c r="A7" t="s">
        <v>101</v>
      </c>
      <c r="B7" s="1">
        <v>1372</v>
      </c>
      <c r="C7" s="1">
        <v>-46</v>
      </c>
      <c r="D7" s="1">
        <v>1257</v>
      </c>
      <c r="E7" s="1">
        <v>-95</v>
      </c>
      <c r="F7" s="1">
        <v>-323</v>
      </c>
      <c r="G7" s="1">
        <v>-691</v>
      </c>
      <c r="H7" s="1">
        <v>327</v>
      </c>
    </row>
    <row r="8" spans="1:16" x14ac:dyDescent="0.2">
      <c r="A8" t="s">
        <v>102</v>
      </c>
      <c r="B8" s="1"/>
      <c r="C8" s="1"/>
      <c r="D8" s="1"/>
      <c r="E8" s="1"/>
      <c r="F8" s="1">
        <v>86</v>
      </c>
      <c r="G8" s="1">
        <v>56</v>
      </c>
      <c r="H8" s="1">
        <v>42</v>
      </c>
    </row>
    <row r="9" spans="1:16" x14ac:dyDescent="0.2">
      <c r="A9" t="s">
        <v>103</v>
      </c>
      <c r="B9" s="1">
        <v>254</v>
      </c>
      <c r="C9" s="1">
        <v>2110</v>
      </c>
      <c r="D9" s="1">
        <v>-1117</v>
      </c>
      <c r="E9" s="1">
        <v>295</v>
      </c>
      <c r="F9" s="1">
        <v>815</v>
      </c>
      <c r="G9" s="1">
        <v>-528</v>
      </c>
      <c r="H9" s="1">
        <v>-18</v>
      </c>
      <c r="K9" s="4" t="s">
        <v>6</v>
      </c>
      <c r="L9" s="5">
        <f>SUM(L10:L16)</f>
        <v>-23196</v>
      </c>
    </row>
    <row r="10" spans="1:16" x14ac:dyDescent="0.2">
      <c r="A10" t="s">
        <v>68</v>
      </c>
      <c r="B10" s="1">
        <f>65+59+22</f>
        <v>146</v>
      </c>
      <c r="C10" s="1">
        <f>15+23+8</f>
        <v>46</v>
      </c>
      <c r="D10" s="1">
        <v>29</v>
      </c>
      <c r="E10" s="1">
        <v>30</v>
      </c>
      <c r="F10" s="1">
        <f>9+30</f>
        <v>39</v>
      </c>
      <c r="G10" s="1">
        <f>4+46</f>
        <v>50</v>
      </c>
      <c r="H10" s="1">
        <v>38</v>
      </c>
      <c r="K10" t="s">
        <v>8</v>
      </c>
      <c r="L10" s="3">
        <f>SUM(B4:H5)</f>
        <v>-11761</v>
      </c>
      <c r="M10" s="9">
        <f>L10/$L$1</f>
        <v>-0.50986699498846833</v>
      </c>
    </row>
    <row r="11" spans="1:16" x14ac:dyDescent="0.2">
      <c r="A11" t="s">
        <v>1</v>
      </c>
      <c r="B11" s="1">
        <f>2659+1625-35-138-49</f>
        <v>4062</v>
      </c>
      <c r="C11" s="1">
        <f>4.8+109+304+33</f>
        <v>450.8</v>
      </c>
      <c r="D11" s="1">
        <f>297+70-55</f>
        <v>312</v>
      </c>
      <c r="E11" s="1">
        <v>14</v>
      </c>
      <c r="F11" s="1"/>
      <c r="G11" s="1">
        <v>6</v>
      </c>
      <c r="H11" s="1">
        <f>241+292</f>
        <v>533</v>
      </c>
      <c r="K11" t="s">
        <v>20</v>
      </c>
      <c r="L11" s="3">
        <f>SUM(B17:H17)</f>
        <v>-3496</v>
      </c>
      <c r="M11" s="9">
        <f>L11/$L$1</f>
        <v>-0.15155981757330883</v>
      </c>
    </row>
    <row r="12" spans="1:16" x14ac:dyDescent="0.2">
      <c r="A12" t="s">
        <v>3</v>
      </c>
      <c r="B12" s="1">
        <f>-62</f>
        <v>-62</v>
      </c>
      <c r="C12" s="1">
        <f>2597</f>
        <v>2597</v>
      </c>
      <c r="D12" s="1">
        <f>35+263</f>
        <v>298</v>
      </c>
      <c r="E12" s="1">
        <f>36-256+275</f>
        <v>55</v>
      </c>
      <c r="F12" s="1">
        <f>1847-1036+1017-667</f>
        <v>1161</v>
      </c>
      <c r="G12" s="1">
        <f>3285-3350+4617-754</f>
        <v>3798</v>
      </c>
      <c r="H12" s="1">
        <f>471-845</f>
        <v>-374</v>
      </c>
      <c r="K12" t="s">
        <v>40</v>
      </c>
      <c r="L12" s="3">
        <f>SUM(B18:H21)</f>
        <v>-4599</v>
      </c>
      <c r="M12" s="9">
        <f t="shared" ref="M12:M16" si="1">L12/$L$1</f>
        <v>-0.19937746024589453</v>
      </c>
    </row>
    <row r="13" spans="1:16" x14ac:dyDescent="0.2">
      <c r="B13" s="1"/>
      <c r="C13" s="1"/>
      <c r="D13" s="1"/>
      <c r="E13" s="1"/>
      <c r="F13" s="1"/>
      <c r="G13" s="1"/>
      <c r="H13" s="1"/>
      <c r="K13" t="s">
        <v>54</v>
      </c>
      <c r="L13" s="3">
        <f>SUM(B22:H22)</f>
        <v>-2081</v>
      </c>
      <c r="M13" s="9">
        <f t="shared" si="1"/>
        <v>-9.0216241524615465E-2</v>
      </c>
    </row>
    <row r="14" spans="1:16" x14ac:dyDescent="0.2">
      <c r="B14" s="1"/>
      <c r="C14" s="1"/>
      <c r="D14" s="1"/>
      <c r="E14" s="1"/>
      <c r="F14" s="1"/>
      <c r="G14" s="1"/>
      <c r="H14" s="1"/>
      <c r="K14" t="s">
        <v>58</v>
      </c>
      <c r="L14" s="3">
        <f>SUM(B23:H23)</f>
        <v>-211</v>
      </c>
      <c r="M14" s="9">
        <f t="shared" si="1"/>
        <v>-9.147345969098445E-3</v>
      </c>
    </row>
    <row r="15" spans="1:16" x14ac:dyDescent="0.2">
      <c r="B15" s="1"/>
      <c r="C15" s="1"/>
      <c r="D15" s="1"/>
      <c r="E15" s="1"/>
      <c r="F15" s="1"/>
      <c r="G15" s="1"/>
      <c r="H15" s="1"/>
      <c r="K15" t="s">
        <v>108</v>
      </c>
      <c r="L15" s="3">
        <f>SUM(B24:H24)</f>
        <v>-273</v>
      </c>
      <c r="M15" s="9">
        <f t="shared" si="1"/>
        <v>-1.1835191704094196E-2</v>
      </c>
    </row>
    <row r="16" spans="1:16" x14ac:dyDescent="0.2">
      <c r="A16" t="s">
        <v>47</v>
      </c>
      <c r="B16" s="1">
        <v>-40</v>
      </c>
      <c r="C16" s="1">
        <v>-56</v>
      </c>
      <c r="D16" s="1">
        <v>-122</v>
      </c>
      <c r="E16" s="1">
        <v>-154</v>
      </c>
      <c r="F16" s="1">
        <v>-82</v>
      </c>
      <c r="G16" s="1">
        <v>-205</v>
      </c>
      <c r="H16" s="1">
        <v>-116</v>
      </c>
      <c r="K16" t="s">
        <v>47</v>
      </c>
      <c r="L16" s="3">
        <f>SUM(B16:H16)</f>
        <v>-775</v>
      </c>
      <c r="M16" s="9">
        <f t="shared" si="1"/>
        <v>-3.3598071687446891E-2</v>
      </c>
    </row>
    <row r="17" spans="1:8" x14ac:dyDescent="0.2">
      <c r="A17" t="s">
        <v>104</v>
      </c>
      <c r="B17" s="1">
        <v>-437</v>
      </c>
      <c r="C17" s="1">
        <v>-2901</v>
      </c>
      <c r="D17" s="1">
        <v>-32</v>
      </c>
      <c r="E17" s="1">
        <v>-21</v>
      </c>
      <c r="F17" s="1">
        <v>-27</v>
      </c>
      <c r="G17" s="1">
        <v>-52</v>
      </c>
      <c r="H17" s="1">
        <v>-26</v>
      </c>
    </row>
    <row r="18" spans="1:8" x14ac:dyDescent="0.2">
      <c r="A18" t="s">
        <v>105</v>
      </c>
      <c r="B18" s="1">
        <f>29-1083-1800</f>
        <v>-2854</v>
      </c>
      <c r="C18" s="1">
        <f>-286-50-37</f>
        <v>-373</v>
      </c>
      <c r="D18" s="1">
        <f>91-234+24+19</f>
        <v>-100</v>
      </c>
      <c r="E18" s="1">
        <f>6+5</f>
        <v>11</v>
      </c>
      <c r="F18" s="1">
        <f>-1097+9-85</f>
        <v>-1173</v>
      </c>
      <c r="G18" s="1">
        <f>5-14</f>
        <v>-9</v>
      </c>
      <c r="H18" s="1">
        <f>140-20</f>
        <v>120</v>
      </c>
    </row>
    <row r="19" spans="1:8" x14ac:dyDescent="0.2">
      <c r="A19" t="s">
        <v>106</v>
      </c>
      <c r="B19" s="1"/>
      <c r="C19" s="1"/>
      <c r="D19" s="1"/>
      <c r="E19" s="1"/>
      <c r="F19" s="1"/>
      <c r="G19" s="1">
        <f>26-275</f>
        <v>-249</v>
      </c>
      <c r="H19" s="1">
        <f>1073-899</f>
        <v>174</v>
      </c>
    </row>
    <row r="20" spans="1:8" x14ac:dyDescent="0.2">
      <c r="A20" t="s">
        <v>107</v>
      </c>
      <c r="B20" s="1"/>
      <c r="C20" s="1"/>
      <c r="D20" s="1">
        <v>235</v>
      </c>
      <c r="E20" s="1">
        <v>-229</v>
      </c>
      <c r="F20" s="1">
        <f>53-122</f>
        <v>-69</v>
      </c>
      <c r="G20" s="1">
        <f>231-88</f>
        <v>143</v>
      </c>
      <c r="H20" s="1">
        <f>110-71</f>
        <v>39</v>
      </c>
    </row>
    <row r="21" spans="1:8" x14ac:dyDescent="0.2">
      <c r="A21" t="s">
        <v>93</v>
      </c>
      <c r="B21" s="1">
        <v>299</v>
      </c>
      <c r="C21" s="1">
        <f>-228-422</f>
        <v>-650</v>
      </c>
      <c r="D21" s="1">
        <v>215</v>
      </c>
      <c r="E21" s="1">
        <v>107</v>
      </c>
      <c r="F21" s="1">
        <v>-112</v>
      </c>
      <c r="G21" s="1">
        <v>-6</v>
      </c>
      <c r="H21" s="1">
        <v>-118</v>
      </c>
    </row>
    <row r="22" spans="1:8" x14ac:dyDescent="0.2">
      <c r="A22" t="s">
        <v>14</v>
      </c>
      <c r="B22" s="1">
        <v>-8</v>
      </c>
      <c r="C22" s="1">
        <v>-56</v>
      </c>
      <c r="D22" s="1">
        <v>-202</v>
      </c>
      <c r="E22" s="1">
        <v>-193</v>
      </c>
      <c r="F22" s="1">
        <v>-447</v>
      </c>
      <c r="G22" s="1">
        <v>-504</v>
      </c>
      <c r="H22" s="1">
        <v>-671</v>
      </c>
    </row>
    <row r="23" spans="1:8" x14ac:dyDescent="0.2">
      <c r="A23" t="s">
        <v>58</v>
      </c>
      <c r="B23" s="1">
        <v>-12</v>
      </c>
      <c r="C23" s="1">
        <v>0</v>
      </c>
      <c r="D23" s="1">
        <v>-14</v>
      </c>
      <c r="E23" s="1">
        <v>0</v>
      </c>
      <c r="F23" s="1">
        <f>-153-32</f>
        <v>-185</v>
      </c>
      <c r="G23" s="1">
        <v>0</v>
      </c>
      <c r="H23" s="1">
        <v>0</v>
      </c>
    </row>
    <row r="24" spans="1:8" x14ac:dyDescent="0.2">
      <c r="A24" t="s">
        <v>108</v>
      </c>
      <c r="B24" s="1"/>
      <c r="C24" s="1"/>
      <c r="D24" s="1"/>
      <c r="E24" s="1">
        <v>-273</v>
      </c>
      <c r="F24" s="1">
        <v>0</v>
      </c>
      <c r="G24" s="1"/>
      <c r="H24" s="1"/>
    </row>
    <row r="26" spans="1:8" x14ac:dyDescent="0.2">
      <c r="A26" t="s">
        <v>88</v>
      </c>
      <c r="B26" s="3">
        <f>B3</f>
        <v>129</v>
      </c>
      <c r="C26" s="3">
        <f>C3</f>
        <v>1432</v>
      </c>
      <c r="D26" s="3">
        <f t="shared" ref="D26:H26" si="2">D3</f>
        <v>1392</v>
      </c>
      <c r="E26" s="3">
        <f t="shared" si="2"/>
        <v>1300</v>
      </c>
      <c r="F26" s="3">
        <f t="shared" si="2"/>
        <v>1736</v>
      </c>
      <c r="G26" s="3">
        <f t="shared" si="2"/>
        <v>2641</v>
      </c>
      <c r="H26" s="3">
        <f t="shared" si="2"/>
        <v>2677</v>
      </c>
    </row>
    <row r="27" spans="1:8" x14ac:dyDescent="0.2">
      <c r="A27" t="s">
        <v>114</v>
      </c>
      <c r="B27" s="1">
        <f>9431+1996+312</f>
        <v>11739</v>
      </c>
      <c r="C27" s="1">
        <f>9173+2047+305+312</f>
        <v>11837</v>
      </c>
      <c r="D27" s="1">
        <f>7177+691+258</f>
        <v>8126</v>
      </c>
      <c r="E27" s="1">
        <f>6779+236+258</f>
        <v>7273</v>
      </c>
      <c r="F27" s="1">
        <f>6873+9.3</f>
        <v>6882.3</v>
      </c>
      <c r="G27" s="1">
        <f>7170+33</f>
        <v>7203</v>
      </c>
      <c r="H27" s="1">
        <f>7844+55</f>
        <v>7899</v>
      </c>
    </row>
    <row r="28" spans="1:8" x14ac:dyDescent="0.2">
      <c r="A28" t="s">
        <v>85</v>
      </c>
      <c r="B28" s="1">
        <f>733+110</f>
        <v>843</v>
      </c>
      <c r="C28" s="1">
        <f>3315+403</f>
        <v>3718</v>
      </c>
      <c r="D28" s="1">
        <v>324</v>
      </c>
      <c r="E28" s="1">
        <f>315+72</f>
        <v>387</v>
      </c>
      <c r="F28" s="1">
        <f>303+88</f>
        <v>391</v>
      </c>
      <c r="G28" s="1">
        <f>112+127</f>
        <v>239</v>
      </c>
      <c r="H28" s="1">
        <v>103</v>
      </c>
    </row>
    <row r="29" spans="1:8" x14ac:dyDescent="0.2">
      <c r="A29" t="s">
        <v>33</v>
      </c>
      <c r="B29" s="1">
        <v>7247</v>
      </c>
      <c r="C29" s="1">
        <v>6670</v>
      </c>
      <c r="D29" s="1">
        <v>4909</v>
      </c>
      <c r="E29" s="1">
        <v>5262</v>
      </c>
      <c r="F29" s="1">
        <v>5482</v>
      </c>
      <c r="G29" s="1">
        <v>5495</v>
      </c>
      <c r="H29" s="1">
        <v>5475</v>
      </c>
    </row>
    <row r="30" spans="1:8" x14ac:dyDescent="0.2">
      <c r="A30" t="s">
        <v>128</v>
      </c>
      <c r="B30" s="1">
        <v>0.2</v>
      </c>
      <c r="C30" s="1">
        <v>0.9</v>
      </c>
      <c r="D30" s="1">
        <v>25</v>
      </c>
      <c r="E30" s="1">
        <v>74</v>
      </c>
      <c r="F30" s="1">
        <v>123</v>
      </c>
      <c r="G30" s="1">
        <v>53</v>
      </c>
      <c r="H30" s="1">
        <v>82</v>
      </c>
    </row>
    <row r="31" spans="1:8" x14ac:dyDescent="0.2">
      <c r="A31" t="s">
        <v>60</v>
      </c>
      <c r="B31" s="1"/>
      <c r="C31" s="1"/>
      <c r="D31" s="1"/>
      <c r="E31" s="1"/>
      <c r="F31" s="1">
        <v>201</v>
      </c>
      <c r="G31" s="1">
        <v>1031</v>
      </c>
      <c r="H31" s="1">
        <v>336</v>
      </c>
    </row>
    <row r="32" spans="1:8" x14ac:dyDescent="0.2">
      <c r="A32" t="s">
        <v>129</v>
      </c>
      <c r="B32" s="1"/>
      <c r="C32" s="1"/>
      <c r="D32" s="1">
        <v>37</v>
      </c>
      <c r="E32" s="1">
        <v>25</v>
      </c>
      <c r="F32" s="1">
        <v>20</v>
      </c>
      <c r="G32" s="1">
        <v>60</v>
      </c>
      <c r="H32" s="1">
        <v>61</v>
      </c>
    </row>
    <row r="33" spans="1:14" x14ac:dyDescent="0.2">
      <c r="A33" t="s">
        <v>116</v>
      </c>
      <c r="B33" s="1">
        <v>5367</v>
      </c>
      <c r="C33" s="1">
        <v>7792</v>
      </c>
      <c r="D33" s="1">
        <v>6842</v>
      </c>
      <c r="E33" s="1">
        <v>7041</v>
      </c>
      <c r="F33" s="1">
        <v>7253</v>
      </c>
      <c r="G33" s="1">
        <v>9967</v>
      </c>
      <c r="H33" s="1">
        <v>11060</v>
      </c>
    </row>
    <row r="34" spans="1:14" x14ac:dyDescent="0.2">
      <c r="A34" t="s">
        <v>117</v>
      </c>
      <c r="B34" s="1">
        <v>432</v>
      </c>
      <c r="C34" s="1">
        <v>2612</v>
      </c>
      <c r="D34" s="1">
        <f>2079-297</f>
        <v>1782</v>
      </c>
      <c r="E34" s="1">
        <f>3612-675</f>
        <v>2937</v>
      </c>
      <c r="F34" s="1">
        <f>3964-451-98</f>
        <v>3415</v>
      </c>
      <c r="G34" s="1">
        <f>3878-401-570</f>
        <v>2907</v>
      </c>
      <c r="H34" s="1">
        <f>4125-263-405-599</f>
        <v>2858</v>
      </c>
    </row>
    <row r="35" spans="1:14" x14ac:dyDescent="0.2">
      <c r="A35" t="s">
        <v>118</v>
      </c>
      <c r="B35" s="1">
        <f>B33-B34</f>
        <v>4935</v>
      </c>
      <c r="C35" s="1">
        <f t="shared" ref="C35:H35" si="3">C33-C34</f>
        <v>5180</v>
      </c>
      <c r="D35" s="1">
        <f t="shared" si="3"/>
        <v>5060</v>
      </c>
      <c r="E35" s="1">
        <f t="shared" si="3"/>
        <v>4104</v>
      </c>
      <c r="F35" s="1">
        <f t="shared" si="3"/>
        <v>3838</v>
      </c>
      <c r="G35" s="1">
        <f t="shared" si="3"/>
        <v>7060</v>
      </c>
      <c r="H35" s="1">
        <f t="shared" si="3"/>
        <v>8202</v>
      </c>
    </row>
    <row r="36" spans="1:14" x14ac:dyDescent="0.2">
      <c r="A36" t="s">
        <v>115</v>
      </c>
      <c r="B36" s="1">
        <f>SUM(B28:B30)+B35</f>
        <v>13025.2</v>
      </c>
      <c r="C36" s="1">
        <f t="shared" ref="C36" si="4">SUM(C28:C30)+C35</f>
        <v>15568.9</v>
      </c>
      <c r="D36" s="1">
        <f>SUM(D28:D32)+D35</f>
        <v>10355</v>
      </c>
      <c r="E36" s="1">
        <f>SUM(E28:E32)+E35</f>
        <v>9852</v>
      </c>
      <c r="F36" s="1">
        <f>SUM(F28:F32)+F35</f>
        <v>10055</v>
      </c>
      <c r="G36" s="1">
        <f>SUM(G28:G32)+G35</f>
        <v>13938</v>
      </c>
      <c r="H36" s="1">
        <f>SUM(H28:H32)+H35</f>
        <v>14259</v>
      </c>
    </row>
    <row r="37" spans="1:14" x14ac:dyDescent="0.2">
      <c r="A37" t="s">
        <v>119</v>
      </c>
      <c r="B37" s="1">
        <v>6.7</v>
      </c>
      <c r="C37" s="1">
        <v>177</v>
      </c>
      <c r="D37" s="1">
        <v>158</v>
      </c>
      <c r="E37" s="1">
        <v>156</v>
      </c>
      <c r="F37" s="1">
        <v>203</v>
      </c>
      <c r="G37" s="1">
        <v>271</v>
      </c>
      <c r="H37" s="1">
        <v>339</v>
      </c>
    </row>
    <row r="38" spans="1:14" x14ac:dyDescent="0.2">
      <c r="A38" t="s">
        <v>120</v>
      </c>
      <c r="B38" s="2">
        <f>B37/B26</f>
        <v>5.193798449612403E-2</v>
      </c>
      <c r="C38" s="2">
        <f t="shared" ref="C38:H38" si="5">C37/C26</f>
        <v>0.12360335195530726</v>
      </c>
      <c r="D38" s="2">
        <f t="shared" si="5"/>
        <v>0.11350574712643678</v>
      </c>
      <c r="E38" s="2">
        <f t="shared" si="5"/>
        <v>0.12</v>
      </c>
      <c r="F38" s="2">
        <f t="shared" si="5"/>
        <v>0.11693548387096774</v>
      </c>
      <c r="G38" s="2">
        <f t="shared" si="5"/>
        <v>0.10261264672472548</v>
      </c>
      <c r="H38" s="9">
        <f t="shared" si="5"/>
        <v>0.12663429211804259</v>
      </c>
    </row>
    <row r="39" spans="1:14" x14ac:dyDescent="0.2">
      <c r="A39" t="s">
        <v>121</v>
      </c>
      <c r="B39" s="10">
        <f>B26/B36</f>
        <v>9.9038786352608783E-3</v>
      </c>
      <c r="C39" s="10">
        <f t="shared" ref="C39:H39" si="6">C26/C36</f>
        <v>9.1978238668113999E-2</v>
      </c>
      <c r="D39" s="10">
        <f t="shared" si="6"/>
        <v>0.13442781265089329</v>
      </c>
      <c r="E39" s="10">
        <f t="shared" si="6"/>
        <v>0.13195290296386519</v>
      </c>
      <c r="F39" s="10">
        <f t="shared" si="6"/>
        <v>0.17265042267528594</v>
      </c>
      <c r="G39" s="10">
        <f t="shared" si="6"/>
        <v>0.1894819916774286</v>
      </c>
      <c r="H39" s="10">
        <f t="shared" si="6"/>
        <v>0.18774107581176799</v>
      </c>
    </row>
    <row r="40" spans="1:14" x14ac:dyDescent="0.2">
      <c r="A40" t="s">
        <v>82</v>
      </c>
      <c r="B40" s="10">
        <f>B36/B27</f>
        <v>1.1095664025896586</v>
      </c>
      <c r="C40" s="10">
        <f t="shared" ref="C40:H40" si="7">C36/C27</f>
        <v>1.3152741404071977</v>
      </c>
      <c r="D40" s="10">
        <f t="shared" si="7"/>
        <v>1.2743047009598818</v>
      </c>
      <c r="E40" s="10">
        <f t="shared" si="7"/>
        <v>1.3545992025299052</v>
      </c>
      <c r="F40" s="10">
        <f t="shared" si="7"/>
        <v>1.4609941443994012</v>
      </c>
      <c r="G40" s="10">
        <f t="shared" si="7"/>
        <v>1.9350270720533111</v>
      </c>
      <c r="H40" s="10">
        <f t="shared" si="7"/>
        <v>1.8051652107861755</v>
      </c>
    </row>
    <row r="41" spans="1:14" x14ac:dyDescent="0.2">
      <c r="A41" t="s">
        <v>122</v>
      </c>
      <c r="B41" s="2">
        <f>B38*B39*B40</f>
        <v>5.7074708237498935E-4</v>
      </c>
      <c r="C41" s="2">
        <f t="shared" ref="C41:H41" si="8">C38*C39*C40</f>
        <v>1.4953113119878347E-2</v>
      </c>
      <c r="D41" s="2">
        <f t="shared" si="8"/>
        <v>1.9443760767905487E-2</v>
      </c>
      <c r="E41" s="2">
        <f t="shared" si="8"/>
        <v>2.1449195655162928E-2</v>
      </c>
      <c r="F41" s="2">
        <f t="shared" si="8"/>
        <v>2.949595338767563E-2</v>
      </c>
      <c r="G41" s="2">
        <f t="shared" si="8"/>
        <v>3.7623212550326246E-2</v>
      </c>
      <c r="H41" s="9">
        <f t="shared" si="8"/>
        <v>4.2916824914546139E-2</v>
      </c>
    </row>
    <row r="43" spans="1:14" x14ac:dyDescent="0.2">
      <c r="A43" t="s">
        <v>132</v>
      </c>
      <c r="K43" t="s">
        <v>1</v>
      </c>
    </row>
    <row r="44" spans="1:14" x14ac:dyDescent="0.2">
      <c r="A44" t="s">
        <v>139</v>
      </c>
      <c r="B44" s="1">
        <f>H28</f>
        <v>103</v>
      </c>
      <c r="E44" t="s">
        <v>23</v>
      </c>
      <c r="F44" s="3">
        <f>B52</f>
        <v>5415</v>
      </c>
      <c r="G44" s="2">
        <f>F44/$D$56</f>
        <v>0.31637064734751108</v>
      </c>
      <c r="K44" t="s">
        <v>114</v>
      </c>
      <c r="L44" s="3">
        <f>H27</f>
        <v>7899</v>
      </c>
      <c r="M44" s="3">
        <f>L44</f>
        <v>7899</v>
      </c>
      <c r="N44" s="2">
        <f>M44/D56</f>
        <v>0.46149801355456882</v>
      </c>
    </row>
    <row r="45" spans="1:14" x14ac:dyDescent="0.2">
      <c r="A45" t="s">
        <v>123</v>
      </c>
      <c r="B45" s="1"/>
      <c r="E45" t="s">
        <v>139</v>
      </c>
      <c r="F45" s="3">
        <f>B44</f>
        <v>103</v>
      </c>
      <c r="G45" s="2">
        <f t="shared" ref="G45:G49" si="9">F45/$D$56</f>
        <v>6.0177611591493343E-3</v>
      </c>
    </row>
    <row r="46" spans="1:14" x14ac:dyDescent="0.2">
      <c r="A46" t="s">
        <v>33</v>
      </c>
      <c r="B46" s="1">
        <f>H29</f>
        <v>5475</v>
      </c>
      <c r="E46" t="s">
        <v>33</v>
      </c>
      <c r="F46" s="3">
        <f>B46+B51</f>
        <v>5634</v>
      </c>
      <c r="G46" s="2">
        <f t="shared" si="9"/>
        <v>0.32916569291890629</v>
      </c>
      <c r="K46" t="s">
        <v>3</v>
      </c>
    </row>
    <row r="47" spans="1:14" x14ac:dyDescent="0.2">
      <c r="A47" t="s">
        <v>60</v>
      </c>
      <c r="B47" s="1">
        <f>H31</f>
        <v>336</v>
      </c>
      <c r="E47" t="s">
        <v>60</v>
      </c>
      <c r="F47" s="3">
        <f>B47+B55</f>
        <v>1522</v>
      </c>
      <c r="G47" s="2">
        <f t="shared" si="9"/>
        <v>8.8922645477915396E-2</v>
      </c>
      <c r="K47" t="s">
        <v>141</v>
      </c>
      <c r="L47">
        <f>4913+405+599</f>
        <v>5917</v>
      </c>
    </row>
    <row r="48" spans="1:14" x14ac:dyDescent="0.2">
      <c r="A48" t="s">
        <v>136</v>
      </c>
      <c r="B48" s="1">
        <f>H30+H32</f>
        <v>143</v>
      </c>
      <c r="C48" s="3">
        <f>SUM(B44:B48)</f>
        <v>6057</v>
      </c>
      <c r="E48" t="s">
        <v>135</v>
      </c>
      <c r="F48" s="3">
        <f>B54</f>
        <v>1243</v>
      </c>
      <c r="G48" s="2">
        <f t="shared" si="9"/>
        <v>7.2622107969151667E-2</v>
      </c>
      <c r="K48" t="s">
        <v>142</v>
      </c>
      <c r="L48">
        <v>263</v>
      </c>
      <c r="M48">
        <f>L47+L48</f>
        <v>6180</v>
      </c>
      <c r="N48" s="2">
        <f>M48/D56</f>
        <v>0.36106566954896002</v>
      </c>
    </row>
    <row r="49" spans="1:14" x14ac:dyDescent="0.2">
      <c r="E49" t="s">
        <v>136</v>
      </c>
      <c r="F49" s="3">
        <f>D56-SUM(F44:F48)</f>
        <v>3199</v>
      </c>
      <c r="G49" s="2">
        <f t="shared" si="9"/>
        <v>0.18690114512736622</v>
      </c>
    </row>
    <row r="50" spans="1:14" x14ac:dyDescent="0.2">
      <c r="A50" t="s">
        <v>116</v>
      </c>
      <c r="K50" t="s">
        <v>138</v>
      </c>
      <c r="L50" s="3">
        <f>D56-M44-M48</f>
        <v>3037</v>
      </c>
      <c r="M50" s="3">
        <f>L50</f>
        <v>3037</v>
      </c>
      <c r="N50" s="2">
        <f>M50/D56</f>
        <v>0.17743631689647113</v>
      </c>
    </row>
    <row r="51" spans="1:14" x14ac:dyDescent="0.2">
      <c r="A51" t="s">
        <v>33</v>
      </c>
      <c r="B51" s="1">
        <v>159</v>
      </c>
      <c r="C51" s="1"/>
      <c r="E51" t="s">
        <v>145</v>
      </c>
      <c r="F51">
        <v>4400</v>
      </c>
      <c r="G51" s="6"/>
    </row>
    <row r="52" spans="1:14" x14ac:dyDescent="0.2">
      <c r="A52" t="s">
        <v>35</v>
      </c>
      <c r="B52" s="1">
        <v>5415</v>
      </c>
      <c r="C52" s="1"/>
      <c r="E52" t="s">
        <v>150</v>
      </c>
      <c r="F52" s="10">
        <f>F51/D56</f>
        <v>0.25706940874035988</v>
      </c>
    </row>
    <row r="53" spans="1:14" x14ac:dyDescent="0.2">
      <c r="A53" t="s">
        <v>140</v>
      </c>
      <c r="B53" s="1">
        <v>476</v>
      </c>
      <c r="C53" s="1"/>
      <c r="E53" t="s">
        <v>151</v>
      </c>
      <c r="F53" s="10">
        <f>F51/H27</f>
        <v>0.55703253576402079</v>
      </c>
    </row>
    <row r="54" spans="1:14" x14ac:dyDescent="0.2">
      <c r="A54" t="s">
        <v>135</v>
      </c>
      <c r="B54" s="1">
        <v>1243</v>
      </c>
      <c r="C54" s="1"/>
      <c r="E54" t="s">
        <v>152</v>
      </c>
      <c r="F54" s="10">
        <f>F51/H37</f>
        <v>12.979351032448378</v>
      </c>
    </row>
    <row r="55" spans="1:14" x14ac:dyDescent="0.2">
      <c r="A55" t="s">
        <v>60</v>
      </c>
      <c r="B55" s="1">
        <v>1186</v>
      </c>
      <c r="C55" s="1"/>
    </row>
    <row r="56" spans="1:14" x14ac:dyDescent="0.2">
      <c r="A56" t="s">
        <v>136</v>
      </c>
      <c r="B56" s="1">
        <v>2580</v>
      </c>
      <c r="C56" s="1">
        <f>SUM(B51:B56)</f>
        <v>11059</v>
      </c>
      <c r="D56" s="3">
        <f>C48+C56</f>
        <v>17116</v>
      </c>
    </row>
    <row r="58" spans="1:14" x14ac:dyDescent="0.2">
      <c r="A58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2" sqref="B2"/>
    </sheetView>
  </sheetViews>
  <sheetFormatPr baseColWidth="10" defaultColWidth="8.83203125" defaultRowHeight="15" x14ac:dyDescent="0.2"/>
  <sheetData>
    <row r="1" spans="1:8" x14ac:dyDescent="0.2">
      <c r="B1" t="s">
        <v>49</v>
      </c>
      <c r="C1" t="s">
        <v>84</v>
      </c>
      <c r="D1" t="s">
        <v>86</v>
      </c>
      <c r="E1" t="s">
        <v>82</v>
      </c>
      <c r="F1" t="s">
        <v>83</v>
      </c>
      <c r="G1" t="s">
        <v>85</v>
      </c>
      <c r="H1" t="s">
        <v>23</v>
      </c>
    </row>
    <row r="2" spans="1:8" x14ac:dyDescent="0.2">
      <c r="A2" t="s">
        <v>78</v>
      </c>
    </row>
    <row r="3" spans="1:8" x14ac:dyDescent="0.2">
      <c r="A3" t="s">
        <v>79</v>
      </c>
    </row>
    <row r="4" spans="1:8" x14ac:dyDescent="0.2">
      <c r="A4" t="s">
        <v>80</v>
      </c>
    </row>
    <row r="5" spans="1:8" x14ac:dyDescent="0.2">
      <c r="A5" t="s">
        <v>81</v>
      </c>
    </row>
    <row r="6" spans="1:8" x14ac:dyDescent="0.2">
      <c r="A6" t="s">
        <v>87</v>
      </c>
    </row>
    <row r="7" spans="1:8" x14ac:dyDescent="0.2">
      <c r="A7" t="s">
        <v>94</v>
      </c>
    </row>
    <row r="8" spans="1:8" x14ac:dyDescent="0.2">
      <c r="A8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Oberoi</vt:lpstr>
      <vt:lpstr>Sunteck</vt:lpstr>
      <vt:lpstr>Godrej</vt:lpstr>
      <vt:lpstr>prestige</vt:lpstr>
      <vt:lpstr>DLF</vt:lpstr>
      <vt:lpstr>HDIL</vt:lpstr>
      <vt:lpstr>Indiabulls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 Office User</cp:lastModifiedBy>
  <dcterms:created xsi:type="dcterms:W3CDTF">2016-08-31T16:37:16Z</dcterms:created>
  <dcterms:modified xsi:type="dcterms:W3CDTF">2016-10-09T04:38:28Z</dcterms:modified>
</cp:coreProperties>
</file>