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Supreme" sheetId="1" r:id="rId1"/>
  </sheets>
  <calcPr calcId="145621"/>
</workbook>
</file>

<file path=xl/calcChain.xml><?xml version="1.0" encoding="utf-8"?>
<calcChain xmlns="http://schemas.openxmlformats.org/spreadsheetml/2006/main">
  <c r="F35" i="1" l="1"/>
  <c r="D35" i="1"/>
  <c r="C35" i="1"/>
  <c r="B35" i="1"/>
  <c r="D34" i="1"/>
  <c r="C34" i="1"/>
  <c r="B34" i="1"/>
  <c r="F30" i="1"/>
  <c r="E30" i="1"/>
  <c r="F29" i="1"/>
  <c r="E29" i="1"/>
  <c r="F28" i="1"/>
  <c r="E28" i="1"/>
  <c r="F27" i="1"/>
  <c r="E27" i="1"/>
  <c r="F26" i="1"/>
  <c r="E26" i="1"/>
  <c r="F25" i="1"/>
  <c r="E25" i="1"/>
  <c r="F24" i="1"/>
  <c r="E24" i="1"/>
  <c r="F23" i="1"/>
  <c r="E23" i="1"/>
  <c r="F22" i="1"/>
  <c r="E22" i="1"/>
  <c r="F21" i="1"/>
  <c r="E21" i="1"/>
  <c r="M12" i="1"/>
  <c r="H11" i="1"/>
  <c r="C10" i="1"/>
  <c r="C14" i="1" s="1"/>
  <c r="C9" i="1"/>
  <c r="C13" i="1" s="1"/>
  <c r="H8" i="1"/>
  <c r="C8" i="1"/>
  <c r="C53" i="1" s="1"/>
  <c r="D53" i="1" s="1"/>
  <c r="H7" i="1"/>
  <c r="H12" i="1" s="1"/>
  <c r="C11" i="1" l="1"/>
  <c r="H13" i="1" s="1"/>
  <c r="C12" i="1"/>
  <c r="B53" i="1"/>
  <c r="B54" i="1" s="1"/>
  <c r="B39" i="1"/>
  <c r="C54" i="1" l="1"/>
  <c r="D54" i="1" s="1"/>
  <c r="B40" i="1"/>
  <c r="C39" i="1"/>
  <c r="B55" i="1" l="1"/>
  <c r="B41" i="1"/>
  <c r="C40" i="1"/>
  <c r="B56" i="1" l="1"/>
  <c r="C55" i="1"/>
  <c r="D55" i="1" s="1"/>
  <c r="B42" i="1"/>
  <c r="C41" i="1"/>
  <c r="B43" i="1" l="1"/>
  <c r="C42" i="1"/>
  <c r="C56" i="1"/>
  <c r="D56" i="1" s="1"/>
  <c r="B57" i="1" l="1"/>
  <c r="B44" i="1"/>
  <c r="C43" i="1"/>
  <c r="B58" i="1" l="1"/>
  <c r="C57" i="1"/>
  <c r="D57" i="1" s="1"/>
  <c r="B45" i="1"/>
  <c r="C44" i="1"/>
  <c r="B46" i="1" l="1"/>
  <c r="C45" i="1"/>
  <c r="B59" i="1"/>
  <c r="C58" i="1"/>
  <c r="D58" i="1" s="1"/>
  <c r="C59" i="1" l="1"/>
  <c r="D59" i="1" s="1"/>
  <c r="C46" i="1"/>
  <c r="B47" i="1"/>
  <c r="C47" i="1" l="1"/>
  <c r="B48" i="1"/>
  <c r="B60" i="1"/>
  <c r="C48" i="1" l="1"/>
  <c r="B49" i="1"/>
  <c r="B61" i="1"/>
  <c r="C60" i="1"/>
  <c r="D60" i="1" s="1"/>
  <c r="B62" i="1" l="1"/>
  <c r="C61" i="1"/>
  <c r="D61" i="1" s="1"/>
  <c r="C49" i="1"/>
  <c r="E40" i="1" s="1"/>
  <c r="E39" i="1"/>
  <c r="E42" i="1" s="1"/>
  <c r="C62" i="1" l="1"/>
  <c r="D62" i="1" s="1"/>
  <c r="B63" i="1" s="1"/>
  <c r="C63" i="1" s="1"/>
  <c r="E49" i="1"/>
  <c r="E50" i="1" s="1"/>
  <c r="E43" i="1"/>
  <c r="E45" i="1" s="1"/>
  <c r="D63" i="1" l="1"/>
  <c r="E54" i="1" s="1"/>
  <c r="E53" i="1"/>
  <c r="E56" i="1" s="1"/>
  <c r="E63" i="1" l="1"/>
  <c r="E64" i="1" s="1"/>
  <c r="E57" i="1"/>
  <c r="E59" i="1" s="1"/>
</calcChain>
</file>

<file path=xl/comments1.xml><?xml version="1.0" encoding="utf-8"?>
<comments xmlns="http://schemas.openxmlformats.org/spreadsheetml/2006/main">
  <authors>
    <author>Safal Niveshak</author>
    <author>Vishal</author>
  </authors>
  <commentList>
    <comment ref="G12" authorId="0">
      <text>
        <r>
          <rPr>
            <b/>
            <sz val="9"/>
            <color indexed="81"/>
            <rFont val="Tahoma"/>
            <family val="2"/>
          </rPr>
          <t xml:space="preserve">Safal Niveshak: </t>
        </r>
        <r>
          <rPr>
            <sz val="9"/>
            <color indexed="81"/>
            <rFont val="Tahoma"/>
            <family val="2"/>
          </rPr>
          <t xml:space="preserve">Sustainable Growth is usually calculated as:
</t>
        </r>
        <r>
          <rPr>
            <b/>
            <sz val="9"/>
            <color indexed="81"/>
            <rFont val="Tahoma"/>
            <family val="2"/>
          </rPr>
          <t xml:space="preserve">(ROE * (1 - Payout Ratio))
</t>
        </r>
        <r>
          <rPr>
            <sz val="9"/>
            <color indexed="81"/>
            <rFont val="Tahoma"/>
            <family val="2"/>
          </rPr>
          <t>Here, (1 - Payout Ratio) = Profits retained by the company after paying the dividend. In the long term, a company's profit growth is sustained at its RoE levels, thus this formula.</t>
        </r>
      </text>
    </comment>
    <comment ref="B17" authorId="1">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B53" authorId="0">
      <text>
        <r>
          <rPr>
            <b/>
            <sz val="9"/>
            <color indexed="81"/>
            <rFont val="Tahoma"/>
            <family val="2"/>
          </rPr>
          <t>Safal Niveshak:</t>
        </r>
        <r>
          <rPr>
            <sz val="9"/>
            <color indexed="81"/>
            <rFont val="Tahoma"/>
            <family val="2"/>
          </rPr>
          <t xml:space="preserve"> This is the latest year's book value per share.
</t>
        </r>
      </text>
    </comment>
    <comment ref="D53" authorId="0">
      <text>
        <r>
          <rPr>
            <b/>
            <sz val="9"/>
            <color indexed="81"/>
            <rFont val="Tahoma"/>
            <family val="2"/>
          </rPr>
          <t xml:space="preserve">Safal Niveshak: </t>
        </r>
        <r>
          <rPr>
            <sz val="9"/>
            <color indexed="81"/>
            <rFont val="Tahoma"/>
            <family val="2"/>
          </rPr>
          <t xml:space="preserve">DPS is calculated as: EPS x Payout Ratio.
Payout ratio = DPS / EPS, or how much of a year's earnings is paid out at dividends.
</t>
        </r>
      </text>
    </comment>
    <comment ref="B54" authorId="0">
      <text>
        <r>
          <rPr>
            <b/>
            <sz val="9"/>
            <color indexed="81"/>
            <rFont val="Tahoma"/>
            <family val="2"/>
          </rPr>
          <t xml:space="preserve">Safal Niveshak: </t>
        </r>
        <r>
          <rPr>
            <sz val="9"/>
            <color indexed="81"/>
            <rFont val="Tahoma"/>
            <family val="2"/>
          </rPr>
          <t>This book value and those in subsequent years are calculated using  the formula…</t>
        </r>
        <r>
          <rPr>
            <b/>
            <sz val="9"/>
            <color indexed="81"/>
            <rFont val="Tahoma"/>
            <family val="2"/>
          </rPr>
          <t xml:space="preserve">
</t>
        </r>
        <r>
          <rPr>
            <i/>
            <sz val="9"/>
            <color indexed="81"/>
            <rFont val="Tahoma"/>
            <family val="2"/>
          </rPr>
          <t>Previous year's Book Value + Latest year's EPS - Latest year's Dividend per share</t>
        </r>
        <r>
          <rPr>
            <sz val="9"/>
            <color indexed="81"/>
            <rFont val="Tahoma"/>
            <family val="2"/>
          </rPr>
          <t xml:space="preserve">
This is because this year's shareholder's equity (book value) is simply last years equity + profits generated in this year - dividends paid in this year.</t>
        </r>
      </text>
    </comment>
  </commentList>
</comments>
</file>

<file path=xl/sharedStrings.xml><?xml version="1.0" encoding="utf-8"?>
<sst xmlns="http://schemas.openxmlformats.org/spreadsheetml/2006/main" count="98" uniqueCount="72">
  <si>
    <t>Supreme Industries - Buffett Valuation Spreadsheet</t>
  </si>
  <si>
    <r>
      <t xml:space="preserve">Source - Buffettology by Mary Buffett &amp; David Clark | </t>
    </r>
    <r>
      <rPr>
        <i/>
        <sz val="12"/>
        <color indexed="10"/>
        <rFont val="Arial"/>
        <family val="2"/>
      </rPr>
      <t>(Enter values only in red cells)</t>
    </r>
  </si>
  <si>
    <t>Date of Analysis:</t>
  </si>
  <si>
    <t>Current Stock Data</t>
  </si>
  <si>
    <t>10-Year Averages</t>
  </si>
  <si>
    <t>Buy Price:</t>
  </si>
  <si>
    <t>Return on Equity:</t>
  </si>
  <si>
    <t>Intrinsic value- at current PE</t>
  </si>
  <si>
    <t>40% margin of safety at buy price</t>
  </si>
  <si>
    <t>Payout Ratio:</t>
  </si>
  <si>
    <t>Intrinsic Value- 25% discounted PE</t>
  </si>
  <si>
    <t>20.0% margin of safety at buy price</t>
  </si>
  <si>
    <t>DPS:</t>
  </si>
  <si>
    <t>P/E Ratio-High:</t>
  </si>
  <si>
    <t>Intrinsic value-sustainable growth</t>
  </si>
  <si>
    <t>BVPS:</t>
  </si>
  <si>
    <t>P/E Ratio-Low:</t>
  </si>
  <si>
    <t>P/E:</t>
  </si>
  <si>
    <t>Average P/E Ratio:</t>
  </si>
  <si>
    <t>Conclusion</t>
  </si>
  <si>
    <t>MOS takes into account 18% discount to 5 year average growth rate on EPS or stock at 14 PE multiple</t>
  </si>
  <si>
    <t>Earnings Yield:</t>
  </si>
  <si>
    <t>Sustainable Growth</t>
  </si>
  <si>
    <t>Best Buy Price</t>
  </si>
  <si>
    <t>40% margin of safety on intrinsic value at discounted pe of 18 and discounted rate of 11% and growth rate of 16.9%</t>
  </si>
  <si>
    <t>Dividend Yield:</t>
  </si>
  <si>
    <t>Discounted P/E Ratio:</t>
  </si>
  <si>
    <t>25% margin built on current PE - choose between lowest of discounted PE and average PE</t>
  </si>
  <si>
    <t>P/BV:</t>
  </si>
  <si>
    <t>No of shares</t>
  </si>
  <si>
    <t>In lacs</t>
  </si>
  <si>
    <t>Govt. Bond Yield:</t>
  </si>
  <si>
    <t>Discount Rate</t>
  </si>
  <si>
    <t>10% margin built on 10% discounted rate</t>
  </si>
  <si>
    <t>Historical Company Data</t>
  </si>
  <si>
    <t>`</t>
  </si>
  <si>
    <t>Year</t>
  </si>
  <si>
    <t>EPS</t>
  </si>
  <si>
    <t>DPS</t>
  </si>
  <si>
    <t>BVPS</t>
  </si>
  <si>
    <t>ROE</t>
  </si>
  <si>
    <t>Payout Ratio</t>
  </si>
  <si>
    <t>Annually Compounded Rates of Growth</t>
  </si>
  <si>
    <t>Factor</t>
  </si>
  <si>
    <t>10-Year Growth</t>
  </si>
  <si>
    <t>5-Year Growth</t>
  </si>
  <si>
    <t>Projected Company Data Using Historical Earnings Growth Rate</t>
  </si>
  <si>
    <t>L (Current)</t>
  </si>
  <si>
    <t>Earnings after 10 years</t>
  </si>
  <si>
    <t>L+1</t>
  </si>
  <si>
    <t>Sum of dividends paid over 10 years</t>
  </si>
  <si>
    <t>L+2</t>
  </si>
  <si>
    <t>L+3</t>
  </si>
  <si>
    <t>Projected price (Discounted P/E * EPS)</t>
  </si>
  <si>
    <t>In this case we have used lower PE of either discounted or average</t>
  </si>
  <si>
    <t>L+4</t>
  </si>
  <si>
    <t>Total gain (Projected Price + Dividends)</t>
  </si>
  <si>
    <t>L+5</t>
  </si>
  <si>
    <t>L+6</t>
  </si>
  <si>
    <t>Projected return using historical EPS growth rate</t>
  </si>
  <si>
    <t>L+7</t>
  </si>
  <si>
    <t>[(Total Gain / Current Price) ^ (1/10)] - 1</t>
  </si>
  <si>
    <t>L+8</t>
  </si>
  <si>
    <t>L+9</t>
  </si>
  <si>
    <t>L+10</t>
  </si>
  <si>
    <t>20.0% margin</t>
  </si>
  <si>
    <t>Projected Company Data Using Sustainable Growth Rate</t>
  </si>
  <si>
    <t>Earnings after 10 years (BVPS * ROE)</t>
  </si>
  <si>
    <t>Projected return using sustainable growth rate</t>
  </si>
  <si>
    <t>40% margin</t>
  </si>
  <si>
    <t>20.09.2015</t>
  </si>
  <si>
    <t>Trailing EPS: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</si>
</sst>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409]d/mmm/yy;@"/>
    <numFmt numFmtId="165" formatCode="_(* #,##0.0_);_(* \(#,##0.0\);_(* &quot;-&quot;??_);_(@_)"/>
    <numFmt numFmtId="166" formatCode="0.0%"/>
    <numFmt numFmtId="167" formatCode="0.0"/>
    <numFmt numFmtId="168" formatCode="#,##0.0_);[Red]\(#,##0.0\)"/>
    <numFmt numFmtId="169" formatCode="_(* #,##0_);_(* \(#,##0\);_(* &quot;-&quot;??_);_(@_)"/>
    <numFmt numFmtId="170" formatCode="_(* #,##0.00_);_(* \(#,##0.00\);_(* \-??_);_(@_)"/>
  </numFmts>
  <fonts count="20" x14ac:knownFonts="1">
    <font>
      <sz val="10"/>
      <name val="Arial"/>
      <family val="2"/>
    </font>
    <font>
      <sz val="10"/>
      <name val="Arial"/>
      <family val="2"/>
    </font>
    <font>
      <b/>
      <sz val="15"/>
      <color theme="1"/>
      <name val="Arial"/>
      <family val="2"/>
    </font>
    <font>
      <i/>
      <sz val="12"/>
      <color theme="1"/>
      <name val="Arial"/>
      <family val="2"/>
    </font>
    <font>
      <i/>
      <sz val="12"/>
      <color indexed="10"/>
      <name val="Arial"/>
      <family val="2"/>
    </font>
    <font>
      <sz val="12"/>
      <color theme="1"/>
      <name val="Arial"/>
      <family val="2"/>
    </font>
    <font>
      <b/>
      <sz val="12"/>
      <name val="Arial"/>
      <family val="2"/>
    </font>
    <font>
      <sz val="12"/>
      <name val="Arial"/>
      <family val="2"/>
    </font>
    <font>
      <b/>
      <sz val="12"/>
      <color theme="1"/>
      <name val="Arial"/>
      <family val="2"/>
    </font>
    <font>
      <sz val="10"/>
      <name val="Arial"/>
    </font>
    <font>
      <b/>
      <sz val="12"/>
      <color rgb="FFC00000"/>
      <name val="Arial"/>
      <family val="2"/>
    </font>
    <font>
      <b/>
      <sz val="15"/>
      <color rgb="FF0070C0"/>
      <name val="Arial"/>
      <family val="2"/>
    </font>
    <font>
      <sz val="12"/>
      <color rgb="FFFF0000"/>
      <name val="Arial"/>
      <family val="2"/>
    </font>
    <font>
      <b/>
      <sz val="12"/>
      <color theme="0"/>
      <name val="Arial"/>
      <family val="2"/>
    </font>
    <font>
      <b/>
      <sz val="9"/>
      <color indexed="81"/>
      <name val="Tahoma"/>
      <family val="2"/>
    </font>
    <font>
      <sz val="9"/>
      <color indexed="81"/>
      <name val="Tahoma"/>
      <family val="2"/>
    </font>
    <font>
      <i/>
      <sz val="9"/>
      <color indexed="81"/>
      <name val="Tahoma"/>
      <family val="2"/>
    </font>
    <font>
      <sz val="10"/>
      <name val="Mangal"/>
      <family val="2"/>
    </font>
    <font>
      <sz val="10"/>
      <name val="Arial"/>
      <family val="2"/>
      <charset val="1"/>
    </font>
    <font>
      <sz val="10"/>
      <name val="Tahoma"/>
      <family val="2"/>
    </font>
  </fonts>
  <fills count="6">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s>
  <borders count="1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xf numFmtId="43" fontId="9" fillId="0" borderId="0" applyFill="0" applyBorder="0" applyAlignment="0" applyProtection="0"/>
    <xf numFmtId="9" fontId="9" fillId="0" borderId="0" applyFill="0" applyBorder="0" applyAlignment="0" applyProtection="0"/>
    <xf numFmtId="170" fontId="17" fillId="0" borderId="0" applyFill="0" applyBorder="0" applyAlignment="0" applyProtection="0"/>
    <xf numFmtId="0" fontId="18" fillId="0" borderId="0"/>
    <xf numFmtId="0" fontId="1" fillId="0" borderId="0"/>
    <xf numFmtId="0" fontId="19" fillId="0" borderId="0"/>
    <xf numFmtId="9" fontId="17" fillId="0" borderId="0" applyFill="0" applyBorder="0" applyAlignment="0" applyProtection="0"/>
  </cellStyleXfs>
  <cellXfs count="87">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0" xfId="0" applyBorder="1"/>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5" fillId="0" borderId="0" xfId="0" applyFont="1" applyBorder="1"/>
    <xf numFmtId="0" fontId="3" fillId="0" borderId="0" xfId="0" applyFont="1" applyBorder="1" applyAlignment="1">
      <alignment horizontal="center"/>
    </xf>
    <xf numFmtId="0" fontId="6" fillId="0" borderId="0" xfId="0" applyFont="1" applyBorder="1" applyAlignment="1">
      <alignment horizontal="right"/>
    </xf>
    <xf numFmtId="164" fontId="7" fillId="0" borderId="0" xfId="0" quotePrefix="1" applyNumberFormat="1" applyFont="1" applyFill="1" applyBorder="1" applyAlignment="1">
      <alignment horizontal="left"/>
    </xf>
    <xf numFmtId="0" fontId="5" fillId="0" borderId="0" xfId="0" applyFont="1" applyBorder="1" applyAlignment="1">
      <alignment horizontal="right"/>
    </xf>
    <xf numFmtId="0" fontId="8" fillId="0" borderId="0" xfId="0" applyFont="1" applyFill="1" applyBorder="1" applyAlignment="1">
      <alignment vertical="center" wrapText="1"/>
    </xf>
    <xf numFmtId="0" fontId="5" fillId="0" borderId="0" xfId="0" applyFont="1" applyFill="1" applyBorder="1" applyAlignment="1">
      <alignment vertical="center" wrapText="1"/>
    </xf>
    <xf numFmtId="0" fontId="6" fillId="3" borderId="0" xfId="0" applyFont="1" applyFill="1" applyBorder="1" applyAlignment="1">
      <alignment horizontal="center"/>
    </xf>
    <xf numFmtId="0" fontId="6" fillId="0" borderId="0" xfId="0" applyFont="1" applyBorder="1"/>
    <xf numFmtId="165" fontId="5" fillId="0" borderId="0" xfId="1" applyNumberFormat="1" applyFont="1" applyFill="1" applyBorder="1" applyAlignment="1">
      <alignment horizontal="left"/>
    </xf>
    <xf numFmtId="166" fontId="5" fillId="0" borderId="0" xfId="0" applyNumberFormat="1" applyFont="1" applyFill="1" applyBorder="1" applyAlignment="1">
      <alignment horizontal="left"/>
    </xf>
    <xf numFmtId="167" fontId="5" fillId="0" borderId="0" xfId="0" applyNumberFormat="1"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xf numFmtId="168" fontId="5" fillId="0" borderId="0" xfId="1" applyNumberFormat="1" applyFont="1" applyFill="1" applyBorder="1" applyAlignment="1">
      <alignment horizontal="left"/>
    </xf>
    <xf numFmtId="166" fontId="5" fillId="0" borderId="0" xfId="2" applyNumberFormat="1" applyFont="1" applyFill="1" applyBorder="1" applyAlignment="1">
      <alignment horizontal="right"/>
    </xf>
    <xf numFmtId="166" fontId="5" fillId="0" borderId="0" xfId="0" applyNumberFormat="1" applyFont="1" applyBorder="1" applyAlignment="1">
      <alignment horizontal="left"/>
    </xf>
    <xf numFmtId="0" fontId="5" fillId="4" borderId="0" xfId="0" applyFont="1" applyFill="1" applyBorder="1"/>
    <xf numFmtId="0" fontId="6" fillId="4" borderId="0" xfId="0" applyFont="1" applyFill="1" applyBorder="1" applyAlignment="1">
      <alignment horizontal="right"/>
    </xf>
    <xf numFmtId="167" fontId="5" fillId="4" borderId="0" xfId="0" applyNumberFormat="1" applyFont="1" applyFill="1" applyBorder="1" applyAlignment="1">
      <alignment vertical="center" wrapText="1"/>
    </xf>
    <xf numFmtId="168" fontId="5" fillId="0" borderId="0" xfId="1" applyNumberFormat="1" applyFont="1" applyFill="1" applyBorder="1" applyAlignment="1">
      <alignment horizontal="right"/>
    </xf>
    <xf numFmtId="2" fontId="5" fillId="0" borderId="0" xfId="0" applyNumberFormat="1" applyFont="1" applyBorder="1" applyAlignment="1">
      <alignment horizontal="right"/>
    </xf>
    <xf numFmtId="166" fontId="10" fillId="0" borderId="0" xfId="0" applyNumberFormat="1" applyFont="1" applyFill="1" applyBorder="1" applyAlignment="1">
      <alignment horizontal="right"/>
    </xf>
    <xf numFmtId="0" fontId="8" fillId="0" borderId="0" xfId="0" applyFont="1" applyAlignment="1">
      <alignment horizontal="right"/>
    </xf>
    <xf numFmtId="166" fontId="10" fillId="0" borderId="7" xfId="0" applyNumberFormat="1" applyFont="1" applyFill="1" applyBorder="1" applyAlignment="1">
      <alignment horizontal="right"/>
    </xf>
    <xf numFmtId="0" fontId="11" fillId="0" borderId="0" xfId="0" applyFont="1" applyBorder="1"/>
    <xf numFmtId="0" fontId="5" fillId="3" borderId="1" xfId="0" applyFont="1" applyFill="1" applyBorder="1"/>
    <xf numFmtId="0" fontId="5" fillId="3" borderId="2" xfId="0" applyFont="1" applyFill="1" applyBorder="1"/>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xf>
    <xf numFmtId="10" fontId="5" fillId="0" borderId="0" xfId="0" applyNumberFormat="1" applyFont="1" applyBorder="1"/>
    <xf numFmtId="0" fontId="6" fillId="3" borderId="8" xfId="0" applyFont="1" applyFill="1" applyBorder="1" applyAlignment="1">
      <alignment horizontal="center"/>
    </xf>
    <xf numFmtId="0" fontId="6" fillId="3" borderId="9" xfId="0" applyFont="1" applyFill="1" applyBorder="1" applyAlignment="1">
      <alignment horizontal="right"/>
    </xf>
    <xf numFmtId="0" fontId="6" fillId="3" borderId="10" xfId="0" applyFont="1" applyFill="1" applyBorder="1" applyAlignment="1">
      <alignment horizontal="right"/>
    </xf>
    <xf numFmtId="0" fontId="6" fillId="0" borderId="0" xfId="0" applyFont="1" applyFill="1" applyBorder="1" applyAlignment="1">
      <alignment horizontal="right"/>
    </xf>
    <xf numFmtId="0" fontId="6" fillId="0" borderId="8" xfId="0" applyFont="1" applyFill="1" applyBorder="1" applyAlignment="1">
      <alignment horizontal="center"/>
    </xf>
    <xf numFmtId="43" fontId="5" fillId="0" borderId="9" xfId="1" applyNumberFormat="1" applyFont="1" applyFill="1" applyBorder="1"/>
    <xf numFmtId="165" fontId="5" fillId="0" borderId="9" xfId="1" applyNumberFormat="1" applyFont="1" applyFill="1" applyBorder="1"/>
    <xf numFmtId="166" fontId="5" fillId="0" borderId="9" xfId="2" applyNumberFormat="1" applyFont="1" applyFill="1" applyBorder="1"/>
    <xf numFmtId="166" fontId="5" fillId="0" borderId="10" xfId="2" applyNumberFormat="1" applyFont="1" applyFill="1" applyBorder="1"/>
    <xf numFmtId="167" fontId="5" fillId="0" borderId="0" xfId="0" applyNumberFormat="1" applyFont="1" applyFill="1" applyBorder="1"/>
    <xf numFmtId="0" fontId="6" fillId="0" borderId="4" xfId="0" applyFont="1" applyFill="1" applyBorder="1" applyAlignment="1">
      <alignment horizontal="center"/>
    </xf>
    <xf numFmtId="43" fontId="5" fillId="0" borderId="5" xfId="1" applyNumberFormat="1" applyFont="1" applyFill="1" applyBorder="1"/>
    <xf numFmtId="43" fontId="12" fillId="0" borderId="5" xfId="1" applyNumberFormat="1" applyFont="1" applyFill="1" applyBorder="1"/>
    <xf numFmtId="165" fontId="12" fillId="0" borderId="5" xfId="1" applyNumberFormat="1" applyFont="1" applyFill="1" applyBorder="1"/>
    <xf numFmtId="166" fontId="5" fillId="0" borderId="5" xfId="2" applyNumberFormat="1" applyFont="1" applyFill="1" applyBorder="1"/>
    <xf numFmtId="166" fontId="5" fillId="0" borderId="6" xfId="2" applyNumberFormat="1" applyFont="1" applyFill="1" applyBorder="1"/>
    <xf numFmtId="2" fontId="5" fillId="0" borderId="0" xfId="0" applyNumberFormat="1" applyFont="1" applyBorder="1"/>
    <xf numFmtId="167" fontId="5" fillId="0" borderId="0" xfId="0" applyNumberFormat="1" applyFont="1" applyBorder="1"/>
    <xf numFmtId="166" fontId="5" fillId="0" borderId="0" xfId="2" applyNumberFormat="1" applyFont="1" applyBorder="1"/>
    <xf numFmtId="166" fontId="5" fillId="0" borderId="0" xfId="0" applyNumberFormat="1" applyFont="1" applyBorder="1"/>
    <xf numFmtId="0" fontId="6" fillId="3" borderId="1" xfId="0" applyFont="1" applyFill="1" applyBorder="1"/>
    <xf numFmtId="0" fontId="6" fillId="3" borderId="2" xfId="0" applyFont="1" applyFill="1" applyBorder="1" applyAlignment="1">
      <alignment horizontal="center"/>
    </xf>
    <xf numFmtId="2" fontId="6" fillId="0" borderId="0" xfId="0" applyNumberFormat="1" applyFont="1" applyFill="1" applyBorder="1"/>
    <xf numFmtId="0" fontId="8" fillId="0" borderId="8" xfId="0" applyFont="1" applyFill="1" applyBorder="1"/>
    <xf numFmtId="166" fontId="5" fillId="0" borderId="0" xfId="2" applyNumberFormat="1" applyFont="1" applyFill="1" applyBorder="1"/>
    <xf numFmtId="0" fontId="0" fillId="0" borderId="0" xfId="0" applyFill="1" applyBorder="1"/>
    <xf numFmtId="0" fontId="8" fillId="0" borderId="4" xfId="0" applyFont="1" applyFill="1" applyBorder="1"/>
    <xf numFmtId="0" fontId="8" fillId="0" borderId="0" xfId="0" applyFont="1" applyBorder="1"/>
    <xf numFmtId="8" fontId="5" fillId="0" borderId="0" xfId="0" applyNumberFormat="1" applyFont="1" applyFill="1" applyBorder="1"/>
    <xf numFmtId="0" fontId="6" fillId="3" borderId="1" xfId="0" applyFont="1" applyFill="1" applyBorder="1" applyAlignment="1">
      <alignment horizontal="center"/>
    </xf>
    <xf numFmtId="0" fontId="6" fillId="3" borderId="3" xfId="0" applyFont="1" applyFill="1" applyBorder="1" applyAlignment="1">
      <alignment horizontal="center"/>
    </xf>
    <xf numFmtId="40" fontId="5" fillId="0" borderId="0" xfId="0" applyNumberFormat="1" applyFont="1" applyBorder="1"/>
    <xf numFmtId="165" fontId="5" fillId="0" borderId="10" xfId="1" applyNumberFormat="1" applyFont="1" applyFill="1" applyBorder="1"/>
    <xf numFmtId="165" fontId="5" fillId="0" borderId="0" xfId="1" applyNumberFormat="1" applyFont="1" applyFill="1" applyBorder="1"/>
    <xf numFmtId="0" fontId="6" fillId="0" borderId="0" xfId="0" applyFont="1" applyFill="1" applyBorder="1"/>
    <xf numFmtId="169" fontId="13" fillId="5" borderId="0" xfId="1" applyNumberFormat="1" applyFont="1" applyFill="1" applyBorder="1"/>
    <xf numFmtId="169" fontId="13" fillId="0" borderId="0" xfId="1" applyNumberFormat="1" applyFont="1" applyFill="1" applyBorder="1"/>
    <xf numFmtId="169" fontId="5" fillId="0" borderId="0" xfId="1" applyNumberFormat="1" applyFont="1" applyFill="1" applyBorder="1"/>
    <xf numFmtId="44" fontId="5" fillId="0" borderId="0" xfId="0" applyNumberFormat="1" applyFont="1" applyFill="1" applyBorder="1"/>
    <xf numFmtId="165" fontId="5" fillId="0" borderId="6" xfId="1" applyNumberFormat="1" applyFont="1" applyFill="1" applyBorder="1"/>
    <xf numFmtId="2" fontId="0" fillId="0" borderId="0" xfId="0" applyNumberFormat="1" applyBorder="1"/>
    <xf numFmtId="2" fontId="0" fillId="0" borderId="0" xfId="0" applyNumberFormat="1" applyFill="1" applyBorder="1"/>
    <xf numFmtId="2" fontId="0" fillId="0" borderId="0" xfId="0" applyNumberFormat="1" applyFill="1" applyBorder="1" applyAlignment="1">
      <alignment horizontal="center"/>
    </xf>
    <xf numFmtId="2" fontId="0" fillId="0" borderId="0" xfId="0" applyNumberFormat="1" applyBorder="1" applyAlignment="1">
      <alignment horizontal="center"/>
    </xf>
    <xf numFmtId="9" fontId="5" fillId="0" borderId="0" xfId="2" applyFont="1" applyFill="1" applyBorder="1"/>
    <xf numFmtId="165" fontId="5" fillId="0" borderId="5" xfId="1" applyNumberFormat="1" applyFont="1" applyFill="1" applyBorder="1"/>
  </cellXfs>
  <cellStyles count="8">
    <cellStyle name="Comma" xfId="1" builtinId="3"/>
    <cellStyle name="Comma 5" xfId="3"/>
    <cellStyle name="Normal" xfId="0" builtinId="0"/>
    <cellStyle name="Normal 2" xfId="4"/>
    <cellStyle name="Normal 4" xfId="5"/>
    <cellStyle name="Normal 5" xfId="6"/>
    <cellStyle name="Percent" xfId="2"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64"/>
  <sheetViews>
    <sheetView tabSelected="1" workbookViewId="0">
      <selection activeCell="J20" sqref="J20"/>
    </sheetView>
  </sheetViews>
  <sheetFormatPr defaultRowHeight="12.75" x14ac:dyDescent="0.2"/>
  <cols>
    <col min="2" max="2" width="10.140625" customWidth="1"/>
    <col min="3" max="3" width="12.7109375" customWidth="1"/>
    <col min="5" max="5" width="10" customWidth="1"/>
    <col min="13" max="13" width="10.42578125" bestFit="1" customWidth="1"/>
  </cols>
  <sheetData>
    <row r="1" spans="1:256" ht="19.5" x14ac:dyDescent="0.3">
      <c r="A1" s="1" t="s">
        <v>0</v>
      </c>
      <c r="B1" s="2"/>
      <c r="C1" s="2"/>
      <c r="D1" s="2"/>
      <c r="E1" s="2"/>
      <c r="F1" s="2"/>
      <c r="G1" s="2"/>
      <c r="H1" s="2"/>
      <c r="I1" s="2"/>
      <c r="J1" s="3"/>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spans="1:256" ht="15.75" thickBot="1" x14ac:dyDescent="0.25">
      <c r="A2" s="5" t="s">
        <v>1</v>
      </c>
      <c r="B2" s="6"/>
      <c r="C2" s="6"/>
      <c r="D2" s="6"/>
      <c r="E2" s="6"/>
      <c r="F2" s="6"/>
      <c r="G2" s="6"/>
      <c r="H2" s="6"/>
      <c r="I2" s="6"/>
      <c r="J2" s="7"/>
      <c r="K2" s="8"/>
      <c r="L2" s="8"/>
      <c r="M2" s="8"/>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row>
    <row r="3" spans="1:256" ht="15" x14ac:dyDescent="0.2">
      <c r="A3" s="9"/>
      <c r="B3" s="9"/>
      <c r="C3" s="9"/>
      <c r="D3" s="9"/>
      <c r="E3" s="9"/>
      <c r="F3" s="9"/>
      <c r="G3" s="9"/>
      <c r="H3" s="9"/>
      <c r="I3" s="9"/>
      <c r="J3" s="9"/>
      <c r="K3" s="8"/>
      <c r="L3" s="8"/>
      <c r="M3" s="8"/>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ht="15.75" x14ac:dyDescent="0.25">
      <c r="A4" s="8"/>
      <c r="B4" s="10" t="s">
        <v>2</v>
      </c>
      <c r="C4" s="11" t="s">
        <v>70</v>
      </c>
      <c r="D4" s="8"/>
      <c r="E4" s="8"/>
      <c r="F4" s="8"/>
      <c r="G4" s="8"/>
      <c r="H4" s="8"/>
      <c r="I4" s="8"/>
      <c r="J4" s="8"/>
      <c r="K4" s="12"/>
      <c r="L4" s="8"/>
      <c r="M4" s="8"/>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5" customHeight="1" x14ac:dyDescent="0.2">
      <c r="A5" s="8"/>
      <c r="B5" s="8"/>
      <c r="C5" s="8"/>
      <c r="D5" s="8"/>
      <c r="E5" s="8"/>
      <c r="F5" s="8"/>
      <c r="G5" s="8"/>
      <c r="H5" s="8"/>
      <c r="I5" s="8"/>
      <c r="J5" s="8"/>
      <c r="K5" s="12"/>
      <c r="L5" s="8"/>
      <c r="M5" s="13"/>
      <c r="N5" s="14"/>
      <c r="O5" s="14"/>
      <c r="P5" s="14"/>
      <c r="Q5" s="14"/>
      <c r="R5" s="1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row>
    <row r="6" spans="1:256" ht="15.75" x14ac:dyDescent="0.25">
      <c r="A6" s="8"/>
      <c r="B6" s="15" t="s">
        <v>3</v>
      </c>
      <c r="C6" s="15"/>
      <c r="D6" s="8"/>
      <c r="E6" s="16"/>
      <c r="F6" s="15" t="s">
        <v>4</v>
      </c>
      <c r="G6" s="15"/>
      <c r="H6" s="15"/>
      <c r="I6" s="16"/>
      <c r="J6" s="8"/>
      <c r="K6" s="12"/>
      <c r="L6" s="8"/>
      <c r="M6" s="14"/>
      <c r="N6" s="14"/>
      <c r="O6" s="14"/>
      <c r="P6" s="14"/>
      <c r="Q6" s="14"/>
      <c r="R6" s="1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row>
    <row r="7" spans="1:256" ht="15.75" x14ac:dyDescent="0.25">
      <c r="A7" s="8"/>
      <c r="B7" s="10" t="s">
        <v>5</v>
      </c>
      <c r="C7" s="17">
        <v>595</v>
      </c>
      <c r="D7" s="8"/>
      <c r="E7" s="8"/>
      <c r="F7" s="8"/>
      <c r="G7" s="10" t="s">
        <v>6</v>
      </c>
      <c r="H7" s="18">
        <f>AVERAGE($E$21:$E$30)</f>
        <v>0.3006458783917399</v>
      </c>
      <c r="I7" s="8"/>
      <c r="J7" s="8"/>
      <c r="K7" s="8"/>
      <c r="L7" s="10" t="s">
        <v>7</v>
      </c>
      <c r="M7" s="19">
        <v>995</v>
      </c>
      <c r="N7" s="20" t="s">
        <v>8</v>
      </c>
      <c r="O7" s="14"/>
      <c r="P7" s="14"/>
      <c r="Q7" s="14"/>
      <c r="R7" s="14"/>
      <c r="S7" s="4"/>
      <c r="T7" s="21"/>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row>
    <row r="8" spans="1:256" ht="15.75" x14ac:dyDescent="0.25">
      <c r="A8" s="8"/>
      <c r="B8" s="10" t="s">
        <v>71</v>
      </c>
      <c r="C8" s="17">
        <f>B30</f>
        <v>24.85</v>
      </c>
      <c r="D8" s="8"/>
      <c r="E8" s="8"/>
      <c r="F8" s="8"/>
      <c r="G8" s="10" t="s">
        <v>9</v>
      </c>
      <c r="H8" s="18">
        <f>AVERAGE($F$21:$F$30)</f>
        <v>0.35215706184821655</v>
      </c>
      <c r="I8" s="8"/>
      <c r="J8" s="8"/>
      <c r="K8" s="8"/>
      <c r="L8" s="10" t="s">
        <v>10</v>
      </c>
      <c r="M8" s="19">
        <v>747</v>
      </c>
      <c r="N8" s="20" t="s">
        <v>11</v>
      </c>
      <c r="O8" s="14"/>
      <c r="P8" s="14"/>
      <c r="Q8" s="14"/>
      <c r="R8" s="1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row>
    <row r="9" spans="1:256" ht="15.75" x14ac:dyDescent="0.25">
      <c r="A9" s="8"/>
      <c r="B9" s="10" t="s">
        <v>12</v>
      </c>
      <c r="C9" s="17">
        <f>C30</f>
        <v>9</v>
      </c>
      <c r="D9" s="8"/>
      <c r="E9" s="8"/>
      <c r="F9" s="8"/>
      <c r="G9" s="10" t="s">
        <v>13</v>
      </c>
      <c r="H9" s="22">
        <v>30</v>
      </c>
      <c r="I9" s="8"/>
      <c r="J9" s="8"/>
      <c r="K9" s="8"/>
      <c r="L9" s="10" t="s">
        <v>14</v>
      </c>
      <c r="M9" s="19">
        <v>986</v>
      </c>
      <c r="N9" s="20" t="s">
        <v>8</v>
      </c>
      <c r="O9" s="14"/>
      <c r="P9" s="14"/>
      <c r="Q9" s="14"/>
      <c r="R9" s="1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ht="15.75" x14ac:dyDescent="0.25">
      <c r="A10" s="8"/>
      <c r="B10" s="10" t="s">
        <v>15</v>
      </c>
      <c r="C10" s="17">
        <f>D30</f>
        <v>88.45</v>
      </c>
      <c r="D10" s="8"/>
      <c r="E10" s="8"/>
      <c r="F10" s="8"/>
      <c r="G10" s="10" t="s">
        <v>16</v>
      </c>
      <c r="H10" s="22">
        <v>10</v>
      </c>
      <c r="I10" s="8"/>
      <c r="J10" s="8"/>
      <c r="K10" s="8"/>
      <c r="L10" s="8"/>
      <c r="M10" s="14"/>
      <c r="N10" s="14"/>
      <c r="O10" s="14"/>
      <c r="P10" s="14"/>
      <c r="Q10" s="14"/>
      <c r="R10" s="1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row>
    <row r="11" spans="1:256" ht="15.75" x14ac:dyDescent="0.25">
      <c r="A11" s="8"/>
      <c r="B11" s="10" t="s">
        <v>17</v>
      </c>
      <c r="C11" s="17">
        <f>$C$7/$C$8</f>
        <v>23.943661971830984</v>
      </c>
      <c r="D11" s="8"/>
      <c r="E11" s="8"/>
      <c r="F11" s="8"/>
      <c r="G11" s="10" t="s">
        <v>18</v>
      </c>
      <c r="H11" s="22">
        <f>(AVERAGE($H$9:$H$10))</f>
        <v>20</v>
      </c>
      <c r="I11" s="8"/>
      <c r="J11" s="8"/>
      <c r="K11" s="8"/>
      <c r="L11" s="10" t="s">
        <v>19</v>
      </c>
      <c r="M11" s="20" t="s">
        <v>20</v>
      </c>
      <c r="N11" s="20"/>
      <c r="O11" s="14"/>
      <c r="P11" s="14"/>
      <c r="Q11" s="14"/>
      <c r="R11" s="1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row>
    <row r="12" spans="1:256" ht="15.75" x14ac:dyDescent="0.25">
      <c r="A12" s="8"/>
      <c r="B12" s="10" t="s">
        <v>21</v>
      </c>
      <c r="C12" s="23">
        <f>$C$8/$C$7</f>
        <v>4.1764705882352947E-2</v>
      </c>
      <c r="D12" s="8"/>
      <c r="E12" s="8"/>
      <c r="F12" s="8"/>
      <c r="G12" s="10" t="s">
        <v>22</v>
      </c>
      <c r="H12" s="18">
        <f>$H$7*(1-$H$8)</f>
        <v>0.19477130920052854</v>
      </c>
      <c r="I12" s="24"/>
      <c r="J12" s="8"/>
      <c r="K12" s="25"/>
      <c r="L12" s="26" t="s">
        <v>23</v>
      </c>
      <c r="M12" s="27">
        <f>M9*0.6</f>
        <v>591.6</v>
      </c>
      <c r="N12" s="20" t="s">
        <v>24</v>
      </c>
      <c r="O12" s="14"/>
      <c r="P12" s="14"/>
      <c r="Q12" s="14"/>
      <c r="R12" s="1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ht="15.75" x14ac:dyDescent="0.25">
      <c r="A13" s="8"/>
      <c r="B13" s="10" t="s">
        <v>25</v>
      </c>
      <c r="C13" s="23">
        <f>$C$9/$C$7</f>
        <v>1.5126050420168067E-2</v>
      </c>
      <c r="D13" s="8"/>
      <c r="E13" s="8"/>
      <c r="F13" s="8"/>
      <c r="G13" s="10" t="s">
        <v>26</v>
      </c>
      <c r="H13" s="22">
        <f>C11*0.75</f>
        <v>17.95774647887324</v>
      </c>
      <c r="I13" s="8" t="s">
        <v>27</v>
      </c>
      <c r="J13" s="8"/>
      <c r="K13" s="8"/>
      <c r="L13" s="8"/>
      <c r="M13" s="14"/>
      <c r="N13" s="14"/>
      <c r="O13" s="14"/>
      <c r="P13" s="14"/>
      <c r="Q13" s="14"/>
      <c r="R13" s="1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ht="15.75" x14ac:dyDescent="0.25">
      <c r="A14" s="8"/>
      <c r="B14" s="10" t="s">
        <v>28</v>
      </c>
      <c r="C14" s="28">
        <f>$C$7/$C$10</f>
        <v>6.7269643866591293</v>
      </c>
      <c r="D14" s="8"/>
      <c r="E14" s="8"/>
      <c r="F14" s="8"/>
      <c r="G14" s="8"/>
      <c r="H14" s="8"/>
      <c r="I14" s="8"/>
      <c r="J14" s="8"/>
      <c r="K14" s="8"/>
      <c r="L14" s="8"/>
      <c r="M14" s="14"/>
      <c r="N14" s="14"/>
      <c r="O14" s="14"/>
      <c r="P14" s="14"/>
      <c r="Q14" s="14"/>
      <c r="R14" s="1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ht="15.75" x14ac:dyDescent="0.25">
      <c r="A15" s="8"/>
      <c r="B15" s="10" t="s">
        <v>29</v>
      </c>
      <c r="C15" s="29">
        <v>1270</v>
      </c>
      <c r="D15" s="8" t="s">
        <v>30</v>
      </c>
      <c r="E15" s="8"/>
      <c r="F15" s="8"/>
      <c r="G15" s="8"/>
      <c r="H15" s="8"/>
      <c r="I15" s="8"/>
      <c r="J15" s="8"/>
      <c r="K15" s="8"/>
      <c r="L15" s="8"/>
      <c r="M15" s="14"/>
      <c r="N15" s="14"/>
      <c r="O15" s="14"/>
      <c r="P15" s="14"/>
      <c r="Q15" s="14"/>
      <c r="R15" s="1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ht="16.5" thickBot="1" x14ac:dyDescent="0.3">
      <c r="A16" s="8"/>
      <c r="B16" s="10" t="s">
        <v>31</v>
      </c>
      <c r="C16" s="30">
        <v>0.08</v>
      </c>
      <c r="D16" s="8"/>
      <c r="E16" s="8"/>
      <c r="F16" s="8"/>
      <c r="G16" s="8"/>
      <c r="H16" s="8"/>
      <c r="I16" s="8"/>
      <c r="J16" s="8"/>
      <c r="K16" s="8"/>
      <c r="L16" s="8"/>
      <c r="M16" s="14"/>
      <c r="N16" s="14"/>
      <c r="O16" s="14"/>
      <c r="P16" s="14"/>
      <c r="Q16" s="14"/>
      <c r="R16" s="1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row>
    <row r="17" spans="1:256" ht="16.5" thickBot="1" x14ac:dyDescent="0.3">
      <c r="A17" s="8"/>
      <c r="B17" s="31" t="s">
        <v>32</v>
      </c>
      <c r="C17" s="32">
        <v>0.11</v>
      </c>
      <c r="D17" s="8" t="s">
        <v>33</v>
      </c>
      <c r="E17" s="12"/>
      <c r="F17" s="8"/>
      <c r="G17" s="8"/>
      <c r="H17" s="8"/>
      <c r="I17" s="8"/>
      <c r="J17" s="8"/>
      <c r="K17" s="8"/>
      <c r="L17" s="8"/>
      <c r="M17" s="8"/>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ht="20.25" thickBot="1" x14ac:dyDescent="0.35">
      <c r="A18" s="33" t="s">
        <v>34</v>
      </c>
      <c r="B18" s="8"/>
      <c r="C18" s="8"/>
      <c r="D18" s="8"/>
      <c r="E18" s="8"/>
      <c r="F18" s="8"/>
      <c r="G18" s="8"/>
      <c r="H18" s="8"/>
      <c r="I18" s="8"/>
      <c r="J18" s="8"/>
      <c r="K18" s="8"/>
      <c r="L18" s="8"/>
      <c r="M18" s="8" t="s">
        <v>35</v>
      </c>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ht="15.75" x14ac:dyDescent="0.25">
      <c r="A19" s="34"/>
      <c r="B19" s="35"/>
      <c r="C19" s="35"/>
      <c r="D19" s="35"/>
      <c r="E19" s="36"/>
      <c r="F19" s="37"/>
      <c r="G19" s="38"/>
      <c r="H19" s="38"/>
      <c r="I19" s="21"/>
      <c r="J19" s="39"/>
      <c r="K19" s="8"/>
      <c r="L19" s="40"/>
      <c r="M19" s="8"/>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row>
    <row r="20" spans="1:256" ht="15.75" x14ac:dyDescent="0.25">
      <c r="A20" s="41" t="s">
        <v>36</v>
      </c>
      <c r="B20" s="42" t="s">
        <v>37</v>
      </c>
      <c r="C20" s="42" t="s">
        <v>38</v>
      </c>
      <c r="D20" s="42" t="s">
        <v>39</v>
      </c>
      <c r="E20" s="42" t="s">
        <v>40</v>
      </c>
      <c r="F20" s="43" t="s">
        <v>41</v>
      </c>
      <c r="G20" s="44"/>
      <c r="H20" s="44"/>
      <c r="I20" s="44"/>
      <c r="J20" s="44"/>
      <c r="K20" s="8"/>
      <c r="L20" s="8"/>
      <c r="M20" s="8"/>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row>
    <row r="21" spans="1:256" ht="15.75" x14ac:dyDescent="0.25">
      <c r="A21" s="45">
        <v>2006</v>
      </c>
      <c r="B21" s="46">
        <v>2.9</v>
      </c>
      <c r="C21" s="47">
        <v>1</v>
      </c>
      <c r="D21" s="47">
        <v>14.29</v>
      </c>
      <c r="E21" s="48">
        <f t="shared" ref="E21:E30" si="0">$B21/$D21</f>
        <v>0.20293911826452066</v>
      </c>
      <c r="F21" s="49">
        <f t="shared" ref="F21:F30" si="1">$C21/$B21</f>
        <v>0.34482758620689657</v>
      </c>
      <c r="G21" s="50"/>
      <c r="H21" s="50"/>
      <c r="I21" s="8"/>
      <c r="J21" s="8"/>
      <c r="K21" s="8"/>
      <c r="L21" s="8"/>
      <c r="M21" s="8"/>
      <c r="N21" s="4"/>
      <c r="O21" s="21"/>
      <c r="P21" s="21"/>
      <c r="Q21" s="8"/>
      <c r="R21" s="8"/>
      <c r="S21" s="4"/>
      <c r="T21" s="4"/>
      <c r="U21" s="8"/>
      <c r="V21" s="8"/>
      <c r="W21" s="4"/>
      <c r="X21" s="4"/>
      <c r="Y21" s="8"/>
      <c r="Z21" s="8"/>
      <c r="AA21" s="4"/>
      <c r="AB21" s="4"/>
      <c r="AC21" s="4"/>
      <c r="AD21" s="8"/>
      <c r="AE21" s="8"/>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row>
    <row r="22" spans="1:256" ht="15.75" x14ac:dyDescent="0.25">
      <c r="A22" s="45">
        <v>2007</v>
      </c>
      <c r="B22" s="46">
        <v>3.63</v>
      </c>
      <c r="C22" s="47">
        <v>1.5</v>
      </c>
      <c r="D22" s="47">
        <v>16.170000000000002</v>
      </c>
      <c r="E22" s="48">
        <f t="shared" si="0"/>
        <v>0.22448979591836732</v>
      </c>
      <c r="F22" s="49">
        <f t="shared" si="1"/>
        <v>0.41322314049586778</v>
      </c>
      <c r="G22" s="50"/>
      <c r="H22" s="50"/>
      <c r="I22" s="8"/>
      <c r="J22" s="8"/>
      <c r="K22" s="8"/>
      <c r="L22" s="8"/>
      <c r="M22" s="8"/>
      <c r="N22" s="4"/>
      <c r="O22" s="21"/>
      <c r="P22" s="21"/>
      <c r="Q22" s="8"/>
      <c r="R22" s="8"/>
      <c r="S22" s="4"/>
      <c r="T22" s="4"/>
      <c r="U22" s="8"/>
      <c r="V22" s="8"/>
      <c r="W22" s="4"/>
      <c r="X22" s="4"/>
      <c r="Y22" s="8"/>
      <c r="Z22" s="8"/>
      <c r="AA22" s="4"/>
      <c r="AB22" s="4"/>
      <c r="AC22" s="4"/>
      <c r="AD22" s="8"/>
      <c r="AE22" s="8"/>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row>
    <row r="23" spans="1:256" ht="15.75" x14ac:dyDescent="0.25">
      <c r="A23" s="45">
        <v>2008</v>
      </c>
      <c r="B23" s="46">
        <v>3.7</v>
      </c>
      <c r="C23" s="47">
        <v>1.6</v>
      </c>
      <c r="D23" s="47">
        <v>17.93</v>
      </c>
      <c r="E23" s="48">
        <f t="shared" si="0"/>
        <v>0.20635805911879532</v>
      </c>
      <c r="F23" s="49">
        <f t="shared" si="1"/>
        <v>0.43243243243243246</v>
      </c>
      <c r="G23" s="50"/>
      <c r="H23" s="50"/>
      <c r="I23" s="8"/>
      <c r="J23" s="8"/>
      <c r="K23" s="8"/>
      <c r="L23" s="8"/>
      <c r="M23" s="8"/>
      <c r="N23" s="4"/>
      <c r="O23" s="21"/>
      <c r="P23" s="21"/>
      <c r="Q23" s="8"/>
      <c r="R23" s="8"/>
      <c r="S23" s="4"/>
      <c r="T23" s="4"/>
      <c r="U23" s="8"/>
      <c r="V23" s="8"/>
      <c r="W23" s="4"/>
      <c r="X23" s="4"/>
      <c r="Y23" s="8"/>
      <c r="Z23" s="8"/>
      <c r="AA23" s="4"/>
      <c r="AB23" s="4"/>
      <c r="AC23" s="4"/>
      <c r="AD23" s="8"/>
      <c r="AE23" s="8"/>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row>
    <row r="24" spans="1:256" ht="15.75" x14ac:dyDescent="0.25">
      <c r="A24" s="45">
        <v>2009</v>
      </c>
      <c r="B24" s="46">
        <v>7.67</v>
      </c>
      <c r="C24" s="47">
        <v>2.4</v>
      </c>
      <c r="D24" s="47">
        <v>22.46</v>
      </c>
      <c r="E24" s="48">
        <f t="shared" si="0"/>
        <v>0.3414959928762244</v>
      </c>
      <c r="F24" s="49">
        <f t="shared" si="1"/>
        <v>0.31290743155149936</v>
      </c>
      <c r="G24" s="50"/>
      <c r="H24" s="50"/>
      <c r="I24" s="8"/>
      <c r="J24" s="8"/>
      <c r="K24" s="8"/>
      <c r="L24" s="8"/>
      <c r="M24" s="8"/>
      <c r="N24" s="4"/>
      <c r="O24" s="21"/>
      <c r="P24" s="21"/>
      <c r="Q24" s="8"/>
      <c r="R24" s="8"/>
      <c r="S24" s="4"/>
      <c r="T24" s="4"/>
      <c r="U24" s="8"/>
      <c r="V24" s="8"/>
      <c r="W24" s="4"/>
      <c r="X24" s="4"/>
      <c r="Y24" s="8"/>
      <c r="Z24" s="8"/>
      <c r="AA24" s="4"/>
      <c r="AB24" s="4"/>
      <c r="AC24" s="4"/>
      <c r="AD24" s="8"/>
      <c r="AE24" s="8"/>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ht="15.75" x14ac:dyDescent="0.25">
      <c r="A25" s="45">
        <v>2010</v>
      </c>
      <c r="B25" s="46">
        <v>11.4</v>
      </c>
      <c r="C25" s="47">
        <v>3.6</v>
      </c>
      <c r="D25" s="47">
        <v>29.66</v>
      </c>
      <c r="E25" s="48">
        <f t="shared" si="0"/>
        <v>0.38435603506405935</v>
      </c>
      <c r="F25" s="49">
        <f t="shared" si="1"/>
        <v>0.31578947368421051</v>
      </c>
      <c r="G25" s="50"/>
      <c r="H25" s="50"/>
      <c r="I25" s="8"/>
      <c r="J25" s="8"/>
      <c r="K25" s="8"/>
      <c r="L25" s="8"/>
      <c r="M25" s="8"/>
      <c r="N25" s="4"/>
      <c r="O25" s="21"/>
      <c r="P25" s="21"/>
      <c r="Q25" s="8"/>
      <c r="R25" s="8"/>
      <c r="S25" s="4"/>
      <c r="T25" s="4"/>
      <c r="U25" s="8"/>
      <c r="V25" s="8"/>
      <c r="W25" s="4"/>
      <c r="X25" s="4"/>
      <c r="Y25" s="8"/>
      <c r="Z25" s="8"/>
      <c r="AA25" s="4"/>
      <c r="AB25" s="4"/>
      <c r="AC25" s="4"/>
      <c r="AD25" s="8"/>
      <c r="AE25" s="8"/>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ht="15.75" x14ac:dyDescent="0.25">
      <c r="A26" s="45">
        <v>2011</v>
      </c>
      <c r="B26" s="46">
        <v>13.77</v>
      </c>
      <c r="C26" s="47">
        <v>4.3</v>
      </c>
      <c r="D26" s="47">
        <v>38.43</v>
      </c>
      <c r="E26" s="48">
        <f t="shared" si="0"/>
        <v>0.35831381733021078</v>
      </c>
      <c r="F26" s="49">
        <f t="shared" si="1"/>
        <v>0.31227305737109656</v>
      </c>
      <c r="G26" s="50"/>
      <c r="H26" s="50"/>
      <c r="I26" s="8"/>
      <c r="J26" s="8"/>
      <c r="K26" s="8"/>
      <c r="L26" s="8"/>
      <c r="M26" s="8"/>
      <c r="N26" s="4"/>
      <c r="O26" s="21"/>
      <c r="P26" s="21"/>
      <c r="Q26" s="8"/>
      <c r="R26" s="8"/>
      <c r="S26" s="4"/>
      <c r="T26" s="4"/>
      <c r="U26" s="8"/>
      <c r="V26" s="8"/>
      <c r="W26" s="4"/>
      <c r="X26" s="4"/>
      <c r="Y26" s="8"/>
      <c r="Z26" s="8"/>
      <c r="AA26" s="4"/>
      <c r="AB26" s="4"/>
      <c r="AC26" s="4"/>
      <c r="AD26" s="8"/>
      <c r="AE26" s="8"/>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ht="15.75" x14ac:dyDescent="0.25">
      <c r="A27" s="45">
        <v>2012</v>
      </c>
      <c r="B27" s="46">
        <v>18.93</v>
      </c>
      <c r="C27" s="47">
        <v>6</v>
      </c>
      <c r="D27" s="47">
        <v>50.39</v>
      </c>
      <c r="E27" s="48">
        <f t="shared" si="0"/>
        <v>0.37566977574915655</v>
      </c>
      <c r="F27" s="49">
        <f t="shared" si="1"/>
        <v>0.31695721077654515</v>
      </c>
      <c r="G27" s="50"/>
      <c r="H27" s="50"/>
      <c r="I27" s="8"/>
      <c r="J27" s="8"/>
      <c r="K27" s="8"/>
      <c r="L27" s="8"/>
      <c r="M27" s="8"/>
      <c r="N27" s="4"/>
      <c r="O27" s="21"/>
      <c r="P27" s="21"/>
      <c r="Q27" s="8"/>
      <c r="R27" s="8"/>
      <c r="S27" s="4"/>
      <c r="T27" s="4"/>
      <c r="U27" s="8"/>
      <c r="V27" s="8"/>
      <c r="W27" s="4"/>
      <c r="X27" s="4"/>
      <c r="Y27" s="8"/>
      <c r="Z27" s="8"/>
      <c r="AA27" s="4"/>
      <c r="AB27" s="4"/>
      <c r="AC27" s="4"/>
      <c r="AD27" s="8"/>
      <c r="AE27" s="8"/>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ht="15.75" x14ac:dyDescent="0.25">
      <c r="A28" s="45">
        <v>2013</v>
      </c>
      <c r="B28" s="46">
        <v>21.44</v>
      </c>
      <c r="C28" s="47">
        <v>7.5</v>
      </c>
      <c r="D28" s="47">
        <v>63.07</v>
      </c>
      <c r="E28" s="48">
        <f t="shared" si="0"/>
        <v>0.33993974948469957</v>
      </c>
      <c r="F28" s="49">
        <f t="shared" si="1"/>
        <v>0.34981343283582089</v>
      </c>
      <c r="G28" s="50"/>
      <c r="H28" s="50"/>
      <c r="I28" s="8"/>
      <c r="J28" s="8"/>
      <c r="K28" s="8"/>
      <c r="L28" s="8"/>
      <c r="M28" s="8"/>
      <c r="N28" s="4"/>
      <c r="O28" s="21"/>
      <c r="P28" s="21"/>
      <c r="Q28" s="8"/>
      <c r="R28" s="8"/>
      <c r="S28" s="4"/>
      <c r="T28" s="4"/>
      <c r="U28" s="8"/>
      <c r="V28" s="8"/>
      <c r="W28" s="4"/>
      <c r="X28" s="4"/>
      <c r="Y28" s="8"/>
      <c r="Z28" s="8"/>
      <c r="AA28" s="4"/>
      <c r="AB28" s="4"/>
      <c r="AC28" s="4"/>
      <c r="AD28" s="8"/>
      <c r="AE28" s="8"/>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ht="16.5" thickBot="1" x14ac:dyDescent="0.3">
      <c r="A29" s="51">
        <v>2014</v>
      </c>
      <c r="B29" s="52">
        <v>22.15</v>
      </c>
      <c r="C29" s="47">
        <v>8</v>
      </c>
      <c r="D29" s="47">
        <v>75.87</v>
      </c>
      <c r="E29" s="48">
        <f t="shared" si="0"/>
        <v>0.2919467510214841</v>
      </c>
      <c r="F29" s="49">
        <f t="shared" si="1"/>
        <v>0.36117381489841988</v>
      </c>
      <c r="G29" s="50"/>
      <c r="H29" s="50"/>
      <c r="I29" s="8"/>
      <c r="J29" s="8"/>
      <c r="K29" s="8"/>
      <c r="L29" s="8"/>
      <c r="M29" s="8"/>
      <c r="N29" s="4"/>
      <c r="O29" s="21"/>
      <c r="P29" s="21"/>
      <c r="Q29" s="8"/>
      <c r="R29" s="8"/>
      <c r="S29" s="4"/>
      <c r="T29" s="4"/>
      <c r="U29" s="8"/>
      <c r="V29" s="8"/>
      <c r="W29" s="4"/>
      <c r="X29" s="4"/>
      <c r="Y29" s="8"/>
      <c r="Z29" s="8"/>
      <c r="AA29" s="4"/>
      <c r="AB29" s="4"/>
      <c r="AC29" s="4"/>
      <c r="AD29" s="8"/>
      <c r="AE29" s="8"/>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ht="16.5" thickBot="1" x14ac:dyDescent="0.3">
      <c r="A30" s="51">
        <v>2015</v>
      </c>
      <c r="B30" s="53">
        <v>24.85</v>
      </c>
      <c r="C30" s="54">
        <v>9</v>
      </c>
      <c r="D30" s="54">
        <v>88.45</v>
      </c>
      <c r="E30" s="55">
        <f t="shared" si="0"/>
        <v>0.28094968908988127</v>
      </c>
      <c r="F30" s="56">
        <f t="shared" si="1"/>
        <v>0.36217303822937624</v>
      </c>
      <c r="G30" s="50"/>
      <c r="H30" s="50"/>
      <c r="I30" s="8"/>
      <c r="J30" s="57"/>
      <c r="K30" s="8"/>
      <c r="L30" s="8"/>
      <c r="M30" s="8"/>
      <c r="N30" s="4"/>
      <c r="O30" s="21"/>
      <c r="P30" s="21"/>
      <c r="Q30" s="8"/>
      <c r="R30" s="57"/>
      <c r="S30" s="4"/>
      <c r="T30" s="4"/>
      <c r="U30" s="8"/>
      <c r="V30" s="57"/>
      <c r="W30" s="4"/>
      <c r="X30" s="4"/>
      <c r="Y30" s="8"/>
      <c r="Z30" s="57"/>
      <c r="AA30" s="4"/>
      <c r="AB30" s="4"/>
      <c r="AC30" s="4"/>
      <c r="AD30" s="8"/>
      <c r="AE30" s="57"/>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ht="15" x14ac:dyDescent="0.2">
      <c r="A31" s="8"/>
      <c r="B31" s="8"/>
      <c r="C31" s="8"/>
      <c r="D31" s="8"/>
      <c r="E31" s="8"/>
      <c r="F31" s="8"/>
      <c r="G31" s="58"/>
      <c r="H31" s="58"/>
      <c r="I31" s="59"/>
      <c r="J31" s="59"/>
      <c r="K31" s="8"/>
      <c r="L31" s="8"/>
      <c r="M31" s="8"/>
      <c r="N31" s="4"/>
      <c r="O31" s="21"/>
      <c r="P31" s="21"/>
      <c r="Q31" s="8"/>
      <c r="R31" s="8"/>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ht="20.25" thickBot="1" x14ac:dyDescent="0.35">
      <c r="A32" s="33" t="s">
        <v>42</v>
      </c>
      <c r="B32" s="8"/>
      <c r="C32" s="8"/>
      <c r="D32" s="8"/>
      <c r="E32" s="57"/>
      <c r="F32" s="57"/>
      <c r="G32" s="16"/>
      <c r="H32" s="8"/>
      <c r="I32" s="60"/>
      <c r="J32" s="8"/>
      <c r="K32" s="8"/>
      <c r="L32" s="8"/>
      <c r="M32" s="8"/>
      <c r="N32" s="4"/>
      <c r="O32" s="21"/>
      <c r="P32" s="21"/>
      <c r="Q32" s="8"/>
      <c r="R32" s="8"/>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row>
    <row r="33" spans="1:256" ht="15.75" x14ac:dyDescent="0.25">
      <c r="A33" s="61" t="s">
        <v>43</v>
      </c>
      <c r="B33" s="62" t="s">
        <v>37</v>
      </c>
      <c r="C33" s="62" t="s">
        <v>38</v>
      </c>
      <c r="D33" s="62" t="s">
        <v>39</v>
      </c>
      <c r="E33" s="63"/>
      <c r="F33" s="63"/>
      <c r="G33" s="16"/>
      <c r="H33" s="8"/>
      <c r="I33" s="60"/>
      <c r="J33" s="8"/>
      <c r="K33" s="8"/>
      <c r="L33" s="8"/>
      <c r="M33" s="8"/>
      <c r="N33" s="4"/>
      <c r="O33" s="21"/>
      <c r="P33" s="21"/>
      <c r="Q33" s="8"/>
      <c r="R33" s="8"/>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ht="15.75" x14ac:dyDescent="0.25">
      <c r="A34" s="64" t="s">
        <v>44</v>
      </c>
      <c r="B34" s="48">
        <f>((B30/B21)^(1/9)-1)</f>
        <v>0.26957601938400888</v>
      </c>
      <c r="C34" s="48">
        <f>(C30/C21)^(1/9)-1</f>
        <v>0.27651800700924167</v>
      </c>
      <c r="D34" s="48">
        <f>(D30/D21)^(1/9)-1</f>
        <v>0.22451143579131605</v>
      </c>
      <c r="E34" s="65"/>
      <c r="F34" s="65"/>
      <c r="G34" s="8"/>
      <c r="H34" s="8"/>
      <c r="I34" s="8"/>
      <c r="J34" s="8"/>
      <c r="K34" s="8"/>
      <c r="L34" s="65"/>
      <c r="M34" s="21"/>
      <c r="N34" s="66"/>
      <c r="O34" s="65"/>
      <c r="P34" s="21"/>
      <c r="Q34" s="65"/>
      <c r="R34" s="21"/>
      <c r="S34" s="66"/>
      <c r="T34" s="4"/>
      <c r="U34" s="65"/>
      <c r="V34" s="4"/>
      <c r="W34" s="4"/>
      <c r="X34" s="4"/>
      <c r="Y34" s="65"/>
      <c r="Z34" s="4"/>
      <c r="AA34" s="4"/>
      <c r="AB34" s="4"/>
      <c r="AC34" s="4"/>
      <c r="AD34" s="65"/>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row>
    <row r="35" spans="1:256" ht="16.5" thickBot="1" x14ac:dyDescent="0.3">
      <c r="A35" s="67" t="s">
        <v>45</v>
      </c>
      <c r="B35" s="55">
        <f>((B30/B25)^(1/5)-1)</f>
        <v>0.1686495827518204</v>
      </c>
      <c r="C35" s="55">
        <f>(C30/C25)^(1/5)-1</f>
        <v>0.20112443398143132</v>
      </c>
      <c r="D35" s="55">
        <f>(D30/D25)^(1/5)-1</f>
        <v>0.2442433781473341</v>
      </c>
      <c r="E35" s="65"/>
      <c r="F35" s="55">
        <f>(B30/B28)^(1/2)-1</f>
        <v>7.6591151488199172E-2</v>
      </c>
      <c r="G35" s="8"/>
      <c r="H35" s="8"/>
      <c r="I35" s="8"/>
      <c r="J35" s="8"/>
      <c r="K35" s="8"/>
      <c r="L35" s="65"/>
      <c r="M35" s="21"/>
      <c r="N35" s="66"/>
      <c r="O35" s="65"/>
      <c r="P35" s="21"/>
      <c r="Q35" s="65"/>
      <c r="R35" s="21"/>
      <c r="S35" s="66"/>
      <c r="T35" s="4"/>
      <c r="U35" s="65"/>
      <c r="V35" s="4"/>
      <c r="W35" s="4"/>
      <c r="X35" s="4"/>
      <c r="Y35" s="65"/>
      <c r="Z35" s="4"/>
      <c r="AA35" s="4"/>
      <c r="AB35" s="4"/>
      <c r="AC35" s="4"/>
      <c r="AD35" s="65"/>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ht="15.75" x14ac:dyDescent="0.25">
      <c r="A36" s="68"/>
      <c r="B36" s="59"/>
      <c r="C36" s="59"/>
      <c r="D36" s="59"/>
      <c r="E36" s="59"/>
      <c r="F36" s="59"/>
      <c r="G36" s="8"/>
      <c r="H36" s="8"/>
      <c r="I36" s="8"/>
      <c r="J36" s="8"/>
      <c r="K36" s="8"/>
      <c r="L36" s="21"/>
      <c r="M36" s="21"/>
      <c r="N36" s="66"/>
      <c r="O36" s="66"/>
      <c r="P36" s="66"/>
      <c r="Q36" s="66"/>
      <c r="R36" s="66"/>
      <c r="S36" s="66"/>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row>
    <row r="37" spans="1:256" ht="20.25" thickBot="1" x14ac:dyDescent="0.35">
      <c r="A37" s="33" t="s">
        <v>46</v>
      </c>
      <c r="B37" s="8"/>
      <c r="C37" s="8"/>
      <c r="D37" s="8"/>
      <c r="E37" s="8"/>
      <c r="F37" s="8"/>
      <c r="G37" s="8"/>
      <c r="H37" s="8"/>
      <c r="I37" s="8"/>
      <c r="J37" s="8"/>
      <c r="K37" s="8"/>
      <c r="L37" s="69"/>
      <c r="M37" s="21"/>
      <c r="N37" s="66"/>
      <c r="O37" s="66"/>
      <c r="P37" s="66"/>
      <c r="Q37" s="66"/>
      <c r="R37" s="66"/>
      <c r="S37" s="66"/>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ht="15.75" x14ac:dyDescent="0.25">
      <c r="A38" s="70" t="s">
        <v>36</v>
      </c>
      <c r="B38" s="62" t="s">
        <v>37</v>
      </c>
      <c r="C38" s="71" t="s">
        <v>38</v>
      </c>
      <c r="D38" s="8"/>
      <c r="E38" s="72"/>
      <c r="F38" s="8"/>
      <c r="G38" s="8"/>
      <c r="H38" s="8"/>
      <c r="I38" s="8"/>
      <c r="J38" s="8"/>
      <c r="K38" s="8"/>
      <c r="L38" s="21"/>
      <c r="M38" s="21"/>
      <c r="N38" s="66"/>
      <c r="O38" s="66"/>
      <c r="P38" s="66"/>
      <c r="Q38" s="66"/>
      <c r="R38" s="66"/>
      <c r="S38" s="66"/>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row>
    <row r="39" spans="1:256" ht="15.75" x14ac:dyDescent="0.25">
      <c r="A39" s="45" t="s">
        <v>47</v>
      </c>
      <c r="B39" s="47">
        <f>$C$8</f>
        <v>24.85</v>
      </c>
      <c r="C39" s="73">
        <f t="shared" ref="C39:C49" si="2">B39*$H$8</f>
        <v>8.7511029869281813</v>
      </c>
      <c r="D39" s="8"/>
      <c r="E39" s="74">
        <f>$B$49</f>
        <v>118.07813269467532</v>
      </c>
      <c r="F39" s="16" t="s">
        <v>48</v>
      </c>
      <c r="G39" s="8"/>
      <c r="H39" s="8"/>
      <c r="I39" s="8"/>
      <c r="J39" s="8"/>
      <c r="K39" s="8"/>
      <c r="L39" s="74"/>
      <c r="M39" s="74"/>
      <c r="N39" s="66"/>
      <c r="O39" s="74"/>
      <c r="P39" s="75"/>
      <c r="Q39" s="74"/>
      <c r="R39" s="74"/>
      <c r="S39" s="74"/>
      <c r="T39" s="4"/>
      <c r="U39" s="74"/>
      <c r="V39" s="74"/>
      <c r="W39" s="74"/>
      <c r="X39" s="4"/>
      <c r="Y39" s="74"/>
      <c r="Z39" s="74"/>
      <c r="AA39" s="74"/>
      <c r="AB39" s="16"/>
      <c r="AC39" s="16"/>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6" ht="15.75" x14ac:dyDescent="0.25">
      <c r="A40" s="45" t="s">
        <v>49</v>
      </c>
      <c r="B40" s="47">
        <f t="shared" ref="B40:B49" si="3">B39*(1+$B$35)</f>
        <v>29.040942131382739</v>
      </c>
      <c r="C40" s="73">
        <f t="shared" si="2"/>
        <v>10.226972854291828</v>
      </c>
      <c r="D40" s="8"/>
      <c r="E40" s="74">
        <f>SUM($C$39:$C$49)</f>
        <v>236.25163924706203</v>
      </c>
      <c r="F40" s="16" t="s">
        <v>50</v>
      </c>
      <c r="G40" s="8"/>
      <c r="H40" s="8"/>
      <c r="I40" s="8"/>
      <c r="J40" s="8"/>
      <c r="K40" s="8"/>
      <c r="L40" s="74"/>
      <c r="M40" s="74"/>
      <c r="N40" s="66"/>
      <c r="O40" s="74"/>
      <c r="P40" s="75"/>
      <c r="Q40" s="74"/>
      <c r="R40" s="74"/>
      <c r="S40" s="74"/>
      <c r="T40" s="4"/>
      <c r="U40" s="74"/>
      <c r="V40" s="74"/>
      <c r="W40" s="74"/>
      <c r="X40" s="66"/>
      <c r="Y40" s="74"/>
      <c r="Z40" s="74"/>
      <c r="AA40" s="74"/>
      <c r="AB40" s="75"/>
      <c r="AC40" s="75"/>
      <c r="AD40" s="66"/>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row>
    <row r="41" spans="1:256" ht="15.75" x14ac:dyDescent="0.25">
      <c r="A41" s="45" t="s">
        <v>51</v>
      </c>
      <c r="B41" s="47">
        <f t="shared" si="3"/>
        <v>33.938684904560198</v>
      </c>
      <c r="C41" s="73">
        <f t="shared" si="2"/>
        <v>11.951747558982339</v>
      </c>
      <c r="D41" s="8"/>
      <c r="E41" s="74"/>
      <c r="F41" s="8"/>
      <c r="G41" s="8"/>
      <c r="H41" s="8"/>
      <c r="I41" s="8"/>
      <c r="J41" s="8"/>
      <c r="K41" s="8"/>
      <c r="L41" s="74"/>
      <c r="M41" s="74"/>
      <c r="N41" s="66"/>
      <c r="O41" s="66"/>
      <c r="P41" s="66"/>
      <c r="Q41" s="74"/>
      <c r="R41" s="74"/>
      <c r="S41" s="66"/>
      <c r="T41" s="4"/>
      <c r="U41" s="74"/>
      <c r="V41" s="74"/>
      <c r="W41" s="66"/>
      <c r="X41" s="66"/>
      <c r="Y41" s="74"/>
      <c r="Z41" s="74"/>
      <c r="AA41" s="66"/>
      <c r="AB41" s="66"/>
      <c r="AC41" s="66"/>
      <c r="AD41" s="66"/>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ht="15.75" x14ac:dyDescent="0.25">
      <c r="A42" s="45" t="s">
        <v>52</v>
      </c>
      <c r="B42" s="47">
        <f t="shared" si="3"/>
        <v>39.662429952859782</v>
      </c>
      <c r="C42" s="73">
        <f t="shared" si="2"/>
        <v>13.967404797959798</v>
      </c>
      <c r="D42" s="8"/>
      <c r="E42" s="76">
        <f>$H$13*$E$39</f>
        <v>2120.4171716297328</v>
      </c>
      <c r="F42" s="16" t="s">
        <v>53</v>
      </c>
      <c r="G42" s="8"/>
      <c r="H42" s="8"/>
      <c r="I42" s="8"/>
      <c r="J42" s="8"/>
      <c r="K42" s="8" t="s">
        <v>54</v>
      </c>
      <c r="L42" s="74"/>
      <c r="M42" s="74"/>
      <c r="N42" s="66"/>
      <c r="O42" s="77"/>
      <c r="P42" s="75"/>
      <c r="Q42" s="74"/>
      <c r="R42" s="74"/>
      <c r="S42" s="77"/>
      <c r="T42" s="4"/>
      <c r="U42" s="74"/>
      <c r="V42" s="74"/>
      <c r="W42" s="77"/>
      <c r="X42" s="66"/>
      <c r="Y42" s="74"/>
      <c r="Z42" s="74"/>
      <c r="AA42" s="77"/>
      <c r="AB42" s="75"/>
      <c r="AC42" s="75"/>
      <c r="AD42" s="66"/>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ht="15.75" x14ac:dyDescent="0.25">
      <c r="A43" s="45" t="s">
        <v>55</v>
      </c>
      <c r="B43" s="47">
        <f t="shared" si="3"/>
        <v>46.351482215332886</v>
      </c>
      <c r="C43" s="73">
        <f t="shared" si="2"/>
        <v>16.323001789261493</v>
      </c>
      <c r="D43" s="8"/>
      <c r="E43" s="78">
        <f>$E$42+$E$40</f>
        <v>2356.6688108767949</v>
      </c>
      <c r="F43" s="16" t="s">
        <v>56</v>
      </c>
      <c r="G43" s="8"/>
      <c r="H43" s="8"/>
      <c r="I43" s="8"/>
      <c r="J43" s="8"/>
      <c r="K43" s="8"/>
      <c r="L43" s="74"/>
      <c r="M43" s="74"/>
      <c r="N43" s="66"/>
      <c r="O43" s="78"/>
      <c r="P43" s="75"/>
      <c r="Q43" s="74"/>
      <c r="R43" s="74"/>
      <c r="S43" s="78"/>
      <c r="T43" s="4"/>
      <c r="U43" s="74"/>
      <c r="V43" s="74"/>
      <c r="W43" s="78"/>
      <c r="X43" s="66"/>
      <c r="Y43" s="74"/>
      <c r="Z43" s="74"/>
      <c r="AA43" s="78"/>
      <c r="AB43" s="75"/>
      <c r="AC43" s="75"/>
      <c r="AD43" s="66"/>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6" ht="15.75" x14ac:dyDescent="0.25">
      <c r="A44" s="45" t="s">
        <v>57</v>
      </c>
      <c r="B44" s="47">
        <f t="shared" si="3"/>
        <v>54.168640350877205</v>
      </c>
      <c r="C44" s="73">
        <f t="shared" si="2"/>
        <v>19.075869230277661</v>
      </c>
      <c r="D44" s="8"/>
      <c r="E44" s="79"/>
      <c r="F44" s="8"/>
      <c r="G44" s="8"/>
      <c r="H44" s="8"/>
      <c r="I44" s="8"/>
      <c r="J44" s="8"/>
      <c r="K44" s="8"/>
      <c r="L44" s="74"/>
      <c r="M44" s="74"/>
      <c r="N44" s="66"/>
      <c r="O44" s="66"/>
      <c r="P44" s="66"/>
      <c r="Q44" s="74"/>
      <c r="R44" s="74"/>
      <c r="S44" s="66"/>
      <c r="T44" s="4"/>
      <c r="U44" s="74"/>
      <c r="V44" s="74"/>
      <c r="W44" s="66"/>
      <c r="X44" s="66"/>
      <c r="Y44" s="74"/>
      <c r="Z44" s="74"/>
      <c r="AA44" s="66"/>
      <c r="AB44" s="66"/>
      <c r="AC44" s="66"/>
      <c r="AD44" s="66"/>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ht="15.75" x14ac:dyDescent="0.25">
      <c r="A45" s="45" t="s">
        <v>58</v>
      </c>
      <c r="B45" s="47">
        <f t="shared" si="3"/>
        <v>63.304158944286065</v>
      </c>
      <c r="C45" s="73">
        <f t="shared" si="2"/>
        <v>22.29300661659228</v>
      </c>
      <c r="D45" s="8"/>
      <c r="E45" s="65">
        <f>($E$43/$C$7)^(1/10)-1</f>
        <v>0.14756728506129146</v>
      </c>
      <c r="F45" s="16" t="s">
        <v>59</v>
      </c>
      <c r="G45" s="8"/>
      <c r="H45" s="8"/>
      <c r="I45" s="8"/>
      <c r="J45" s="8"/>
      <c r="K45" s="8"/>
      <c r="L45" s="74"/>
      <c r="M45" s="74"/>
      <c r="N45" s="66"/>
      <c r="O45" s="65"/>
      <c r="P45" s="75"/>
      <c r="Q45" s="74"/>
      <c r="R45" s="74"/>
      <c r="S45" s="65"/>
      <c r="T45" s="4"/>
      <c r="U45" s="74"/>
      <c r="V45" s="74"/>
      <c r="W45" s="65"/>
      <c r="X45" s="66"/>
      <c r="Y45" s="74"/>
      <c r="Z45" s="74"/>
      <c r="AA45" s="65"/>
      <c r="AB45" s="75"/>
      <c r="AC45" s="75"/>
      <c r="AD45" s="66"/>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row>
    <row r="46" spans="1:256" ht="15.75" x14ac:dyDescent="0.25">
      <c r="A46" s="45" t="s">
        <v>60</v>
      </c>
      <c r="B46" s="47">
        <f t="shared" si="3"/>
        <v>73.980378936694834</v>
      </c>
      <c r="C46" s="73">
        <f t="shared" si="2"/>
        <v>26.05271288076414</v>
      </c>
      <c r="D46" s="8"/>
      <c r="E46" s="8"/>
      <c r="F46" s="16" t="s">
        <v>61</v>
      </c>
      <c r="G46" s="8"/>
      <c r="H46" s="8"/>
      <c r="I46" s="8"/>
      <c r="J46" s="8"/>
      <c r="K46" s="8"/>
      <c r="L46" s="74"/>
      <c r="M46" s="74"/>
      <c r="N46" s="66"/>
      <c r="O46" s="66"/>
      <c r="P46" s="75"/>
      <c r="Q46" s="74"/>
      <c r="R46" s="74"/>
      <c r="S46" s="75"/>
      <c r="T46" s="4"/>
      <c r="U46" s="74"/>
      <c r="V46" s="74"/>
      <c r="W46" s="16"/>
      <c r="X46" s="4"/>
      <c r="Y46" s="74"/>
      <c r="Z46" s="74"/>
      <c r="AA46" s="16"/>
      <c r="AB46" s="16"/>
      <c r="AC46" s="16"/>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row>
    <row r="47" spans="1:256" ht="15.75" x14ac:dyDescent="0.25">
      <c r="A47" s="45" t="s">
        <v>62</v>
      </c>
      <c r="B47" s="47">
        <f t="shared" si="3"/>
        <v>86.457138976189981</v>
      </c>
      <c r="C47" s="73">
        <f t="shared" si="2"/>
        <v>30.44649203765799</v>
      </c>
      <c r="D47" s="8"/>
      <c r="E47" s="8"/>
      <c r="F47" s="8"/>
      <c r="G47" s="8"/>
      <c r="H47" s="8"/>
      <c r="I47" s="8"/>
      <c r="J47" s="8"/>
      <c r="K47" s="8"/>
      <c r="L47" s="74"/>
      <c r="M47" s="74"/>
      <c r="N47" s="66"/>
      <c r="O47" s="66"/>
      <c r="P47" s="66"/>
      <c r="Q47" s="74"/>
      <c r="R47" s="74"/>
      <c r="S47" s="66"/>
      <c r="T47" s="4"/>
      <c r="U47" s="74"/>
      <c r="V47" s="74"/>
      <c r="W47" s="4"/>
      <c r="X47" s="4"/>
      <c r="Y47" s="74"/>
      <c r="Z47" s="7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row>
    <row r="48" spans="1:256" ht="15.75" x14ac:dyDescent="0.25">
      <c r="A48" s="45" t="s">
        <v>63</v>
      </c>
      <c r="B48" s="47">
        <f t="shared" si="3"/>
        <v>101.03809939044056</v>
      </c>
      <c r="C48" s="73">
        <f t="shared" si="2"/>
        <v>35.581280216065629</v>
      </c>
      <c r="D48" s="8"/>
      <c r="E48" s="8"/>
      <c r="F48" s="8"/>
      <c r="G48" s="8"/>
      <c r="H48" s="8"/>
      <c r="I48" s="8"/>
      <c r="J48" s="8"/>
      <c r="K48" s="8"/>
      <c r="L48" s="74"/>
      <c r="M48" s="74"/>
      <c r="N48" s="66"/>
      <c r="O48" s="66"/>
      <c r="P48" s="66"/>
      <c r="Q48" s="74"/>
      <c r="R48" s="74"/>
      <c r="S48" s="66"/>
      <c r="T48" s="4"/>
      <c r="U48" s="74"/>
      <c r="V48" s="74"/>
      <c r="W48" s="4"/>
      <c r="X48" s="4"/>
      <c r="Y48" s="74"/>
      <c r="Z48" s="7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row>
    <row r="49" spans="1:256" ht="16.5" thickBot="1" x14ac:dyDescent="0.3">
      <c r="A49" s="51" t="s">
        <v>64</v>
      </c>
      <c r="B49" s="47">
        <f t="shared" si="3"/>
        <v>118.07813269467532</v>
      </c>
      <c r="C49" s="80">
        <f t="shared" si="2"/>
        <v>41.582048278280695</v>
      </c>
      <c r="D49" s="8"/>
      <c r="E49" s="81">
        <f>E42/((1+$C$17)^10)</f>
        <v>746.77801637484686</v>
      </c>
      <c r="F49" s="8"/>
      <c r="G49" s="8"/>
      <c r="H49" s="8"/>
      <c r="I49" s="8"/>
      <c r="J49" s="8"/>
      <c r="K49" s="8"/>
      <c r="L49" s="74"/>
      <c r="M49" s="74"/>
      <c r="N49" s="66"/>
      <c r="O49" s="82"/>
      <c r="P49" s="83"/>
      <c r="Q49" s="74"/>
      <c r="R49" s="74"/>
      <c r="S49" s="82"/>
      <c r="T49" s="84"/>
      <c r="U49" s="74"/>
      <c r="V49" s="74"/>
      <c r="W49" s="81"/>
      <c r="X49" s="84"/>
      <c r="Y49" s="74"/>
      <c r="Z49" s="74"/>
      <c r="AA49" s="81"/>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row>
    <row r="50" spans="1:256" ht="15" x14ac:dyDescent="0.2">
      <c r="A50" s="8"/>
      <c r="B50" s="85"/>
      <c r="C50" s="85"/>
      <c r="D50" s="85"/>
      <c r="E50" s="81">
        <f>E49*0.8</f>
        <v>597.42241309987753</v>
      </c>
      <c r="F50" s="4" t="s">
        <v>65</v>
      </c>
      <c r="G50" s="8"/>
      <c r="H50" s="8"/>
      <c r="I50" s="8"/>
      <c r="J50" s="8"/>
      <c r="K50" s="8"/>
      <c r="L50" s="8"/>
      <c r="M50" s="4"/>
      <c r="N50" s="4"/>
      <c r="O50" s="81"/>
      <c r="P50" s="4"/>
      <c r="Q50" s="4"/>
      <c r="R50" s="4"/>
      <c r="S50" s="81"/>
      <c r="T50" s="4"/>
      <c r="U50" s="4"/>
      <c r="V50" s="4"/>
      <c r="W50" s="81"/>
      <c r="X50" s="4"/>
      <c r="Y50" s="4"/>
      <c r="Z50" s="4"/>
      <c r="AA50" s="81"/>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row>
    <row r="51" spans="1:256" ht="20.25" thickBot="1" x14ac:dyDescent="0.35">
      <c r="A51" s="33" t="s">
        <v>66</v>
      </c>
      <c r="B51" s="8"/>
      <c r="C51" s="8"/>
      <c r="D51" s="8"/>
      <c r="E51" s="8"/>
      <c r="F51" s="8"/>
      <c r="G51" s="8"/>
      <c r="H51" s="8"/>
      <c r="I51" s="8"/>
      <c r="J51" s="8"/>
      <c r="K51" s="8"/>
      <c r="L51" s="8"/>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row>
    <row r="52" spans="1:256" ht="15.75" x14ac:dyDescent="0.25">
      <c r="A52" s="70" t="s">
        <v>36</v>
      </c>
      <c r="B52" s="62" t="s">
        <v>39</v>
      </c>
      <c r="C52" s="62" t="s">
        <v>37</v>
      </c>
      <c r="D52" s="71" t="s">
        <v>38</v>
      </c>
      <c r="E52" s="8"/>
      <c r="F52" s="8"/>
      <c r="G52" s="8"/>
      <c r="H52" s="8"/>
      <c r="I52" s="8"/>
      <c r="J52" s="8"/>
      <c r="K52" s="8"/>
      <c r="L52" s="39"/>
      <c r="M52" s="39"/>
      <c r="N52" s="39"/>
      <c r="O52" s="39"/>
      <c r="P52" s="21"/>
      <c r="Q52" s="21"/>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row>
    <row r="53" spans="1:256" ht="15.75" x14ac:dyDescent="0.25">
      <c r="A53" s="45" t="s">
        <v>47</v>
      </c>
      <c r="B53" s="47">
        <f>$C$10</f>
        <v>88.45</v>
      </c>
      <c r="C53" s="47">
        <f>C8</f>
        <v>24.85</v>
      </c>
      <c r="D53" s="73">
        <f t="shared" ref="D53:D63" si="4">C53*$H$8</f>
        <v>8.7511029869281813</v>
      </c>
      <c r="E53" s="74">
        <f>$C$63</f>
        <v>155.93290701878229</v>
      </c>
      <c r="F53" s="16" t="s">
        <v>67</v>
      </c>
      <c r="G53" s="8"/>
      <c r="H53" s="8"/>
      <c r="I53" s="8"/>
      <c r="J53" s="8"/>
      <c r="K53" s="8"/>
      <c r="L53" s="39"/>
      <c r="M53" s="74"/>
      <c r="N53" s="74"/>
      <c r="O53" s="74"/>
      <c r="P53" s="74"/>
      <c r="Q53" s="75"/>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row>
    <row r="54" spans="1:256" ht="15.75" x14ac:dyDescent="0.25">
      <c r="A54" s="45" t="s">
        <v>49</v>
      </c>
      <c r="B54" s="47">
        <f t="shared" ref="B54:B63" si="5">B53+C53-D53</f>
        <v>104.54889701307184</v>
      </c>
      <c r="C54" s="47">
        <f>B54*$H$7</f>
        <v>31.432194977382533</v>
      </c>
      <c r="D54" s="73">
        <f t="shared" si="4"/>
        <v>11.069069430675302</v>
      </c>
      <c r="E54" s="74">
        <f>SUM($D$53:$D$63)</f>
        <v>288.7679987482361</v>
      </c>
      <c r="F54" s="16" t="s">
        <v>50</v>
      </c>
      <c r="G54" s="8"/>
      <c r="H54" s="8"/>
      <c r="I54" s="8"/>
      <c r="J54" s="8"/>
      <c r="K54" s="8"/>
      <c r="L54" s="39"/>
      <c r="M54" s="74"/>
      <c r="N54" s="74"/>
      <c r="O54" s="74"/>
      <c r="P54" s="74"/>
      <c r="Q54" s="75"/>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row>
    <row r="55" spans="1:256" ht="15.75" x14ac:dyDescent="0.25">
      <c r="A55" s="45" t="s">
        <v>51</v>
      </c>
      <c r="B55" s="47">
        <f t="shared" si="5"/>
        <v>124.91202255977906</v>
      </c>
      <c r="C55" s="47">
        <f t="shared" ref="C55:C63" si="6">B55*$H$7</f>
        <v>37.554284744173607</v>
      </c>
      <c r="D55" s="73">
        <f t="shared" si="4"/>
        <v>13.22500657531948</v>
      </c>
      <c r="E55" s="74"/>
      <c r="F55" s="8"/>
      <c r="G55" s="8"/>
      <c r="H55" s="8"/>
      <c r="I55" s="8"/>
      <c r="J55" s="8"/>
      <c r="K55" s="8"/>
      <c r="L55" s="39"/>
      <c r="M55" s="74"/>
      <c r="N55" s="74"/>
      <c r="O55" s="74"/>
      <c r="P55" s="74"/>
      <c r="Q55" s="21"/>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row>
    <row r="56" spans="1:256" ht="15.75" x14ac:dyDescent="0.25">
      <c r="A56" s="45" t="s">
        <v>52</v>
      </c>
      <c r="B56" s="47">
        <f t="shared" si="5"/>
        <v>149.24130072863321</v>
      </c>
      <c r="C56" s="47">
        <f t="shared" si="6"/>
        <v>44.868781949885744</v>
      </c>
      <c r="D56" s="73">
        <f t="shared" si="4"/>
        <v>15.800858420180056</v>
      </c>
      <c r="E56" s="76">
        <f>$H$13*$E$53</f>
        <v>2800.2036119570062</v>
      </c>
      <c r="F56" s="16" t="s">
        <v>53</v>
      </c>
      <c r="G56" s="8"/>
      <c r="H56" s="8"/>
      <c r="I56" s="8"/>
      <c r="J56" s="8"/>
      <c r="K56" s="8" t="s">
        <v>54</v>
      </c>
      <c r="L56" s="39"/>
      <c r="M56" s="74"/>
      <c r="N56" s="74"/>
      <c r="O56" s="74"/>
      <c r="P56" s="77"/>
      <c r="Q56" s="75"/>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row>
    <row r="57" spans="1:256" ht="15.75" x14ac:dyDescent="0.25">
      <c r="A57" s="45" t="s">
        <v>55</v>
      </c>
      <c r="B57" s="47">
        <f t="shared" si="5"/>
        <v>178.3092242583389</v>
      </c>
      <c r="C57" s="47">
        <f t="shared" si="6"/>
        <v>53.607933352498037</v>
      </c>
      <c r="D57" s="73">
        <f t="shared" si="4"/>
        <v>18.878412301170723</v>
      </c>
      <c r="E57" s="78">
        <f>$E$56+$E$54</f>
        <v>3088.9716107052423</v>
      </c>
      <c r="F57" s="16" t="s">
        <v>56</v>
      </c>
      <c r="G57" s="8"/>
      <c r="H57" s="8"/>
      <c r="I57" s="8"/>
      <c r="J57" s="8"/>
      <c r="K57" s="8"/>
      <c r="L57" s="39"/>
      <c r="M57" s="74"/>
      <c r="N57" s="74"/>
      <c r="O57" s="74"/>
      <c r="P57" s="78"/>
      <c r="Q57" s="75"/>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row>
    <row r="58" spans="1:256" ht="15.75" x14ac:dyDescent="0.25">
      <c r="A58" s="45" t="s">
        <v>57</v>
      </c>
      <c r="B58" s="47">
        <f t="shared" si="5"/>
        <v>213.03874530966621</v>
      </c>
      <c r="C58" s="47">
        <f t="shared" si="6"/>
        <v>64.049220715098755</v>
      </c>
      <c r="D58" s="73">
        <f t="shared" si="4"/>
        <v>22.555385380697103</v>
      </c>
      <c r="E58" s="21"/>
      <c r="F58" s="8"/>
      <c r="G58" s="8"/>
      <c r="H58" s="8"/>
      <c r="I58" s="8"/>
      <c r="J58" s="8"/>
      <c r="K58" s="8"/>
      <c r="L58" s="39"/>
      <c r="M58" s="74"/>
      <c r="N58" s="74"/>
      <c r="O58" s="74"/>
      <c r="P58" s="21"/>
      <c r="Q58" s="21"/>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row>
    <row r="59" spans="1:256" ht="15.75" x14ac:dyDescent="0.25">
      <c r="A59" s="45" t="s">
        <v>58</v>
      </c>
      <c r="B59" s="47">
        <f t="shared" si="5"/>
        <v>254.53258064406788</v>
      </c>
      <c r="C59" s="47">
        <f t="shared" si="6"/>
        <v>76.524171287052155</v>
      </c>
      <c r="D59" s="73">
        <f t="shared" si="4"/>
        <v>26.948527320817941</v>
      </c>
      <c r="E59" s="65">
        <f>($E$57/$C$7)^(1/10)-1</f>
        <v>0.17904313819798645</v>
      </c>
      <c r="F59" s="16" t="s">
        <v>68</v>
      </c>
      <c r="G59" s="8"/>
      <c r="H59" s="8"/>
      <c r="I59" s="8"/>
      <c r="J59" s="8"/>
      <c r="K59" s="8"/>
      <c r="L59" s="39"/>
      <c r="M59" s="74"/>
      <c r="N59" s="74"/>
      <c r="O59" s="74"/>
      <c r="P59" s="65"/>
      <c r="Q59" s="75"/>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row>
    <row r="60" spans="1:256" ht="15.75" x14ac:dyDescent="0.25">
      <c r="A60" s="45" t="s">
        <v>60</v>
      </c>
      <c r="B60" s="47">
        <f t="shared" si="5"/>
        <v>304.1082246103021</v>
      </c>
      <c r="C60" s="47">
        <f t="shared" si="6"/>
        <v>91.428884314116814</v>
      </c>
      <c r="D60" s="73">
        <f t="shared" si="4"/>
        <v>32.197327268119871</v>
      </c>
      <c r="E60" s="8"/>
      <c r="F60" s="16"/>
      <c r="G60" s="8"/>
      <c r="H60" s="8"/>
      <c r="I60" s="8"/>
      <c r="J60" s="8"/>
      <c r="K60" s="8"/>
      <c r="L60" s="39"/>
      <c r="M60" s="74"/>
      <c r="N60" s="74"/>
      <c r="O60" s="74"/>
      <c r="P60" s="21"/>
      <c r="Q60" s="75"/>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row>
    <row r="61" spans="1:256" ht="15.75" x14ac:dyDescent="0.25">
      <c r="A61" s="45" t="s">
        <v>62</v>
      </c>
      <c r="B61" s="47">
        <f t="shared" si="5"/>
        <v>363.33978165629907</v>
      </c>
      <c r="C61" s="47">
        <f t="shared" si="6"/>
        <v>109.23660781072101</v>
      </c>
      <c r="D61" s="73">
        <f t="shared" si="4"/>
        <v>38.468442852889453</v>
      </c>
      <c r="E61" s="8"/>
      <c r="F61" s="8"/>
      <c r="G61" s="8"/>
      <c r="H61" s="8"/>
      <c r="I61" s="8"/>
      <c r="J61" s="8"/>
      <c r="K61" s="8"/>
      <c r="L61" s="39"/>
      <c r="M61" s="74"/>
      <c r="N61" s="74"/>
      <c r="O61" s="74"/>
      <c r="P61" s="21"/>
      <c r="Q61" s="21"/>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row>
    <row r="62" spans="1:256" ht="15.75" x14ac:dyDescent="0.25">
      <c r="A62" s="45" t="s">
        <v>63</v>
      </c>
      <c r="B62" s="47">
        <f t="shared" si="5"/>
        <v>434.10794661413064</v>
      </c>
      <c r="C62" s="47">
        <f t="shared" si="6"/>
        <v>130.51276492663985</v>
      </c>
      <c r="D62" s="73">
        <f t="shared" si="4"/>
        <v>45.960991830252453</v>
      </c>
      <c r="E62" s="8"/>
      <c r="F62" s="8"/>
      <c r="G62" s="8"/>
      <c r="H62" s="8"/>
      <c r="I62" s="8"/>
      <c r="J62" s="8"/>
      <c r="K62" s="8"/>
      <c r="L62" s="39"/>
      <c r="M62" s="74"/>
      <c r="N62" s="74"/>
      <c r="O62" s="74"/>
      <c r="P62" s="21"/>
      <c r="Q62" s="21"/>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row>
    <row r="63" spans="1:256" ht="16.5" thickBot="1" x14ac:dyDescent="0.3">
      <c r="A63" s="51" t="s">
        <v>64</v>
      </c>
      <c r="B63" s="86">
        <f t="shared" si="5"/>
        <v>518.65971971051795</v>
      </c>
      <c r="C63" s="86">
        <f t="shared" si="6"/>
        <v>155.93290701878229</v>
      </c>
      <c r="D63" s="80">
        <f t="shared" si="4"/>
        <v>54.912874381185517</v>
      </c>
      <c r="E63" s="81">
        <f>E56/((1+11%)^10)</f>
        <v>986.18824953945784</v>
      </c>
      <c r="F63" s="8"/>
      <c r="G63" s="8"/>
      <c r="H63" s="8"/>
      <c r="I63" s="8"/>
      <c r="J63" s="8"/>
      <c r="K63" s="8"/>
      <c r="L63" s="39"/>
      <c r="M63" s="74"/>
      <c r="N63" s="74"/>
      <c r="O63" s="74"/>
      <c r="P63" s="82"/>
      <c r="Q63" s="21"/>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row>
    <row r="64" spans="1:256" x14ac:dyDescent="0.2">
      <c r="A64" s="4"/>
      <c r="B64" s="4"/>
      <c r="C64" s="4"/>
      <c r="D64" s="4"/>
      <c r="E64" s="81">
        <f>E63*0.6</f>
        <v>591.71294972367468</v>
      </c>
      <c r="F64" s="4" t="s">
        <v>69</v>
      </c>
      <c r="G64" s="4"/>
      <c r="H64" s="4"/>
      <c r="I64" s="4"/>
      <c r="J64" s="4"/>
      <c r="K64" s="4"/>
      <c r="L64" s="66"/>
      <c r="M64" s="66"/>
      <c r="N64" s="66"/>
      <c r="O64" s="66"/>
      <c r="P64" s="82"/>
      <c r="Q64" s="66"/>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row>
  </sheetData>
  <mergeCells count="6">
    <mergeCell ref="A1:J1"/>
    <mergeCell ref="A2:J2"/>
    <mergeCell ref="B6:C6"/>
    <mergeCell ref="F6:H6"/>
    <mergeCell ref="E19:F19"/>
    <mergeCell ref="G19:H19"/>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Supreme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u030</dc:creator>
  <cp:lastModifiedBy>u030</cp:lastModifiedBy>
  <dcterms:created xsi:type="dcterms:W3CDTF">2015-09-20T06:59:42Z</dcterms:created>
  <dcterms:modified xsi:type="dcterms:W3CDTF">2015-09-20T07:00:38Z</dcterms:modified>
</cp:coreProperties>
</file>