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mc:AlternateContent xmlns:mc="http://schemas.openxmlformats.org/markup-compatibility/2006">
    <mc:Choice Requires="x15">
      <x15ac:absPath xmlns:x15ac="http://schemas.microsoft.com/office/spreadsheetml/2010/11/ac" url="C:\Users\sumit sharma\Downloads\"/>
    </mc:Choice>
  </mc:AlternateContent>
  <xr:revisionPtr revIDLastSave="0" documentId="13_ncr:1_{EF5F10FB-5DFC-4691-9015-19BAFCCDC946}" xr6:coauthVersionLast="32" xr6:coauthVersionMax="32" xr10:uidLastSave="{00000000-0000-0000-0000-000000000000}"/>
  <bookViews>
    <workbookView xWindow="0" yWindow="0" windowWidth="19200" windowHeight="7410" tabRatio="935" firstSheet="8" activeTab="16" xr2:uid="{00000000-000D-0000-FFFF-FFFF00000000}"/>
  </bookViews>
  <sheets>
    <sheet name="Instructions" sheetId="16" r:id="rId1"/>
    <sheet name="Summary" sheetId="15" r:id="rId2"/>
    <sheet name="Checklist" sheetId="14" r:id="rId3"/>
    <sheet name="Balance Sheet" sheetId="2" r:id="rId4"/>
    <sheet name="GROWTH" sheetId="20" r:id="rId5"/>
    <sheet name="Profit &amp; Loss" sheetId="1" r:id="rId6"/>
    <sheet name="PROFITABILITY" sheetId="21" r:id="rId7"/>
    <sheet name="DEBT COVERAGE" sheetId="22" r:id="rId8"/>
    <sheet name="OP EFFICIENCY" sheetId="27" r:id="rId9"/>
    <sheet name="Common Size Analysis" sheetId="13" r:id="rId10"/>
    <sheet name="MANAGEMENT" sheetId="26" r:id="rId11"/>
    <sheet name="VALUATION" sheetId="19" r:id="rId12"/>
    <sheet name="ddm3st.xls" sheetId="29" r:id="rId13"/>
    <sheet name="EPV Valuation" sheetId="7" r:id="rId14"/>
    <sheet name="Dhandho IV" sheetId="9" r:id="rId15"/>
    <sheet name="Ben Graham Formula" sheetId="8" r:id="rId16"/>
    <sheet name="DCF" sheetId="11" r:id="rId17"/>
    <sheet name="Expected Returns" sheetId="12" r:id="rId18"/>
    <sheet name="NNWC" sheetId="17" r:id="rId19"/>
    <sheet name="DuPont Model X 5" sheetId="18" r:id="rId20"/>
    <sheet name="DUPONT X 3" sheetId="25" r:id="rId21"/>
    <sheet name="Intrinsic Values" sheetId="10" r:id="rId22"/>
    <sheet name="Quarters" sheetId="3" r:id="rId23"/>
    <sheet name="Data Sheet" sheetId="6" r:id="rId24"/>
    <sheet name="Customization" sheetId="5" r:id="rId25"/>
    <sheet name="Cash Flow" sheetId="4" r:id="rId26"/>
    <sheet name="FINAL CHECKS" sheetId="24" r:id="rId27"/>
  </sheets>
  <definedNames>
    <definedName name="UPDATE">'Data Sheet'!$E$1</definedName>
  </definedNames>
  <calcPr calcId="179017"/>
  <fileRecoveryPr autoRecover="0"/>
</workbook>
</file>

<file path=xl/calcChain.xml><?xml version="1.0" encoding="utf-8"?>
<calcChain xmlns="http://schemas.openxmlformats.org/spreadsheetml/2006/main">
  <c r="B13" i="12" l="1"/>
  <c r="B12" i="4"/>
  <c r="I10" i="4"/>
  <c r="K32" i="1" l="1"/>
  <c r="K76" i="1" s="1"/>
  <c r="K4" i="1"/>
  <c r="H4" i="1"/>
  <c r="G4" i="1"/>
  <c r="F4" i="1"/>
  <c r="E4" i="1"/>
  <c r="D4" i="1"/>
  <c r="C4" i="1"/>
  <c r="G67" i="29" l="1"/>
  <c r="E115" i="29"/>
  <c r="E113" i="29"/>
  <c r="L110" i="29"/>
  <c r="K110" i="29"/>
  <c r="J110" i="29"/>
  <c r="I110" i="29"/>
  <c r="L109" i="29"/>
  <c r="K109" i="29"/>
  <c r="J109" i="29"/>
  <c r="I109" i="29"/>
  <c r="L108" i="29"/>
  <c r="K108" i="29"/>
  <c r="J108" i="29"/>
  <c r="I108" i="29"/>
  <c r="C108" i="29"/>
  <c r="C109" i="29" s="1"/>
  <c r="L107" i="29"/>
  <c r="K107" i="29"/>
  <c r="J107" i="29"/>
  <c r="I107" i="29"/>
  <c r="L106" i="29"/>
  <c r="K106" i="29"/>
  <c r="J106" i="29"/>
  <c r="I106" i="29"/>
  <c r="L105" i="29"/>
  <c r="K105" i="29"/>
  <c r="J105" i="29"/>
  <c r="I105" i="29"/>
  <c r="L104" i="29"/>
  <c r="K104" i="29"/>
  <c r="J104" i="29"/>
  <c r="I104" i="29"/>
  <c r="L103" i="29"/>
  <c r="K103" i="29"/>
  <c r="J103" i="29"/>
  <c r="I103" i="29"/>
  <c r="H103" i="29"/>
  <c r="G103" i="29"/>
  <c r="F103" i="29"/>
  <c r="E103" i="29"/>
  <c r="D103" i="29"/>
  <c r="C103" i="29"/>
  <c r="L98" i="29"/>
  <c r="K98" i="29"/>
  <c r="J98" i="29"/>
  <c r="I98" i="29"/>
  <c r="H98" i="29"/>
  <c r="G98" i="29"/>
  <c r="L97" i="29"/>
  <c r="L99" i="29" s="1"/>
  <c r="K97" i="29"/>
  <c r="K99" i="29" s="1"/>
  <c r="J97" i="29"/>
  <c r="J100" i="29" s="1"/>
  <c r="I97" i="29"/>
  <c r="I100" i="29" s="1"/>
  <c r="H97" i="29"/>
  <c r="H99" i="29" s="1"/>
  <c r="G97" i="29"/>
  <c r="G99" i="29" s="1"/>
  <c r="F97" i="29"/>
  <c r="E97" i="29"/>
  <c r="D97" i="29"/>
  <c r="C97" i="29"/>
  <c r="E91" i="29"/>
  <c r="E90" i="29"/>
  <c r="D90" i="29"/>
  <c r="E89" i="29"/>
  <c r="D84" i="29"/>
  <c r="E75" i="29"/>
  <c r="L100" i="29" l="1"/>
  <c r="E77" i="29"/>
  <c r="E114" i="29" s="1"/>
  <c r="G100" i="29"/>
  <c r="H100" i="29"/>
  <c r="K100" i="29"/>
  <c r="I99" i="29"/>
  <c r="J99" i="29"/>
  <c r="D108" i="29"/>
  <c r="D7" i="9"/>
  <c r="D109" i="29" l="1"/>
  <c r="E108" i="29"/>
  <c r="C53" i="26"/>
  <c r="D53" i="26"/>
  <c r="D54" i="26" s="1"/>
  <c r="E53" i="26"/>
  <c r="F53" i="26"/>
  <c r="G53" i="26"/>
  <c r="H53" i="26"/>
  <c r="H54" i="26" s="1"/>
  <c r="I53" i="26"/>
  <c r="J53" i="26"/>
  <c r="K53" i="26"/>
  <c r="B53" i="26"/>
  <c r="B52" i="26"/>
  <c r="C49" i="26"/>
  <c r="D49" i="26"/>
  <c r="E49" i="26"/>
  <c r="F49" i="26"/>
  <c r="G49" i="26"/>
  <c r="G50" i="26" s="1"/>
  <c r="H49" i="26"/>
  <c r="I49" i="26"/>
  <c r="J49" i="26"/>
  <c r="K49" i="26"/>
  <c r="K50" i="26" s="1"/>
  <c r="B49" i="26"/>
  <c r="C50" i="26" l="1"/>
  <c r="K54" i="26"/>
  <c r="G54" i="26"/>
  <c r="E109" i="29"/>
  <c r="F108" i="29"/>
  <c r="C54" i="26"/>
  <c r="I50" i="26"/>
  <c r="E50" i="26"/>
  <c r="H50" i="26"/>
  <c r="D50" i="26"/>
  <c r="I54" i="26"/>
  <c r="E54" i="26"/>
  <c r="J50" i="26"/>
  <c r="F50" i="26"/>
  <c r="J54" i="26"/>
  <c r="F54" i="26"/>
  <c r="F109" i="29" l="1"/>
  <c r="G108" i="29"/>
  <c r="C3" i="25"/>
  <c r="D3" i="25"/>
  <c r="E3" i="25"/>
  <c r="F3" i="25"/>
  <c r="G3" i="25"/>
  <c r="H3" i="25"/>
  <c r="I3" i="25"/>
  <c r="J3" i="25"/>
  <c r="K3" i="25"/>
  <c r="B3" i="25"/>
  <c r="C2" i="25"/>
  <c r="D2" i="25"/>
  <c r="E2" i="25"/>
  <c r="F2" i="25"/>
  <c r="G2" i="25"/>
  <c r="H2" i="25"/>
  <c r="I2" i="25"/>
  <c r="J2" i="25"/>
  <c r="K2" i="25"/>
  <c r="B2" i="25"/>
  <c r="C4" i="25"/>
  <c r="D4" i="25"/>
  <c r="E4" i="25"/>
  <c r="F4" i="25"/>
  <c r="G4" i="25"/>
  <c r="H4" i="25"/>
  <c r="I4" i="25"/>
  <c r="J4" i="25"/>
  <c r="K4" i="25"/>
  <c r="B4" i="25"/>
  <c r="B5" i="25" l="1"/>
  <c r="D5" i="25"/>
  <c r="K5" i="25"/>
  <c r="C6" i="21" s="1"/>
  <c r="C5" i="25"/>
  <c r="G109" i="29"/>
  <c r="H108" i="29"/>
  <c r="H109" i="29" s="1"/>
  <c r="E6" i="25"/>
  <c r="I6" i="25"/>
  <c r="C6" i="25"/>
  <c r="H6" i="25"/>
  <c r="G6" i="25"/>
  <c r="H5" i="25"/>
  <c r="G5" i="25"/>
  <c r="B6" i="25"/>
  <c r="D6" i="25"/>
  <c r="F6" i="25"/>
  <c r="J6" i="25"/>
  <c r="I5" i="25"/>
  <c r="E5" i="25"/>
  <c r="J5" i="25"/>
  <c r="F5" i="25"/>
  <c r="D10" i="4" l="1"/>
  <c r="E10" i="4"/>
  <c r="F10" i="4"/>
  <c r="G10" i="4"/>
  <c r="H10" i="4"/>
  <c r="J10" i="4"/>
  <c r="J18" i="4" s="1"/>
  <c r="K10" i="4"/>
  <c r="K18" i="4" s="1"/>
  <c r="C10" i="4"/>
  <c r="C18" i="4" s="1"/>
  <c r="J19" i="2" l="1"/>
  <c r="I19" i="2"/>
  <c r="H19" i="2"/>
  <c r="G19" i="2"/>
  <c r="F19" i="2"/>
  <c r="K18" i="2"/>
  <c r="J18" i="2"/>
  <c r="I18" i="2"/>
  <c r="H18" i="2"/>
  <c r="G18" i="2"/>
  <c r="F18" i="2"/>
  <c r="E18" i="2"/>
  <c r="D18" i="2"/>
  <c r="C18" i="2"/>
  <c r="B18" i="2"/>
  <c r="K17" i="2"/>
  <c r="J17" i="2"/>
  <c r="I17" i="2"/>
  <c r="H17" i="2"/>
  <c r="G17" i="2"/>
  <c r="F17" i="2"/>
  <c r="E17" i="2"/>
  <c r="D17" i="2"/>
  <c r="C17" i="2"/>
  <c r="B17" i="2"/>
  <c r="K14" i="2"/>
  <c r="J14" i="2"/>
  <c r="I14" i="2"/>
  <c r="H14" i="2"/>
  <c r="G14" i="2"/>
  <c r="F14" i="2"/>
  <c r="E14" i="2"/>
  <c r="D14" i="2"/>
  <c r="C14" i="2"/>
  <c r="B14" i="2"/>
  <c r="K13" i="2"/>
  <c r="J13" i="2"/>
  <c r="I13" i="2"/>
  <c r="H13" i="2"/>
  <c r="G13" i="2"/>
  <c r="F13" i="2"/>
  <c r="E13" i="2"/>
  <c r="D13" i="2"/>
  <c r="C13" i="2"/>
  <c r="B13" i="2"/>
  <c r="K12" i="2"/>
  <c r="J12" i="2"/>
  <c r="I12" i="2"/>
  <c r="H12" i="2"/>
  <c r="G12" i="2"/>
  <c r="F12" i="2"/>
  <c r="E12" i="2"/>
  <c r="D12" i="2"/>
  <c r="C12" i="2"/>
  <c r="B12" i="2"/>
  <c r="K11" i="2"/>
  <c r="J11" i="2"/>
  <c r="I11" i="2"/>
  <c r="H11" i="2"/>
  <c r="G11" i="2"/>
  <c r="F11" i="2"/>
  <c r="E11" i="2"/>
  <c r="D11" i="2"/>
  <c r="C11" i="2"/>
  <c r="B11" i="2"/>
  <c r="K10" i="2"/>
  <c r="J10" i="2"/>
  <c r="I10" i="2"/>
  <c r="H10" i="2"/>
  <c r="G10" i="2"/>
  <c r="F10" i="2"/>
  <c r="E10" i="2"/>
  <c r="D10" i="2"/>
  <c r="C10" i="2"/>
  <c r="B10" i="2"/>
  <c r="K8" i="2"/>
  <c r="J8" i="2"/>
  <c r="I8" i="2"/>
  <c r="H8" i="2"/>
  <c r="G8" i="2"/>
  <c r="F8" i="2"/>
  <c r="E8" i="2"/>
  <c r="D8" i="2"/>
  <c r="C8" i="2"/>
  <c r="B8" i="2"/>
  <c r="K7" i="2"/>
  <c r="J7" i="2"/>
  <c r="I7" i="2"/>
  <c r="H7" i="2"/>
  <c r="G7" i="2"/>
  <c r="F7" i="2"/>
  <c r="E7" i="2"/>
  <c r="D7" i="2"/>
  <c r="C7" i="2"/>
  <c r="B7" i="2"/>
  <c r="K6" i="2"/>
  <c r="J11" i="7" s="1"/>
  <c r="J12" i="7" s="1"/>
  <c r="J13" i="7" s="1"/>
  <c r="J6" i="2"/>
  <c r="I6" i="2"/>
  <c r="H6" i="2"/>
  <c r="G6" i="2"/>
  <c r="F6" i="2"/>
  <c r="E6" i="2"/>
  <c r="D6" i="2"/>
  <c r="C6" i="2"/>
  <c r="B6" i="2"/>
  <c r="K5" i="2"/>
  <c r="J5" i="2"/>
  <c r="I5" i="2"/>
  <c r="H5" i="2"/>
  <c r="G5" i="2"/>
  <c r="F5" i="2"/>
  <c r="E5" i="2"/>
  <c r="D5" i="2"/>
  <c r="C5" i="2"/>
  <c r="B5" i="2"/>
  <c r="K4" i="2"/>
  <c r="J4" i="2"/>
  <c r="I4" i="2"/>
  <c r="H4" i="2"/>
  <c r="G4" i="2"/>
  <c r="F4" i="2"/>
  <c r="E4" i="2"/>
  <c r="D4" i="2"/>
  <c r="C4" i="2"/>
  <c r="B4" i="2"/>
  <c r="K3" i="2"/>
  <c r="J3" i="2"/>
  <c r="I3" i="2"/>
  <c r="H3" i="2"/>
  <c r="G3" i="2"/>
  <c r="F3" i="2"/>
  <c r="E3" i="2"/>
  <c r="D3" i="2"/>
  <c r="C3" i="2"/>
  <c r="B3" i="2"/>
  <c r="I18" i="4"/>
  <c r="H18" i="4"/>
  <c r="G18" i="4"/>
  <c r="F18" i="4"/>
  <c r="E18" i="4"/>
  <c r="D18" i="4"/>
  <c r="B18" i="4"/>
  <c r="L10" i="4"/>
  <c r="K7" i="4"/>
  <c r="J7" i="4"/>
  <c r="I7" i="4"/>
  <c r="H7" i="4"/>
  <c r="G7" i="4"/>
  <c r="F7" i="4"/>
  <c r="E7" i="4"/>
  <c r="D7" i="4"/>
  <c r="C7" i="4"/>
  <c r="B7" i="4"/>
  <c r="K6" i="4"/>
  <c r="J6" i="4"/>
  <c r="I6" i="4"/>
  <c r="H6" i="4"/>
  <c r="G6" i="4"/>
  <c r="F6" i="4"/>
  <c r="E6" i="4"/>
  <c r="D6" i="4"/>
  <c r="C6" i="4"/>
  <c r="B6" i="4"/>
  <c r="K5" i="4"/>
  <c r="J5" i="4"/>
  <c r="I5" i="4"/>
  <c r="H5" i="4"/>
  <c r="G5" i="4"/>
  <c r="F5" i="4"/>
  <c r="E5" i="4"/>
  <c r="D5" i="4"/>
  <c r="C5" i="4"/>
  <c r="B5" i="4"/>
  <c r="K4" i="4"/>
  <c r="J4" i="4"/>
  <c r="I4" i="4"/>
  <c r="I11" i="4" s="1"/>
  <c r="H4" i="4"/>
  <c r="H11" i="4" s="1"/>
  <c r="H14" i="4" s="1"/>
  <c r="G4" i="4"/>
  <c r="F4" i="4"/>
  <c r="F11" i="27" s="1"/>
  <c r="E4" i="4"/>
  <c r="E11" i="4" s="1"/>
  <c r="D4" i="4"/>
  <c r="D11" i="4" s="1"/>
  <c r="D14" i="4" s="1"/>
  <c r="C4" i="4"/>
  <c r="B4" i="4"/>
  <c r="B11" i="27" s="1"/>
  <c r="K3" i="4"/>
  <c r="J3" i="4"/>
  <c r="I3" i="4"/>
  <c r="H3" i="4"/>
  <c r="G3" i="4"/>
  <c r="F3" i="4"/>
  <c r="E3" i="4"/>
  <c r="D3" i="4"/>
  <c r="C3" i="4"/>
  <c r="B3" i="4"/>
  <c r="K93" i="6"/>
  <c r="J93" i="6"/>
  <c r="I93" i="6"/>
  <c r="H93" i="6"/>
  <c r="G93" i="6"/>
  <c r="F93" i="6"/>
  <c r="E93" i="6"/>
  <c r="D93" i="6"/>
  <c r="C93" i="6"/>
  <c r="B93" i="6"/>
  <c r="K86" i="6"/>
  <c r="J86" i="6"/>
  <c r="I86" i="6"/>
  <c r="H86" i="6"/>
  <c r="G86" i="6"/>
  <c r="F86" i="6"/>
  <c r="E86" i="6"/>
  <c r="D86" i="6"/>
  <c r="C86" i="6"/>
  <c r="B86" i="6"/>
  <c r="L85" i="6"/>
  <c r="L84" i="6"/>
  <c r="L83" i="6"/>
  <c r="L82" i="6"/>
  <c r="O22" i="6"/>
  <c r="B6" i="6"/>
  <c r="C8" i="21" s="1"/>
  <c r="E1" i="6"/>
  <c r="E1" i="3" s="1"/>
  <c r="K15" i="3"/>
  <c r="J15" i="3"/>
  <c r="I15" i="3"/>
  <c r="H15" i="3"/>
  <c r="G15" i="3"/>
  <c r="F15" i="3"/>
  <c r="E15" i="3"/>
  <c r="D15" i="3"/>
  <c r="C15" i="3"/>
  <c r="B15" i="3"/>
  <c r="K14" i="3"/>
  <c r="J14" i="3"/>
  <c r="I14" i="3"/>
  <c r="H14" i="3"/>
  <c r="G14" i="3"/>
  <c r="F14" i="3"/>
  <c r="E14" i="3"/>
  <c r="D14" i="3"/>
  <c r="C14" i="3"/>
  <c r="B14" i="3"/>
  <c r="K11" i="3"/>
  <c r="J11" i="3"/>
  <c r="I11" i="3"/>
  <c r="H11" i="3"/>
  <c r="G11" i="3"/>
  <c r="F11" i="3"/>
  <c r="E11" i="3"/>
  <c r="D11" i="3"/>
  <c r="C11" i="3"/>
  <c r="B11" i="3"/>
  <c r="K10" i="3"/>
  <c r="J10" i="3"/>
  <c r="I10" i="3"/>
  <c r="H10" i="3"/>
  <c r="G10" i="3"/>
  <c r="F10" i="3"/>
  <c r="E10" i="3"/>
  <c r="D10" i="3"/>
  <c r="C10" i="3"/>
  <c r="B10" i="3"/>
  <c r="K9" i="3"/>
  <c r="J9" i="3"/>
  <c r="I9" i="3"/>
  <c r="H9" i="3"/>
  <c r="G9" i="3"/>
  <c r="F9" i="3"/>
  <c r="E9" i="3"/>
  <c r="D9" i="3"/>
  <c r="C9" i="3"/>
  <c r="B9" i="3"/>
  <c r="K8" i="3"/>
  <c r="J8" i="3"/>
  <c r="I8" i="3"/>
  <c r="H8" i="3"/>
  <c r="G8" i="3"/>
  <c r="F8" i="3"/>
  <c r="E8" i="3"/>
  <c r="D8" i="3"/>
  <c r="C8" i="3"/>
  <c r="B8" i="3"/>
  <c r="K7" i="3"/>
  <c r="J7" i="3"/>
  <c r="I7" i="3"/>
  <c r="H7" i="3"/>
  <c r="G7" i="3"/>
  <c r="F7" i="3"/>
  <c r="E7" i="3"/>
  <c r="D7" i="3"/>
  <c r="C7" i="3"/>
  <c r="B7" i="3"/>
  <c r="K6" i="3"/>
  <c r="J6" i="3"/>
  <c r="I6" i="3"/>
  <c r="H6" i="3"/>
  <c r="G6" i="3"/>
  <c r="F6" i="3"/>
  <c r="E6" i="3"/>
  <c r="D6" i="3"/>
  <c r="C6" i="3"/>
  <c r="B6" i="3"/>
  <c r="K4" i="3"/>
  <c r="J4" i="3"/>
  <c r="I4" i="3"/>
  <c r="H4" i="3"/>
  <c r="L4" i="1" s="1"/>
  <c r="G4" i="3"/>
  <c r="F4" i="3"/>
  <c r="E4" i="3"/>
  <c r="E17" i="3" s="1"/>
  <c r="D4" i="3"/>
  <c r="C4" i="3"/>
  <c r="B4" i="3"/>
  <c r="K3" i="3"/>
  <c r="J3" i="3"/>
  <c r="I3" i="3"/>
  <c r="H3" i="3"/>
  <c r="G3" i="3"/>
  <c r="F3" i="3"/>
  <c r="E3" i="3"/>
  <c r="D3" i="3"/>
  <c r="C3" i="3"/>
  <c r="B3" i="3"/>
  <c r="B12" i="10"/>
  <c r="B11" i="10"/>
  <c r="A2" i="10"/>
  <c r="D12" i="18"/>
  <c r="E36" i="18" s="1"/>
  <c r="D11" i="18"/>
  <c r="D10" i="18"/>
  <c r="E20" i="18" s="1"/>
  <c r="D9" i="18"/>
  <c r="C36" i="18" s="1"/>
  <c r="D8" i="18"/>
  <c r="E17" i="18" s="1"/>
  <c r="D7" i="18"/>
  <c r="G17" i="18" s="1"/>
  <c r="D6" i="18"/>
  <c r="C17" i="18" s="1"/>
  <c r="C26" i="18" s="1"/>
  <c r="C5" i="17"/>
  <c r="C4" i="17"/>
  <c r="D4" i="17" s="1"/>
  <c r="C3" i="17"/>
  <c r="D3" i="17" s="1"/>
  <c r="C2" i="17"/>
  <c r="D2" i="17" s="1"/>
  <c r="B16" i="12"/>
  <c r="B14" i="12"/>
  <c r="B11" i="12"/>
  <c r="K4" i="12"/>
  <c r="K5" i="12" s="1"/>
  <c r="J4" i="12"/>
  <c r="J5" i="12" s="1"/>
  <c r="I4" i="12"/>
  <c r="I5" i="12" s="1"/>
  <c r="H4" i="12"/>
  <c r="H5" i="12" s="1"/>
  <c r="G4" i="12"/>
  <c r="G5" i="12" s="1"/>
  <c r="F4" i="12"/>
  <c r="F5" i="12" s="1"/>
  <c r="E4" i="12"/>
  <c r="E5" i="12" s="1"/>
  <c r="D4" i="12"/>
  <c r="D5" i="12" s="1"/>
  <c r="C4" i="12"/>
  <c r="C5" i="12" s="1"/>
  <c r="B4" i="12"/>
  <c r="B5" i="12" s="1"/>
  <c r="K3" i="12"/>
  <c r="J3" i="12"/>
  <c r="I3" i="12"/>
  <c r="H3" i="12"/>
  <c r="G3" i="12"/>
  <c r="F3" i="12"/>
  <c r="E3" i="12"/>
  <c r="D3" i="12"/>
  <c r="C3" i="12"/>
  <c r="B3" i="12"/>
  <c r="A2" i="12"/>
  <c r="B30" i="11"/>
  <c r="C23" i="11"/>
  <c r="C22" i="11"/>
  <c r="C21" i="11"/>
  <c r="C20" i="11"/>
  <c r="C19" i="11"/>
  <c r="C18" i="11"/>
  <c r="C17" i="11"/>
  <c r="C16" i="11"/>
  <c r="C15" i="11"/>
  <c r="C14" i="11"/>
  <c r="B11" i="11"/>
  <c r="E5" i="11"/>
  <c r="A2" i="11"/>
  <c r="B11" i="8"/>
  <c r="E11" i="8" s="1"/>
  <c r="E7" i="8"/>
  <c r="D20" i="9"/>
  <c r="K20" i="9" s="1"/>
  <c r="K7" i="9"/>
  <c r="A4" i="9"/>
  <c r="H4" i="9" s="1"/>
  <c r="F38" i="7"/>
  <c r="E38" i="7"/>
  <c r="D38" i="7"/>
  <c r="C38" i="7"/>
  <c r="B38" i="7"/>
  <c r="F35" i="7"/>
  <c r="E35" i="7"/>
  <c r="D35" i="7"/>
  <c r="C35" i="7"/>
  <c r="B35" i="7"/>
  <c r="F34" i="7"/>
  <c r="E34" i="7"/>
  <c r="D34" i="7"/>
  <c r="C34" i="7"/>
  <c r="B34" i="7"/>
  <c r="F33" i="7"/>
  <c r="E33" i="7"/>
  <c r="D33" i="7"/>
  <c r="C33" i="7"/>
  <c r="B33" i="7"/>
  <c r="F21" i="7"/>
  <c r="E21" i="7"/>
  <c r="D21" i="7"/>
  <c r="C21" i="7"/>
  <c r="B21" i="7"/>
  <c r="F18" i="7"/>
  <c r="E18" i="7"/>
  <c r="D18" i="7"/>
  <c r="C18" i="7"/>
  <c r="B18" i="7"/>
  <c r="F16" i="7"/>
  <c r="E16" i="7"/>
  <c r="D16" i="7"/>
  <c r="C16" i="7"/>
  <c r="B16" i="7"/>
  <c r="K14" i="7"/>
  <c r="F12" i="7"/>
  <c r="E12" i="7"/>
  <c r="D12" i="7"/>
  <c r="D13" i="7" s="1"/>
  <c r="C12" i="7"/>
  <c r="C13" i="7" s="1"/>
  <c r="B12" i="7"/>
  <c r="F11" i="7"/>
  <c r="E11" i="7"/>
  <c r="D11" i="7"/>
  <c r="C11" i="7"/>
  <c r="B11" i="7"/>
  <c r="B37" i="7" s="1"/>
  <c r="C12" i="19"/>
  <c r="K10" i="26"/>
  <c r="J10" i="26"/>
  <c r="I10" i="26"/>
  <c r="H10" i="26"/>
  <c r="G10" i="26"/>
  <c r="F10" i="26"/>
  <c r="E10" i="26"/>
  <c r="D10" i="26"/>
  <c r="C10" i="26"/>
  <c r="B10" i="26"/>
  <c r="K34" i="13"/>
  <c r="J34" i="13"/>
  <c r="I34" i="13"/>
  <c r="H34" i="13"/>
  <c r="G34" i="13"/>
  <c r="F34" i="13"/>
  <c r="E34" i="13"/>
  <c r="D34" i="13"/>
  <c r="C34" i="13"/>
  <c r="B34" i="13"/>
  <c r="K33" i="13"/>
  <c r="J33" i="13"/>
  <c r="I33" i="13"/>
  <c r="H33" i="13"/>
  <c r="G33" i="13"/>
  <c r="F33" i="13"/>
  <c r="E33" i="13"/>
  <c r="D33" i="13"/>
  <c r="C33" i="13"/>
  <c r="B33" i="13"/>
  <c r="K32" i="13"/>
  <c r="J32" i="13"/>
  <c r="I32" i="13"/>
  <c r="H32" i="13"/>
  <c r="G32" i="13"/>
  <c r="F32" i="13"/>
  <c r="E32" i="13"/>
  <c r="D32" i="13"/>
  <c r="C32" i="13"/>
  <c r="B32" i="13"/>
  <c r="K30" i="13"/>
  <c r="J30" i="13"/>
  <c r="I30" i="13"/>
  <c r="H30" i="13"/>
  <c r="G30" i="13"/>
  <c r="F30" i="13"/>
  <c r="E30" i="13"/>
  <c r="D30" i="13"/>
  <c r="C30" i="13"/>
  <c r="B30" i="13"/>
  <c r="K29" i="13"/>
  <c r="J29" i="13"/>
  <c r="I29" i="13"/>
  <c r="H29" i="13"/>
  <c r="G29" i="13"/>
  <c r="F29" i="13"/>
  <c r="E29" i="13"/>
  <c r="D29" i="13"/>
  <c r="C29" i="13"/>
  <c r="B29" i="13"/>
  <c r="K28" i="13"/>
  <c r="J28" i="13"/>
  <c r="I28" i="13"/>
  <c r="H28" i="13"/>
  <c r="G28" i="13"/>
  <c r="F28" i="13"/>
  <c r="E28" i="13"/>
  <c r="D28" i="13"/>
  <c r="C28" i="13"/>
  <c r="B28" i="13"/>
  <c r="K27" i="13"/>
  <c r="J27" i="13"/>
  <c r="I27" i="13"/>
  <c r="H27" i="13"/>
  <c r="G27" i="13"/>
  <c r="F27" i="13"/>
  <c r="E27" i="13"/>
  <c r="D27" i="13"/>
  <c r="C27" i="13"/>
  <c r="B27" i="13"/>
  <c r="K25" i="13"/>
  <c r="J25" i="13"/>
  <c r="I25" i="13"/>
  <c r="H25" i="13"/>
  <c r="G25" i="13"/>
  <c r="F25" i="13"/>
  <c r="E25" i="13"/>
  <c r="D25" i="13"/>
  <c r="C25" i="13"/>
  <c r="B25" i="13"/>
  <c r="K24" i="13"/>
  <c r="J24" i="13"/>
  <c r="I24" i="13"/>
  <c r="H24" i="13"/>
  <c r="G24" i="13"/>
  <c r="F24" i="13"/>
  <c r="E24" i="13"/>
  <c r="D24" i="13"/>
  <c r="C24" i="13"/>
  <c r="B24" i="13"/>
  <c r="K23" i="13"/>
  <c r="J23" i="13"/>
  <c r="I23" i="13"/>
  <c r="H23" i="13"/>
  <c r="G23" i="13"/>
  <c r="F23" i="13"/>
  <c r="E23" i="13"/>
  <c r="D23" i="13"/>
  <c r="C23" i="13"/>
  <c r="B23" i="13"/>
  <c r="K22" i="13"/>
  <c r="J22" i="13"/>
  <c r="I22" i="13"/>
  <c r="H22" i="13"/>
  <c r="G22" i="13"/>
  <c r="F22" i="13"/>
  <c r="E22" i="13"/>
  <c r="D22" i="13"/>
  <c r="C22" i="13"/>
  <c r="B22" i="13"/>
  <c r="K18" i="13"/>
  <c r="J18" i="13"/>
  <c r="I18" i="13"/>
  <c r="H18" i="13"/>
  <c r="G18" i="13"/>
  <c r="F18" i="13"/>
  <c r="E18" i="13"/>
  <c r="D18" i="13"/>
  <c r="C18" i="13"/>
  <c r="B18" i="13"/>
  <c r="K17" i="13"/>
  <c r="J17" i="13"/>
  <c r="I17" i="13"/>
  <c r="H17" i="13"/>
  <c r="G17" i="13"/>
  <c r="F17" i="13"/>
  <c r="E17" i="13"/>
  <c r="D17" i="13"/>
  <c r="C17" i="13"/>
  <c r="B17" i="13"/>
  <c r="K16" i="13"/>
  <c r="J16" i="13"/>
  <c r="I16" i="13"/>
  <c r="H16" i="13"/>
  <c r="G16" i="13"/>
  <c r="F16" i="13"/>
  <c r="E16" i="13"/>
  <c r="D16" i="13"/>
  <c r="C16" i="13"/>
  <c r="B16" i="13"/>
  <c r="K15" i="13"/>
  <c r="J15" i="13"/>
  <c r="I15" i="13"/>
  <c r="H15" i="13"/>
  <c r="G15" i="13"/>
  <c r="F15" i="13"/>
  <c r="E15" i="13"/>
  <c r="D15" i="13"/>
  <c r="C15" i="13"/>
  <c r="B15" i="13"/>
  <c r="K14" i="13"/>
  <c r="J14" i="13"/>
  <c r="I14" i="13"/>
  <c r="H14" i="13"/>
  <c r="G14" i="13"/>
  <c r="F14" i="13"/>
  <c r="E14" i="13"/>
  <c r="D14" i="13"/>
  <c r="C14" i="13"/>
  <c r="B14" i="13"/>
  <c r="K13" i="13"/>
  <c r="J13" i="13"/>
  <c r="I13" i="13"/>
  <c r="H13" i="13"/>
  <c r="G13" i="13"/>
  <c r="F13" i="13"/>
  <c r="E13" i="13"/>
  <c r="D13" i="13"/>
  <c r="C13" i="13"/>
  <c r="B13" i="13"/>
  <c r="K12" i="13"/>
  <c r="J12" i="13"/>
  <c r="I12" i="13"/>
  <c r="H12" i="13"/>
  <c r="G12" i="13"/>
  <c r="F12" i="13"/>
  <c r="E12" i="13"/>
  <c r="D12" i="13"/>
  <c r="C12" i="13"/>
  <c r="B12" i="13"/>
  <c r="K11" i="13"/>
  <c r="J11" i="13"/>
  <c r="I11" i="13"/>
  <c r="H11" i="13"/>
  <c r="G11" i="13"/>
  <c r="F11" i="13"/>
  <c r="E11" i="13"/>
  <c r="D11" i="13"/>
  <c r="C11" i="13"/>
  <c r="B11" i="13"/>
  <c r="K10" i="13"/>
  <c r="J10" i="13"/>
  <c r="I10" i="13"/>
  <c r="H10" i="13"/>
  <c r="G10" i="13"/>
  <c r="F10" i="13"/>
  <c r="E10" i="13"/>
  <c r="D10" i="13"/>
  <c r="C10" i="13"/>
  <c r="B10" i="13"/>
  <c r="K9" i="13"/>
  <c r="J9" i="13"/>
  <c r="I9" i="13"/>
  <c r="H9" i="13"/>
  <c r="G9" i="13"/>
  <c r="F9" i="13"/>
  <c r="E9" i="13"/>
  <c r="D9" i="13"/>
  <c r="C9" i="13"/>
  <c r="B9" i="13"/>
  <c r="K8" i="13"/>
  <c r="J8" i="13"/>
  <c r="I8" i="13"/>
  <c r="H8" i="13"/>
  <c r="G8" i="13"/>
  <c r="F8" i="13"/>
  <c r="E8" i="13"/>
  <c r="D8" i="13"/>
  <c r="C8" i="13"/>
  <c r="B8" i="13"/>
  <c r="K7" i="13"/>
  <c r="J7" i="13"/>
  <c r="I7" i="13"/>
  <c r="H7" i="13"/>
  <c r="G7" i="13"/>
  <c r="F7" i="13"/>
  <c r="E7" i="13"/>
  <c r="D7" i="13"/>
  <c r="C7" i="13"/>
  <c r="B7" i="13"/>
  <c r="K6" i="13"/>
  <c r="J6" i="13"/>
  <c r="I6" i="13"/>
  <c r="H6" i="13"/>
  <c r="G6" i="13"/>
  <c r="F6" i="13"/>
  <c r="E6" i="13"/>
  <c r="D6" i="13"/>
  <c r="C6" i="13"/>
  <c r="B6" i="13"/>
  <c r="K5" i="13"/>
  <c r="J5" i="13"/>
  <c r="I5" i="13"/>
  <c r="H5" i="13"/>
  <c r="G5" i="13"/>
  <c r="F5" i="13"/>
  <c r="E5" i="13"/>
  <c r="D5" i="13"/>
  <c r="C5" i="13"/>
  <c r="B5" i="13"/>
  <c r="K4" i="13"/>
  <c r="J4" i="13"/>
  <c r="I4" i="13"/>
  <c r="H4" i="13"/>
  <c r="G4" i="13"/>
  <c r="F4" i="13"/>
  <c r="E4" i="13"/>
  <c r="D4" i="13"/>
  <c r="C4" i="13"/>
  <c r="B4" i="13"/>
  <c r="K4" i="27"/>
  <c r="J4" i="27"/>
  <c r="I4" i="27"/>
  <c r="H4" i="27"/>
  <c r="G4" i="27"/>
  <c r="F4" i="27"/>
  <c r="E4" i="27"/>
  <c r="D4" i="27"/>
  <c r="C4" i="27"/>
  <c r="B4" i="27"/>
  <c r="K3" i="27"/>
  <c r="J3" i="27"/>
  <c r="I3" i="27"/>
  <c r="H3" i="27"/>
  <c r="G3" i="27"/>
  <c r="F3" i="27"/>
  <c r="E3" i="27"/>
  <c r="D3" i="27"/>
  <c r="C3" i="27"/>
  <c r="B3" i="27"/>
  <c r="I20" i="22"/>
  <c r="F15" i="22"/>
  <c r="K57" i="1"/>
  <c r="J57" i="1"/>
  <c r="I57" i="1"/>
  <c r="H57" i="1"/>
  <c r="G57" i="1"/>
  <c r="F57" i="1"/>
  <c r="E57" i="1"/>
  <c r="D57" i="1"/>
  <c r="C57" i="1"/>
  <c r="B57" i="1"/>
  <c r="K55" i="1"/>
  <c r="J32" i="1"/>
  <c r="I32" i="1"/>
  <c r="I76" i="1" s="1"/>
  <c r="H32" i="1"/>
  <c r="G32" i="1"/>
  <c r="G76" i="1" s="1"/>
  <c r="F32" i="1"/>
  <c r="F76" i="1" s="1"/>
  <c r="E32" i="1"/>
  <c r="D32" i="1"/>
  <c r="C32" i="1"/>
  <c r="B32" i="1"/>
  <c r="B76" i="1" s="1"/>
  <c r="L31" i="1"/>
  <c r="K31" i="1"/>
  <c r="J31" i="1"/>
  <c r="I31" i="1"/>
  <c r="H31" i="1"/>
  <c r="G31" i="1"/>
  <c r="F31" i="1"/>
  <c r="E31" i="1"/>
  <c r="D31" i="1"/>
  <c r="C31" i="1"/>
  <c r="B31" i="1"/>
  <c r="K22" i="1"/>
  <c r="J22" i="1"/>
  <c r="I22" i="1"/>
  <c r="H22" i="1"/>
  <c r="G22" i="1"/>
  <c r="F22" i="1"/>
  <c r="E22" i="1"/>
  <c r="D22" i="1"/>
  <c r="C22" i="1"/>
  <c r="B22" i="1"/>
  <c r="K17" i="1"/>
  <c r="J17" i="1"/>
  <c r="I17" i="1"/>
  <c r="H17" i="1"/>
  <c r="G17" i="1"/>
  <c r="F17" i="1"/>
  <c r="E17" i="1"/>
  <c r="D17" i="1"/>
  <c r="C17" i="1"/>
  <c r="B17" i="1"/>
  <c r="K16" i="1"/>
  <c r="J16" i="1"/>
  <c r="I16" i="1"/>
  <c r="H16" i="1"/>
  <c r="G16" i="1"/>
  <c r="F16" i="1"/>
  <c r="E16" i="1"/>
  <c r="D16" i="1"/>
  <c r="C16" i="1"/>
  <c r="B16" i="1"/>
  <c r="K14" i="1"/>
  <c r="J14" i="1"/>
  <c r="I14" i="1"/>
  <c r="H14" i="1"/>
  <c r="G14" i="1"/>
  <c r="F14" i="1"/>
  <c r="E14" i="1"/>
  <c r="D14" i="1"/>
  <c r="C14" i="1"/>
  <c r="B14" i="1"/>
  <c r="K11" i="1"/>
  <c r="J11" i="1"/>
  <c r="I11" i="1"/>
  <c r="H11" i="1"/>
  <c r="G11" i="1"/>
  <c r="F11" i="1"/>
  <c r="E11" i="1"/>
  <c r="D11" i="1"/>
  <c r="C11" i="1"/>
  <c r="B11" i="1"/>
  <c r="K10" i="1"/>
  <c r="J10" i="1"/>
  <c r="I10" i="1"/>
  <c r="H10" i="1"/>
  <c r="G10" i="1"/>
  <c r="F10" i="1"/>
  <c r="E10" i="1"/>
  <c r="D10" i="1"/>
  <c r="C10" i="1"/>
  <c r="B10" i="1"/>
  <c r="K9" i="1"/>
  <c r="J9" i="1"/>
  <c r="I9" i="1"/>
  <c r="H9" i="1"/>
  <c r="G9" i="1"/>
  <c r="F9" i="1"/>
  <c r="E9" i="1"/>
  <c r="D9" i="1"/>
  <c r="C9" i="1"/>
  <c r="B9" i="1"/>
  <c r="K8" i="1"/>
  <c r="J8" i="1"/>
  <c r="I8" i="1"/>
  <c r="H8" i="1"/>
  <c r="G8" i="1"/>
  <c r="F8" i="1"/>
  <c r="E8" i="1"/>
  <c r="D8" i="1"/>
  <c r="C8" i="1"/>
  <c r="B8" i="1"/>
  <c r="K7" i="1"/>
  <c r="J7" i="1"/>
  <c r="I7" i="1"/>
  <c r="H7" i="1"/>
  <c r="G7" i="1"/>
  <c r="F7" i="1"/>
  <c r="E7" i="1"/>
  <c r="D7" i="1"/>
  <c r="C7" i="1"/>
  <c r="B7" i="1"/>
  <c r="K6" i="1"/>
  <c r="J6" i="1"/>
  <c r="I6" i="1"/>
  <c r="H6" i="1"/>
  <c r="G6" i="1"/>
  <c r="F6" i="1"/>
  <c r="E6" i="1"/>
  <c r="D6" i="1"/>
  <c r="C6" i="1"/>
  <c r="B6" i="1"/>
  <c r="J4" i="1"/>
  <c r="I4" i="1"/>
  <c r="I48" i="1" s="1"/>
  <c r="B4" i="1"/>
  <c r="K3" i="1"/>
  <c r="B4" i="8" s="1"/>
  <c r="E4" i="8" s="1"/>
  <c r="J3" i="1"/>
  <c r="E10" i="7" s="1"/>
  <c r="I3" i="1"/>
  <c r="D10" i="7" s="1"/>
  <c r="H3" i="1"/>
  <c r="C10" i="7" s="1"/>
  <c r="G3" i="1"/>
  <c r="B10" i="7" s="1"/>
  <c r="F3" i="1"/>
  <c r="E3" i="1"/>
  <c r="D3" i="1"/>
  <c r="C3" i="1"/>
  <c r="B3" i="1"/>
  <c r="A2" i="1"/>
  <c r="B3" i="8" s="1"/>
  <c r="E3" i="8" s="1"/>
  <c r="D6" i="20"/>
  <c r="B19" i="15"/>
  <c r="B11" i="15"/>
  <c r="B10" i="15"/>
  <c r="B9" i="15"/>
  <c r="D55" i="1" l="1"/>
  <c r="D76" i="1"/>
  <c r="H55" i="1"/>
  <c r="H76" i="1"/>
  <c r="E55" i="1"/>
  <c r="E76" i="1"/>
  <c r="J55" i="1"/>
  <c r="J76" i="1"/>
  <c r="C55" i="1"/>
  <c r="C76" i="1"/>
  <c r="D11" i="27"/>
  <c r="H11" i="27"/>
  <c r="F94" i="6"/>
  <c r="E5" i="1"/>
  <c r="L6" i="1"/>
  <c r="C94" i="6"/>
  <c r="G94" i="6"/>
  <c r="K94" i="6"/>
  <c r="L18" i="4"/>
  <c r="C16" i="2"/>
  <c r="I11" i="27"/>
  <c r="J94" i="6"/>
  <c r="I5" i="1"/>
  <c r="E11" i="27"/>
  <c r="J13" i="3"/>
  <c r="B29" i="1"/>
  <c r="B30" i="1" s="1"/>
  <c r="G5" i="3"/>
  <c r="B36" i="7"/>
  <c r="F36" i="7"/>
  <c r="C5" i="19"/>
  <c r="D94" i="6"/>
  <c r="H94" i="6"/>
  <c r="E94" i="6"/>
  <c r="I94" i="6"/>
  <c r="E37" i="7"/>
  <c r="D36" i="7"/>
  <c r="F29" i="1"/>
  <c r="F30" i="1" s="1"/>
  <c r="F5" i="1"/>
  <c r="J29" i="1"/>
  <c r="J30" i="1" s="1"/>
  <c r="J5" i="1"/>
  <c r="C29" i="1"/>
  <c r="C30" i="1" s="1"/>
  <c r="C5" i="1"/>
  <c r="G5" i="1"/>
  <c r="K29" i="1"/>
  <c r="K30" i="1" s="1"/>
  <c r="K5" i="1"/>
  <c r="D5" i="1"/>
  <c r="H29" i="1"/>
  <c r="H30" i="1" s="1"/>
  <c r="H5" i="1"/>
  <c r="E51" i="26"/>
  <c r="E29" i="1"/>
  <c r="E30" i="1" s="1"/>
  <c r="I51" i="26"/>
  <c r="I29" i="1"/>
  <c r="I30" i="1" s="1"/>
  <c r="G51" i="26"/>
  <c r="G29" i="1"/>
  <c r="G30" i="1" s="1"/>
  <c r="D33" i="1"/>
  <c r="D65" i="1" s="1"/>
  <c r="H33" i="1"/>
  <c r="H65" i="1" s="1"/>
  <c r="D51" i="26"/>
  <c r="D29" i="1"/>
  <c r="D30" i="1" s="1"/>
  <c r="B12" i="1"/>
  <c r="B51" i="26"/>
  <c r="F48" i="1"/>
  <c r="F54" i="1" s="1"/>
  <c r="F5" i="27" s="1"/>
  <c r="F51" i="26"/>
  <c r="J8" i="27"/>
  <c r="J7" i="27" s="1"/>
  <c r="J6" i="27" s="1"/>
  <c r="J51" i="26"/>
  <c r="C48" i="1"/>
  <c r="C54" i="1" s="1"/>
  <c r="C5" i="27" s="1"/>
  <c r="C51" i="26"/>
  <c r="C2" i="20"/>
  <c r="K51" i="26"/>
  <c r="H8" i="27"/>
  <c r="H7" i="27" s="1"/>
  <c r="H6" i="27" s="1"/>
  <c r="H51" i="26"/>
  <c r="E29" i="2"/>
  <c r="I29" i="2"/>
  <c r="L14" i="13"/>
  <c r="F5" i="3"/>
  <c r="J8" i="4"/>
  <c r="B29" i="2"/>
  <c r="F29" i="2"/>
  <c r="J29" i="2"/>
  <c r="B15" i="1"/>
  <c r="F15" i="1"/>
  <c r="J15" i="1"/>
  <c r="K13" i="3"/>
  <c r="C5" i="20"/>
  <c r="D5" i="20"/>
  <c r="C29" i="2"/>
  <c r="G29" i="2"/>
  <c r="K29" i="2"/>
  <c r="H13" i="21"/>
  <c r="C15" i="1"/>
  <c r="G15" i="1"/>
  <c r="K15" i="1"/>
  <c r="D29" i="2"/>
  <c r="H29" i="2"/>
  <c r="J5" i="3"/>
  <c r="H13" i="3"/>
  <c r="J23" i="2"/>
  <c r="B5" i="20"/>
  <c r="K24" i="2"/>
  <c r="B33" i="1"/>
  <c r="F33" i="1"/>
  <c r="J33" i="1"/>
  <c r="C36" i="7"/>
  <c r="K5" i="3"/>
  <c r="L14" i="1"/>
  <c r="L16" i="1"/>
  <c r="L17" i="1"/>
  <c r="E12" i="3"/>
  <c r="L6" i="4"/>
  <c r="J25" i="2"/>
  <c r="B16" i="2"/>
  <c r="F16" i="2"/>
  <c r="J16" i="2"/>
  <c r="I16" i="3"/>
  <c r="I23" i="2"/>
  <c r="E25" i="2"/>
  <c r="L10" i="2"/>
  <c r="B12" i="15"/>
  <c r="F13" i="22" s="1"/>
  <c r="F14" i="22" s="1"/>
  <c r="G12" i="1"/>
  <c r="C33" i="1"/>
  <c r="G33" i="1"/>
  <c r="K33" i="1"/>
  <c r="K48" i="1"/>
  <c r="K54" i="1" s="1"/>
  <c r="K50" i="1" s="1"/>
  <c r="E13" i="7"/>
  <c r="E14" i="7" s="1"/>
  <c r="I17" i="18"/>
  <c r="C20" i="18" s="1"/>
  <c r="K3" i="19" s="1"/>
  <c r="D17" i="3"/>
  <c r="J12" i="3"/>
  <c r="H16" i="3"/>
  <c r="G16" i="2"/>
  <c r="G36" i="18"/>
  <c r="G39" i="18" s="1"/>
  <c r="C7" i="17"/>
  <c r="E33" i="18"/>
  <c r="F12" i="1"/>
  <c r="E15" i="1"/>
  <c r="I15" i="1"/>
  <c r="G48" i="1"/>
  <c r="G54" i="1" s="1"/>
  <c r="G5" i="27" s="1"/>
  <c r="B8" i="27"/>
  <c r="B7" i="27" s="1"/>
  <c r="F13" i="9"/>
  <c r="E26" i="18"/>
  <c r="G26" i="18" s="1"/>
  <c r="L22" i="1"/>
  <c r="J16" i="3"/>
  <c r="J17" i="3"/>
  <c r="C25" i="2"/>
  <c r="G25" i="2"/>
  <c r="K25" i="2"/>
  <c r="C5" i="22" s="1"/>
  <c r="B39" i="1"/>
  <c r="B17" i="15" s="1"/>
  <c r="C8" i="27"/>
  <c r="C7" i="27" s="1"/>
  <c r="B7" i="7"/>
  <c r="E36" i="7"/>
  <c r="I13" i="3"/>
  <c r="I12" i="3"/>
  <c r="D25" i="2"/>
  <c r="H25" i="2"/>
  <c r="K16" i="2"/>
  <c r="J24" i="2"/>
  <c r="I12" i="1"/>
  <c r="I13" i="1" s="1"/>
  <c r="J12" i="1"/>
  <c r="J13" i="1" s="1"/>
  <c r="B48" i="1"/>
  <c r="B54" i="1" s="1"/>
  <c r="B5" i="27" s="1"/>
  <c r="M4" i="12"/>
  <c r="F17" i="3"/>
  <c r="B12" i="3"/>
  <c r="F12" i="3"/>
  <c r="L5" i="4"/>
  <c r="I25" i="2"/>
  <c r="C12" i="1"/>
  <c r="K12" i="1"/>
  <c r="K8" i="27"/>
  <c r="K7" i="27" s="1"/>
  <c r="K6" i="27" s="1"/>
  <c r="C37" i="7"/>
  <c r="D14" i="7"/>
  <c r="D15" i="7" s="1"/>
  <c r="K6" i="25"/>
  <c r="C4" i="21" s="1"/>
  <c r="C17" i="3"/>
  <c r="G17" i="3"/>
  <c r="K17" i="3"/>
  <c r="C12" i="3"/>
  <c r="K12" i="3"/>
  <c r="F25" i="2"/>
  <c r="D16" i="2"/>
  <c r="H16" i="2"/>
  <c r="E16" i="2"/>
  <c r="I16" i="2"/>
  <c r="I33" i="1"/>
  <c r="I65" i="1" s="1"/>
  <c r="B55" i="1"/>
  <c r="F55" i="1"/>
  <c r="D15" i="1"/>
  <c r="H15" i="1"/>
  <c r="B13" i="7"/>
  <c r="B14" i="7" s="1"/>
  <c r="F13" i="7"/>
  <c r="F14" i="7" s="1"/>
  <c r="E30" i="18"/>
  <c r="I7" i="18"/>
  <c r="D22" i="2"/>
  <c r="D8" i="4"/>
  <c r="D24" i="2"/>
  <c r="D8" i="27"/>
  <c r="D7" i="27" s="1"/>
  <c r="D48" i="1"/>
  <c r="D54" i="1" s="1"/>
  <c r="D12" i="1"/>
  <c r="H24" i="2"/>
  <c r="H8" i="4"/>
  <c r="H48" i="1"/>
  <c r="H54" i="1" s="1"/>
  <c r="H22" i="2"/>
  <c r="H12" i="1"/>
  <c r="H13" i="1" s="1"/>
  <c r="E33" i="1"/>
  <c r="E65" i="1" s="1"/>
  <c r="C9" i="19"/>
  <c r="B9" i="10"/>
  <c r="H12" i="3"/>
  <c r="E14" i="4"/>
  <c r="E13" i="4"/>
  <c r="E24" i="2"/>
  <c r="E22" i="2"/>
  <c r="E8" i="27"/>
  <c r="E7" i="27" s="1"/>
  <c r="E48" i="1"/>
  <c r="E54" i="1" s="1"/>
  <c r="E23" i="2"/>
  <c r="L7" i="4"/>
  <c r="I14" i="4"/>
  <c r="I13" i="4"/>
  <c r="D2" i="20"/>
  <c r="B22" i="2"/>
  <c r="B24" i="2"/>
  <c r="F23" i="2"/>
  <c r="F22" i="2"/>
  <c r="F24" i="2"/>
  <c r="E12" i="1"/>
  <c r="C39" i="1"/>
  <c r="F8" i="27"/>
  <c r="F7" i="27" s="1"/>
  <c r="F6" i="27" s="1"/>
  <c r="D37" i="7"/>
  <c r="G20" i="18"/>
  <c r="I20" i="18" s="1"/>
  <c r="C23" i="18" s="1"/>
  <c r="E23" i="18"/>
  <c r="C33" i="18"/>
  <c r="G16" i="3"/>
  <c r="K16" i="3"/>
  <c r="B11" i="4"/>
  <c r="B8" i="4"/>
  <c r="L4" i="4"/>
  <c r="F11" i="4"/>
  <c r="F8" i="4"/>
  <c r="J11" i="4"/>
  <c r="J11" i="27"/>
  <c r="E15" i="4"/>
  <c r="J22" i="2"/>
  <c r="H5" i="3"/>
  <c r="D12" i="3"/>
  <c r="I24" i="2"/>
  <c r="I22" i="2"/>
  <c r="I8" i="27"/>
  <c r="I7" i="27" s="1"/>
  <c r="I6" i="27" s="1"/>
  <c r="I54" i="1"/>
  <c r="G55" i="1"/>
  <c r="C14" i="7"/>
  <c r="F16" i="3"/>
  <c r="A2" i="2"/>
  <c r="A2" i="4" s="1"/>
  <c r="A1" i="3"/>
  <c r="B6" i="7"/>
  <c r="C24" i="2"/>
  <c r="C22" i="2"/>
  <c r="G22" i="2"/>
  <c r="G24" i="2"/>
  <c r="B2" i="20"/>
  <c r="E39" i="1"/>
  <c r="K22" i="2"/>
  <c r="D39" i="1"/>
  <c r="J48" i="1"/>
  <c r="J54" i="1" s="1"/>
  <c r="I55" i="1"/>
  <c r="G8" i="27"/>
  <c r="G7" i="27" s="1"/>
  <c r="G6" i="27" s="1"/>
  <c r="C6" i="19"/>
  <c r="F10" i="7"/>
  <c r="F37" i="7"/>
  <c r="L4" i="12"/>
  <c r="B10" i="12"/>
  <c r="B15" i="12" s="1"/>
  <c r="B8" i="10" s="1"/>
  <c r="G23" i="18"/>
  <c r="G12" i="3"/>
  <c r="G13" i="3"/>
  <c r="H17" i="3"/>
  <c r="C11" i="27"/>
  <c r="C11" i="4"/>
  <c r="C8" i="4"/>
  <c r="G11" i="4"/>
  <c r="G8" i="4"/>
  <c r="G11" i="27"/>
  <c r="K11" i="27"/>
  <c r="K11" i="4"/>
  <c r="K8" i="4"/>
  <c r="I15" i="4"/>
  <c r="D23" i="2"/>
  <c r="H23" i="2"/>
  <c r="B17" i="3"/>
  <c r="F13" i="3"/>
  <c r="L86" i="6"/>
  <c r="B23" i="2"/>
  <c r="B25" i="2"/>
  <c r="C23" i="2"/>
  <c r="G23" i="2"/>
  <c r="D8" i="20"/>
  <c r="B8" i="20"/>
  <c r="C8" i="20"/>
  <c r="K23" i="2"/>
  <c r="D15" i="4"/>
  <c r="D13" i="4"/>
  <c r="H15" i="4"/>
  <c r="H13" i="4"/>
  <c r="I17" i="3"/>
  <c r="I5" i="3"/>
  <c r="E8" i="4"/>
  <c r="I8" i="4"/>
  <c r="L15" i="1" l="1"/>
  <c r="L12" i="1"/>
  <c r="B65" i="1"/>
  <c r="K3" i="21"/>
  <c r="K3" i="22"/>
  <c r="C7" i="22" s="1"/>
  <c r="C65" i="1"/>
  <c r="D17" i="7"/>
  <c r="K65" i="1"/>
  <c r="J65" i="1"/>
  <c r="G65" i="1"/>
  <c r="L16" i="2"/>
  <c r="F65" i="1"/>
  <c r="E28" i="2"/>
  <c r="E13" i="1"/>
  <c r="D28" i="2"/>
  <c r="D13" i="1"/>
  <c r="F27" i="2"/>
  <c r="F13" i="1"/>
  <c r="C27" i="2"/>
  <c r="C13" i="1"/>
  <c r="L13" i="1"/>
  <c r="H19" i="21" s="1"/>
  <c r="K19" i="1"/>
  <c r="K67" i="1" s="1"/>
  <c r="K13" i="1"/>
  <c r="G19" i="21" s="1"/>
  <c r="G19" i="1"/>
  <c r="G21" i="1" s="1"/>
  <c r="G13" i="1"/>
  <c r="C19" i="21" s="1"/>
  <c r="B69" i="1"/>
  <c r="B13" i="1"/>
  <c r="K5" i="27"/>
  <c r="K27" i="2"/>
  <c r="B19" i="1"/>
  <c r="B21" i="1" s="1"/>
  <c r="B27" i="2"/>
  <c r="K69" i="1"/>
  <c r="J49" i="1"/>
  <c r="J52" i="26"/>
  <c r="G49" i="1"/>
  <c r="G52" i="26"/>
  <c r="I49" i="1"/>
  <c r="I52" i="26"/>
  <c r="C49" i="1"/>
  <c r="C52" i="26"/>
  <c r="E49" i="1"/>
  <c r="E52" i="26"/>
  <c r="H49" i="1"/>
  <c r="H52" i="26"/>
  <c r="D49" i="1"/>
  <c r="D52" i="26"/>
  <c r="F49" i="1"/>
  <c r="F52" i="26"/>
  <c r="K49" i="1"/>
  <c r="K52" i="26"/>
  <c r="D27" i="2"/>
  <c r="D3" i="20"/>
  <c r="K28" i="2"/>
  <c r="C10" i="21"/>
  <c r="I69" i="1"/>
  <c r="I28" i="2"/>
  <c r="C3" i="20"/>
  <c r="F28" i="2"/>
  <c r="G28" i="2"/>
  <c r="L29" i="2"/>
  <c r="C19" i="1"/>
  <c r="C67" i="1" s="1"/>
  <c r="C28" i="2"/>
  <c r="L69" i="1"/>
  <c r="B28" i="2"/>
  <c r="H27" i="2"/>
  <c r="H28" i="2"/>
  <c r="J27" i="2"/>
  <c r="J28" i="2"/>
  <c r="L19" i="1"/>
  <c r="L67" i="1" s="1"/>
  <c r="E15" i="7"/>
  <c r="E17" i="7"/>
  <c r="C39" i="7"/>
  <c r="C40" i="7" s="1"/>
  <c r="C19" i="7" s="1"/>
  <c r="B3" i="20"/>
  <c r="G69" i="1"/>
  <c r="E27" i="2"/>
  <c r="C69" i="1"/>
  <c r="F19" i="21"/>
  <c r="G27" i="2"/>
  <c r="G33" i="18"/>
  <c r="I39" i="18" s="1"/>
  <c r="E19" i="21"/>
  <c r="B13" i="15"/>
  <c r="C9" i="21" s="1"/>
  <c r="D39" i="7"/>
  <c r="D40" i="7" s="1"/>
  <c r="D19" i="7" s="1"/>
  <c r="D20" i="7" s="1"/>
  <c r="I19" i="1"/>
  <c r="I18" i="1" s="1"/>
  <c r="E39" i="7"/>
  <c r="E40" i="7" s="1"/>
  <c r="E19" i="7" s="1"/>
  <c r="F69" i="1"/>
  <c r="F19" i="1"/>
  <c r="F14" i="9" s="1"/>
  <c r="I27" i="2"/>
  <c r="B20" i="15"/>
  <c r="I23" i="18"/>
  <c r="I6" i="18" s="1"/>
  <c r="F39" i="7"/>
  <c r="F40" i="7" s="1"/>
  <c r="F19" i="7" s="1"/>
  <c r="B39" i="7"/>
  <c r="B40" i="7" s="1"/>
  <c r="B19" i="7" s="1"/>
  <c r="J69" i="1"/>
  <c r="J19" i="1"/>
  <c r="C30" i="18"/>
  <c r="G30" i="18" s="1"/>
  <c r="J14" i="4"/>
  <c r="J13" i="4"/>
  <c r="J15" i="4"/>
  <c r="G15" i="4"/>
  <c r="G14" i="4"/>
  <c r="G13" i="4"/>
  <c r="E19" i="1"/>
  <c r="E69" i="1"/>
  <c r="H5" i="27"/>
  <c r="D69" i="1"/>
  <c r="D19" i="1"/>
  <c r="C40" i="1" s="1"/>
  <c r="B17" i="7"/>
  <c r="B15" i="7"/>
  <c r="E5" i="27"/>
  <c r="F17" i="7"/>
  <c r="F15" i="7"/>
  <c r="H69" i="1"/>
  <c r="H19" i="1"/>
  <c r="D19" i="21"/>
  <c r="D5" i="27"/>
  <c r="H6" i="19"/>
  <c r="F15" i="9"/>
  <c r="K13" i="4"/>
  <c r="K15" i="4"/>
  <c r="K14" i="4"/>
  <c r="C15" i="4"/>
  <c r="C14" i="4"/>
  <c r="C13" i="4"/>
  <c r="I5" i="27"/>
  <c r="K21" i="1"/>
  <c r="J5" i="27"/>
  <c r="C17" i="7"/>
  <c r="C15" i="7"/>
  <c r="F14" i="4"/>
  <c r="F13" i="4"/>
  <c r="F15" i="4"/>
  <c r="B14" i="4"/>
  <c r="L11" i="4"/>
  <c r="B15" i="4"/>
  <c r="B13" i="4"/>
  <c r="G23" i="1" l="1"/>
  <c r="K23" i="1"/>
  <c r="K20" i="1"/>
  <c r="L18" i="1"/>
  <c r="K18" i="1"/>
  <c r="I10" i="18"/>
  <c r="G18" i="1"/>
  <c r="G67" i="1"/>
  <c r="E20" i="7"/>
  <c r="B40" i="1"/>
  <c r="B18" i="15" s="1"/>
  <c r="B18" i="1"/>
  <c r="B67" i="1"/>
  <c r="I21" i="1"/>
  <c r="C21" i="1"/>
  <c r="B23" i="1"/>
  <c r="D40" i="1"/>
  <c r="L15" i="4"/>
  <c r="M15" i="4" s="1"/>
  <c r="C20" i="7"/>
  <c r="C23" i="1"/>
  <c r="L21" i="1"/>
  <c r="L23" i="1"/>
  <c r="L59" i="1" s="1"/>
  <c r="C18" i="1"/>
  <c r="C20" i="1"/>
  <c r="F20" i="7"/>
  <c r="I13" i="7" s="1"/>
  <c r="K13" i="7" s="1"/>
  <c r="L13" i="7" s="1"/>
  <c r="I67" i="1"/>
  <c r="I23" i="1"/>
  <c r="I34" i="1" s="1"/>
  <c r="F23" i="1"/>
  <c r="B8" i="8" s="1"/>
  <c r="F21" i="1"/>
  <c r="F18" i="1"/>
  <c r="F67" i="1"/>
  <c r="B20" i="7"/>
  <c r="G20" i="1"/>
  <c r="J20" i="1"/>
  <c r="J67" i="1"/>
  <c r="J21" i="1"/>
  <c r="J23" i="1"/>
  <c r="J18" i="1"/>
  <c r="G26" i="2"/>
  <c r="G59" i="1"/>
  <c r="G34" i="1"/>
  <c r="G26" i="1"/>
  <c r="G25" i="1"/>
  <c r="G9" i="4"/>
  <c r="G73" i="1"/>
  <c r="H23" i="1"/>
  <c r="H18" i="1"/>
  <c r="H21" i="1"/>
  <c r="H20" i="1"/>
  <c r="H67" i="1"/>
  <c r="D23" i="1"/>
  <c r="D18" i="1"/>
  <c r="D67" i="1"/>
  <c r="D21" i="1"/>
  <c r="D20" i="1"/>
  <c r="E40" i="1"/>
  <c r="I20" i="1"/>
  <c r="E20" i="1"/>
  <c r="E21" i="1"/>
  <c r="E23" i="1"/>
  <c r="E18" i="1"/>
  <c r="E67" i="1"/>
  <c r="F20" i="1"/>
  <c r="C39" i="18"/>
  <c r="I8" i="18"/>
  <c r="E39" i="18"/>
  <c r="I9" i="18" s="1"/>
  <c r="B4" i="11"/>
  <c r="B14" i="11" s="1"/>
  <c r="H12" i="21"/>
  <c r="J8" i="9"/>
  <c r="C8" i="22"/>
  <c r="I19" i="22"/>
  <c r="C4" i="22" s="1"/>
  <c r="C8" i="9"/>
  <c r="K59" i="1"/>
  <c r="K26" i="1"/>
  <c r="K25" i="1"/>
  <c r="G20" i="21" s="1"/>
  <c r="K26" i="2"/>
  <c r="K6" i="12" s="1"/>
  <c r="K34" i="1"/>
  <c r="K73" i="1"/>
  <c r="K9" i="4"/>
  <c r="K24" i="1" l="1"/>
  <c r="J73" i="1"/>
  <c r="L61" i="1"/>
  <c r="D22" i="29"/>
  <c r="D23" i="29"/>
  <c r="L25" i="1"/>
  <c r="H20" i="21" s="1"/>
  <c r="I11" i="7"/>
  <c r="K11" i="7" s="1"/>
  <c r="L11" i="7" s="1"/>
  <c r="G62" i="1"/>
  <c r="G63" i="1" s="1"/>
  <c r="K62" i="1"/>
  <c r="K63" i="1" s="1"/>
  <c r="I73" i="1"/>
  <c r="B23" i="15"/>
  <c r="C11" i="19" s="1"/>
  <c r="C3" i="19" s="1"/>
  <c r="E41" i="1"/>
  <c r="L26" i="1"/>
  <c r="L28" i="1" s="1"/>
  <c r="L71" i="1" s="1"/>
  <c r="C24" i="1"/>
  <c r="L60" i="1"/>
  <c r="L62" i="1"/>
  <c r="L63" i="1" s="1"/>
  <c r="I25" i="1"/>
  <c r="I56" i="1" s="1"/>
  <c r="I50" i="1" s="1"/>
  <c r="B9" i="4"/>
  <c r="B34" i="1"/>
  <c r="B26" i="1"/>
  <c r="B28" i="1" s="1"/>
  <c r="B71" i="1" s="1"/>
  <c r="B72" i="1" s="1"/>
  <c r="B25" i="1"/>
  <c r="B56" i="1" s="1"/>
  <c r="B50" i="1" s="1"/>
  <c r="B73" i="1"/>
  <c r="D7" i="20" s="1"/>
  <c r="B59" i="1"/>
  <c r="B62" i="1" s="1"/>
  <c r="B63" i="1" s="1"/>
  <c r="B26" i="2"/>
  <c r="B6" i="12" s="1"/>
  <c r="C59" i="1"/>
  <c r="C25" i="1"/>
  <c r="C56" i="1" s="1"/>
  <c r="C50" i="1" s="1"/>
  <c r="E8" i="8"/>
  <c r="D41" i="1"/>
  <c r="G24" i="1"/>
  <c r="C73" i="1"/>
  <c r="C26" i="1"/>
  <c r="C34" i="1"/>
  <c r="C26" i="2"/>
  <c r="C6" i="12" s="1"/>
  <c r="C9" i="4"/>
  <c r="I12" i="7"/>
  <c r="K12" i="7" s="1"/>
  <c r="B4" i="10" s="1"/>
  <c r="I26" i="2"/>
  <c r="I6" i="12" s="1"/>
  <c r="I26" i="1"/>
  <c r="I28" i="1" s="1"/>
  <c r="I9" i="4"/>
  <c r="I59" i="1"/>
  <c r="I11" i="26" s="1"/>
  <c r="I12" i="26" s="1"/>
  <c r="I24" i="1"/>
  <c r="B41" i="1"/>
  <c r="F26" i="2"/>
  <c r="F6" i="12" s="1"/>
  <c r="F73" i="1"/>
  <c r="C7" i="20" s="1"/>
  <c r="F9" i="4"/>
  <c r="F59" i="1"/>
  <c r="F26" i="1"/>
  <c r="F25" i="1"/>
  <c r="F56" i="1" s="1"/>
  <c r="F50" i="1" s="1"/>
  <c r="F34" i="1"/>
  <c r="J9" i="4"/>
  <c r="J26" i="2"/>
  <c r="J6" i="12" s="1"/>
  <c r="J25" i="1"/>
  <c r="J24" i="1"/>
  <c r="J59" i="1"/>
  <c r="J34" i="1"/>
  <c r="J26" i="1"/>
  <c r="J28" i="1" s="1"/>
  <c r="J71" i="1" s="1"/>
  <c r="C41" i="1"/>
  <c r="D34" i="1"/>
  <c r="D25" i="1"/>
  <c r="D56" i="1" s="1"/>
  <c r="D50" i="1" s="1"/>
  <c r="D9" i="4"/>
  <c r="D73" i="1"/>
  <c r="D59" i="1"/>
  <c r="D26" i="1"/>
  <c r="D24" i="1"/>
  <c r="D26" i="2"/>
  <c r="D6" i="12" s="1"/>
  <c r="G11" i="26"/>
  <c r="G12" i="26" s="1"/>
  <c r="G60" i="1"/>
  <c r="K8" i="9"/>
  <c r="J9" i="9"/>
  <c r="K28" i="1"/>
  <c r="K71" i="1" s="1"/>
  <c r="K72" i="1" s="1"/>
  <c r="I13" i="19" s="1"/>
  <c r="D8" i="9"/>
  <c r="C9" i="9"/>
  <c r="C5" i="21"/>
  <c r="C7" i="21"/>
  <c r="H34" i="1"/>
  <c r="H25" i="1"/>
  <c r="H73" i="1"/>
  <c r="B7" i="20" s="1"/>
  <c r="H59" i="1"/>
  <c r="H26" i="1"/>
  <c r="H24" i="1"/>
  <c r="H26" i="2"/>
  <c r="H6" i="12" s="1"/>
  <c r="H9" i="4"/>
  <c r="C20" i="21"/>
  <c r="G56" i="1"/>
  <c r="G50" i="1" s="1"/>
  <c r="G6" i="12"/>
  <c r="K11" i="26"/>
  <c r="K60" i="1"/>
  <c r="D14" i="11"/>
  <c r="B15" i="11"/>
  <c r="K39" i="18"/>
  <c r="E59" i="1"/>
  <c r="E26" i="1"/>
  <c r="E9" i="4"/>
  <c r="E34" i="1"/>
  <c r="E24" i="1"/>
  <c r="E25" i="1"/>
  <c r="E56" i="1" s="1"/>
  <c r="E50" i="1" s="1"/>
  <c r="E73" i="1"/>
  <c r="E26" i="2"/>
  <c r="E6" i="12" s="1"/>
  <c r="F24" i="1"/>
  <c r="G28" i="1"/>
  <c r="B6" i="8"/>
  <c r="G64" i="1" l="1"/>
  <c r="C48" i="29"/>
  <c r="C52" i="29" s="1"/>
  <c r="E94" i="29" s="1"/>
  <c r="C105" i="29" s="1"/>
  <c r="D105" i="29" s="1"/>
  <c r="E105" i="29" s="1"/>
  <c r="F105" i="29" s="1"/>
  <c r="G105" i="29" s="1"/>
  <c r="H105" i="29" s="1"/>
  <c r="F28" i="1"/>
  <c r="F71" i="1" s="1"/>
  <c r="F72" i="1" s="1"/>
  <c r="E36" i="29"/>
  <c r="D89" i="29" s="1"/>
  <c r="L64" i="1"/>
  <c r="D85" i="29"/>
  <c r="D4" i="20"/>
  <c r="K64" i="1"/>
  <c r="K15" i="7"/>
  <c r="J62" i="1"/>
  <c r="J63" i="1" s="1"/>
  <c r="J61" i="1"/>
  <c r="F62" i="1"/>
  <c r="F63" i="1" s="1"/>
  <c r="F61" i="1"/>
  <c r="C62" i="1"/>
  <c r="C63" i="1" s="1"/>
  <c r="C61" i="1"/>
  <c r="K61" i="1"/>
  <c r="H62" i="1"/>
  <c r="H63" i="1" s="1"/>
  <c r="H61" i="1"/>
  <c r="I61" i="1"/>
  <c r="G61" i="1"/>
  <c r="E62" i="1"/>
  <c r="E63" i="1" s="1"/>
  <c r="E61" i="1"/>
  <c r="D62" i="1"/>
  <c r="D63" i="1" s="1"/>
  <c r="D61" i="1"/>
  <c r="C60" i="1"/>
  <c r="E20" i="21"/>
  <c r="C11" i="26"/>
  <c r="C12" i="26" s="1"/>
  <c r="I60" i="1"/>
  <c r="I62" i="1"/>
  <c r="I63" i="1" s="1"/>
  <c r="I64" i="1" s="1"/>
  <c r="C27" i="1"/>
  <c r="C23" i="21" s="1"/>
  <c r="B11" i="26"/>
  <c r="B12" i="26" s="1"/>
  <c r="B60" i="1"/>
  <c r="B64" i="1" s="1"/>
  <c r="J27" i="1"/>
  <c r="J23" i="21" s="1"/>
  <c r="C28" i="1"/>
  <c r="C71" i="1" s="1"/>
  <c r="G27" i="1"/>
  <c r="G23" i="21" s="1"/>
  <c r="L12" i="7"/>
  <c r="K27" i="1"/>
  <c r="K23" i="21" s="1"/>
  <c r="B21" i="15"/>
  <c r="C47" i="29" s="1"/>
  <c r="C51" i="29" s="1"/>
  <c r="B35" i="1"/>
  <c r="B10" i="10" s="1"/>
  <c r="J72" i="1"/>
  <c r="J56" i="1"/>
  <c r="J50" i="1" s="1"/>
  <c r="F20" i="21"/>
  <c r="J60" i="1"/>
  <c r="J11" i="26"/>
  <c r="J12" i="26" s="1"/>
  <c r="F11" i="26"/>
  <c r="F12" i="26" s="1"/>
  <c r="F60" i="1"/>
  <c r="C4" i="20"/>
  <c r="I11" i="18"/>
  <c r="H11" i="26"/>
  <c r="H12" i="26" s="1"/>
  <c r="H60" i="1"/>
  <c r="B4" i="20"/>
  <c r="D15" i="11"/>
  <c r="B16" i="11"/>
  <c r="H56" i="1"/>
  <c r="H50" i="1" s="1"/>
  <c r="D20" i="21"/>
  <c r="I71" i="1"/>
  <c r="I72" i="1" s="1"/>
  <c r="E42" i="1"/>
  <c r="G71" i="1"/>
  <c r="G72" i="1" s="1"/>
  <c r="E11" i="26"/>
  <c r="E12" i="26" s="1"/>
  <c r="E60" i="1"/>
  <c r="E64" i="1" s="1"/>
  <c r="K14" i="26"/>
  <c r="K12" i="26"/>
  <c r="D11" i="26"/>
  <c r="D12" i="26" s="1"/>
  <c r="D60" i="1"/>
  <c r="B10" i="8"/>
  <c r="B6" i="10" s="1"/>
  <c r="C8" i="19" s="1"/>
  <c r="E6" i="8"/>
  <c r="E10" i="8" s="1"/>
  <c r="C6" i="10" s="1"/>
  <c r="E27" i="1"/>
  <c r="E23" i="21" s="1"/>
  <c r="E28" i="1"/>
  <c r="F27" i="1"/>
  <c r="F23" i="21" s="1"/>
  <c r="H27" i="1"/>
  <c r="H23" i="21" s="1"/>
  <c r="H28" i="1"/>
  <c r="H71" i="1" s="1"/>
  <c r="H72" i="1" s="1"/>
  <c r="C10" i="9"/>
  <c r="D9" i="9"/>
  <c r="K9" i="9"/>
  <c r="J10" i="9"/>
  <c r="D28" i="1"/>
  <c r="D71" i="1" s="1"/>
  <c r="D72" i="1" s="1"/>
  <c r="D27" i="1"/>
  <c r="D23" i="21" s="1"/>
  <c r="I27" i="1"/>
  <c r="I23" i="21" s="1"/>
  <c r="D64" i="1" l="1"/>
  <c r="D91" i="29"/>
  <c r="D92" i="29" s="1"/>
  <c r="C64" i="1"/>
  <c r="J64" i="1"/>
  <c r="F64" i="1"/>
  <c r="H64" i="1"/>
  <c r="M61" i="1"/>
  <c r="B26" i="21"/>
  <c r="L23" i="21"/>
  <c r="B42" i="1"/>
  <c r="L12" i="26"/>
  <c r="D42" i="1"/>
  <c r="C72" i="1"/>
  <c r="C11" i="9"/>
  <c r="D10" i="9"/>
  <c r="K10" i="9"/>
  <c r="J11" i="9"/>
  <c r="E71" i="1"/>
  <c r="E72" i="1" s="1"/>
  <c r="C42" i="1"/>
  <c r="B22" i="15"/>
  <c r="D16" i="11"/>
  <c r="B17" i="11"/>
  <c r="C104" i="29" l="1"/>
  <c r="D104" i="29" s="1"/>
  <c r="E104" i="29" s="1"/>
  <c r="F104" i="29" s="1"/>
  <c r="G104" i="29" s="1"/>
  <c r="H104" i="29" s="1"/>
  <c r="C99" i="29"/>
  <c r="C106" i="29"/>
  <c r="C98" i="29"/>
  <c r="D98" i="29" s="1"/>
  <c r="E98" i="29" s="1"/>
  <c r="F98" i="29" s="1"/>
  <c r="D11" i="9"/>
  <c r="C12" i="9"/>
  <c r="B18" i="11"/>
  <c r="D17" i="11"/>
  <c r="K11" i="9"/>
  <c r="J12" i="9"/>
  <c r="M70" i="1"/>
  <c r="I12" i="19" s="1"/>
  <c r="C107" i="29" l="1"/>
  <c r="C110" i="29" s="1"/>
  <c r="D106" i="29"/>
  <c r="D99" i="29"/>
  <c r="C100" i="29"/>
  <c r="E116" i="29"/>
  <c r="F120" i="29" s="1"/>
  <c r="J13" i="9"/>
  <c r="K12" i="9"/>
  <c r="C13" i="9"/>
  <c r="D12" i="9"/>
  <c r="B19" i="11"/>
  <c r="D18" i="11"/>
  <c r="E99" i="29" l="1"/>
  <c r="D100" i="29"/>
  <c r="D107" i="29"/>
  <c r="D110" i="29" s="1"/>
  <c r="E106" i="29"/>
  <c r="D13" i="9"/>
  <c r="C14" i="9"/>
  <c r="D19" i="11"/>
  <c r="B20" i="11"/>
  <c r="J14" i="9"/>
  <c r="K13" i="9"/>
  <c r="E100" i="29" l="1"/>
  <c r="F99" i="29"/>
  <c r="F100" i="29" s="1"/>
  <c r="E107" i="29"/>
  <c r="E110" i="29" s="1"/>
  <c r="F106" i="29"/>
  <c r="J15" i="9"/>
  <c r="K14" i="9"/>
  <c r="D20" i="11"/>
  <c r="B21" i="11"/>
  <c r="C15" i="9"/>
  <c r="D14" i="9"/>
  <c r="F118" i="29" l="1"/>
  <c r="F107" i="29"/>
  <c r="F110" i="29" s="1"/>
  <c r="G106" i="29"/>
  <c r="B22" i="11"/>
  <c r="D21" i="11"/>
  <c r="C16" i="9"/>
  <c r="D15" i="9"/>
  <c r="J16" i="9"/>
  <c r="K15" i="9"/>
  <c r="H106" i="29" l="1"/>
  <c r="H107" i="29" s="1"/>
  <c r="H110" i="29" s="1"/>
  <c r="G107" i="29"/>
  <c r="G110" i="29" s="1"/>
  <c r="D16" i="9"/>
  <c r="C17" i="9"/>
  <c r="K16" i="9"/>
  <c r="J17" i="9"/>
  <c r="B23" i="11"/>
  <c r="D22" i="11"/>
  <c r="F119" i="29" l="1"/>
  <c r="F121" i="29" s="1"/>
  <c r="J18" i="9"/>
  <c r="K18" i="9" s="1"/>
  <c r="K17" i="9"/>
  <c r="D17" i="9"/>
  <c r="C18" i="9"/>
  <c r="D18" i="9" s="1"/>
  <c r="D23" i="11"/>
  <c r="B27" i="11" s="1"/>
  <c r="B26" i="11"/>
  <c r="B28" i="11" s="1"/>
  <c r="D19" i="9" l="1"/>
  <c r="B5" i="10" s="1"/>
  <c r="B29" i="11"/>
  <c r="E4" i="11" s="1"/>
  <c r="E6" i="11" s="1"/>
  <c r="K19" i="9"/>
  <c r="C5" i="10" s="1"/>
  <c r="D21" i="9"/>
  <c r="B7" i="10" l="1"/>
  <c r="C7" i="19" s="1"/>
  <c r="K2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A5" authorId="0" shapeId="0" xr:uid="{2B86F004-D2E7-414D-AEAA-B43CB8BF2DF0}">
      <text>
        <r>
          <rPr>
            <b/>
            <sz val="9"/>
            <color indexed="81"/>
            <rFont val="Tahoma"/>
            <family val="2"/>
          </rPr>
          <t xml:space="preserve">Vishal: </t>
        </r>
        <r>
          <rPr>
            <sz val="9"/>
            <color indexed="81"/>
            <rFont val="Tahoma"/>
            <family val="2"/>
          </rPr>
          <t>Check for sales growth. If a business is not growing for a few years, or growing slower than the industry and peers, you may give it a pass.</t>
        </r>
      </text>
    </comment>
    <comment ref="A18" authorId="0" shapeId="0" xr:uid="{01A3225E-3E5A-43FF-B83F-84DD88670B4A}">
      <text>
        <r>
          <rPr>
            <b/>
            <sz val="9"/>
            <color indexed="81"/>
            <rFont val="Tahoma"/>
            <family val="2"/>
          </rPr>
          <t xml:space="preserve">Vishal: </t>
        </r>
        <r>
          <rPr>
            <sz val="9"/>
            <color indexed="81"/>
            <rFont val="Tahoma"/>
            <family val="2"/>
          </rPr>
          <t>Check this number especially for firms with debt. It shows the safety of interest payments, and whether the firm has enough profits to pay the same.</t>
        </r>
      </text>
    </comment>
    <comment ref="A21" authorId="0" shapeId="0" xr:uid="{CD4C2DF3-DDFD-4E40-85A1-AA2D4EA191EF}">
      <text>
        <r>
          <rPr>
            <b/>
            <sz val="9"/>
            <color indexed="81"/>
            <rFont val="Tahoma"/>
            <family val="2"/>
          </rPr>
          <t xml:space="preserve">Vishal: </t>
        </r>
        <r>
          <rPr>
            <sz val="9"/>
            <color indexed="81"/>
            <rFont val="Tahoma"/>
            <family val="2"/>
          </rPr>
          <t xml:space="preserve">Important profitability number. Better than Operating Margin. Check out changes in the same over years, and explore reasons for the same. Falling/rising PBT margin may indicate narrowing/expanding moat.
</t>
        </r>
      </text>
    </comment>
    <comment ref="A27" authorId="0" shapeId="0" xr:uid="{326EFA96-0A48-41A1-9BB5-FC5F20E47636}">
      <text>
        <r>
          <rPr>
            <b/>
            <sz val="9"/>
            <color indexed="81"/>
            <rFont val="Tahoma"/>
            <family val="2"/>
          </rPr>
          <t xml:space="preserve">Vishal: </t>
        </r>
        <r>
          <rPr>
            <sz val="9"/>
            <color indexed="81"/>
            <rFont val="Tahoma"/>
            <family val="2"/>
          </rPr>
          <t xml:space="preserve">Better growth number than Net profit growth, because EPS is adjusted for any dilution etc. Seek gradual growth in this number, and be careful of a declining number.
</t>
        </r>
      </text>
    </comment>
    <comment ref="A28" authorId="0" shapeId="0" xr:uid="{052726BD-CDAC-4AA8-838E-BF0BC24D9344}">
      <text>
        <r>
          <rPr>
            <b/>
            <sz val="9"/>
            <color indexed="81"/>
            <rFont val="Tahoma"/>
            <family val="2"/>
          </rPr>
          <t xml:space="preserve">Vishal: </t>
        </r>
        <r>
          <rPr>
            <sz val="9"/>
            <color indexed="81"/>
            <rFont val="Tahoma"/>
            <family val="2"/>
          </rPr>
          <t>Suggests the attractiveness of a firm in the eyes of Mr. Market. Lower P/Es reflect lower attractivenss, and higher reflect higher attractiveness. However, P/Es in isolation tell nothing about the quality of the business, especially when you are looking at short term numbers.</t>
        </r>
      </text>
    </comment>
    <comment ref="A35" authorId="0" shapeId="0" xr:uid="{16417B2D-B9A9-44A5-AF86-1E209B196DB5}">
      <text>
        <r>
          <rPr>
            <b/>
            <sz val="9"/>
            <color indexed="81"/>
            <rFont val="Tahoma"/>
            <family val="2"/>
          </rPr>
          <t xml:space="preserve">Vishal: </t>
        </r>
        <r>
          <rPr>
            <sz val="9"/>
            <color indexed="81"/>
            <rFont val="Tahoma"/>
            <family val="2"/>
          </rPr>
          <t xml:space="preserve">This number shows how much wealth the business has created for shareholders (excluding dividends) for every Rupee it has retained over years. 
This idea is from Warren Buffett who wrote this in his 1984 letter – </t>
        </r>
        <r>
          <rPr>
            <i/>
            <sz val="9"/>
            <color indexed="81"/>
            <rFont val="Tahoma"/>
            <family val="2"/>
          </rPr>
          <t>“For a number of reasons managers like to withhold unrestricted readily distributable earnings from shareholders – to expand the corporate empire over which the managers rule, to operate from a position of exceptional financial comfort, etc. But we believe there is only one valid reason for retention. Unrestricted earnings should be retained only when there is a reasonable prospect – backed preferably by historical evidence or, when appropriate, by a thoughtful analysis of the future – that for every dollar retained by the corporation, at least one dollar of market value will be created for owners. This will happen only if the capital retained produces incremental earnings equal to, or above, those generally available to investors.”</t>
        </r>
        <r>
          <rPr>
            <sz val="9"/>
            <color indexed="81"/>
            <rFont val="Tahoma"/>
            <family val="2"/>
          </rPr>
          <t xml:space="preserve">
</t>
        </r>
        <r>
          <rPr>
            <b/>
            <sz val="9"/>
            <color indexed="81"/>
            <rFont val="Tahoma"/>
            <family val="2"/>
          </rPr>
          <t xml:space="preserve">Formula is - Change in Market Cap over, say, 10 years </t>
        </r>
        <r>
          <rPr>
            <b/>
            <i/>
            <sz val="9"/>
            <color indexed="81"/>
            <rFont val="Tahoma"/>
            <family val="2"/>
          </rPr>
          <t>Divided By</t>
        </r>
        <r>
          <rPr>
            <b/>
            <sz val="9"/>
            <color indexed="81"/>
            <rFont val="Tahoma"/>
            <family val="2"/>
          </rPr>
          <t xml:space="preserve"> Total Retained Earnings during the same period
</t>
        </r>
        <r>
          <rPr>
            <sz val="9"/>
            <color indexed="81"/>
            <rFont val="Tahoma"/>
            <family val="2"/>
          </rPr>
          <t xml:space="preserve">Here, Retained Earnings = Net Profit </t>
        </r>
        <r>
          <rPr>
            <i/>
            <sz val="9"/>
            <color indexed="81"/>
            <rFont val="Tahoma"/>
            <family val="2"/>
          </rPr>
          <t>minus</t>
        </r>
        <r>
          <rPr>
            <sz val="9"/>
            <color indexed="81"/>
            <rFont val="Tahoma"/>
            <family val="2"/>
          </rPr>
          <t xml:space="preserve"> Dividend paid
Bigger the number, more wealth has been created by the business for every Rupee retained, which is good.</t>
        </r>
      </text>
    </comment>
    <comment ref="A49" authorId="0" shapeId="0" xr:uid="{A64FCC5E-8522-4356-AE2A-5BADCD50D983}">
      <text>
        <r>
          <rPr>
            <b/>
            <sz val="9"/>
            <color indexed="81"/>
            <rFont val="Tahoma"/>
            <family val="2"/>
          </rPr>
          <t xml:space="preserve">Vishal: </t>
        </r>
        <r>
          <rPr>
            <sz val="9"/>
            <color indexed="81"/>
            <rFont val="Tahoma"/>
            <family val="2"/>
          </rPr>
          <t>Check for sales growth. If a business is not growing for a few years, or growing slower than the industry and peers, you may give it a pass.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K15" authorId="0" shapeId="0" xr:uid="{3011C64E-92B7-4656-9226-E92E4B597799}">
      <text>
        <r>
          <rPr>
            <b/>
            <sz val="9"/>
            <color indexed="81"/>
            <rFont val="Tahoma"/>
            <family val="2"/>
          </rPr>
          <t xml:space="preserve">Vishal: </t>
        </r>
        <r>
          <rPr>
            <sz val="9"/>
            <color indexed="81"/>
            <rFont val="Tahoma"/>
            <family val="2"/>
          </rPr>
          <t xml:space="preserve">A number less/more than 100% means that the Intrinsic Value as per EPV calculation is less/more than the current market cap, which makes the stock overpriced/underpriced to that extent.
</t>
        </r>
      </text>
    </comment>
    <comment ref="A19" authorId="0" shapeId="0" xr:uid="{A709B9AA-4E03-43B7-94C1-0E04BB0A7F74}">
      <text>
        <r>
          <rPr>
            <b/>
            <sz val="9"/>
            <color indexed="81"/>
            <rFont val="Tahoma"/>
            <family val="2"/>
          </rPr>
          <t xml:space="preserve">Vishal: </t>
        </r>
        <r>
          <rPr>
            <sz val="9"/>
            <color indexed="81"/>
            <rFont val="Tahoma"/>
            <family val="2"/>
          </rPr>
          <t>If the Maintenance Capex number is negative, given that the formula based Growth capex number (as calculated in the table below) may be bigger than Total Capex, use Total Capex as Maintenance Capex in this row.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D7" authorId="0" shapeId="0" xr:uid="{D21B8C9B-F7E8-4379-A173-B4B61E2A23EE}">
      <text>
        <r>
          <rPr>
            <b/>
            <sz val="9"/>
            <color indexed="81"/>
            <rFont val="Tahoma"/>
            <family val="2"/>
          </rPr>
          <t xml:space="preserve">Vishal: </t>
        </r>
        <r>
          <rPr>
            <sz val="9"/>
            <color indexed="81"/>
            <rFont val="Tahoma"/>
            <family val="2"/>
          </rPr>
          <t>This is the latest "Cash and Bank" number that is updated automatically in this sheet from the "Cash Flow Sheet". This cash number is added to arrive at the Intrinsic Value.</t>
        </r>
      </text>
    </comment>
    <comment ref="C18" authorId="0" shapeId="0" xr:uid="{BD7EEABA-B977-44F3-A105-46F130EA0896}">
      <text>
        <r>
          <rPr>
            <b/>
            <sz val="9"/>
            <color indexed="81"/>
            <rFont val="Tahoma"/>
            <family val="2"/>
          </rPr>
          <t xml:space="preserve">Vishal: </t>
        </r>
        <r>
          <rPr>
            <sz val="9"/>
            <color indexed="81"/>
            <rFont val="Tahoma"/>
            <family val="2"/>
          </rPr>
          <t>This is the price at which the business is sold at the end of the 10th year. This price is calculated using a multiple - like 10x or 15x - to 10th year's calculated FCF.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B6" authorId="0" shapeId="0" xr:uid="{B907545C-986F-49A6-A2C9-9860B85A60A5}">
      <text>
        <r>
          <rPr>
            <b/>
            <sz val="9"/>
            <color indexed="81"/>
            <rFont val="Tahoma"/>
            <family val="2"/>
          </rPr>
          <t xml:space="preserve">Vishal: </t>
        </r>
        <r>
          <rPr>
            <sz val="9"/>
            <color indexed="81"/>
            <rFont val="Tahoma"/>
            <family val="2"/>
          </rPr>
          <t>Instead of trailing 12-months EPS as Graham proposed, I have used the average Net Profit of last five years. The reason I have used Net Profit instead of EPS is so that I arrive at Intrinsic value in terms of market cap and not stock price.</t>
        </r>
      </text>
    </comment>
    <comment ref="B8" authorId="0" shapeId="0" xr:uid="{9E1306AB-D03D-4D37-8CD9-92204909AF28}">
      <text>
        <r>
          <rPr>
            <b/>
            <sz val="9"/>
            <color indexed="81"/>
            <rFont val="Tahoma"/>
            <family val="2"/>
          </rPr>
          <t xml:space="preserve">Vishal: </t>
        </r>
        <r>
          <rPr>
            <sz val="9"/>
            <color indexed="81"/>
            <rFont val="Tahoma"/>
            <family val="2"/>
          </rPr>
          <t xml:space="preserve">Instead of assumed EPS growth rate of next 7-10 years as Graham proposed, I have assumed 50% of last five years CAGR in net profit (to arrive at the lower level of the Intrinsic Value range)
</t>
        </r>
      </text>
    </comment>
    <comment ref="E8" authorId="0" shapeId="0" xr:uid="{830B5BF8-E529-4B7C-A950-6A1901A8CBBC}">
      <text>
        <r>
          <rPr>
            <b/>
            <sz val="9"/>
            <color indexed="81"/>
            <rFont val="Tahoma"/>
            <family val="2"/>
          </rPr>
          <t xml:space="preserve">Vishal: </t>
        </r>
        <r>
          <rPr>
            <sz val="9"/>
            <color indexed="81"/>
            <rFont val="Tahoma"/>
            <family val="2"/>
          </rPr>
          <t xml:space="preserve">Instead of assumed EPS growth rate of next 7-10 years as Graham proposed, I have assumed 100% of last five years CAGR in net profit (to arrive at the upper level of the Intrinsic Value range)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Vishal</author>
    <author>Safal Niveshak</author>
  </authors>
  <commentList>
    <comment ref="A4" authorId="0" shapeId="0" xr:uid="{98F89FE9-CA13-4D67-84A5-09A8705D697E}">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In case of companies earning negative FCF, where this model will not work, you must use a normalized positive FCF as the starting number. This number is your assumption of FCF the business will earn in a normal year, without capex.</t>
        </r>
      </text>
    </comment>
    <comment ref="A6" authorId="0" shapeId="0" xr:uid="{2A61CD75-F089-448D-A31E-A1EC27D566CD}">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below.</t>
        </r>
      </text>
    </comment>
    <comment ref="A7" authorId="0" shapeId="0" xr:uid="{153D9C84-FF23-4046-82BB-D5D1F521FB3D}">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This is approx. 2x India's expected long-term GDP growth rate (in real terms).
The goal of choosing a growth rate is to find a number which is conservative yet not very low or pessimistic, and close to reality in order to capture potential future gains without eliminating too many investment candidates.</t>
        </r>
      </text>
    </comment>
    <comment ref="A8" authorId="0" shapeId="0" xr:uid="{445DD87D-40E3-4943-AE1B-606432D446C4}">
      <text>
        <r>
          <rPr>
            <b/>
            <sz val="9"/>
            <color indexed="81"/>
            <rFont val="Tahoma"/>
            <family val="2"/>
          </rPr>
          <t xml:space="preserve">Safal Niveshak: </t>
        </r>
        <r>
          <rPr>
            <sz val="9"/>
            <color indexed="81"/>
            <rFont val="Tahoma"/>
            <family val="2"/>
          </rPr>
          <t xml:space="preserve">This is the rate at which you discount the future cash flows to the present value.
Look at discount rate as the “annual rate of return” you want to earn from the stock. In other words, if you are looking to invest in a business that has comparatively higher (business) risk than other businesses (like in case of most mid and small cap stocks), you may want to earn a 15% annual return from it. For valuing such businesses, take 15% as the discount rate. In case of relatively safer businesses, earning around 12% annual return over the long term is a good expectation (because these businesses will also provide some stability to your portfolio during bad times). For valuing such businesses, take 12% as the discount rate.
</t>
        </r>
        <r>
          <rPr>
            <b/>
            <sz val="9"/>
            <color indexed="81"/>
            <rFont val="Tahoma"/>
            <family val="2"/>
          </rPr>
          <t xml:space="preserve">Better still, assume a constant discount rate for all companies. I have gradually turned to this model – of taking a constant 12% discount rate for all kind of businesses (safe or risky). (P.S. I earlier assumed a 15% discount rate)
</t>
        </r>
        <r>
          <rPr>
            <sz val="9"/>
            <color indexed="81"/>
            <rFont val="Tahoma"/>
            <family val="2"/>
          </rPr>
          <t>Also, do not adjust the entire risk of a investment in its discount rate. In other words, if a stock is a "riskier" investment than another,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9" authorId="0" shapeId="0" xr:uid="{6090F19E-73A6-4905-8C30-ED6C6970D606}">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1" authorId="1" shapeId="0" xr:uid="{8C074590-16ED-47F4-980B-AF5F987BFBD9}">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A9" authorId="0" shapeId="0" xr:uid="{13632878-8864-4D6C-AC40-514621DB527C}">
      <text>
        <r>
          <rPr>
            <b/>
            <sz val="9"/>
            <color indexed="81"/>
            <rFont val="Tahoma"/>
            <family val="2"/>
          </rPr>
          <t>Vishal:</t>
        </r>
        <r>
          <rPr>
            <sz val="9"/>
            <color indexed="81"/>
            <rFont val="Tahoma"/>
            <family val="2"/>
          </rPr>
          <t xml:space="preserve"> Highest EPS growth you should accord to a high quality business is 15% p.a.
</t>
        </r>
      </text>
    </comment>
    <comment ref="A12" authorId="0" shapeId="0" xr:uid="{14CB2B46-B17F-4448-80D1-0A7E0813F05D}">
      <text>
        <r>
          <rPr>
            <b/>
            <sz val="9"/>
            <color indexed="81"/>
            <rFont val="Tahoma"/>
            <family val="2"/>
          </rPr>
          <t xml:space="preserve">Vishal: </t>
        </r>
        <r>
          <rPr>
            <sz val="9"/>
            <color indexed="81"/>
            <rFont val="Tahoma"/>
            <family val="2"/>
          </rPr>
          <t xml:space="preserve">Maximum exit P/E you should accord to a high-quality business is 20x.
</t>
        </r>
      </text>
    </comment>
  </commentList>
</comments>
</file>

<file path=xl/sharedStrings.xml><?xml version="1.0" encoding="utf-8"?>
<sst xmlns="http://schemas.openxmlformats.org/spreadsheetml/2006/main" count="959" uniqueCount="663">
  <si>
    <t>COMPANY NAME</t>
  </si>
  <si>
    <t>SCREENER.IN</t>
  </si>
  <si>
    <t>Narration</t>
  </si>
  <si>
    <t>Trailing</t>
  </si>
  <si>
    <t>Sales</t>
  </si>
  <si>
    <t>Expenses</t>
  </si>
  <si>
    <t>Operating Profit</t>
  </si>
  <si>
    <t>Other Income</t>
  </si>
  <si>
    <t>Depreciation</t>
  </si>
  <si>
    <t>Interest</t>
  </si>
  <si>
    <t>Profit before tax</t>
  </si>
  <si>
    <t>Tax</t>
  </si>
  <si>
    <t>Net profit</t>
  </si>
  <si>
    <t>Price to earning</t>
  </si>
  <si>
    <t>Dividend Payout</t>
  </si>
  <si>
    <t>OPM</t>
  </si>
  <si>
    <t>TRENDS:</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</si>
  <si>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</si>
  <si>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</si>
  <si>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</si>
  <si>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</si>
  <si>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</si>
  <si>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</si>
  <si>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</si>
  <si>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</si>
  <si>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</si>
  <si>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</si>
  <si>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</si>
  <si>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</si>
  <si>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</si>
  <si>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</si>
  <si>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</si>
  <si>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</si>
  <si>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</si>
  <si>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</si>
  <si>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</si>
  <si>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</si>
  <si>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</si>
  <si>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</si>
  <si>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</si>
  <si>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</si>
  <si>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</si>
  <si>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</si>
  <si>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</si>
  <si>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</si>
  <si>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</si>
  <si>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</si>
  <si>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</si>
  <si>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</si>
  <si>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</si>
  <si>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</si>
  <si>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</si>
  <si>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</si>
  <si>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</si>
  <si>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</si>
  <si>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</si>
  <si>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LATEST VERSION</t>
  </si>
  <si>
    <t>CURRENT VERSION</t>
  </si>
  <si>
    <t>INTERGLOBE AVIATION LTD</t>
  </si>
  <si>
    <t>META</t>
  </si>
  <si>
    <t>10 YEARS</t>
  </si>
  <si>
    <t>7 YEARS</t>
  </si>
  <si>
    <t>5 YEARS</t>
  </si>
  <si>
    <t>3 YEARS</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</si>
  <si>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</si>
  <si>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</si>
  <si>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</si>
  <si>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</si>
  <si>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</si>
  <si>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</si>
  <si>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</si>
  <si>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</si>
  <si>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</si>
  <si>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</si>
  <si>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</si>
  <si>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</si>
  <si>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</si>
  <si>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</si>
  <si>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</si>
  <si>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</si>
  <si>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</si>
  <si>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</si>
  <si>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</si>
  <si>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</si>
  <si>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</si>
  <si>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</si>
  <si>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</si>
  <si>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EBIT</t>
  </si>
  <si>
    <t>Growth Capex</t>
  </si>
  <si>
    <t>Maintenance Capex</t>
  </si>
  <si>
    <t>EPV</t>
  </si>
  <si>
    <t>PE Ratio at 0% Growth</t>
  </si>
  <si>
    <t>Year Ended</t>
  </si>
  <si>
    <t>Company Name</t>
  </si>
  <si>
    <t>Operating Profit Margin</t>
  </si>
  <si>
    <t>Net Profit Margin</t>
  </si>
  <si>
    <t>% Growth YOY</t>
  </si>
  <si>
    <t>Cash from Operating Activity (CFO)</t>
  </si>
  <si>
    <t>CFO/Sales</t>
  </si>
  <si>
    <t>CFO/Net Profit</t>
  </si>
  <si>
    <t>Return on Capital Employed</t>
  </si>
  <si>
    <t>Fixed Asset Turnover</t>
  </si>
  <si>
    <t>Debt/Equity</t>
  </si>
  <si>
    <t>Interest Coverage(Times)</t>
  </si>
  <si>
    <t>PBT Margin</t>
  </si>
  <si>
    <t>Selling and Admin Cost</t>
  </si>
  <si>
    <t>Material Cost (% of Sales)</t>
  </si>
  <si>
    <t>Profit before tax (PBT)</t>
  </si>
  <si>
    <t>Check for wide fluctuations in key expense items. For manufacturing firms, check their material costs etc. For services firms, look at employee costs.</t>
  </si>
  <si>
    <t>Earnings Power Value (Bruce Greenwald)</t>
  </si>
  <si>
    <t>Net Sales</t>
  </si>
  <si>
    <t>Total Capex</t>
  </si>
  <si>
    <t>Less - Adjustment</t>
  </si>
  <si>
    <t>Tax Rate</t>
  </si>
  <si>
    <t>Per Share</t>
  </si>
  <si>
    <t>Total EPV</t>
  </si>
  <si>
    <t>EPV with Different Cost of Capital</t>
  </si>
  <si>
    <t>Calculation of Maintenance Capex</t>
  </si>
  <si>
    <t>EPV as % of Market Cap</t>
  </si>
  <si>
    <t>Latest Year Ended</t>
  </si>
  <si>
    <t>Long-Term Growth Rate</t>
  </si>
  <si>
    <t>Current Market Cap (Rs Crore)</t>
  </si>
  <si>
    <t>Ben Graham Value (Rs Crore)</t>
  </si>
  <si>
    <t>Avg 5-Yr Net Profit (Rs Crore)</t>
  </si>
  <si>
    <t>(Rs Crore)</t>
  </si>
  <si>
    <t>Year</t>
  </si>
  <si>
    <t>FCF (Rs Cr)</t>
  </si>
  <si>
    <t>PV of FCF (Rs Cr)</t>
  </si>
  <si>
    <t>Assumed FCF Growth</t>
  </si>
  <si>
    <t>Year 1-3</t>
  </si>
  <si>
    <t>FY18</t>
  </si>
  <si>
    <t>Year 4-6</t>
  </si>
  <si>
    <t>FY19</t>
  </si>
  <si>
    <t>Year 7-10</t>
  </si>
  <si>
    <t>FY20</t>
  </si>
  <si>
    <t>FY21</t>
  </si>
  <si>
    <t>Discount Rate</t>
  </si>
  <si>
    <t>FY22</t>
  </si>
  <si>
    <t>FY23</t>
  </si>
  <si>
    <t>FY24</t>
  </si>
  <si>
    <t>FY25</t>
  </si>
  <si>
    <t>FY26</t>
  </si>
  <si>
    <t>FY27</t>
  </si>
  <si>
    <t>Current Mkt. Cap.</t>
  </si>
  <si>
    <t>Premium/(Discount) to IV</t>
  </si>
  <si>
    <t>Excess Cash (Latest)</t>
  </si>
  <si>
    <t>FCF</t>
  </si>
  <si>
    <t>Average FCF (3 Years)</t>
  </si>
  <si>
    <t>PBT</t>
  </si>
  <si>
    <t>Intrinsic Value</t>
  </si>
  <si>
    <t>Dhandho</t>
  </si>
  <si>
    <t>Ben Graham</t>
  </si>
  <si>
    <t>Years</t>
  </si>
  <si>
    <t>1-5</t>
  </si>
  <si>
    <t>6-10</t>
  </si>
  <si>
    <t>FCF Growth Rate</t>
  </si>
  <si>
    <t>Terminal Growth Rate</t>
  </si>
  <si>
    <t>Growth</t>
  </si>
  <si>
    <t>Present Value</t>
  </si>
  <si>
    <t>Final Calculations</t>
  </si>
  <si>
    <t>Terminal Year</t>
  </si>
  <si>
    <t>PV of Year 1-10 Cash Flows</t>
  </si>
  <si>
    <t>Terminal Value</t>
  </si>
  <si>
    <t>Total PV of Cash Flows</t>
  </si>
  <si>
    <t>Particulars</t>
  </si>
  <si>
    <t>CAGR (5-Yr)</t>
  </si>
  <si>
    <t>Current P/E (x)</t>
  </si>
  <si>
    <t>Exit P/E in the 10th year from now (x, Estimated)</t>
  </si>
  <si>
    <t>CAGR (9-Yr)</t>
  </si>
  <si>
    <t>Estimated CAGR in Net Profit over next 10 years</t>
  </si>
  <si>
    <t>Estimated Net Profit after 10 years (Rs Cr)</t>
  </si>
  <si>
    <t>Net Profit (Rs Crore)</t>
  </si>
  <si>
    <t>Esti. Market Cap (10th year from now; Rs Cr)</t>
  </si>
  <si>
    <t>Current Market Cap (Rs Cr)</t>
  </si>
  <si>
    <t>Discounted Value (Rs Cr)</t>
  </si>
  <si>
    <r>
      <t>Calculations</t>
    </r>
    <r>
      <rPr>
        <sz val="10"/>
        <color rgb="FFC00000"/>
        <rFont val="Arial"/>
        <family val="2"/>
      </rPr>
      <t xml:space="preserve"> </t>
    </r>
    <r>
      <rPr>
        <i/>
        <sz val="10"/>
        <color theme="1"/>
        <rFont val="Arial"/>
        <family val="2"/>
      </rPr>
      <t>(Enter values only in black cells)</t>
    </r>
  </si>
  <si>
    <t>Current Market Cap</t>
  </si>
  <si>
    <t>Dicounted Cash Flow Valuation</t>
  </si>
  <si>
    <t>Initial Cash Flow (Rs Cr)</t>
  </si>
  <si>
    <t>Net Debt Level (Rs Cr)</t>
  </si>
  <si>
    <t>DCF</t>
  </si>
  <si>
    <r>
      <t xml:space="preserve">DCF Value </t>
    </r>
    <r>
      <rPr>
        <b/>
        <i/>
        <sz val="10"/>
        <color theme="1"/>
        <rFont val="Arial"/>
        <family val="2"/>
      </rPr>
      <t>(As calculated in cell B29)</t>
    </r>
  </si>
  <si>
    <t>Expected Returns Model</t>
  </si>
  <si>
    <t>Expected Return</t>
  </si>
  <si>
    <t>Common Size P&amp;L</t>
  </si>
  <si>
    <t>Common Size Balance Sheet</t>
  </si>
  <si>
    <t>Total Liabilities</t>
  </si>
  <si>
    <t>Total Assets</t>
  </si>
  <si>
    <t>Profit Before Tax</t>
  </si>
  <si>
    <t>Net Profit</t>
  </si>
  <si>
    <t>FCF/Sales</t>
  </si>
  <si>
    <t>FCF/Net Profit</t>
  </si>
  <si>
    <t>EBIT (Adjusted)</t>
  </si>
  <si>
    <t>EBIT Margin'(Adjusted)</t>
  </si>
  <si>
    <t>Reported Profit After Tax (B)</t>
  </si>
  <si>
    <t>Lower</t>
  </si>
  <si>
    <t>Higher</t>
  </si>
  <si>
    <t>Cost of Capital/Discount Rate</t>
  </si>
  <si>
    <t>Rs Cr</t>
  </si>
  <si>
    <t>PBT Growth</t>
  </si>
  <si>
    <t>Market Cap</t>
  </si>
  <si>
    <t>Retained Earnings</t>
  </si>
  <si>
    <t>Buffett's $1 Test</t>
  </si>
  <si>
    <t>Other Income as % of Sales</t>
  </si>
  <si>
    <t>Note: See explanation of this model here</t>
  </si>
  <si>
    <t>Buffett Checklist - Read, Remember, Follow!</t>
  </si>
  <si>
    <t>Source - Buffettology by Mary Buffett &amp; David Clark</t>
  </si>
  <si>
    <t>Parameter</t>
  </si>
  <si>
    <t>Explanation</t>
  </si>
  <si>
    <t>Consumer monopoly or commodity?</t>
  </si>
  <si>
    <t>Seek out companies that have no or less competition, either due to a patent or brand name or similar intangible that makes the product unique. Such companies will typically have high gross and operating profit margins because of their unique niche. However, don't just go on margins as high margins may simply highlight companies within industries with traditionally high margins. Thus, look for companies with gross, operating and net profit margins above industry norms. Also look for strong growth in earnings and high return on equity in the past.</t>
  </si>
  <si>
    <t>Understand how business works</t>
  </si>
  <si>
    <t>Try to invest in industries where you possess some specialized knowledge (where you work) or can more effectively judge a company, its industry, and its competitive environment (simple products you consume). While it is difficult to construct a quantitative filter, you should be able to identify areas of interest. You should "only" consider analyzing those companies that operate in areas that you can clearly grasp - your circle of competence. Of course you can increase the size of the circle, but only over time by learning about new industries. More important than the size of the circle is to know its boundaries.</t>
  </si>
  <si>
    <t>Is the company conservatively financed?</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</si>
  <si>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</si>
  <si>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Are earnings strong and do they show an upward trend?</t>
  </si>
  <si>
    <t>Does the company stick with what it knows?</t>
  </si>
  <si>
    <t>Like you should stock to your circle of competence, a company should invest its capital only in those businesses within its circle of competence. This is a difficult factor to screen for on a quantitative level. Before investing in a company, look at the company’s past pattern of acquisitions and new directions. They should fit within the primary range of operations for the firm. Be cautious of companies that have been very aggressive in acquisitions in the past.</t>
  </si>
  <si>
    <t>Has the company been buying back its shares?</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</si>
  <si>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</si>
  <si>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Have retained earnings been invested well?</t>
  </si>
  <si>
    <t>Seek companies where earnings have risen as retained earnings (earnings after paying dividends) have been employed profitably. A great way to screen for such companies is by looking at those that have had consistent earnings and strong return on equity in the past.</t>
  </si>
  <si>
    <t>Is the company’s return on equity above average?</t>
  </si>
  <si>
    <t>Is the company free to adjust prices to inflation?</t>
  </si>
  <si>
    <t>That's what is called "pricing power". Companies with moat (as seen from other screening metrics as suggested above (like high ROE, high grow margins, low debt etc.) are able to adjust prices to inflation without the risk of losing significant volume sales.</t>
  </si>
  <si>
    <t>Does the company need to constantly reinvest in capital?</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</si>
  <si>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</si>
  <si>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Conclusion</t>
  </si>
  <si>
    <t>Sensible investing is always about using “folly and discipline” - the discipline to identify excellent businesses, and wait for the folly of the market to drive down the value of these businesses to attractive levels. You will have little trouble understanding this philosophy. However, its successful implementation is dependent upon your dedication to learn and follow the principles, and apply them to pick stocks successfully.</t>
  </si>
  <si>
    <t>Never Forget</t>
  </si>
  <si>
    <t>Focus on decisions, not outcomes. Look for disconfirming evidence.</t>
  </si>
  <si>
    <t>www.safalniveshak.com</t>
  </si>
  <si>
    <t>Basic Company Details</t>
  </si>
  <si>
    <t>Parameters</t>
  </si>
  <si>
    <t>Details</t>
  </si>
  <si>
    <t>Company</t>
  </si>
  <si>
    <t>Current Stock Price (Rs)</t>
  </si>
  <si>
    <t>Face Value (Rs)</t>
  </si>
  <si>
    <t>No. of Shares (Crore)</t>
  </si>
  <si>
    <t>Market Capitalization (Rs Crore)</t>
  </si>
  <si>
    <t>Net Profit Growth (8-Year CAGR)</t>
  </si>
  <si>
    <t>Average Debt/Equity (5-Years, x)</t>
  </si>
  <si>
    <t>Average Return on Equity (5-Years)</t>
  </si>
  <si>
    <t>Key Financials - Trend</t>
  </si>
  <si>
    <t>Sales Growth (9-Year CAGR)</t>
  </si>
  <si>
    <t>Profit Before Tax Growth (9-Year CAGR)</t>
  </si>
  <si>
    <t>Latest P/E (x)</t>
  </si>
  <si>
    <t>Average P/E (5-Years, x)</t>
  </si>
  <si>
    <t>Cash &amp; Bank**</t>
  </si>
  <si>
    <t>** Change the "Cash &amp; Bank" number in "Balance Sheet" sheet (Row #19) so that the correct number automatically reflects here</t>
  </si>
  <si>
    <t>Net Cash**</t>
  </si>
  <si>
    <t>2. Calculate current year’s increase in sales</t>
  </si>
  <si>
    <t>Fixed Assets (PPE)</t>
  </si>
  <si>
    <t>Change in Sales</t>
  </si>
  <si>
    <t>PPE/Sales</t>
  </si>
  <si>
    <t>Capex**</t>
  </si>
  <si>
    <t>Earnings After Tax (Adjusted)</t>
  </si>
  <si>
    <t>Calculation of Normalized Earnings</t>
  </si>
  <si>
    <t>1. Start with operating earnings, i.e. EBIT. Adjust any one-time charges. I deduct 0.5% of reported EBIT as this adjustment</t>
  </si>
  <si>
    <t>4. Subtract Maintenance Capex</t>
  </si>
  <si>
    <t>3. Add back Depreciation</t>
  </si>
  <si>
    <t>Earnings After Tax (Normalized, A)</t>
  </si>
  <si>
    <t>5. After these four steps, you arrive at Normalized Earnings</t>
  </si>
  <si>
    <t xml:space="preserve">EPV Process (as per Greenwald's book, slightly modified) - </t>
  </si>
  <si>
    <t xml:space="preserve">Calculating Maintenance Capex, as per Greenwald's book - </t>
  </si>
  <si>
    <t>Maintenance Capex (See Table Below)</t>
  </si>
  <si>
    <t>Ben Graham's Original Formula: Value = EPS x (8.5 + 2G)</t>
  </si>
  <si>
    <t>Here, EPS is the trailing 12 month EPS, 8.5 is the P/E ratio of a stock with 0% growth and g is the growth rate for the next 7-10 years</t>
  </si>
  <si>
    <t>Ben Graham's Revised Formula: Value = [EPS x (8.5 + 2G) x 4.4] / Y</t>
  </si>
  <si>
    <t>Here, 4.4 is what Graham determined to be his minimum required rate of return. At the time of around 1962 when Graham was publicizing his works, the risk free interest rate was 4.4% but to adjust to the present, we divide this number by today’s AAA corporate bond rate, represented by Y in the formula above.</t>
  </si>
  <si>
    <r>
      <rPr>
        <b/>
        <i/>
        <u/>
        <sz val="10"/>
        <color rgb="FF0000FF"/>
        <rFont val="Arial"/>
        <family val="2"/>
      </rPr>
      <t>Note:</t>
    </r>
    <r>
      <rPr>
        <i/>
        <u/>
        <sz val="10"/>
        <color rgb="FF0000FF"/>
        <rFont val="Arial"/>
        <family val="2"/>
      </rPr>
      <t xml:space="preserve"> See explanation of DCF here</t>
    </r>
  </si>
  <si>
    <r>
      <rPr>
        <i/>
        <sz val="10"/>
        <color rgb="FF0000FF"/>
        <rFont val="Arial"/>
        <family val="2"/>
      </rPr>
      <t xml:space="preserve">Note: </t>
    </r>
    <r>
      <rPr>
        <i/>
        <u/>
        <sz val="10"/>
        <color rgb="FF0000FF"/>
        <rFont val="Arial"/>
        <family val="2"/>
      </rPr>
      <t>See explanation of this model here</t>
    </r>
  </si>
  <si>
    <t>Intrinsic Value Range</t>
  </si>
  <si>
    <t>Safal Niveshak Stock Analysis Excel (Ver. 3.0)</t>
  </si>
  <si>
    <t>Profit &amp; Loss Account / Income Statement</t>
  </si>
  <si>
    <t>Check for long term vs short term trends here. Check if the growth over past 3 or 5 years has slowed down / improved compared to long term (7 to 10 years) growth numbers.</t>
  </si>
  <si>
    <t>Dhandho Intrinsic Value Calculation</t>
  </si>
  <si>
    <t>Read the book - The Dhandho Investor by Mohnish Pabrai</t>
  </si>
  <si>
    <t>Dhandho IV - Lower Range</t>
  </si>
  <si>
    <t>Dhandho IV - Higher Range</t>
  </si>
  <si>
    <t>Remember! Give importance to a stock's valuations /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Focus on decisions, not outcomes. Look for disconfirming evidence.</t>
  </si>
  <si>
    <r>
      <rPr>
        <b/>
        <sz val="10"/>
        <color rgb="FFC00000"/>
        <rFont val="Arial"/>
        <family val="2"/>
      </rPr>
      <t xml:space="preserve">Warning! </t>
    </r>
    <r>
      <rPr>
        <b/>
        <sz val="10"/>
        <color theme="1"/>
        <rFont val="Arial"/>
        <family val="2"/>
      </rPr>
      <t>Excel can be a wonderful tool to analyze the past. But it can be a weapon of mass destruction to predict the future! So be very careful of what you are getting into. Here, garbage in will always equal garbage out.</t>
    </r>
  </si>
  <si>
    <r>
      <rPr>
        <b/>
        <sz val="10"/>
        <color rgb="FFC00000"/>
        <rFont val="Arial"/>
        <family val="2"/>
      </rPr>
      <t xml:space="preserve">Remember! </t>
    </r>
    <r>
      <rPr>
        <b/>
        <sz val="10"/>
        <color theme="1"/>
        <rFont val="Arial"/>
        <family val="2"/>
      </rPr>
      <t>Focus on decisions, not outcomes. Look for disconfirming evidence. Calculate. Pray!</t>
    </r>
  </si>
  <si>
    <r>
      <rPr>
        <b/>
        <sz val="10"/>
        <color rgb="FFC00000"/>
        <rFont val="Arial"/>
        <family val="2"/>
      </rPr>
      <t xml:space="preserve">Please! </t>
    </r>
    <r>
      <rPr>
        <b/>
        <sz val="10"/>
        <color theme="1"/>
        <rFont val="Arial"/>
        <family val="2"/>
      </rPr>
      <t>It's your money. Please don't blame me if results of this excel cause you to lose it all! I've designed this excel to aid your own thinking, but you alone are responsible for your actions. I want to live peacefully ever after! I am not a sadist who wants you to do the hard work by analyzing companies on your own. But I'd rather give you a compass instead of a map, for you can confuse map with territory and lose it all. All the best!</t>
    </r>
  </si>
  <si>
    <t>HOW TO USE THIS SPREADSHEET</t>
  </si>
  <si>
    <t>IMPORTANT INSTRUCTIONS</t>
  </si>
  <si>
    <t>2. All financial data of your chosen company will be automatically updated in the sheet you download, except "Cash and Bank" (Balance Sheet sheet) and Capex (Cash Flow sheet) figures, which you must update manually from the company's annual reports. Don’t forget to make these changes as these numbers are key inputs in a few Intrinsic Value calculations.</t>
  </si>
  <si>
    <t>** Manually enter this number; Convert to Rs Crore if not already done in the Annual Reports; Use Cash+Bank+Current Investments from Consolidated Balance Sheet in Annual Reports</t>
  </si>
  <si>
    <t>** Manually enter this number; Convert to Rs Crore if not already done in the Annual Reports; Use "Capital expenditure" number shown under "Cash Flow from Investing Activities" segment of Consolidated Cash Flow Statement available in the Annual Reports</t>
  </si>
  <si>
    <t>4. I have added Comments and Instructions wherever necessary so as to explain the concepts. Read those carefully before working on the sheet.</t>
  </si>
  <si>
    <t>6. I could not find a bug/errors in this spreadsheet, but if you notice some, please email me at - vishal@safalniveshak.com - and I will try to fix the same and update the sheet</t>
  </si>
  <si>
    <t>7. I will keep on updating the sheet from time to time and will update the same on the website. I invite you to share your feedback and thoughts on the sheet so that we can make it better together.</t>
  </si>
  <si>
    <t>1. Ensure that the company whose data you are downloading has numbers at least starting from FY08 (March 2008). This is because if, for instance, the company has financials starting from, say, FY10, you will see incorrect data for FY08 and FY09 (which will be of Hero Motocorp on whose financials I have created this Analysis sheet format)</t>
  </si>
  <si>
    <t>5. This sheet is not a replacement of the work required to read annual reports as part of the analysis process. So please do that along with working on this sheet. You may sometime find some discrepancy in numbers (though rare), but you will know this only when you read annual reports.</t>
  </si>
  <si>
    <t>A common-size financial statement is displays line items as a percentage of one selected or common figure. Creating common-size financial statements makes it easier to analyze a company over time and compare it with its peers. Using common-size financial statements helps investors spot trends that a raw financial statement may not uncover.</t>
  </si>
  <si>
    <t>2. Apply a tax rate to the adjusted EBIT. I use the actual tax rate calculated from the Income Statement. After reducing this tax, we arrive at Adjusted Earnings After Tax</t>
  </si>
  <si>
    <t>1. Calculate the Average Gross Property Plant and Equipment (PPE) / Sales ratio over 5-7 years</t>
  </si>
  <si>
    <t>3. Multiply PPE/Sales ratio by increase in sales to arrive at Growth Capex</t>
  </si>
  <si>
    <r>
      <t xml:space="preserve">4. Maintenance Capex = Total Capex figure from the cash flow statement </t>
    </r>
    <r>
      <rPr>
        <i/>
        <sz val="10"/>
        <color theme="1"/>
        <rFont val="Arial"/>
        <family val="2"/>
      </rPr>
      <t xml:space="preserve">minus </t>
    </r>
    <r>
      <rPr>
        <sz val="10"/>
        <color theme="1"/>
        <rFont val="Arial"/>
        <family val="2"/>
      </rPr>
      <t>Growth Capex calculated above</t>
    </r>
  </si>
  <si>
    <t>Read the book - Value Investing: From Graham to Buffett and Beyond by Bruce Greenwald (EPV is explained Page 93 onwards)</t>
  </si>
  <si>
    <t>7. Note that Greenwald's process as per his book is slightly more detailed than what I have used here</t>
  </si>
  <si>
    <t>6. Divide this Normalized Earnings number by the Discount Rate to arrive at EPV. I use 12% discount rate/cost of capital.</t>
  </si>
  <si>
    <t>Explanation - Earnings power value (EPV) is a technique for valuing stocks by making an assumption about the sustainability of current earnings and the cost of capital but assuming no further growth. EPV formula = Adjusted Earnings / Cost of Capital</t>
  </si>
  <si>
    <t>Last 5-Years' CAGR</t>
  </si>
  <si>
    <t>EXPLANATION</t>
  </si>
  <si>
    <t>Ben Graham Formula (Low Range)</t>
  </si>
  <si>
    <t>Ben Graham Formula (High Range)</t>
  </si>
  <si>
    <t>4. DON’T touch any cell except the black ones, where you are required to update the numbers manually from Annual Reports (just Cash and Capex numbers) or where you may change the growth assumptions etc.</t>
  </si>
  <si>
    <t>3. You may update the sheet and add your own analysis, formulae etc. and then upload again to Screener.in site using the Step 2 mentioned above. But DON'T touch the sheet titled "Data Sheet" because this will cause errors in your future downloads.</t>
  </si>
  <si>
    <t>Balance Sheet</t>
  </si>
  <si>
    <t>Cash Flow Statement</t>
  </si>
  <si>
    <t>DCF as % of Current Mkt Cap</t>
  </si>
  <si>
    <t>Rising earnings serve as a good catalyst for stock prices. So seek companies with strong, consistent, and expanding earnings (profits). Seek companies with 5/10 year earnings per share growth greater than 25% (along 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</si>
  <si>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Consider it a positive sign when a company is able to earn above-average (better than competitors) returns on equity without employing much debt. Average return on equity for Indian companies over the last 10 years is approximately 16%. Thus, seek companies that earn at least this much (16%) or more than this. Again, consistency is the key here.</t>
  </si>
  <si>
    <t>Current Market Cap.</t>
  </si>
  <si>
    <r>
      <rPr>
        <b/>
        <sz val="10"/>
        <color theme="1"/>
        <rFont val="Arial"/>
        <family val="2"/>
      </rPr>
      <t>P.S.</t>
    </r>
    <r>
      <rPr>
        <sz val="10"/>
        <color theme="1"/>
        <rFont val="Arial"/>
        <family val="2"/>
      </rPr>
      <t xml:space="preserve"> In case of companies earning negative FCF, where this model will not work, you must use a normalized positive FCF as the starting number. This number is your assumption of FCF the business will earn in a normal year, without capex. Check the history of this business while arriving at your assumption, and use your judgment wisely without twisting the model to fit your version of reality.</t>
    </r>
  </si>
  <si>
    <t>8. This excel won't work for banking and financial services companies.</t>
  </si>
  <si>
    <r>
      <rPr>
        <b/>
        <sz val="11"/>
        <color theme="1"/>
        <rFont val="Calibri"/>
        <family val="2"/>
        <scheme val="minor"/>
      </rPr>
      <t>Step 1 -</t>
    </r>
    <r>
      <rPr>
        <sz val="11"/>
        <color theme="1"/>
        <rFont val="Calibri"/>
        <family val="2"/>
        <scheme val="minor"/>
      </rPr>
      <t xml:space="preserve"> This spreadsheet works </t>
    </r>
    <r>
      <rPr>
        <i/>
        <sz val="11"/>
        <color theme="1"/>
        <rFont val="Calibri"/>
        <family val="2"/>
        <scheme val="minor"/>
      </rPr>
      <t>only</t>
    </r>
    <r>
      <rPr>
        <sz val="11"/>
        <color theme="1"/>
        <rFont val="Calibri"/>
        <family val="2"/>
        <scheme val="minor"/>
      </rPr>
      <t xml:space="preserve"> on Screener.in. The first step is to create a free account here - https://www.screener.in/register/</t>
    </r>
  </si>
  <si>
    <r>
      <rPr>
        <b/>
        <sz val="11"/>
        <color theme="1"/>
        <rFont val="Calibri"/>
        <family val="2"/>
        <scheme val="minor"/>
      </rPr>
      <t xml:space="preserve">Step 2 - </t>
    </r>
    <r>
      <rPr>
        <sz val="11"/>
        <color theme="1"/>
        <rFont val="Calibri"/>
        <family val="2"/>
        <scheme val="minor"/>
      </rPr>
      <t>After creating your account, while you are logged in to Screener.in website, visit this page - https://www.screener.in/excel/ - and upload this excel file.</t>
    </r>
  </si>
  <si>
    <r>
      <rPr>
        <b/>
        <sz val="10"/>
        <color theme="1"/>
        <rFont val="Arial"/>
        <family val="2"/>
      </rPr>
      <t>Step 3 -</t>
    </r>
    <r>
      <rPr>
        <sz val="10"/>
        <color theme="1"/>
        <rFont val="Arial"/>
        <family val="2"/>
      </rPr>
      <t xml:space="preserve"> Visit the home page of Screener.in and choose a company of your choice. Once you do that, you will see details of your chosen company. Scroll down and come to the first financial statement table called "Quarterly Results" and click on "View Consolidated". Now, all data you see for this company will be consolidated.</t>
    </r>
  </si>
  <si>
    <r>
      <rPr>
        <b/>
        <sz val="10"/>
        <color theme="1"/>
        <rFont val="Arial"/>
        <family val="2"/>
      </rPr>
      <t>Step 4 -</t>
    </r>
    <r>
      <rPr>
        <sz val="10"/>
        <color theme="1"/>
        <rFont val="Arial"/>
        <family val="2"/>
      </rPr>
      <t xml:space="preserve"> Scroll back to the top of the page, and you will see a button "Export to Excel" on the right side. Click the button and the company's financial data will be exported in an excel file in the exact format as "Safal Niveshak's Stock Analysis Excel Ver. 3.0". Now onwards, any excel you export for any company on Screener.in will be downloaded in this very format.</t>
    </r>
  </si>
  <si>
    <r>
      <rPr>
        <b/>
        <sz val="10"/>
        <color theme="1"/>
        <rFont val="Arial"/>
        <family val="2"/>
      </rPr>
      <t>Step 5 -</t>
    </r>
    <r>
      <rPr>
        <sz val="10"/>
        <color theme="1"/>
        <rFont val="Arial"/>
        <family val="2"/>
      </rPr>
      <t xml:space="preserve"> Email me your love and testimonial for helping you with this excel. :-)</t>
    </r>
  </si>
  <si>
    <r>
      <rPr>
        <b/>
        <sz val="10"/>
        <color theme="1"/>
        <rFont val="Arial"/>
        <family val="2"/>
      </rPr>
      <t>Note:</t>
    </r>
    <r>
      <rPr>
        <sz val="10"/>
        <color theme="1"/>
        <rFont val="Arial"/>
        <family val="2"/>
      </rPr>
      <t xml:space="preserve"> All data is sourced from Screener.in</t>
    </r>
  </si>
  <si>
    <t>S.NO</t>
  </si>
  <si>
    <t>FACTOR</t>
  </si>
  <si>
    <t>VALUE</t>
  </si>
  <si>
    <t>VALUE REQD FOR NNWC</t>
  </si>
  <si>
    <t>CASH &amp; BANK</t>
  </si>
  <si>
    <t>TRADE RECEIVABLE</t>
  </si>
  <si>
    <t>INVENTORY</t>
  </si>
  <si>
    <t>BORROWINGS</t>
  </si>
  <si>
    <t>NNWC</t>
  </si>
  <si>
    <t>BUFFET $1 TEST</t>
  </si>
  <si>
    <t>BUFFET TEST</t>
  </si>
  <si>
    <t>(=)</t>
  </si>
  <si>
    <t>Debt/Equity Ratio</t>
  </si>
  <si>
    <t>(x)</t>
  </si>
  <si>
    <t>Average Interest Rate</t>
  </si>
  <si>
    <t>(-)</t>
  </si>
  <si>
    <t>Return on Assets</t>
  </si>
  <si>
    <t>(+)</t>
  </si>
  <si>
    <t>AIR</t>
  </si>
  <si>
    <r>
      <t>(</t>
    </r>
    <r>
      <rPr>
        <b/>
        <sz val="12"/>
        <rFont val="Calibri"/>
        <family val="2"/>
      </rPr>
      <t>÷</t>
    </r>
    <r>
      <rPr>
        <b/>
        <sz val="12"/>
        <rFont val="Arial"/>
        <family val="2"/>
      </rPr>
      <t>)</t>
    </r>
  </si>
  <si>
    <t>Interest Expense</t>
  </si>
  <si>
    <t>Leverage Ratio</t>
  </si>
  <si>
    <t>Total Equity</t>
  </si>
  <si>
    <t>Return on Equity (ROE)</t>
  </si>
  <si>
    <t>Turnover Ratio</t>
  </si>
  <si>
    <t>Oper. Profit Margin</t>
  </si>
  <si>
    <t>Turns</t>
  </si>
  <si>
    <t>Earns</t>
  </si>
  <si>
    <t>Return on Assets (ROA)</t>
  </si>
  <si>
    <t>Gross Revenue</t>
  </si>
  <si>
    <t>Asset Turnover Ratio</t>
  </si>
  <si>
    <t xml:space="preserve">  Earns</t>
  </si>
  <si>
    <t>Net Income</t>
  </si>
  <si>
    <t>Net Operating Income</t>
  </si>
  <si>
    <t>Variable Expense</t>
  </si>
  <si>
    <t>Fixed Expense</t>
  </si>
  <si>
    <t>DuPont Analysis</t>
  </si>
  <si>
    <t>*Spread = ROA - Cost of Debt</t>
  </si>
  <si>
    <t>Debt-to-Equity Ratio (Leverage)</t>
  </si>
  <si>
    <t>Spread Above Interest Costs</t>
  </si>
  <si>
    <t>Asset Turnover Ratio (Turns)</t>
  </si>
  <si>
    <t>Operating Profit Margin (Earns)</t>
  </si>
  <si>
    <t>Gross Revenues</t>
  </si>
  <si>
    <t>Data Input Area</t>
  </si>
  <si>
    <t>Enter the data for your business in the "Data Input Area" cells below.  The spreadsheet will automatically calculate all other cells.</t>
  </si>
  <si>
    <t>DuPont Analysis Worksheet</t>
  </si>
  <si>
    <t>VALUATION RATIOS</t>
  </si>
  <si>
    <t>RATIO</t>
  </si>
  <si>
    <t>REQUISITE NO.</t>
  </si>
  <si>
    <t>MAX MARKS</t>
  </si>
  <si>
    <t>MKS OBTAINED</t>
  </si>
  <si>
    <t>EY (EBIT/EV)</t>
  </si>
  <si>
    <t>PB</t>
  </si>
  <si>
    <t>PSR</t>
  </si>
  <si>
    <t>PCF</t>
  </si>
  <si>
    <t>P/IV</t>
  </si>
  <si>
    <t>BEN GRAHAM VALUE</t>
  </si>
  <si>
    <t>EV</t>
  </si>
  <si>
    <t>Note: I have used Graham's REVISED formula in the above calculations</t>
  </si>
  <si>
    <t>BUFFET VALUE</t>
  </si>
  <si>
    <t>PROFITABILITY</t>
  </si>
  <si>
    <t>ROE</t>
  </si>
  <si>
    <t>CROIC</t>
  </si>
  <si>
    <t>ROA</t>
  </si>
  <si>
    <t>FCF/S</t>
  </si>
  <si>
    <t>INVESTED CAPITAL</t>
  </si>
  <si>
    <t>FCF/SHORT TERM DEBT</t>
  </si>
  <si>
    <t>ABOVE 1</t>
  </si>
  <si>
    <t>DEBT TO EQUITY</t>
  </si>
  <si>
    <t>BELOW 1</t>
  </si>
  <si>
    <t>CURRENT RATIO</t>
  </si>
  <si>
    <t>ABOVE 2</t>
  </si>
  <si>
    <t>INTEREST COVERAGE</t>
  </si>
  <si>
    <t>ABOVE 3</t>
  </si>
  <si>
    <t>DEBT COVERAGE</t>
  </si>
  <si>
    <t>CC CYCLE</t>
  </si>
  <si>
    <t>INVENTORY TURNOVER</t>
  </si>
  <si>
    <t>FCF/LONG TERM TERM DEBT</t>
  </si>
  <si>
    <t>1) Does the stock have an earnings yield of 2X that of AAA Bonds?</t>
  </si>
  <si>
    <t>Yes  No </t>
  </si>
  <si>
    <t>2) Does the stock have a P/E of no larger than 4/10 of the highest average P/E during the last 5 years? Yes  No </t>
  </si>
  <si>
    <t>3) Does the stock have a dividend yield of 2/3 of the AAA bond yield? Yes  No </t>
  </si>
  <si>
    <t>4) Is the stock trading at 2/3 of tangible book value? Yes  No </t>
  </si>
  <si>
    <t>5) Is the stock trading at a discount of at least 2/3 of NCAV? Yes  No </t>
  </si>
  <si>
    <t>6) Is Debt &lt; Tangible Book Value? Yes  No </t>
  </si>
  <si>
    <t>7) Is the current ratio &gt; 2 ? Yes  No </t>
  </si>
  <si>
    <t>8) Is debt ≤ 2X liquidation value? Yes  No </t>
  </si>
  <si>
    <t>9) Is earnings growth rate compounding at greater than 7% per year? Yes  No </t>
  </si>
  <si>
    <t>10) Have earnings been growing steadily over the last 10 years?</t>
  </si>
  <si>
    <t>QUALITATIVE CHECKLIST</t>
  </si>
  <si>
    <t>•2 annual reports</t>
  </si>
  <si>
    <t>•3 quarterly reports</t>
  </si>
  <si>
    <t>•specific attention to footnotes at the end of the report</t>
  </si>
  <si>
    <t>•managers discussion -consistency, candidness</t>
  </si>
  <si>
    <t>•2 letter to shareholders</t>
  </si>
  <si>
    <t>•compare words, numbers to annual report numbers</t>
  </si>
  <si>
    <t>•Latest proxy</t>
  </si>
  <si>
    <t>•CEO compensation (% of sales)</t>
  </si>
  <si>
    <t>•Greed factor (bonuses, reimbursements, planes, boats, family donations)</t>
  </si>
  <si>
    <t>•Insider ownership</t>
  </si>
  <si>
    <t>•Search CEO history, track record, personality</t>
  </si>
  <si>
    <t>PL READ AND FIND OUT</t>
  </si>
  <si>
    <t>Emotional Check</t>
  </si>
  <si>
    <t>• Write down how you are feeling</t>
  </si>
  <si>
    <t>• Beware of</t>
  </si>
  <si>
    <t>– wanting to just buy and study</t>
  </si>
  <si>
    <t>later</t>
  </si>
  <si>
    <t>– hindsight bias</t>
  </si>
  <si>
    <t>– overconfidence</t>
  </si>
  <si>
    <t>– obligation to buy due to amount</t>
  </si>
  <si>
    <t>of research</t>
  </si>
  <si>
    <t>– reluctance to accept differing</t>
  </si>
  <si>
    <t>opinions</t>
  </si>
  <si>
    <t>– social proof bias</t>
  </si>
  <si>
    <t>• If required, take a break and clear your</t>
  </si>
  <si>
    <t>mind. Get away from the excitement</t>
  </si>
  <si>
    <t>and noise.</t>
  </si>
  <si>
    <t>Final Evaluation</t>
  </si>
  <si>
    <t>• What can go wrong?</t>
  </si>
  <si>
    <t>• What are the risks? How likely are the</t>
  </si>
  <si>
    <t>risks?</t>
  </si>
  <si>
    <t>• How can you lose money?</t>
  </si>
  <si>
    <t>• How would you categorise this</t>
  </si>
  <si>
    <t>investment?</t>
  </si>
  <si>
    <t>• How attractive is this idea compared to</t>
  </si>
  <si>
    <t>the other holdings? (There can only be</t>
  </si>
  <si>
    <t>ONE best idea. Not 2 or 3.)</t>
  </si>
  <si>
    <t>• What is the expected holding time</t>
  </si>
  <si>
    <t>frame?</t>
  </si>
  <si>
    <t>• What should be the portfolio sizing?</t>
  </si>
  <si>
    <t>• What price will you sell?</t>
  </si>
  <si>
    <t>NPM</t>
  </si>
  <si>
    <t>TRAILING</t>
  </si>
  <si>
    <t>AVG</t>
  </si>
  <si>
    <t>BUFFET TEST FOR $1</t>
  </si>
  <si>
    <t>SSGR</t>
  </si>
  <si>
    <t>NFAT</t>
  </si>
  <si>
    <t>RETAINED EARNING</t>
  </si>
  <si>
    <t>DEP RATE</t>
  </si>
  <si>
    <t>PAT/SALES</t>
  </si>
  <si>
    <t>CAGR SALES</t>
  </si>
  <si>
    <t>CAGR NPM</t>
  </si>
  <si>
    <t>CAGR CFO</t>
  </si>
  <si>
    <t>CAGR SALES VOLUME</t>
  </si>
  <si>
    <t>5YEARS</t>
  </si>
  <si>
    <t>CAGR OP PROFIT</t>
  </si>
  <si>
    <t>TAX PAYOUT</t>
  </si>
  <si>
    <t>NET PROFIT</t>
  </si>
  <si>
    <t>PE INDUSTRY AVG</t>
  </si>
  <si>
    <t>PE RATIO</t>
  </si>
  <si>
    <t>STOCK AVG PE</t>
  </si>
  <si>
    <t>PEG RATIO</t>
  </si>
  <si>
    <t>PEG</t>
  </si>
  <si>
    <t>CHANGE IN CREDIT RATINGS</t>
  </si>
  <si>
    <t>LAST 1 YEAR</t>
  </si>
  <si>
    <t>LAST 2 YEARS</t>
  </si>
  <si>
    <t>LAST 3 YEARS</t>
  </si>
  <si>
    <t>COMPARISION WITH PEERS</t>
  </si>
  <si>
    <t>SALES GROWTH</t>
  </si>
  <si>
    <t>SALES</t>
  </si>
  <si>
    <t xml:space="preserve"> NPM %</t>
  </si>
  <si>
    <t>REMUNERATION</t>
  </si>
  <si>
    <t xml:space="preserve"> REMUNERTION/PAT</t>
  </si>
  <si>
    <t>ISSUE OF WARRANTS</t>
  </si>
  <si>
    <t>PRICE OF WARRANT</t>
  </si>
  <si>
    <t>PURPOSE OF WARRANT ISSUE</t>
  </si>
  <si>
    <t>ANY SURPRISE DECISION BY MANAGEMENT IN THE PAST STRONG OR WEAK</t>
  </si>
  <si>
    <t>YES</t>
  </si>
  <si>
    <t>NO</t>
  </si>
  <si>
    <t>DIVIDENDS ARE BEING PAID FROM FREE CASH OR DEBT</t>
  </si>
  <si>
    <t>DEPENDING UPON SUDDEN CHANGE IN SHARE PRICE</t>
  </si>
  <si>
    <t>ANY REVALUATION OF ASSTES BY THE PROMOTORES IN LAST 10 YEARS</t>
  </si>
  <si>
    <t>RECOGNITION OF REVENUES</t>
  </si>
  <si>
    <t>???</t>
  </si>
  <si>
    <t>ANY UN ACCOUNTED EXPENDITURE OR EARNING IN FINANCIAL STATEMENT</t>
  </si>
  <si>
    <t>CAGR DIVIDEND GROWTH</t>
  </si>
  <si>
    <t>DIVIDEND PAID</t>
  </si>
  <si>
    <t>REMUNERATION OF INDEPENDENT DIRECTORS</t>
  </si>
  <si>
    <t>HIGH</t>
  </si>
  <si>
    <t>LOW</t>
  </si>
  <si>
    <t>ARE INDEPENDENT DIRECTORS RELATED TO THE COMPANY</t>
  </si>
  <si>
    <t>CHANGE IN PLEDGED SHARES AND PROMOTERS HOLDINGS</t>
  </si>
  <si>
    <t>SALES PER DAY</t>
  </si>
  <si>
    <t>DAYS PAYABLE</t>
  </si>
  <si>
    <t>CFO/ASSETS</t>
  </si>
  <si>
    <t>IS GOVT REGULATING THE PRICES FOR THIS COMPANY</t>
  </si>
  <si>
    <t>COMPARATIVE ANALYSIS</t>
  </si>
  <si>
    <t>EPS GROWTH YOY</t>
  </si>
  <si>
    <t>SHORT DEBT</t>
  </si>
  <si>
    <t>LONG DEBT</t>
  </si>
  <si>
    <t>BVPS</t>
  </si>
  <si>
    <t>TOTAL SHARE</t>
  </si>
  <si>
    <t>TOTAL BV</t>
  </si>
  <si>
    <t>TOTAL DEBT</t>
  </si>
  <si>
    <t>RECEIVABLE DAYS OR DSO</t>
  </si>
  <si>
    <t>NET PROFIT W/O OTHER INCOME</t>
  </si>
  <si>
    <t>NET PAT WITHOUT OTHER INCOME</t>
  </si>
  <si>
    <t>CAPEX/REVENUE</t>
  </si>
  <si>
    <t>FCF/SHARE</t>
  </si>
  <si>
    <t>6.5</t>
  </si>
  <si>
    <t>10</t>
  </si>
  <si>
    <t>18</t>
  </si>
  <si>
    <t>9.5</t>
  </si>
  <si>
    <t>26</t>
  </si>
  <si>
    <t>FAMOUS PRODUCTS</t>
  </si>
  <si>
    <t>% OF SALES</t>
  </si>
  <si>
    <r>
      <t xml:space="preserve">PE ( </t>
    </r>
    <r>
      <rPr>
        <b/>
        <i/>
        <sz val="14"/>
        <color theme="1"/>
        <rFont val="Calibri"/>
        <family val="2"/>
        <scheme val="minor"/>
      </rPr>
      <t>COMPARE WITH PEERS</t>
    </r>
    <r>
      <rPr>
        <i/>
        <sz val="14"/>
        <color theme="1"/>
        <rFont val="Calibri"/>
        <family val="2"/>
        <scheme val="minor"/>
      </rPr>
      <t>)</t>
    </r>
  </si>
  <si>
    <t>CASH POSITION</t>
  </si>
  <si>
    <t>FCF/P</t>
  </si>
  <si>
    <t>CAGR INVENTORY GROWTH</t>
  </si>
  <si>
    <t>ANY PENSION PLANS</t>
  </si>
  <si>
    <t>SUSTAINABLE WITHOUT DEBT OR NOT</t>
  </si>
  <si>
    <t>CASH RETURN RATIO</t>
  </si>
  <si>
    <t>CAPITAL INTENSITY</t>
  </si>
  <si>
    <t>SOURCE OF GROWTH</t>
  </si>
  <si>
    <t>SELLING MORE PRODUCTS</t>
  </si>
  <si>
    <t>RAISING PRICE</t>
  </si>
  <si>
    <t>SELLING NEW GOODS/SERVICES</t>
  </si>
  <si>
    <t>BUYING OTHER COMPANIES</t>
  </si>
  <si>
    <t>SALES/ASSETS (ASSET TURNOVER)</t>
  </si>
  <si>
    <t>ASSETS/EQUITY (FIN LEVERAGE)</t>
  </si>
  <si>
    <t>ROIC</t>
  </si>
  <si>
    <t>WRITE DOWN THE BEAR CASES FOR THE COMPANY</t>
  </si>
  <si>
    <t>REMUNERATION OF PEERS</t>
  </si>
  <si>
    <t>REMUNERATION POLICY (COMMISSION SHOULD BE PART OF NET PROFIT)</t>
  </si>
  <si>
    <t>PERKS PAID TO EXECUTIVES BY THE COMPANY</t>
  </si>
  <si>
    <t>DISTR OF STOCK OPTION IN THE COMPANY</t>
  </si>
  <si>
    <t>IS IT EVEN</t>
  </si>
  <si>
    <t>MAJORITY IS GOING TO TOP BRASS</t>
  </si>
  <si>
    <t>LEVEL OF STOCKS HELD BY EXECUTIVES</t>
  </si>
  <si>
    <t>SERIAL ACQUIRERS</t>
  </si>
  <si>
    <t>TURNOVER RATE OF EMPLOYEES IN COMPANY ESPECIALLY CFO &amp; CEO &amp; AUDITORS</t>
  </si>
  <si>
    <t>RECEIVABLES VS SALES</t>
  </si>
  <si>
    <t>RECEIVABLES</t>
  </si>
  <si>
    <t>GROWTH</t>
  </si>
  <si>
    <t>EMPLOYEE STOCK OPTIONS &amp; ITS EFFECT ON TAX OF THE COMPANY</t>
  </si>
  <si>
    <t>WHAT ALL ITEMS HAVE BEEN CATEGORISED FOR DEPRECIATION</t>
  </si>
  <si>
    <t>PRICE TO SALES</t>
  </si>
  <si>
    <t>SALES PER SHARE</t>
  </si>
  <si>
    <t>EPS(W/O OTHER INCOME)</t>
  </si>
  <si>
    <t>PE(W/O OTHER INCOME)</t>
  </si>
  <si>
    <t>PEG(W/O OTHER INCOME)</t>
  </si>
  <si>
    <t>LONG TERM BORROWING</t>
  </si>
  <si>
    <t>CASH RETURN</t>
  </si>
  <si>
    <t>GROWTH RATE</t>
  </si>
  <si>
    <t>DILUTION OF SHARES</t>
  </si>
  <si>
    <t>THREE-STAGE DIVIDEND DISCOUNT MODEL</t>
  </si>
  <si>
    <t>This model is designed to value the equity in a firm with three stages of</t>
  </si>
  <si>
    <t>growth - an initial period of high growth, a transition period of declining</t>
  </si>
  <si>
    <t>growth and a final period of stable growth.</t>
  </si>
  <si>
    <t>Assumptions</t>
  </si>
  <si>
    <t>1. The firm is assumed to be in an extraordinary growth phase currently.</t>
  </si>
  <si>
    <t>2. This extraordinary growth is expected to last for an initial period that has to be specified.</t>
  </si>
  <si>
    <t>3. The growth rate declines linearly over the transition period to a stable growth rate.</t>
  </si>
  <si>
    <t>4. The firm's dividend payout ratio changes consistently with the growth rate.</t>
  </si>
  <si>
    <t>The user should enter the following inputs:</t>
  </si>
  <si>
    <t>1. Length of each growth phase</t>
  </si>
  <si>
    <t>2. Growth rate in each growth phase</t>
  </si>
  <si>
    <t>3. Dividend payout ratios in each growth phase.</t>
  </si>
  <si>
    <t>4. Costs of Equity in each growth phase</t>
  </si>
  <si>
    <t>Inputs to the model</t>
  </si>
  <si>
    <t>Current Earnings per share =</t>
  </si>
  <si>
    <t>(in currency)</t>
  </si>
  <si>
    <t>Current Dividends per share =</t>
  </si>
  <si>
    <t>Do you want to enter cost of equity directly?</t>
  </si>
  <si>
    <t>yes</t>
  </si>
  <si>
    <t>(Yes or No)</t>
  </si>
  <si>
    <t>If yes, enter the cost of equity =</t>
  </si>
  <si>
    <t>(in percent)</t>
  </si>
  <si>
    <t>If no, enter the inputs to the cost of equity</t>
  </si>
  <si>
    <t>Beta of the stock =</t>
  </si>
  <si>
    <t>Riskfree rate=</t>
  </si>
  <si>
    <t>Risk Premium=</t>
  </si>
  <si>
    <t>Growth Rate during the initial high growth phase</t>
  </si>
  <si>
    <t>Enter length of extraordinary growth period =</t>
  </si>
  <si>
    <t>(in years)</t>
  </si>
  <si>
    <t>Do you want to use the historical growth rate?</t>
  </si>
  <si>
    <t>Yes</t>
  </si>
  <si>
    <t>If yes, enter EPS from five years ago =</t>
  </si>
  <si>
    <t>Do you have an outside estimate of growth ?</t>
  </si>
  <si>
    <t>If yes, enter the estimated growth:</t>
  </si>
  <si>
    <t>Do you want to calculate the growth rate from fundamentals?</t>
  </si>
  <si>
    <t>No</t>
  </si>
  <si>
    <t>If yes, enter the following inputs:</t>
  </si>
  <si>
    <t>Net Income Currently =</t>
  </si>
  <si>
    <t>Last year</t>
  </si>
  <si>
    <t>Book Value of Equity =</t>
  </si>
  <si>
    <t>Tax Rate on Income=</t>
  </si>
  <si>
    <t>The following will be the inputs to the fundamental growth formulation:</t>
  </si>
  <si>
    <t>ROE =</t>
  </si>
  <si>
    <t>Retention =</t>
  </si>
  <si>
    <t>Do you want to change any of these inputs for the high growth period?</t>
  </si>
  <si>
    <t>If yes, specify the values for these inputs (Please enter all variables)</t>
  </si>
  <si>
    <t>Do you want to change any of these inputs for the stable growth period?</t>
  </si>
  <si>
    <t xml:space="preserve">If yes, specify the values for these inputs </t>
  </si>
  <si>
    <t>Specify weights to be assigned to each of these growth rates:</t>
  </si>
  <si>
    <t>Historical Growth Rate  =</t>
  </si>
  <si>
    <t>Outside Prediction of Growth =</t>
  </si>
  <si>
    <t>Fundamental Estimate of Growth =</t>
  </si>
  <si>
    <t>Growth Rate during the transition period</t>
  </si>
  <si>
    <t>Enter length of the transition period =</t>
  </si>
  <si>
    <t>Do you want the payout ratio to adjust gradually to stable payout?</t>
  </si>
  <si>
    <t>If no, enter the payout ratio for the transition period =</t>
  </si>
  <si>
    <t>Do you want the beta to adjust gradually to stable beta?</t>
  </si>
  <si>
    <t>If no, enter the beta for the transition period =</t>
  </si>
  <si>
    <t>Growth Rate during the stable phase</t>
  </si>
  <si>
    <t>Enter growth rate in stable growth period?</t>
  </si>
  <si>
    <t>Stable payout ratio from fundamentals is =</t>
  </si>
  <si>
    <t>Do you want to change this payout ratio?</t>
  </si>
  <si>
    <t>If yes, enter the stable payout ratio=</t>
  </si>
  <si>
    <t>Will the beta to change in the stable period?</t>
  </si>
  <si>
    <t>If yes, enter the beta for stable period =</t>
  </si>
  <si>
    <t>Output from the program</t>
  </si>
  <si>
    <t>Initial High Growth Phase</t>
  </si>
  <si>
    <t>Cost of Equity =</t>
  </si>
  <si>
    <t>Current Earnings per share=</t>
  </si>
  <si>
    <t>Growth Rate in Earnings per share - Initial High Growth phase</t>
  </si>
  <si>
    <t>Growth Rate</t>
  </si>
  <si>
    <t>Weight</t>
  </si>
  <si>
    <t>Historical Growth =</t>
  </si>
  <si>
    <t>Outside Estimates =</t>
  </si>
  <si>
    <t>Fundamental Growth =</t>
  </si>
  <si>
    <t>Weighted Average</t>
  </si>
  <si>
    <t>Payout Ratio for high growth phase=</t>
  </si>
  <si>
    <t>The dividends for the high growth phase are shown below (upto 10 years)</t>
  </si>
  <si>
    <t>Earnings</t>
  </si>
  <si>
    <t>Dividends</t>
  </si>
  <si>
    <t>Transition period (upto ten years)</t>
  </si>
  <si>
    <t>Payout Ratio</t>
  </si>
  <si>
    <t>Beta</t>
  </si>
  <si>
    <t xml:space="preserve">Cost of Equity </t>
  </si>
  <si>
    <t xml:space="preserve"> Stable Growth Phase</t>
  </si>
  <si>
    <t>Growth Rate in Stable Phase =</t>
  </si>
  <si>
    <t>Payout Ratio in Stable Phase =</t>
  </si>
  <si>
    <t>Cost of Equity in Stable Phase =</t>
  </si>
  <si>
    <t>Price at the end of growth phase =</t>
  </si>
  <si>
    <t>Present Value of dividends in high growth phase =</t>
  </si>
  <si>
    <t>Present Value of dividends in transition phase =</t>
  </si>
  <si>
    <t>Present Value of Terminal Price =</t>
  </si>
  <si>
    <t>Value of the stock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</si>
</sst>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quot;#,##0_);[Red]\(&quot;$&quot;#,##0\)"/>
    <numFmt numFmtId="165" formatCode="_(* #,##0.00_);_(* \(#,##0.00\);_(* &quot;-&quot;??_);_(@_)"/>
    <numFmt numFmtId="166" formatCode="[$-409]mmm\-yy;@"/>
    <numFmt numFmtId="167" formatCode="_(* #,##0_);_(* \(#,##0\);_(* &quot;-&quot;??_);_(@_)"/>
    <numFmt numFmtId="168" formatCode="_(* #,##0.0_);_(* \(#,##0.0\);_(* &quot;-&quot;??_);_(@_)"/>
    <numFmt numFmtId="169" formatCode="[$-409]mmm/yy;@"/>
    <numFmt numFmtId="170" formatCode="_ * #,##0.0_ ;_ * \-#,##0.0_ ;_ * &quot;-&quot;??_ ;_ @_ "/>
    <numFmt numFmtId="171" formatCode="_ * #,##0_ ;_ * \-#,##0_ ;_ * &quot;-&quot;??_ ;_ @_ "/>
    <numFmt numFmtId="172" formatCode="0.0%"/>
    <numFmt numFmtId="173" formatCode="#,##0.000_);[Red]\(#,##0.000\)"/>
    <numFmt numFmtId="174" formatCode="0.0000%"/>
    <numFmt numFmtId="175" formatCode="_(&quot;$&quot;* #,##0.00_);_(&quot;$&quot;* \(#,##0.00\);_(&quot;$&quot;* &quot;-&quot;??_);_(@_)"/>
    <numFmt numFmtId="176" formatCode="&quot;$&quot;#,##0.000;[Red]&quot;$&quot;#,##0.000"/>
    <numFmt numFmtId="177" formatCode="0.000%"/>
    <numFmt numFmtId="178" formatCode="&quot;$&quot;#,##0"/>
    <numFmt numFmtId="179" formatCode="0.000"/>
    <numFmt numFmtId="180" formatCode="&quot;$&quot;#,##0;[Red]&quot;$&quot;#,##0"/>
    <numFmt numFmtId="181" formatCode="&quot;$&quot;#,##0.000"/>
    <numFmt numFmtId="182" formatCode="&quot;$&quot;#,##0.00_);[Red]\(&quot;$&quot;#,##0.00\)"/>
  </numFmts>
  <fonts count="10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5"/>
      <color theme="1"/>
      <name val="Arial"/>
      <family val="2"/>
    </font>
    <font>
      <b/>
      <sz val="10"/>
      <color theme="1"/>
      <name val="Arial"/>
      <family val="2"/>
    </font>
    <font>
      <sz val="10"/>
      <color theme="1"/>
      <name val="Arial"/>
      <family val="2"/>
    </font>
    <font>
      <b/>
      <sz val="10"/>
      <color theme="0"/>
      <name val="Arial"/>
      <family val="2"/>
    </font>
    <font>
      <i/>
      <sz val="10"/>
      <color theme="1"/>
      <name val="Arial"/>
      <family val="2"/>
    </font>
    <font>
      <sz val="10"/>
      <color theme="0"/>
      <name val="Arial"/>
      <family val="2"/>
    </font>
    <font>
      <sz val="10"/>
      <name val="Arial"/>
      <family val="2"/>
    </font>
    <font>
      <u/>
      <sz val="10"/>
      <color theme="10"/>
      <name val="Arial"/>
      <family val="2"/>
    </font>
    <font>
      <sz val="9"/>
      <color indexed="81"/>
      <name val="Tahoma"/>
      <family val="2"/>
    </font>
    <font>
      <b/>
      <sz val="9"/>
      <color indexed="81"/>
      <name val="Tahoma"/>
      <family val="2"/>
    </font>
    <font>
      <b/>
      <sz val="12"/>
      <color theme="1"/>
      <name val="Arial"/>
      <family val="2"/>
    </font>
    <font>
      <sz val="10"/>
      <color rgb="FFC00000"/>
      <name val="Arial"/>
      <family val="2"/>
    </font>
    <font>
      <b/>
      <sz val="10"/>
      <color theme="1" tint="0.14999847407452621"/>
      <name val="Arial"/>
      <family val="2"/>
    </font>
    <font>
      <sz val="10"/>
      <color theme="1" tint="0.14999847407452621"/>
      <name val="Arial"/>
      <family val="2"/>
    </font>
    <font>
      <i/>
      <sz val="10"/>
      <color theme="0"/>
      <name val="Arial"/>
      <family val="2"/>
    </font>
    <font>
      <b/>
      <i/>
      <sz val="9"/>
      <color indexed="81"/>
      <name val="Tahoma"/>
      <family val="2"/>
    </font>
    <font>
      <b/>
      <sz val="10"/>
      <name val="Arial"/>
      <family val="2"/>
    </font>
    <font>
      <i/>
      <sz val="10"/>
      <color rgb="FFC00000"/>
      <name val="Arial"/>
      <family val="2"/>
    </font>
    <font>
      <b/>
      <sz val="10"/>
      <color rgb="FFC00000"/>
      <name val="Arial"/>
      <family val="2"/>
    </font>
    <font>
      <b/>
      <i/>
      <sz val="10"/>
      <color theme="1"/>
      <name val="Arial"/>
      <family val="2"/>
    </font>
    <font>
      <sz val="10"/>
      <color theme="1"/>
      <name val="Calibri"/>
      <family val="2"/>
      <scheme val="minor"/>
    </font>
    <font>
      <i/>
      <u/>
      <sz val="10"/>
      <color rgb="FF0000FF"/>
      <name val="Arial"/>
      <family val="2"/>
    </font>
    <font>
      <b/>
      <i/>
      <u/>
      <sz val="10"/>
      <color rgb="FF0000FF"/>
      <name val="Arial"/>
      <family val="2"/>
    </font>
    <font>
      <i/>
      <sz val="10"/>
      <color rgb="FF0000FF"/>
      <name val="Arial"/>
      <family val="2"/>
    </font>
    <font>
      <sz val="10"/>
      <color theme="1"/>
      <name val="Arial"/>
      <family val="2"/>
    </font>
    <font>
      <b/>
      <sz val="10"/>
      <color theme="1"/>
      <name val="Arial"/>
      <family val="2"/>
    </font>
    <font>
      <b/>
      <sz val="10"/>
      <color theme="0"/>
      <name val="Arial"/>
      <family val="2"/>
    </font>
    <font>
      <i/>
      <sz val="10"/>
      <color theme="1"/>
      <name val="Arial"/>
      <family val="2"/>
    </font>
    <font>
      <i/>
      <sz val="9"/>
      <color indexed="81"/>
      <name val="Tahoma"/>
      <family val="2"/>
    </font>
    <font>
      <b/>
      <sz val="10"/>
      <color theme="1"/>
      <name val="Arial"/>
      <family val="2"/>
    </font>
    <font>
      <sz val="10"/>
      <color theme="1"/>
      <name val="Arial"/>
      <family val="2"/>
    </font>
    <font>
      <sz val="20"/>
      <color theme="1"/>
      <name val="Arial Black"/>
      <family val="2"/>
    </font>
    <font>
      <b/>
      <sz val="10"/>
      <color theme="1"/>
      <name val="Arial"/>
      <family val="2"/>
    </font>
    <font>
      <sz val="10"/>
      <color theme="1"/>
      <name val="Arial"/>
      <family val="2"/>
    </font>
    <font>
      <b/>
      <sz val="10"/>
      <color theme="0"/>
      <name val="Arial"/>
      <family val="2"/>
    </font>
    <font>
      <sz val="10"/>
      <color theme="0"/>
      <name val="Arial"/>
      <family val="2"/>
    </font>
    <font>
      <i/>
      <sz val="10"/>
      <color theme="1"/>
      <name val="Arial"/>
      <family val="2"/>
    </font>
    <font>
      <b/>
      <i/>
      <sz val="10"/>
      <color rgb="FFC00000"/>
      <name val="Arial"/>
      <family val="2"/>
    </font>
    <font>
      <b/>
      <u/>
      <sz val="12"/>
      <color rgb="FF0000FF"/>
      <name val="Arial"/>
      <family val="2"/>
    </font>
    <font>
      <b/>
      <sz val="15"/>
      <color theme="1"/>
      <name val="Arial"/>
      <family val="2"/>
    </font>
    <font>
      <sz val="10"/>
      <color theme="1"/>
      <name val="Arial"/>
      <family val="2"/>
    </font>
    <font>
      <b/>
      <u/>
      <sz val="12"/>
      <color rgb="FF0000FF"/>
      <name val="Arial"/>
      <family val="2"/>
    </font>
    <font>
      <b/>
      <sz val="12"/>
      <color rgb="FFC00000"/>
      <name val="Arial"/>
      <family val="2"/>
    </font>
    <font>
      <i/>
      <sz val="11"/>
      <color theme="1"/>
      <name val="Calibri"/>
      <family val="2"/>
      <scheme val="minor"/>
    </font>
    <font>
      <i/>
      <sz val="10"/>
      <color theme="1"/>
      <name val="Arial"/>
      <family val="2"/>
    </font>
    <font>
      <b/>
      <sz val="12"/>
      <name val="Arial"/>
      <family val="2"/>
    </font>
    <font>
      <sz val="12"/>
      <name val="Arial"/>
      <family val="2"/>
    </font>
    <font>
      <b/>
      <u/>
      <sz val="12"/>
      <name val="Arial"/>
      <family val="2"/>
    </font>
    <font>
      <b/>
      <sz val="12"/>
      <name val="Calibri"/>
      <family val="2"/>
    </font>
    <font>
      <b/>
      <u/>
      <sz val="10"/>
      <name val="Arial"/>
      <family val="2"/>
    </font>
    <font>
      <sz val="11"/>
      <color rgb="FF333333"/>
      <name val="Arial"/>
      <family val="2"/>
    </font>
    <font>
      <b/>
      <u/>
      <sz val="18"/>
      <color rgb="FFFF0000"/>
      <name val="Calibri"/>
      <family val="2"/>
      <scheme val="minor"/>
    </font>
    <font>
      <b/>
      <u/>
      <sz val="22"/>
      <color rgb="FFFF0000"/>
      <name val="Calibri"/>
      <family val="2"/>
      <scheme val="minor"/>
    </font>
    <font>
      <b/>
      <sz val="20"/>
      <color rgb="FFFF0000"/>
      <name val="Calibri"/>
      <family val="2"/>
      <scheme val="minor"/>
    </font>
    <font>
      <sz val="11"/>
      <color rgb="FFFF0000"/>
      <name val="Calibri"/>
      <family val="2"/>
      <scheme val="minor"/>
    </font>
    <font>
      <b/>
      <u/>
      <sz val="24"/>
      <color rgb="FFFF0000"/>
      <name val="Calibri"/>
      <family val="2"/>
      <scheme val="minor"/>
    </font>
    <font>
      <b/>
      <u/>
      <sz val="14"/>
      <color theme="1"/>
      <name val="Calibri"/>
      <family val="2"/>
      <scheme val="minor"/>
    </font>
    <font>
      <b/>
      <u/>
      <sz val="20"/>
      <color theme="1"/>
      <name val="Calibri"/>
      <family val="2"/>
      <scheme val="minor"/>
    </font>
    <font>
      <sz val="14"/>
      <color theme="1"/>
      <name val="Calibri"/>
      <family val="2"/>
      <scheme val="minor"/>
    </font>
    <font>
      <b/>
      <sz val="18"/>
      <color theme="1"/>
      <name val="Calibri"/>
      <family val="2"/>
      <scheme val="minor"/>
    </font>
    <font>
      <b/>
      <u/>
      <sz val="20"/>
      <color rgb="FFFF0000"/>
      <name val="Calibri"/>
      <family val="2"/>
      <scheme val="minor"/>
    </font>
    <font>
      <b/>
      <i/>
      <sz val="11"/>
      <color theme="1"/>
      <name val="Calibri"/>
      <family val="2"/>
      <scheme val="minor"/>
    </font>
    <font>
      <b/>
      <i/>
      <sz val="16"/>
      <color theme="1"/>
      <name val="Calibri"/>
      <family val="2"/>
      <scheme val="minor"/>
    </font>
    <font>
      <sz val="12"/>
      <color theme="1"/>
      <name val="Arial"/>
      <family val="2"/>
    </font>
    <font>
      <b/>
      <i/>
      <sz val="14"/>
      <color theme="1"/>
      <name val="Calibri"/>
      <family val="2"/>
      <scheme val="minor"/>
    </font>
    <font>
      <i/>
      <sz val="14"/>
      <color theme="1"/>
      <name val="Calibri"/>
      <family val="2"/>
      <scheme val="minor"/>
    </font>
    <font>
      <b/>
      <i/>
      <u/>
      <sz val="16"/>
      <color rgb="FFFF0000"/>
      <name val="Calibri"/>
      <family val="2"/>
      <scheme val="minor"/>
    </font>
    <font>
      <b/>
      <i/>
      <sz val="12"/>
      <name val="Calibri"/>
      <family val="2"/>
      <scheme val="minor"/>
    </font>
    <font>
      <b/>
      <i/>
      <sz val="14"/>
      <color theme="0"/>
      <name val="Arial"/>
      <family val="2"/>
    </font>
    <font>
      <sz val="8"/>
      <color rgb="FF333333"/>
      <name val="Verdana"/>
      <family val="2"/>
    </font>
    <font>
      <b/>
      <i/>
      <sz val="12"/>
      <color theme="0"/>
      <name val="Arial"/>
      <family val="2"/>
    </font>
    <font>
      <b/>
      <i/>
      <sz val="12"/>
      <color theme="1"/>
      <name val="Arial"/>
      <family val="2"/>
    </font>
    <font>
      <b/>
      <i/>
      <sz val="14"/>
      <color theme="1"/>
      <name val="Arial"/>
      <family val="2"/>
    </font>
    <font>
      <b/>
      <i/>
      <u/>
      <sz val="14"/>
      <color theme="1"/>
      <name val="Calibri"/>
      <family val="2"/>
      <scheme val="minor"/>
    </font>
    <font>
      <b/>
      <sz val="11"/>
      <color rgb="FF333333"/>
      <name val="Arial"/>
      <family val="2"/>
    </font>
    <font>
      <b/>
      <sz val="14"/>
      <color theme="1"/>
      <name val="Calibri"/>
      <family val="2"/>
      <scheme val="minor"/>
    </font>
    <font>
      <i/>
      <sz val="12"/>
      <color theme="1"/>
      <name val="Arial"/>
      <family val="2"/>
    </font>
    <font>
      <b/>
      <i/>
      <sz val="14"/>
      <color rgb="FF333333"/>
      <name val="Arial"/>
      <family val="2"/>
    </font>
    <font>
      <b/>
      <i/>
      <u/>
      <sz val="14"/>
      <name val="Calibri"/>
      <family val="2"/>
    </font>
    <font>
      <sz val="8"/>
      <color rgb="FF000000"/>
      <name val="Verdana"/>
      <family val="2"/>
    </font>
    <font>
      <b/>
      <sz val="14"/>
      <name val="Calibri"/>
      <family val="2"/>
    </font>
    <font>
      <b/>
      <sz val="14"/>
      <color rgb="FF333333"/>
      <name val="Arial"/>
      <family val="2"/>
    </font>
    <font>
      <sz val="16"/>
      <color theme="1"/>
      <name val="Calibri"/>
      <family val="2"/>
      <scheme val="minor"/>
    </font>
    <font>
      <b/>
      <i/>
      <sz val="16"/>
      <color rgb="FFFF0000"/>
      <name val="Calibri"/>
      <family val="2"/>
      <scheme val="minor"/>
    </font>
    <font>
      <b/>
      <sz val="12"/>
      <color theme="1"/>
      <name val="Calibri"/>
      <family val="2"/>
      <scheme val="minor"/>
    </font>
    <font>
      <sz val="10"/>
      <name val="Geneva"/>
    </font>
    <font>
      <sz val="18"/>
      <name val="Times"/>
    </font>
    <font>
      <sz val="14"/>
      <name val="Times"/>
    </font>
    <font>
      <b/>
      <sz val="12"/>
      <name val="Times"/>
    </font>
    <font>
      <sz val="10"/>
      <name val="Times"/>
    </font>
    <font>
      <b/>
      <sz val="10"/>
      <name val="Times"/>
    </font>
    <font>
      <i/>
      <sz val="10"/>
      <name val="Times"/>
    </font>
    <font>
      <sz val="12"/>
      <name val="Times"/>
    </font>
    <font>
      <b/>
      <sz val="10"/>
      <color rgb="FFFF0000"/>
      <name val="Times"/>
    </font>
  </fonts>
  <fills count="37">
    <fill>
      <patternFill patternType="none"/>
    </fill>
    <fill>
      <patternFill patternType="gray125"/>
    </fill>
    <fill>
      <patternFill patternType="solid">
        <fgColor theme="9"/>
      </patternFill>
    </fill>
    <fill>
      <patternFill patternType="solid">
        <fgColor rgb="FF0275D8"/>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rgb="FF00B05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0B0F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rgb="FF0070C0"/>
        <bgColor indexed="64"/>
      </patternFill>
    </fill>
    <fill>
      <patternFill patternType="solid">
        <fgColor rgb="FFFDFDFD"/>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F9F9F9"/>
        <bgColor indexed="64"/>
      </patternFill>
    </fill>
    <fill>
      <patternFill patternType="solid">
        <fgColor rgb="FFF5F5F5"/>
        <bgColor indexed="64"/>
      </patternFill>
    </fill>
    <fill>
      <patternFill patternType="solid">
        <fgColor rgb="FFFFC000"/>
        <bgColor indexed="64"/>
      </patternFill>
    </fill>
    <fill>
      <patternFill patternType="solid">
        <fgColor indexed="1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rgb="FFDDDDDD"/>
      </left>
      <right style="medium">
        <color rgb="FFDDDDDD"/>
      </right>
      <top style="medium">
        <color rgb="FFDDDDDD"/>
      </top>
      <bottom style="medium">
        <color rgb="FFDDDDDD"/>
      </bottom>
      <diagonal/>
    </border>
    <border>
      <left/>
      <right/>
      <top style="medium">
        <color rgb="FFCCCCCC"/>
      </top>
      <bottom/>
      <diagonal/>
    </border>
    <border>
      <left/>
      <right/>
      <top/>
      <bottom style="thick">
        <color rgb="FFDDDDDD"/>
      </bottom>
      <diagonal/>
    </border>
    <border>
      <left/>
      <right/>
      <top style="medium">
        <color rgb="FFDDDDDD"/>
      </top>
      <bottom/>
      <diagonal/>
    </border>
  </borders>
  <cellStyleXfs count="12">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4" fillId="2" borderId="0" applyNumberFormat="0" applyBorder="0" applyAlignment="0" applyProtection="0"/>
    <xf numFmtId="9" fontId="2" fillId="0" borderId="0" applyFont="0" applyFill="0" applyBorder="0" applyAlignment="0" applyProtection="0"/>
    <xf numFmtId="0" fontId="13" fillId="0" borderId="0"/>
    <xf numFmtId="175"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0" fontId="92" fillId="0" borderId="0"/>
    <xf numFmtId="182" fontId="92" fillId="0" borderId="0" applyFont="0" applyFill="0" applyBorder="0" applyAlignment="0" applyProtection="0"/>
    <xf numFmtId="9" fontId="92" fillId="0" borderId="0" applyFont="0" applyFill="0" applyBorder="0" applyAlignment="0" applyProtection="0"/>
  </cellStyleXfs>
  <cellXfs count="880">
    <xf numFmtId="0" fontId="0" fillId="0" borderId="0" xfId="0"/>
    <xf numFmtId="0" fontId="1" fillId="0" borderId="0" xfId="0" applyFont="1" applyBorder="1"/>
    <xf numFmtId="0" fontId="0" fillId="0" borderId="0" xfId="0" applyBorder="1"/>
    <xf numFmtId="0" fontId="6" fillId="0" borderId="0" xfId="0" applyFont="1" applyBorder="1"/>
    <xf numFmtId="0" fontId="0" fillId="0" borderId="0" xfId="0" applyBorder="1" applyAlignment="1">
      <alignment horizontal="left"/>
    </xf>
    <xf numFmtId="0" fontId="5" fillId="0" borderId="0" xfId="2" applyFont="1" applyBorder="1" applyAlignment="1" applyProtection="1">
      <alignment horizontal="left"/>
    </xf>
    <xf numFmtId="0" fontId="5" fillId="0" borderId="0" xfId="2" applyFont="1" applyBorder="1" applyAlignment="1" applyProtection="1"/>
    <xf numFmtId="0" fontId="8" fillId="0" borderId="0" xfId="0" applyFont="1" applyBorder="1"/>
    <xf numFmtId="0" fontId="9" fillId="0" borderId="0" xfId="0" applyFont="1"/>
    <xf numFmtId="166" fontId="10" fillId="3" borderId="0" xfId="0" applyNumberFormat="1" applyFont="1" applyFill="1" applyBorder="1" applyAlignment="1">
      <alignment horizontal="center"/>
    </xf>
    <xf numFmtId="0" fontId="8" fillId="0" borderId="0" xfId="0" applyFont="1" applyFill="1" applyBorder="1"/>
    <xf numFmtId="43" fontId="8" fillId="0" borderId="0" xfId="1" applyFont="1" applyBorder="1"/>
    <xf numFmtId="0" fontId="11" fillId="0" borderId="0" xfId="0" applyFont="1" applyBorder="1"/>
    <xf numFmtId="0" fontId="9" fillId="0" borderId="0" xfId="0" applyFont="1" applyBorder="1"/>
    <xf numFmtId="43" fontId="9" fillId="0" borderId="0" xfId="1" applyFont="1" applyBorder="1"/>
    <xf numFmtId="0" fontId="9" fillId="0" borderId="1" xfId="0" applyFont="1" applyBorder="1"/>
    <xf numFmtId="167" fontId="9" fillId="5" borderId="1" xfId="1" applyNumberFormat="1" applyFont="1" applyFill="1" applyBorder="1" applyAlignment="1">
      <alignment horizontal="right"/>
    </xf>
    <xf numFmtId="0" fontId="9" fillId="0" borderId="0" xfId="0" applyFont="1" applyFill="1"/>
    <xf numFmtId="0" fontId="9" fillId="5" borderId="1" xfId="0" applyFont="1" applyFill="1" applyBorder="1" applyAlignment="1">
      <alignment horizontal="right"/>
    </xf>
    <xf numFmtId="169" fontId="9" fillId="5" borderId="1" xfId="0" applyNumberFormat="1" applyFont="1" applyFill="1" applyBorder="1" applyAlignment="1">
      <alignment horizontal="right"/>
    </xf>
    <xf numFmtId="0" fontId="9" fillId="5" borderId="0" xfId="0" applyFont="1" applyFill="1" applyAlignment="1">
      <alignment horizontal="right"/>
    </xf>
    <xf numFmtId="168" fontId="9" fillId="5" borderId="1" xfId="1" applyNumberFormat="1" applyFont="1" applyFill="1" applyBorder="1" applyAlignment="1">
      <alignment horizontal="right"/>
    </xf>
    <xf numFmtId="0" fontId="8" fillId="0" borderId="0" xfId="0" applyFont="1"/>
    <xf numFmtId="167" fontId="9" fillId="0" borderId="0" xfId="1" applyNumberFormat="1" applyFont="1"/>
    <xf numFmtId="0" fontId="9" fillId="0" borderId="0" xfId="0" applyFont="1" applyAlignment="1">
      <alignment horizontal="right"/>
    </xf>
    <xf numFmtId="9" fontId="9" fillId="0" borderId="0" xfId="4" applyFont="1"/>
    <xf numFmtId="0" fontId="8" fillId="0" borderId="0" xfId="0" applyFont="1" applyFill="1" applyBorder="1" applyAlignment="1"/>
    <xf numFmtId="0" fontId="9" fillId="0" borderId="0" xfId="0" applyFont="1" applyFill="1" applyBorder="1"/>
    <xf numFmtId="0" fontId="13" fillId="0" borderId="0" xfId="0" applyFont="1" applyFill="1" applyBorder="1"/>
    <xf numFmtId="166" fontId="10" fillId="3" borderId="0" xfId="1" applyNumberFormat="1" applyFont="1" applyFill="1" applyBorder="1"/>
    <xf numFmtId="166" fontId="13" fillId="0" borderId="0" xfId="1" applyNumberFormat="1" applyFont="1" applyFill="1" applyBorder="1"/>
    <xf numFmtId="165" fontId="9" fillId="0" borderId="0" xfId="1" applyNumberFormat="1" applyFont="1" applyBorder="1"/>
    <xf numFmtId="9" fontId="9" fillId="5" borderId="1" xfId="4" applyFont="1" applyFill="1" applyBorder="1" applyAlignment="1">
      <alignment horizontal="right"/>
    </xf>
    <xf numFmtId="171" fontId="9" fillId="0" borderId="1" xfId="1" applyNumberFormat="1" applyFont="1" applyBorder="1"/>
    <xf numFmtId="171" fontId="9" fillId="0" borderId="0" xfId="0" applyNumberFormat="1" applyFont="1"/>
    <xf numFmtId="171" fontId="9" fillId="0" borderId="1" xfId="1" applyNumberFormat="1" applyFont="1" applyBorder="1" applyAlignment="1">
      <alignment horizontal="right"/>
    </xf>
    <xf numFmtId="171" fontId="9" fillId="0" borderId="1" xfId="0" applyNumberFormat="1" applyFont="1" applyBorder="1"/>
    <xf numFmtId="171" fontId="9" fillId="5" borderId="1" xfId="1" applyNumberFormat="1" applyFont="1" applyFill="1" applyBorder="1" applyAlignment="1">
      <alignment horizontal="right"/>
    </xf>
    <xf numFmtId="0" fontId="8" fillId="0" borderId="0" xfId="0" quotePrefix="1" applyFont="1" applyFill="1" applyBorder="1"/>
    <xf numFmtId="171" fontId="9" fillId="0" borderId="0" xfId="1" applyNumberFormat="1" applyFont="1" applyFill="1" applyBorder="1" applyAlignment="1">
      <alignment horizontal="right"/>
    </xf>
    <xf numFmtId="0" fontId="9" fillId="0" borderId="1" xfId="0" applyFont="1" applyFill="1" applyBorder="1"/>
    <xf numFmtId="171" fontId="9" fillId="0" borderId="1" xfId="1" applyNumberFormat="1" applyFont="1" applyFill="1" applyBorder="1" applyAlignment="1">
      <alignment horizontal="right"/>
    </xf>
    <xf numFmtId="171" fontId="9" fillId="0" borderId="1" xfId="1" applyNumberFormat="1" applyFont="1" applyFill="1" applyBorder="1"/>
    <xf numFmtId="171" fontId="9" fillId="0" borderId="1" xfId="0" applyNumberFormat="1" applyFont="1" applyFill="1" applyBorder="1"/>
    <xf numFmtId="43" fontId="9" fillId="0" borderId="1" xfId="1" applyNumberFormat="1" applyFont="1" applyFill="1" applyBorder="1"/>
    <xf numFmtId="0" fontId="9" fillId="0" borderId="1" xfId="0" quotePrefix="1" applyFont="1" applyBorder="1"/>
    <xf numFmtId="9" fontId="9" fillId="0" borderId="1" xfId="0" applyNumberFormat="1" applyFont="1" applyBorder="1" applyAlignment="1">
      <alignment horizontal="center"/>
    </xf>
    <xf numFmtId="171" fontId="9" fillId="7" borderId="1" xfId="1" applyNumberFormat="1" applyFont="1" applyFill="1" applyBorder="1"/>
    <xf numFmtId="171" fontId="9" fillId="7" borderId="1" xfId="0" applyNumberFormat="1" applyFont="1" applyFill="1" applyBorder="1"/>
    <xf numFmtId="9" fontId="9" fillId="7" borderId="1" xfId="4" applyFont="1" applyFill="1" applyBorder="1"/>
    <xf numFmtId="167" fontId="9" fillId="7" borderId="1" xfId="1" applyNumberFormat="1" applyFont="1" applyFill="1" applyBorder="1" applyAlignment="1">
      <alignment horizontal="right"/>
    </xf>
    <xf numFmtId="168" fontId="9" fillId="0" borderId="1" xfId="1" applyNumberFormat="1" applyFont="1" applyFill="1" applyBorder="1" applyAlignment="1">
      <alignment horizontal="right"/>
    </xf>
    <xf numFmtId="0" fontId="8" fillId="8" borderId="1" xfId="0" applyFont="1" applyFill="1" applyBorder="1"/>
    <xf numFmtId="169" fontId="8" fillId="8" borderId="1" xfId="0" applyNumberFormat="1" applyFont="1" applyFill="1" applyBorder="1" applyAlignment="1">
      <alignment horizontal="right"/>
    </xf>
    <xf numFmtId="0" fontId="8" fillId="8" borderId="1" xfId="0" applyFont="1" applyFill="1" applyBorder="1" applyAlignment="1">
      <alignment horizontal="center"/>
    </xf>
    <xf numFmtId="0" fontId="8" fillId="8" borderId="1" xfId="0" applyFont="1" applyFill="1" applyBorder="1" applyAlignment="1">
      <alignment horizontal="right"/>
    </xf>
    <xf numFmtId="169" fontId="8" fillId="8" borderId="1" xfId="0" applyNumberFormat="1" applyFont="1" applyFill="1" applyBorder="1"/>
    <xf numFmtId="0" fontId="10" fillId="4" borderId="1" xfId="0" applyFont="1" applyFill="1" applyBorder="1"/>
    <xf numFmtId="0" fontId="9" fillId="0" borderId="1" xfId="0" applyFont="1" applyBorder="1" applyAlignment="1">
      <alignment horizontal="center"/>
    </xf>
    <xf numFmtId="167" fontId="18" fillId="0" borderId="1" xfId="1" applyNumberFormat="1" applyFont="1" applyBorder="1" applyAlignment="1">
      <alignment horizontal="right"/>
    </xf>
    <xf numFmtId="167" fontId="9" fillId="0" borderId="1" xfId="1" applyNumberFormat="1" applyFont="1" applyBorder="1" applyAlignment="1">
      <alignment horizontal="right"/>
    </xf>
    <xf numFmtId="167" fontId="9" fillId="0" borderId="1" xfId="1" applyNumberFormat="1" applyFont="1" applyBorder="1"/>
    <xf numFmtId="9" fontId="9" fillId="0" borderId="1" xfId="4" applyFont="1" applyBorder="1"/>
    <xf numFmtId="0" fontId="19" fillId="8" borderId="1" xfId="0" applyFont="1" applyFill="1" applyBorder="1" applyAlignment="1">
      <alignment horizontal="center"/>
    </xf>
    <xf numFmtId="0" fontId="19" fillId="8" borderId="1" xfId="0" applyFont="1" applyFill="1" applyBorder="1"/>
    <xf numFmtId="0" fontId="19" fillId="8" borderId="1" xfId="0" applyFont="1" applyFill="1" applyBorder="1" applyAlignment="1">
      <alignment horizontal="right"/>
    </xf>
    <xf numFmtId="0" fontId="20" fillId="5" borderId="1" xfId="0" applyFont="1" applyFill="1" applyBorder="1"/>
    <xf numFmtId="171" fontId="20" fillId="5" borderId="1" xfId="1" applyNumberFormat="1" applyFont="1" applyFill="1" applyBorder="1"/>
    <xf numFmtId="9" fontId="10" fillId="4" borderId="1" xfId="0" applyNumberFormat="1" applyFont="1" applyFill="1" applyBorder="1"/>
    <xf numFmtId="167" fontId="10" fillId="4" borderId="1" xfId="1" applyNumberFormat="1" applyFont="1" applyFill="1" applyBorder="1" applyAlignment="1">
      <alignment horizontal="right"/>
    </xf>
    <xf numFmtId="171" fontId="10" fillId="4" borderId="1" xfId="1" applyNumberFormat="1" applyFont="1" applyFill="1" applyBorder="1" applyAlignment="1">
      <alignment horizontal="right"/>
    </xf>
    <xf numFmtId="167" fontId="9" fillId="7" borderId="1" xfId="1" applyNumberFormat="1" applyFont="1" applyFill="1" applyBorder="1"/>
    <xf numFmtId="167" fontId="20" fillId="7" borderId="1" xfId="1" applyNumberFormat="1" applyFont="1" applyFill="1" applyBorder="1"/>
    <xf numFmtId="0" fontId="24" fillId="0" borderId="0" xfId="0" applyFont="1" applyBorder="1" applyAlignment="1">
      <alignment horizontal="center"/>
    </xf>
    <xf numFmtId="167" fontId="9" fillId="0" borderId="13" xfId="1" applyNumberFormat="1" applyFont="1" applyFill="1" applyBorder="1" applyAlignment="1">
      <alignment horizontal="center"/>
    </xf>
    <xf numFmtId="0" fontId="9" fillId="0" borderId="0" xfId="0" applyFont="1" applyAlignment="1">
      <alignment horizontal="left"/>
    </xf>
    <xf numFmtId="49" fontId="23" fillId="9" borderId="14" xfId="0" applyNumberFormat="1" applyFont="1" applyFill="1" applyBorder="1" applyAlignment="1">
      <alignment horizontal="center"/>
    </xf>
    <xf numFmtId="49" fontId="23" fillId="9" borderId="15" xfId="0" applyNumberFormat="1" applyFont="1" applyFill="1" applyBorder="1" applyAlignment="1">
      <alignment horizontal="center"/>
    </xf>
    <xf numFmtId="49" fontId="13" fillId="0" borderId="0" xfId="0" applyNumberFormat="1" applyFont="1" applyAlignment="1">
      <alignment horizontal="center"/>
    </xf>
    <xf numFmtId="9" fontId="9" fillId="0" borderId="0" xfId="0" applyNumberFormat="1" applyFont="1" applyBorder="1" applyAlignment="1">
      <alignment horizontal="center"/>
    </xf>
    <xf numFmtId="0" fontId="25" fillId="0" borderId="0" xfId="0" applyFont="1"/>
    <xf numFmtId="9" fontId="9" fillId="0" borderId="0" xfId="0" applyNumberFormat="1" applyFont="1"/>
    <xf numFmtId="9" fontId="25" fillId="0" borderId="0" xfId="0" applyNumberFormat="1" applyFont="1" applyAlignment="1">
      <alignment horizontal="center"/>
    </xf>
    <xf numFmtId="0" fontId="13" fillId="0" borderId="0" xfId="0" applyFont="1"/>
    <xf numFmtId="0" fontId="23" fillId="9" borderId="7" xfId="0" applyFont="1" applyFill="1" applyBorder="1" applyAlignment="1">
      <alignment horizontal="center"/>
    </xf>
    <xf numFmtId="0" fontId="23" fillId="9" borderId="8" xfId="0" applyFont="1" applyFill="1" applyBorder="1" applyAlignment="1">
      <alignment horizontal="center"/>
    </xf>
    <xf numFmtId="0" fontId="23" fillId="9" borderId="9" xfId="0" applyFont="1" applyFill="1" applyBorder="1" applyAlignment="1">
      <alignment horizontal="center"/>
    </xf>
    <xf numFmtId="0" fontId="13" fillId="0" borderId="24" xfId="0" applyFont="1" applyBorder="1" applyAlignment="1">
      <alignment horizontal="center"/>
    </xf>
    <xf numFmtId="38" fontId="13" fillId="0" borderId="1" xfId="0" applyNumberFormat="1" applyFont="1" applyBorder="1" applyAlignment="1">
      <alignment horizontal="center"/>
    </xf>
    <xf numFmtId="9" fontId="13" fillId="0" borderId="1" xfId="0" applyNumberFormat="1" applyFont="1" applyBorder="1" applyAlignment="1">
      <alignment horizontal="center"/>
    </xf>
    <xf numFmtId="167" fontId="13" fillId="0" borderId="25" xfId="0" applyNumberFormat="1" applyFont="1" applyBorder="1" applyAlignment="1">
      <alignment horizontal="center"/>
    </xf>
    <xf numFmtId="167" fontId="9" fillId="0" borderId="0" xfId="0" applyNumberFormat="1" applyFont="1"/>
    <xf numFmtId="0" fontId="13" fillId="0" borderId="10" xfId="0" applyFont="1" applyBorder="1" applyAlignment="1">
      <alignment horizontal="center"/>
    </xf>
    <xf numFmtId="38" fontId="13" fillId="0" borderId="11" xfId="0" applyNumberFormat="1" applyFont="1" applyBorder="1" applyAlignment="1">
      <alignment horizontal="center"/>
    </xf>
    <xf numFmtId="9" fontId="13" fillId="0" borderId="11" xfId="0" applyNumberFormat="1" applyFont="1" applyBorder="1" applyAlignment="1">
      <alignment horizontal="center"/>
    </xf>
    <xf numFmtId="167" fontId="13" fillId="0" borderId="12" xfId="0" applyNumberFormat="1" applyFont="1" applyBorder="1" applyAlignment="1">
      <alignment horizontal="center"/>
    </xf>
    <xf numFmtId="0" fontId="13" fillId="0" borderId="0" xfId="0" applyFont="1" applyBorder="1" applyAlignment="1">
      <alignment horizontal="center"/>
    </xf>
    <xf numFmtId="173" fontId="13" fillId="0" borderId="0" xfId="0" applyNumberFormat="1" applyFont="1" applyBorder="1" applyAlignment="1">
      <alignment horizontal="center"/>
    </xf>
    <xf numFmtId="9" fontId="13" fillId="0" borderId="0" xfId="0" applyNumberFormat="1" applyFont="1" applyBorder="1" applyAlignment="1">
      <alignment horizontal="center"/>
    </xf>
    <xf numFmtId="164" fontId="13" fillId="0" borderId="0" xfId="0" applyNumberFormat="1" applyFont="1" applyBorder="1" applyAlignment="1">
      <alignment horizontal="center"/>
    </xf>
    <xf numFmtId="0" fontId="13" fillId="0" borderId="24" xfId="0" applyFont="1" applyBorder="1" applyAlignment="1">
      <alignment horizontal="left"/>
    </xf>
    <xf numFmtId="9" fontId="13" fillId="0" borderId="0" xfId="0" applyNumberFormat="1" applyFont="1" applyAlignment="1">
      <alignment horizontal="center"/>
    </xf>
    <xf numFmtId="173" fontId="13" fillId="0" borderId="0" xfId="0" applyNumberFormat="1" applyFont="1" applyAlignment="1">
      <alignment horizontal="center"/>
    </xf>
    <xf numFmtId="0" fontId="13" fillId="0" borderId="24" xfId="0" quotePrefix="1" applyFont="1" applyBorder="1" applyAlignment="1">
      <alignment horizontal="left"/>
    </xf>
    <xf numFmtId="0" fontId="8" fillId="9" borderId="29" xfId="0" applyFont="1" applyFill="1" applyBorder="1"/>
    <xf numFmtId="169" fontId="8" fillId="9" borderId="30" xfId="0" applyNumberFormat="1" applyFont="1" applyFill="1" applyBorder="1" applyAlignment="1">
      <alignment horizontal="right"/>
    </xf>
    <xf numFmtId="0" fontId="9" fillId="0" borderId="32" xfId="0" applyFont="1" applyBorder="1" applyAlignment="1">
      <alignment wrapText="1"/>
    </xf>
    <xf numFmtId="0" fontId="11" fillId="0" borderId="24" xfId="0" applyFont="1" applyBorder="1" applyAlignment="1">
      <alignment wrapText="1"/>
    </xf>
    <xf numFmtId="9" fontId="11" fillId="0" borderId="1" xfId="4" applyFont="1" applyBorder="1" applyAlignment="1">
      <alignment horizontal="right" wrapText="1"/>
    </xf>
    <xf numFmtId="0" fontId="11" fillId="0" borderId="10" xfId="0" applyFont="1" applyBorder="1" applyAlignment="1">
      <alignment wrapText="1"/>
    </xf>
    <xf numFmtId="9" fontId="11" fillId="0" borderId="11" xfId="4" applyFont="1" applyBorder="1" applyAlignment="1">
      <alignment horizontal="right" wrapText="1"/>
    </xf>
    <xf numFmtId="0" fontId="9" fillId="0" borderId="0" xfId="0" applyFont="1" applyBorder="1" applyAlignment="1">
      <alignment wrapText="1"/>
    </xf>
    <xf numFmtId="9" fontId="9" fillId="0" borderId="0" xfId="4" applyFont="1" applyBorder="1" applyAlignment="1">
      <alignment horizontal="right" wrapText="1"/>
    </xf>
    <xf numFmtId="167" fontId="9" fillId="0" borderId="0" xfId="1" applyNumberFormat="1" applyFont="1" applyAlignment="1">
      <alignment wrapText="1"/>
    </xf>
    <xf numFmtId="9" fontId="9" fillId="0" borderId="0" xfId="4" applyNumberFormat="1" applyFont="1"/>
    <xf numFmtId="0" fontId="9" fillId="0" borderId="7" xfId="0" applyFont="1" applyBorder="1"/>
    <xf numFmtId="0" fontId="9" fillId="0" borderId="24" xfId="0" applyFont="1" applyBorder="1"/>
    <xf numFmtId="167" fontId="9" fillId="5" borderId="25" xfId="1" applyNumberFormat="1" applyFont="1" applyFill="1" applyBorder="1"/>
    <xf numFmtId="174" fontId="9" fillId="0" borderId="0" xfId="4" applyNumberFormat="1" applyFont="1"/>
    <xf numFmtId="0" fontId="27" fillId="0" borderId="0" xfId="0" applyFont="1"/>
    <xf numFmtId="0" fontId="8" fillId="9" borderId="30" xfId="0" applyFont="1" applyFill="1" applyBorder="1" applyAlignment="1">
      <alignment horizontal="right"/>
    </xf>
    <xf numFmtId="0" fontId="8" fillId="9" borderId="31" xfId="0" applyFont="1" applyFill="1" applyBorder="1" applyAlignment="1">
      <alignment horizontal="right"/>
    </xf>
    <xf numFmtId="171" fontId="9" fillId="0" borderId="1" xfId="1" applyNumberFormat="1" applyFont="1" applyBorder="1" applyAlignment="1">
      <alignment horizontal="right" wrapText="1"/>
    </xf>
    <xf numFmtId="9" fontId="9" fillId="5" borderId="25" xfId="4" applyFont="1" applyFill="1" applyBorder="1"/>
    <xf numFmtId="9" fontId="9" fillId="0" borderId="1" xfId="4" applyNumberFormat="1" applyFont="1" applyFill="1" applyBorder="1" applyAlignment="1">
      <alignment horizontal="center"/>
    </xf>
    <xf numFmtId="9" fontId="9" fillId="0" borderId="25" xfId="4" applyNumberFormat="1" applyFont="1" applyFill="1" applyBorder="1" applyAlignment="1">
      <alignment horizontal="center"/>
    </xf>
    <xf numFmtId="9" fontId="11" fillId="0" borderId="1" xfId="4" applyNumberFormat="1" applyFont="1" applyFill="1" applyBorder="1" applyAlignment="1">
      <alignment horizontal="center"/>
    </xf>
    <xf numFmtId="9" fontId="11" fillId="0" borderId="25" xfId="4" applyNumberFormat="1" applyFont="1" applyFill="1" applyBorder="1" applyAlignment="1">
      <alignment horizontal="center"/>
    </xf>
    <xf numFmtId="9" fontId="11" fillId="0" borderId="11" xfId="4" applyNumberFormat="1" applyFont="1" applyFill="1" applyBorder="1" applyAlignment="1">
      <alignment horizontal="center"/>
    </xf>
    <xf numFmtId="9" fontId="11" fillId="0" borderId="12" xfId="4" applyNumberFormat="1" applyFont="1" applyFill="1" applyBorder="1" applyAlignment="1">
      <alignment horizontal="center"/>
    </xf>
    <xf numFmtId="168" fontId="9" fillId="5" borderId="25" xfId="1" applyNumberFormat="1" applyFont="1" applyFill="1" applyBorder="1"/>
    <xf numFmtId="9" fontId="12" fillId="4" borderId="9" xfId="0" applyNumberFormat="1" applyFont="1" applyFill="1" applyBorder="1"/>
    <xf numFmtId="168" fontId="12" fillId="4" borderId="25" xfId="1" applyNumberFormat="1" applyFont="1" applyFill="1" applyBorder="1"/>
    <xf numFmtId="9" fontId="10" fillId="4" borderId="16" xfId="0" applyNumberFormat="1" applyFont="1" applyFill="1" applyBorder="1" applyAlignment="1">
      <alignment horizontal="center"/>
    </xf>
    <xf numFmtId="9" fontId="10" fillId="4" borderId="17" xfId="0" applyNumberFormat="1" applyFont="1" applyFill="1" applyBorder="1" applyAlignment="1">
      <alignment horizontal="center"/>
    </xf>
    <xf numFmtId="9" fontId="10" fillId="4" borderId="21" xfId="0" applyNumberFormat="1" applyFont="1" applyFill="1" applyBorder="1" applyAlignment="1">
      <alignment horizontal="center"/>
    </xf>
    <xf numFmtId="9" fontId="10" fillId="4" borderId="13" xfId="0" applyNumberFormat="1" applyFont="1" applyFill="1" applyBorder="1" applyAlignment="1">
      <alignment horizontal="center"/>
    </xf>
    <xf numFmtId="0" fontId="11" fillId="0" borderId="1" xfId="0" applyFont="1" applyBorder="1"/>
    <xf numFmtId="0" fontId="8" fillId="0" borderId="1" xfId="0" applyFont="1" applyBorder="1"/>
    <xf numFmtId="166" fontId="10" fillId="3" borderId="1" xfId="0" applyNumberFormat="1" applyFont="1" applyFill="1" applyBorder="1" applyAlignment="1">
      <alignment horizontal="center"/>
    </xf>
    <xf numFmtId="9" fontId="8" fillId="9" borderId="1" xfId="0" applyNumberFormat="1" applyFont="1" applyFill="1" applyBorder="1"/>
    <xf numFmtId="167" fontId="11" fillId="5" borderId="1" xfId="1" applyNumberFormat="1" applyFont="1" applyFill="1" applyBorder="1" applyAlignment="1">
      <alignment horizontal="right"/>
    </xf>
    <xf numFmtId="9" fontId="9" fillId="7" borderId="1" xfId="0" applyNumberFormat="1" applyFont="1" applyFill="1" applyBorder="1" applyAlignment="1">
      <alignment horizontal="center"/>
    </xf>
    <xf numFmtId="9" fontId="11" fillId="0" borderId="1" xfId="4" applyFont="1" applyBorder="1"/>
    <xf numFmtId="171" fontId="8" fillId="0" borderId="1" xfId="1" applyNumberFormat="1" applyFont="1" applyBorder="1"/>
    <xf numFmtId="171" fontId="21" fillId="4" borderId="1" xfId="1" applyNumberFormat="1" applyFont="1" applyFill="1" applyBorder="1"/>
    <xf numFmtId="171" fontId="11" fillId="0" borderId="1" xfId="0" applyNumberFormat="1" applyFont="1" applyBorder="1"/>
    <xf numFmtId="167" fontId="8" fillId="9" borderId="1" xfId="1" applyNumberFormat="1" applyFont="1" applyFill="1" applyBorder="1" applyAlignment="1">
      <alignment horizontal="right"/>
    </xf>
    <xf numFmtId="167" fontId="8" fillId="9" borderId="1" xfId="1" applyNumberFormat="1" applyFont="1" applyFill="1" applyBorder="1"/>
    <xf numFmtId="167" fontId="9" fillId="9" borderId="25" xfId="1" applyNumberFormat="1" applyFont="1" applyFill="1" applyBorder="1"/>
    <xf numFmtId="0" fontId="10" fillId="3" borderId="33" xfId="0" applyFont="1" applyFill="1" applyBorder="1"/>
    <xf numFmtId="166" fontId="10" fillId="3" borderId="30" xfId="0" applyNumberFormat="1" applyFont="1" applyFill="1" applyBorder="1" applyAlignment="1">
      <alignment horizontal="center"/>
    </xf>
    <xf numFmtId="166" fontId="10" fillId="3" borderId="2" xfId="0" applyNumberFormat="1" applyFont="1" applyFill="1" applyBorder="1" applyAlignment="1">
      <alignment horizontal="center"/>
    </xf>
    <xf numFmtId="0" fontId="8" fillId="0" borderId="6" xfId="0" applyFont="1" applyBorder="1"/>
    <xf numFmtId="171" fontId="8" fillId="0" borderId="4" xfId="1" applyNumberFormat="1" applyFont="1" applyBorder="1"/>
    <xf numFmtId="0" fontId="11" fillId="0" borderId="6" xfId="0" applyFont="1" applyBorder="1"/>
    <xf numFmtId="43" fontId="11" fillId="0" borderId="1" xfId="1" applyFont="1" applyBorder="1"/>
    <xf numFmtId="9" fontId="11" fillId="0" borderId="4" xfId="4" applyFont="1" applyBorder="1"/>
    <xf numFmtId="0" fontId="9" fillId="0" borderId="6" xfId="0" applyFont="1" applyBorder="1"/>
    <xf numFmtId="171" fontId="9" fillId="0" borderId="4" xfId="1" applyNumberFormat="1" applyFont="1" applyBorder="1"/>
    <xf numFmtId="0" fontId="11" fillId="0" borderId="34" xfId="0" applyFont="1" applyFill="1" applyBorder="1"/>
    <xf numFmtId="9" fontId="11" fillId="0" borderId="35" xfId="4" applyFont="1" applyBorder="1"/>
    <xf numFmtId="9" fontId="11" fillId="0" borderId="36" xfId="4" applyFont="1" applyBorder="1"/>
    <xf numFmtId="0" fontId="11" fillId="0" borderId="0" xfId="0" applyFont="1"/>
    <xf numFmtId="0" fontId="8" fillId="9" borderId="7" xfId="0" applyFont="1" applyFill="1" applyBorder="1" applyAlignment="1">
      <alignment wrapText="1"/>
    </xf>
    <xf numFmtId="0" fontId="8" fillId="9" borderId="9" xfId="0" applyFont="1" applyFill="1" applyBorder="1" applyAlignment="1">
      <alignment horizontal="left"/>
    </xf>
    <xf numFmtId="0" fontId="8" fillId="0" borderId="10" xfId="0" applyFont="1" applyBorder="1" applyAlignment="1">
      <alignment vertical="center" wrapText="1"/>
    </xf>
    <xf numFmtId="0" fontId="9" fillId="0" borderId="12" xfId="0" applyFont="1" applyBorder="1" applyAlignment="1">
      <alignment wrapText="1"/>
    </xf>
    <xf numFmtId="0" fontId="9" fillId="9" borderId="0" xfId="0" applyFont="1" applyFill="1" applyAlignment="1">
      <alignment wrapText="1"/>
    </xf>
    <xf numFmtId="0" fontId="9" fillId="9" borderId="0" xfId="0" applyFont="1" applyFill="1"/>
    <xf numFmtId="0" fontId="8" fillId="0" borderId="16" xfId="0" applyFont="1" applyBorder="1" applyAlignment="1">
      <alignment vertical="center" wrapText="1"/>
    </xf>
    <xf numFmtId="0" fontId="9" fillId="0" borderId="17" xfId="0" applyFont="1" applyBorder="1" applyAlignment="1">
      <alignment wrapText="1"/>
    </xf>
    <xf numFmtId="0" fontId="8" fillId="9" borderId="0" xfId="0" applyFont="1" applyFill="1" applyAlignment="1">
      <alignment vertical="center"/>
    </xf>
    <xf numFmtId="0" fontId="8" fillId="0" borderId="1" xfId="0" applyFont="1" applyBorder="1" applyAlignment="1">
      <alignment vertical="center" wrapText="1"/>
    </xf>
    <xf numFmtId="0" fontId="9" fillId="0" borderId="1" xfId="0" applyFont="1" applyBorder="1" applyAlignment="1">
      <alignment wrapText="1"/>
    </xf>
    <xf numFmtId="0" fontId="18" fillId="9" borderId="0" xfId="0" applyFont="1" applyFill="1"/>
    <xf numFmtId="0" fontId="25" fillId="8" borderId="1" xfId="0" applyFont="1" applyFill="1" applyBorder="1" applyAlignment="1">
      <alignment horizontal="right"/>
    </xf>
    <xf numFmtId="171" fontId="9" fillId="6" borderId="1" xfId="1" applyNumberFormat="1" applyFont="1" applyFill="1" applyBorder="1" applyAlignment="1">
      <alignment horizontal="right"/>
    </xf>
    <xf numFmtId="0" fontId="28" fillId="0" borderId="0" xfId="2" applyFont="1" applyFill="1" applyBorder="1" applyAlignment="1" applyProtection="1"/>
    <xf numFmtId="0" fontId="28" fillId="0" borderId="0" xfId="2" applyFont="1" applyAlignment="1" applyProtection="1">
      <alignment horizontal="left"/>
    </xf>
    <xf numFmtId="0" fontId="31" fillId="0" borderId="0" xfId="0" applyFont="1" applyBorder="1"/>
    <xf numFmtId="0" fontId="32" fillId="0" borderId="0" xfId="0" applyFont="1" applyBorder="1"/>
    <xf numFmtId="0" fontId="33" fillId="3" borderId="7" xfId="0" applyFont="1" applyFill="1" applyBorder="1"/>
    <xf numFmtId="166" fontId="33" fillId="3" borderId="8" xfId="0" applyNumberFormat="1" applyFont="1" applyFill="1" applyBorder="1" applyAlignment="1">
      <alignment horizontal="center"/>
    </xf>
    <xf numFmtId="0" fontId="33" fillId="3" borderId="9" xfId="0" applyFont="1" applyFill="1" applyBorder="1" applyAlignment="1">
      <alignment horizontal="center"/>
    </xf>
    <xf numFmtId="0" fontId="32" fillId="0" borderId="0" xfId="0" applyFont="1" applyFill="1" applyBorder="1"/>
    <xf numFmtId="0" fontId="32" fillId="0" borderId="24" xfId="0" applyFont="1" applyBorder="1"/>
    <xf numFmtId="171" fontId="32" fillId="0" borderId="1" xfId="1" applyNumberFormat="1" applyFont="1" applyBorder="1"/>
    <xf numFmtId="171" fontId="32" fillId="0" borderId="25" xfId="1" applyNumberFormat="1" applyFont="1" applyBorder="1"/>
    <xf numFmtId="0" fontId="34" fillId="9" borderId="24" xfId="0" applyFont="1" applyFill="1" applyBorder="1"/>
    <xf numFmtId="43" fontId="32" fillId="9" borderId="1" xfId="1" applyFont="1" applyFill="1" applyBorder="1"/>
    <xf numFmtId="9" fontId="34" fillId="9" borderId="1" xfId="4" applyFont="1" applyFill="1" applyBorder="1"/>
    <xf numFmtId="9" fontId="34" fillId="9" borderId="25" xfId="4" applyFont="1" applyFill="1" applyBorder="1"/>
    <xf numFmtId="0" fontId="31" fillId="0" borderId="24" xfId="0" applyFont="1" applyBorder="1"/>
    <xf numFmtId="171" fontId="31" fillId="0" borderId="1" xfId="1" applyNumberFormat="1" applyFont="1" applyBorder="1"/>
    <xf numFmtId="171" fontId="31" fillId="0" borderId="25" xfId="1" applyNumberFormat="1" applyFont="1" applyBorder="1"/>
    <xf numFmtId="43" fontId="34" fillId="0" borderId="24" xfId="1" applyFont="1" applyBorder="1" applyAlignment="1">
      <alignment horizontal="left" indent="1"/>
    </xf>
    <xf numFmtId="9" fontId="34" fillId="0" borderId="1" xfId="4" applyFont="1" applyBorder="1"/>
    <xf numFmtId="9" fontId="34" fillId="0" borderId="25" xfId="4" applyFont="1" applyBorder="1"/>
    <xf numFmtId="171" fontId="34" fillId="9" borderId="1" xfId="1" applyNumberFormat="1" applyFont="1" applyFill="1" applyBorder="1"/>
    <xf numFmtId="171" fontId="34" fillId="9" borderId="25" xfId="1" applyNumberFormat="1" applyFont="1" applyFill="1" applyBorder="1"/>
    <xf numFmtId="170" fontId="31" fillId="0" borderId="1" xfId="1" applyNumberFormat="1" applyFont="1" applyBorder="1"/>
    <xf numFmtId="170" fontId="31" fillId="0" borderId="25" xfId="1" applyNumberFormat="1" applyFont="1" applyBorder="1"/>
    <xf numFmtId="170" fontId="31" fillId="9" borderId="1" xfId="1" applyNumberFormat="1" applyFont="1" applyFill="1" applyBorder="1"/>
    <xf numFmtId="172" fontId="31" fillId="0" borderId="1" xfId="0" applyNumberFormat="1" applyFont="1" applyBorder="1"/>
    <xf numFmtId="10" fontId="31" fillId="0" borderId="25" xfId="0" applyNumberFormat="1" applyFont="1" applyBorder="1"/>
    <xf numFmtId="172" fontId="31" fillId="0" borderId="11" xfId="0" applyNumberFormat="1" applyFont="1" applyBorder="1"/>
    <xf numFmtId="10" fontId="31" fillId="0" borderId="12" xfId="0" applyNumberFormat="1" applyFont="1" applyBorder="1"/>
    <xf numFmtId="171" fontId="31" fillId="0" borderId="0" xfId="0" applyNumberFormat="1" applyFont="1" applyBorder="1"/>
    <xf numFmtId="166" fontId="33" fillId="3" borderId="1" xfId="0" applyNumberFormat="1" applyFont="1" applyFill="1" applyBorder="1" applyAlignment="1">
      <alignment horizontal="center"/>
    </xf>
    <xf numFmtId="0" fontId="31" fillId="0" borderId="1" xfId="0" applyFont="1" applyBorder="1"/>
    <xf numFmtId="172" fontId="31" fillId="9" borderId="1" xfId="0" applyNumberFormat="1" applyFont="1" applyFill="1" applyBorder="1"/>
    <xf numFmtId="0" fontId="37" fillId="0" borderId="0" xfId="0" applyFont="1"/>
    <xf numFmtId="0" fontId="36" fillId="9" borderId="4" xfId="0" applyFont="1" applyFill="1" applyBorder="1" applyAlignment="1">
      <alignment horizontal="center"/>
    </xf>
    <xf numFmtId="0" fontId="36" fillId="9" borderId="5" xfId="0" applyFont="1" applyFill="1" applyBorder="1" applyAlignment="1">
      <alignment horizontal="center"/>
    </xf>
    <xf numFmtId="0" fontId="36" fillId="9" borderId="6" xfId="0" applyFont="1" applyFill="1" applyBorder="1" applyAlignment="1">
      <alignment horizontal="center"/>
    </xf>
    <xf numFmtId="0" fontId="37" fillId="0" borderId="1" xfId="0" applyFont="1" applyBorder="1"/>
    <xf numFmtId="171" fontId="37" fillId="0" borderId="1" xfId="1" applyNumberFormat="1" applyFont="1" applyBorder="1"/>
    <xf numFmtId="0" fontId="27" fillId="0" borderId="0" xfId="0" applyFont="1" applyAlignment="1">
      <alignment horizontal="left"/>
    </xf>
    <xf numFmtId="0" fontId="8" fillId="9" borderId="24" xfId="0" applyFont="1" applyFill="1" applyBorder="1" applyAlignment="1">
      <alignment horizontal="left"/>
    </xf>
    <xf numFmtId="9" fontId="8" fillId="9" borderId="25" xfId="4" applyFont="1" applyFill="1" applyBorder="1" applyAlignment="1">
      <alignment horizontal="right"/>
    </xf>
    <xf numFmtId="9" fontId="9" fillId="0" borderId="25" xfId="4" applyFont="1" applyFill="1" applyBorder="1" applyAlignment="1">
      <alignment horizontal="left"/>
    </xf>
    <xf numFmtId="167" fontId="9" fillId="0" borderId="25" xfId="1" applyNumberFormat="1" applyFont="1" applyFill="1" applyBorder="1" applyAlignment="1">
      <alignment horizontal="left"/>
    </xf>
    <xf numFmtId="168" fontId="9" fillId="0" borderId="25" xfId="1" applyNumberFormat="1" applyFont="1" applyFill="1" applyBorder="1" applyAlignment="1">
      <alignment horizontal="left"/>
    </xf>
    <xf numFmtId="172" fontId="9" fillId="0" borderId="25" xfId="4" applyNumberFormat="1" applyFont="1" applyFill="1" applyBorder="1" applyAlignment="1">
      <alignment horizontal="right"/>
    </xf>
    <xf numFmtId="168" fontId="9" fillId="0" borderId="25" xfId="1" applyNumberFormat="1" applyFont="1" applyFill="1" applyBorder="1" applyAlignment="1">
      <alignment horizontal="left" indent="1"/>
    </xf>
    <xf numFmtId="172" fontId="9" fillId="0" borderId="25" xfId="4" applyNumberFormat="1" applyFont="1" applyFill="1" applyBorder="1" applyAlignment="1"/>
    <xf numFmtId="170" fontId="9" fillId="0" borderId="25" xfId="1" applyNumberFormat="1" applyFont="1" applyFill="1" applyBorder="1" applyAlignment="1"/>
    <xf numFmtId="0" fontId="13" fillId="0" borderId="10" xfId="0" applyFont="1" applyBorder="1" applyAlignment="1">
      <alignment horizontal="left"/>
    </xf>
    <xf numFmtId="170" fontId="9" fillId="0" borderId="12" xfId="1" applyNumberFormat="1" applyFont="1" applyFill="1" applyBorder="1" applyAlignment="1"/>
    <xf numFmtId="0" fontId="18" fillId="0" borderId="0" xfId="0" applyFont="1" applyAlignment="1">
      <alignment horizontal="left"/>
    </xf>
    <xf numFmtId="166" fontId="10" fillId="3" borderId="25" xfId="0" applyNumberFormat="1" applyFont="1" applyFill="1" applyBorder="1" applyAlignment="1">
      <alignment horizontal="center"/>
    </xf>
    <xf numFmtId="0" fontId="39" fillId="0" borderId="0" xfId="0" applyFont="1" applyBorder="1"/>
    <xf numFmtId="0" fontId="40" fillId="0" borderId="0" xfId="0" applyFont="1" applyBorder="1"/>
    <xf numFmtId="0" fontId="40" fillId="0" borderId="0" xfId="0" applyFont="1" applyFill="1" applyBorder="1"/>
    <xf numFmtId="171" fontId="40" fillId="0" borderId="1" xfId="1" applyNumberFormat="1" applyFont="1" applyBorder="1" applyAlignment="1">
      <alignment horizontal="center"/>
    </xf>
    <xf numFmtId="171" fontId="39" fillId="0" borderId="1" xfId="1" applyNumberFormat="1" applyFont="1" applyBorder="1" applyAlignment="1">
      <alignment horizontal="center"/>
    </xf>
    <xf numFmtId="171" fontId="40" fillId="0" borderId="1" xfId="1" applyNumberFormat="1" applyFont="1" applyBorder="1"/>
    <xf numFmtId="171" fontId="40" fillId="0" borderId="0" xfId="1" applyNumberFormat="1" applyFont="1" applyBorder="1"/>
    <xf numFmtId="171" fontId="43" fillId="9" borderId="1" xfId="1" applyNumberFormat="1" applyFont="1" applyFill="1" applyBorder="1"/>
    <xf numFmtId="170" fontId="43" fillId="9" borderId="1" xfId="1" applyNumberFormat="1" applyFont="1" applyFill="1" applyBorder="1"/>
    <xf numFmtId="9" fontId="43" fillId="9" borderId="1" xfId="4" applyFont="1" applyFill="1" applyBorder="1"/>
    <xf numFmtId="0" fontId="44" fillId="0" borderId="0" xfId="0" applyFont="1" applyBorder="1"/>
    <xf numFmtId="0" fontId="44" fillId="0" borderId="0" xfId="0" applyFont="1" applyBorder="1" applyAlignment="1">
      <alignment wrapText="1"/>
    </xf>
    <xf numFmtId="166" fontId="9" fillId="5" borderId="30" xfId="0" applyNumberFormat="1" applyFont="1" applyFill="1" applyBorder="1" applyAlignment="1">
      <alignment horizontal="center"/>
    </xf>
    <xf numFmtId="0" fontId="25" fillId="0" borderId="0" xfId="0" applyFont="1" applyFill="1"/>
    <xf numFmtId="166" fontId="41" fillId="3" borderId="30" xfId="0" applyNumberFormat="1" applyFont="1" applyFill="1" applyBorder="1" applyAlignment="1">
      <alignment horizontal="center"/>
    </xf>
    <xf numFmtId="0" fontId="41" fillId="3" borderId="29" xfId="0" applyFont="1" applyFill="1" applyBorder="1"/>
    <xf numFmtId="166" fontId="41" fillId="3" borderId="31" xfId="0" applyNumberFormat="1" applyFont="1" applyFill="1" applyBorder="1" applyAlignment="1">
      <alignment horizontal="center"/>
    </xf>
    <xf numFmtId="0" fontId="40" fillId="0" borderId="24" xfId="0" applyFont="1" applyBorder="1"/>
    <xf numFmtId="171" fontId="40" fillId="0" borderId="25" xfId="1" applyNumberFormat="1" applyFont="1" applyBorder="1" applyAlignment="1">
      <alignment horizontal="center"/>
    </xf>
    <xf numFmtId="0" fontId="39" fillId="0" borderId="24" xfId="0" applyFont="1" applyBorder="1"/>
    <xf numFmtId="171" fontId="39" fillId="0" borderId="25" xfId="1" applyNumberFormat="1" applyFont="1" applyBorder="1" applyAlignment="1">
      <alignment horizontal="center"/>
    </xf>
    <xf numFmtId="171" fontId="40" fillId="0" borderId="25" xfId="1" applyNumberFormat="1" applyFont="1" applyBorder="1"/>
    <xf numFmtId="0" fontId="40" fillId="0" borderId="24" xfId="0" applyFont="1" applyFill="1" applyBorder="1"/>
    <xf numFmtId="0" fontId="42" fillId="4" borderId="10" xfId="0" applyFont="1" applyFill="1" applyBorder="1"/>
    <xf numFmtId="171" fontId="42" fillId="4" borderId="11" xfId="1" applyNumberFormat="1" applyFont="1" applyFill="1" applyBorder="1"/>
    <xf numFmtId="0" fontId="43" fillId="9" borderId="7" xfId="0" applyFont="1" applyFill="1" applyBorder="1"/>
    <xf numFmtId="171" fontId="43" fillId="9" borderId="8" xfId="1" applyNumberFormat="1" applyFont="1" applyFill="1" applyBorder="1"/>
    <xf numFmtId="171" fontId="43" fillId="9" borderId="9" xfId="1" applyNumberFormat="1" applyFont="1" applyFill="1" applyBorder="1"/>
    <xf numFmtId="0" fontId="43" fillId="9" borderId="24" xfId="0" applyFont="1" applyFill="1" applyBorder="1"/>
    <xf numFmtId="171" fontId="43" fillId="9" borderId="25" xfId="1" applyNumberFormat="1" applyFont="1" applyFill="1" applyBorder="1"/>
    <xf numFmtId="170" fontId="43" fillId="9" borderId="25" xfId="1" applyNumberFormat="1" applyFont="1" applyFill="1" applyBorder="1"/>
    <xf numFmtId="9" fontId="43" fillId="9" borderId="25" xfId="4" applyFont="1" applyFill="1" applyBorder="1"/>
    <xf numFmtId="0" fontId="43" fillId="9" borderId="10" xfId="0" applyFont="1" applyFill="1" applyBorder="1"/>
    <xf numFmtId="9" fontId="43" fillId="9" borderId="11" xfId="4" applyFont="1" applyFill="1" applyBorder="1"/>
    <xf numFmtId="9" fontId="43" fillId="9" borderId="12" xfId="4" applyFont="1" applyFill="1" applyBorder="1"/>
    <xf numFmtId="0" fontId="10" fillId="3" borderId="24" xfId="0" applyFont="1" applyFill="1" applyBorder="1"/>
    <xf numFmtId="0" fontId="8" fillId="0" borderId="24" xfId="0" applyFont="1" applyBorder="1"/>
    <xf numFmtId="171" fontId="8" fillId="0" borderId="23" xfId="1" applyNumberFormat="1" applyFont="1" applyBorder="1"/>
    <xf numFmtId="0" fontId="11" fillId="0" borderId="24" xfId="0" applyFont="1" applyFill="1" applyBorder="1"/>
    <xf numFmtId="171" fontId="11" fillId="0" borderId="23" xfId="1" applyNumberFormat="1" applyFont="1" applyBorder="1"/>
    <xf numFmtId="0" fontId="21" fillId="4" borderId="24" xfId="0" applyFont="1" applyFill="1" applyBorder="1"/>
    <xf numFmtId="171" fontId="26" fillId="0" borderId="23" xfId="1" applyNumberFormat="1" applyFont="1" applyBorder="1"/>
    <xf numFmtId="0" fontId="11" fillId="0" borderId="24" xfId="0" applyFont="1" applyBorder="1"/>
    <xf numFmtId="171" fontId="9" fillId="0" borderId="23" xfId="1" applyNumberFormat="1" applyFont="1" applyBorder="1"/>
    <xf numFmtId="0" fontId="11" fillId="0" borderId="10" xfId="0" applyFont="1" applyBorder="1"/>
    <xf numFmtId="9" fontId="11" fillId="0" borderId="11" xfId="4" applyFont="1" applyBorder="1"/>
    <xf numFmtId="171" fontId="9" fillId="0" borderId="28" xfId="1" applyNumberFormat="1" applyFont="1" applyBorder="1"/>
    <xf numFmtId="0" fontId="9" fillId="7" borderId="1" xfId="0" applyFont="1" applyFill="1" applyBorder="1"/>
    <xf numFmtId="0" fontId="46" fillId="8" borderId="40" xfId="0" applyFont="1" applyFill="1" applyBorder="1" applyAlignment="1">
      <alignment horizontal="center" wrapText="1"/>
    </xf>
    <xf numFmtId="0" fontId="47" fillId="0" borderId="0" xfId="0" applyFont="1" applyAlignment="1">
      <alignment wrapText="1"/>
    </xf>
    <xf numFmtId="0" fontId="48" fillId="8" borderId="21" xfId="2" applyFont="1" applyFill="1" applyBorder="1" applyAlignment="1" applyProtection="1">
      <alignment horizontal="center" wrapText="1"/>
    </xf>
    <xf numFmtId="0" fontId="48" fillId="0" borderId="0" xfId="2" applyFont="1" applyFill="1" applyBorder="1" applyAlignment="1" applyProtection="1">
      <alignment horizontal="center" wrapText="1"/>
    </xf>
    <xf numFmtId="0" fontId="47" fillId="0" borderId="0" xfId="0" applyFont="1" applyFill="1" applyBorder="1" applyAlignment="1">
      <alignment wrapText="1"/>
    </xf>
    <xf numFmtId="0" fontId="47" fillId="0" borderId="0" xfId="0" applyFont="1" applyFill="1" applyAlignment="1">
      <alignment wrapText="1"/>
    </xf>
    <xf numFmtId="0" fontId="49" fillId="8" borderId="40" xfId="0" applyFont="1" applyFill="1" applyBorder="1" applyAlignment="1">
      <alignment horizontal="center" wrapText="1"/>
    </xf>
    <xf numFmtId="0" fontId="47" fillId="0" borderId="41" xfId="0" applyFont="1" applyBorder="1" applyAlignment="1">
      <alignment wrapText="1"/>
    </xf>
    <xf numFmtId="0" fontId="47" fillId="0" borderId="42" xfId="0" applyFont="1" applyBorder="1" applyAlignment="1">
      <alignment wrapText="1"/>
    </xf>
    <xf numFmtId="0" fontId="51" fillId="0" borderId="0" xfId="0" applyFont="1" applyAlignment="1">
      <alignment wrapText="1"/>
    </xf>
    <xf numFmtId="0" fontId="0" fillId="0" borderId="41" xfId="0" applyFont="1" applyBorder="1" applyAlignment="1">
      <alignment wrapText="1"/>
    </xf>
    <xf numFmtId="0" fontId="0" fillId="0" borderId="0" xfId="0" applyAlignment="1">
      <alignment wrapText="1"/>
    </xf>
    <xf numFmtId="0" fontId="1" fillId="10" borderId="0" xfId="0" applyFont="1" applyFill="1"/>
    <xf numFmtId="0" fontId="13" fillId="11" borderId="0" xfId="5" applyFont="1" applyFill="1" applyProtection="1"/>
    <xf numFmtId="0" fontId="13" fillId="0" borderId="0" xfId="5" applyFont="1" applyFill="1" applyBorder="1" applyProtection="1"/>
    <xf numFmtId="176" fontId="23" fillId="0" borderId="0" xfId="6" applyNumberFormat="1" applyFont="1" applyFill="1" applyBorder="1" applyAlignment="1" applyProtection="1">
      <alignment horizontal="center"/>
    </xf>
    <xf numFmtId="164" fontId="52" fillId="0" borderId="0" xfId="5" applyNumberFormat="1" applyFont="1" applyFill="1" applyBorder="1" applyAlignment="1" applyProtection="1">
      <alignment horizontal="center"/>
    </xf>
    <xf numFmtId="164" fontId="53" fillId="0" borderId="0" xfId="5" applyNumberFormat="1" applyFont="1" applyFill="1" applyBorder="1" applyAlignment="1" applyProtection="1">
      <alignment horizontal="center"/>
    </xf>
    <xf numFmtId="9" fontId="53" fillId="0" borderId="0" xfId="7" applyFont="1" applyFill="1" applyBorder="1" applyAlignment="1" applyProtection="1">
      <alignment horizontal="center"/>
    </xf>
    <xf numFmtId="0" fontId="52" fillId="0" borderId="0" xfId="5" applyFont="1" applyFill="1" applyBorder="1" applyAlignment="1" applyProtection="1">
      <alignment horizontal="center"/>
    </xf>
    <xf numFmtId="0" fontId="53" fillId="0" borderId="0" xfId="5" applyFont="1" applyFill="1" applyBorder="1" applyAlignment="1" applyProtection="1">
      <alignment horizontal="center"/>
    </xf>
    <xf numFmtId="0" fontId="52" fillId="0" borderId="0" xfId="5" applyFont="1" applyFill="1" applyBorder="1" applyProtection="1"/>
    <xf numFmtId="0" fontId="13" fillId="11" borderId="28" xfId="5" applyFont="1" applyFill="1" applyBorder="1" applyProtection="1"/>
    <xf numFmtId="0" fontId="13" fillId="11" borderId="27" xfId="5" applyFont="1" applyFill="1" applyBorder="1" applyProtection="1"/>
    <xf numFmtId="0" fontId="53" fillId="11" borderId="27" xfId="5" applyFont="1" applyFill="1" applyBorder="1" applyProtection="1"/>
    <xf numFmtId="0" fontId="52" fillId="11" borderId="27" xfId="5" applyFont="1" applyFill="1" applyBorder="1" applyAlignment="1" applyProtection="1">
      <alignment horizontal="center"/>
    </xf>
    <xf numFmtId="0" fontId="53" fillId="11" borderId="26" xfId="5" applyFont="1" applyFill="1" applyBorder="1" applyProtection="1"/>
    <xf numFmtId="177" fontId="52" fillId="12" borderId="25" xfId="5" applyNumberFormat="1" applyFont="1" applyFill="1" applyBorder="1" applyAlignment="1" applyProtection="1">
      <alignment horizontal="center"/>
    </xf>
    <xf numFmtId="0" fontId="13" fillId="11" borderId="0" xfId="5" applyFont="1" applyFill="1" applyBorder="1" applyProtection="1"/>
    <xf numFmtId="2" fontId="53" fillId="11" borderId="1" xfId="5" applyNumberFormat="1" applyFont="1" applyFill="1" applyBorder="1" applyAlignment="1" applyProtection="1">
      <alignment horizontal="center"/>
    </xf>
    <xf numFmtId="0" fontId="52" fillId="11" borderId="0" xfId="5" applyFont="1" applyFill="1" applyBorder="1" applyAlignment="1" applyProtection="1">
      <alignment horizontal="center"/>
    </xf>
    <xf numFmtId="10" fontId="53" fillId="11" borderId="1" xfId="5" applyNumberFormat="1" applyFont="1" applyFill="1" applyBorder="1" applyAlignment="1" applyProtection="1">
      <alignment horizontal="center"/>
    </xf>
    <xf numFmtId="0" fontId="53" fillId="11" borderId="22" xfId="5" applyFont="1" applyFill="1" applyBorder="1" applyProtection="1"/>
    <xf numFmtId="0" fontId="52" fillId="12" borderId="48" xfId="5" applyFont="1" applyFill="1" applyBorder="1" applyAlignment="1" applyProtection="1">
      <alignment horizontal="center"/>
    </xf>
    <xf numFmtId="0" fontId="52" fillId="11" borderId="33" xfId="5" applyFont="1" applyFill="1" applyBorder="1" applyAlignment="1" applyProtection="1">
      <alignment horizontal="center"/>
    </xf>
    <xf numFmtId="0" fontId="53" fillId="11" borderId="1" xfId="5" applyFont="1" applyFill="1" applyBorder="1" applyAlignment="1" applyProtection="1">
      <alignment horizontal="center"/>
    </xf>
    <xf numFmtId="0" fontId="53" fillId="11" borderId="34" xfId="5" applyFont="1" applyFill="1" applyBorder="1" applyAlignment="1" applyProtection="1">
      <alignment horizontal="center"/>
    </xf>
    <xf numFmtId="0" fontId="53" fillId="11" borderId="35" xfId="5" applyFont="1" applyFill="1" applyBorder="1" applyAlignment="1" applyProtection="1">
      <alignment horizontal="center"/>
    </xf>
    <xf numFmtId="0" fontId="13" fillId="11" borderId="23" xfId="5" applyFont="1" applyFill="1" applyBorder="1" applyProtection="1"/>
    <xf numFmtId="0" fontId="53" fillId="11" borderId="0" xfId="5" applyFont="1" applyFill="1" applyBorder="1" applyProtection="1"/>
    <xf numFmtId="178" fontId="53" fillId="11" borderId="1" xfId="5" applyNumberFormat="1" applyFont="1" applyFill="1" applyBorder="1" applyAlignment="1" applyProtection="1">
      <alignment horizontal="center"/>
    </xf>
    <xf numFmtId="178" fontId="52" fillId="11" borderId="0" xfId="5" applyNumberFormat="1" applyFont="1" applyFill="1" applyBorder="1" applyAlignment="1" applyProtection="1">
      <alignment horizontal="center"/>
    </xf>
    <xf numFmtId="2" fontId="53" fillId="11" borderId="0" xfId="5" applyNumberFormat="1" applyFont="1" applyFill="1" applyBorder="1" applyAlignment="1" applyProtection="1">
      <alignment horizontal="center"/>
    </xf>
    <xf numFmtId="178" fontId="53" fillId="11" borderId="0" xfId="5" applyNumberFormat="1" applyFont="1" applyFill="1" applyBorder="1" applyAlignment="1" applyProtection="1">
      <alignment horizontal="center"/>
    </xf>
    <xf numFmtId="2" fontId="53" fillId="11" borderId="30" xfId="5" applyNumberFormat="1" applyFont="1" applyFill="1" applyBorder="1" applyAlignment="1" applyProtection="1">
      <alignment horizontal="center"/>
    </xf>
    <xf numFmtId="178" fontId="53" fillId="11" borderId="30" xfId="5" applyNumberFormat="1" applyFont="1" applyFill="1" applyBorder="1" applyAlignment="1" applyProtection="1">
      <alignment horizontal="center"/>
    </xf>
    <xf numFmtId="0" fontId="53" fillId="11" borderId="6" xfId="5" applyFont="1" applyFill="1" applyBorder="1" applyAlignment="1" applyProtection="1">
      <alignment horizontal="center"/>
    </xf>
    <xf numFmtId="0" fontId="53" fillId="11" borderId="33" xfId="5" applyFont="1" applyFill="1" applyBorder="1" applyAlignment="1" applyProtection="1">
      <alignment horizontal="center"/>
    </xf>
    <xf numFmtId="0" fontId="53" fillId="11" borderId="30" xfId="5" applyFont="1" applyFill="1" applyBorder="1" applyAlignment="1" applyProtection="1">
      <alignment horizontal="center"/>
    </xf>
    <xf numFmtId="0" fontId="13" fillId="11" borderId="20" xfId="5" applyFont="1" applyFill="1" applyBorder="1" applyProtection="1"/>
    <xf numFmtId="0" fontId="13" fillId="11" borderId="19" xfId="5" applyFont="1" applyFill="1" applyBorder="1" applyProtection="1"/>
    <xf numFmtId="0" fontId="53" fillId="11" borderId="19" xfId="5" applyFont="1" applyFill="1" applyBorder="1" applyProtection="1"/>
    <xf numFmtId="0" fontId="52" fillId="11" borderId="18" xfId="5" applyFont="1" applyFill="1" applyBorder="1" applyProtection="1"/>
    <xf numFmtId="177" fontId="52" fillId="12" borderId="52" xfId="5" applyNumberFormat="1" applyFont="1" applyFill="1" applyBorder="1" applyAlignment="1" applyProtection="1">
      <alignment horizontal="center"/>
    </xf>
    <xf numFmtId="0" fontId="52" fillId="11" borderId="0" xfId="5" applyFont="1" applyFill="1" applyBorder="1" applyProtection="1"/>
    <xf numFmtId="179" fontId="53" fillId="11" borderId="52" xfId="5" applyNumberFormat="1" applyFont="1" applyFill="1" applyBorder="1" applyAlignment="1" applyProtection="1">
      <alignment horizontal="center"/>
    </xf>
    <xf numFmtId="0" fontId="52" fillId="12" borderId="6" xfId="5" applyFont="1" applyFill="1" applyBorder="1" applyAlignment="1" applyProtection="1">
      <alignment horizontal="center"/>
    </xf>
    <xf numFmtId="10" fontId="23" fillId="11" borderId="0" xfId="5" applyNumberFormat="1" applyFont="1" applyFill="1" applyAlignment="1" applyProtection="1">
      <alignment horizontal="center"/>
    </xf>
    <xf numFmtId="0" fontId="23" fillId="11" borderId="23" xfId="5" applyFont="1" applyFill="1" applyBorder="1" applyAlignment="1" applyProtection="1">
      <alignment horizontal="center"/>
    </xf>
    <xf numFmtId="0" fontId="52" fillId="11" borderId="22" xfId="5" applyFont="1" applyFill="1" applyBorder="1" applyProtection="1"/>
    <xf numFmtId="0" fontId="23" fillId="11" borderId="20" xfId="5" applyFont="1" applyFill="1" applyBorder="1" applyAlignment="1" applyProtection="1">
      <alignment horizontal="center"/>
    </xf>
    <xf numFmtId="0" fontId="52" fillId="11" borderId="19" xfId="5" applyFont="1" applyFill="1" applyBorder="1" applyProtection="1"/>
    <xf numFmtId="179" fontId="23" fillId="12" borderId="52" xfId="8" applyNumberFormat="1" applyFont="1" applyFill="1" applyBorder="1" applyAlignment="1" applyProtection="1">
      <alignment horizontal="center"/>
    </xf>
    <xf numFmtId="164" fontId="53" fillId="11" borderId="52" xfId="5" applyNumberFormat="1" applyFont="1" applyFill="1" applyBorder="1" applyAlignment="1" applyProtection="1">
      <alignment horizontal="center"/>
    </xf>
    <xf numFmtId="164" fontId="53" fillId="11" borderId="0" xfId="5" applyNumberFormat="1" applyFont="1" applyFill="1" applyBorder="1" applyAlignment="1" applyProtection="1">
      <alignment horizontal="center"/>
    </xf>
    <xf numFmtId="0" fontId="53" fillId="11" borderId="0" xfId="5" applyFont="1" applyFill="1" applyBorder="1" applyAlignment="1" applyProtection="1">
      <alignment horizontal="left"/>
    </xf>
    <xf numFmtId="0" fontId="13" fillId="11" borderId="20" xfId="5" applyFont="1" applyFill="1" applyBorder="1" applyAlignment="1" applyProtection="1">
      <alignment horizontal="right"/>
    </xf>
    <xf numFmtId="0" fontId="53" fillId="11" borderId="19" xfId="5" applyFont="1" applyFill="1" applyBorder="1" applyAlignment="1" applyProtection="1">
      <alignment horizontal="center"/>
    </xf>
    <xf numFmtId="0" fontId="13" fillId="11" borderId="0" xfId="5" applyFont="1" applyFill="1" applyAlignment="1" applyProtection="1">
      <alignment horizontal="center"/>
    </xf>
    <xf numFmtId="176" fontId="23" fillId="12" borderId="35" xfId="6" applyNumberFormat="1" applyFont="1" applyFill="1" applyBorder="1" applyAlignment="1" applyProtection="1">
      <alignment horizontal="center"/>
    </xf>
    <xf numFmtId="0" fontId="52" fillId="11" borderId="47" xfId="5" applyFont="1" applyFill="1" applyBorder="1" applyAlignment="1" applyProtection="1">
      <alignment horizontal="center"/>
    </xf>
    <xf numFmtId="164" fontId="53" fillId="11" borderId="47" xfId="5" applyNumberFormat="1" applyFont="1" applyFill="1" applyBorder="1" applyAlignment="1" applyProtection="1">
      <alignment horizontal="center"/>
    </xf>
    <xf numFmtId="164" fontId="52" fillId="11" borderId="34" xfId="5" applyNumberFormat="1" applyFont="1" applyFill="1" applyBorder="1" applyAlignment="1" applyProtection="1">
      <alignment horizontal="center"/>
    </xf>
    <xf numFmtId="164" fontId="52" fillId="11" borderId="47" xfId="5" applyNumberFormat="1" applyFont="1" applyFill="1" applyBorder="1" applyAlignment="1" applyProtection="1">
      <alignment horizontal="center"/>
    </xf>
    <xf numFmtId="0" fontId="53" fillId="11" borderId="23" xfId="5" applyFont="1" applyFill="1" applyBorder="1" applyAlignment="1" applyProtection="1">
      <alignment horizontal="left"/>
    </xf>
    <xf numFmtId="0" fontId="52" fillId="12" borderId="1" xfId="5" applyFont="1" applyFill="1" applyBorder="1" applyAlignment="1" applyProtection="1">
      <alignment horizontal="center"/>
    </xf>
    <xf numFmtId="0" fontId="53" fillId="11" borderId="3" xfId="5" applyFont="1" applyFill="1" applyBorder="1" applyAlignment="1" applyProtection="1">
      <alignment horizontal="center"/>
    </xf>
    <xf numFmtId="0" fontId="53" fillId="11" borderId="22" xfId="5" applyFont="1" applyFill="1" applyBorder="1" applyAlignment="1" applyProtection="1">
      <alignment horizontal="center"/>
    </xf>
    <xf numFmtId="164" fontId="53" fillId="11" borderId="1" xfId="5" applyNumberFormat="1" applyFont="1" applyFill="1" applyBorder="1" applyAlignment="1" applyProtection="1">
      <alignment horizontal="center"/>
    </xf>
    <xf numFmtId="164" fontId="52" fillId="11" borderId="0" xfId="5" applyNumberFormat="1" applyFont="1" applyFill="1" applyBorder="1" applyAlignment="1" applyProtection="1">
      <alignment horizontal="center"/>
    </xf>
    <xf numFmtId="164" fontId="53" fillId="11" borderId="30" xfId="5" applyNumberFormat="1" applyFont="1" applyFill="1" applyBorder="1" applyAlignment="1" applyProtection="1">
      <alignment horizontal="center"/>
    </xf>
    <xf numFmtId="0" fontId="13" fillId="0" borderId="45" xfId="5" applyFont="1" applyFill="1" applyBorder="1" applyProtection="1"/>
    <xf numFmtId="0" fontId="13" fillId="12" borderId="30" xfId="5" applyFont="1" applyFill="1" applyBorder="1" applyProtection="1"/>
    <xf numFmtId="9" fontId="23" fillId="11" borderId="0" xfId="5" applyNumberFormat="1" applyFont="1" applyFill="1" applyBorder="1" applyAlignment="1" applyProtection="1">
      <alignment horizontal="center"/>
    </xf>
    <xf numFmtId="177" fontId="23" fillId="11" borderId="30" xfId="5" applyNumberFormat="1" applyFont="1" applyFill="1" applyBorder="1" applyAlignment="1" applyProtection="1">
      <alignment horizontal="center"/>
    </xf>
    <xf numFmtId="0" fontId="13" fillId="12" borderId="46" xfId="5" applyFont="1" applyFill="1" applyBorder="1" applyProtection="1"/>
    <xf numFmtId="2" fontId="23" fillId="11" borderId="0" xfId="5" applyNumberFormat="1" applyFont="1" applyFill="1" applyBorder="1" applyAlignment="1" applyProtection="1">
      <alignment horizontal="center"/>
    </xf>
    <xf numFmtId="0" fontId="23" fillId="11" borderId="0" xfId="5" applyFont="1" applyFill="1" applyBorder="1" applyAlignment="1" applyProtection="1"/>
    <xf numFmtId="2" fontId="23" fillId="11" borderId="52" xfId="5" applyNumberFormat="1" applyFont="1" applyFill="1" applyBorder="1" applyAlignment="1" applyProtection="1">
      <alignment horizontal="center"/>
    </xf>
    <xf numFmtId="0" fontId="13" fillId="12" borderId="52" xfId="5" applyFont="1" applyFill="1" applyBorder="1" applyProtection="1"/>
    <xf numFmtId="177" fontId="23" fillId="11" borderId="0" xfId="5" applyNumberFormat="1" applyFont="1" applyFill="1" applyBorder="1" applyAlignment="1" applyProtection="1">
      <alignment horizontal="center"/>
    </xf>
    <xf numFmtId="10" fontId="23" fillId="11" borderId="0" xfId="5" applyNumberFormat="1" applyFont="1" applyFill="1" applyBorder="1" applyAlignment="1" applyProtection="1">
      <alignment horizontal="center"/>
    </xf>
    <xf numFmtId="10" fontId="23" fillId="11" borderId="52" xfId="5" applyNumberFormat="1" applyFont="1" applyFill="1" applyBorder="1" applyAlignment="1" applyProtection="1">
      <alignment horizontal="center"/>
    </xf>
    <xf numFmtId="180" fontId="23" fillId="11" borderId="0" xfId="5" applyNumberFormat="1" applyFont="1" applyFill="1" applyBorder="1" applyAlignment="1" applyProtection="1">
      <alignment horizontal="center"/>
    </xf>
    <xf numFmtId="177" fontId="23" fillId="11" borderId="52" xfId="5" applyNumberFormat="1" applyFont="1" applyFill="1" applyBorder="1" applyAlignment="1" applyProtection="1">
      <alignment horizontal="center"/>
    </xf>
    <xf numFmtId="179" fontId="23" fillId="11" borderId="0" xfId="8" applyNumberFormat="1" applyFont="1" applyFill="1" applyBorder="1" applyAlignment="1" applyProtection="1">
      <alignment horizontal="center"/>
    </xf>
    <xf numFmtId="179" fontId="23" fillId="11" borderId="52" xfId="8" applyNumberFormat="1" applyFont="1" applyFill="1" applyBorder="1" applyAlignment="1" applyProtection="1">
      <alignment horizontal="center"/>
    </xf>
    <xf numFmtId="180" fontId="13" fillId="11" borderId="0" xfId="5" applyNumberFormat="1" applyFont="1" applyFill="1" applyProtection="1"/>
    <xf numFmtId="181" fontId="23" fillId="11" borderId="0" xfId="6" applyNumberFormat="1" applyFont="1" applyFill="1" applyBorder="1" applyAlignment="1" applyProtection="1">
      <alignment horizontal="center" vertical="center"/>
    </xf>
    <xf numFmtId="181" fontId="23" fillId="11" borderId="35" xfId="6" applyNumberFormat="1" applyFont="1" applyFill="1" applyBorder="1" applyAlignment="1" applyProtection="1">
      <alignment horizontal="center" vertical="center"/>
    </xf>
    <xf numFmtId="0" fontId="13" fillId="12" borderId="35" xfId="5" applyFont="1" applyFill="1" applyBorder="1" applyProtection="1"/>
    <xf numFmtId="0" fontId="23" fillId="11" borderId="0" xfId="5" applyFont="1" applyFill="1" applyAlignment="1" applyProtection="1">
      <alignment horizontal="center"/>
    </xf>
    <xf numFmtId="0" fontId="23" fillId="11" borderId="0" xfId="5" applyFont="1" applyFill="1" applyBorder="1" applyAlignment="1" applyProtection="1">
      <alignment horizontal="center"/>
    </xf>
    <xf numFmtId="0" fontId="57" fillId="13" borderId="53" xfId="0" applyFont="1" applyFill="1" applyBorder="1" applyAlignment="1">
      <alignment horizontal="center" vertical="top" wrapText="1"/>
    </xf>
    <xf numFmtId="4" fontId="57" fillId="13" borderId="53" xfId="0" applyNumberFormat="1" applyFont="1" applyFill="1" applyBorder="1" applyAlignment="1">
      <alignment horizontal="center" vertical="top" wrapText="1"/>
    </xf>
    <xf numFmtId="0" fontId="1" fillId="0" borderId="0" xfId="0" applyFont="1"/>
    <xf numFmtId="0" fontId="1" fillId="0" borderId="0" xfId="0" applyFont="1" applyAlignment="1">
      <alignment wrapText="1"/>
    </xf>
    <xf numFmtId="9" fontId="0" fillId="0" borderId="0" xfId="0" applyNumberFormat="1"/>
    <xf numFmtId="0" fontId="0" fillId="10" borderId="0" xfId="0" applyFill="1"/>
    <xf numFmtId="0" fontId="59" fillId="0" borderId="0" xfId="0" applyFont="1"/>
    <xf numFmtId="2" fontId="0" fillId="0" borderId="0" xfId="0" applyNumberFormat="1"/>
    <xf numFmtId="0" fontId="60" fillId="0" borderId="0" xfId="0" applyFont="1"/>
    <xf numFmtId="0" fontId="62" fillId="0" borderId="0" xfId="0" applyFont="1"/>
    <xf numFmtId="0" fontId="63" fillId="10" borderId="0" xfId="0" applyFont="1" applyFill="1"/>
    <xf numFmtId="0" fontId="0" fillId="14" borderId="0" xfId="0" applyFill="1"/>
    <xf numFmtId="0" fontId="64" fillId="14" borderId="0" xfId="0" applyFont="1" applyFill="1"/>
    <xf numFmtId="0" fontId="65" fillId="14" borderId="0" xfId="0" applyFont="1" applyFill="1"/>
    <xf numFmtId="0" fontId="0" fillId="16" borderId="0" xfId="0" applyFill="1"/>
    <xf numFmtId="0" fontId="66" fillId="17" borderId="0" xfId="0" applyFont="1" applyFill="1"/>
    <xf numFmtId="0" fontId="0" fillId="17" borderId="0" xfId="0" applyFill="1"/>
    <xf numFmtId="0" fontId="65" fillId="17" borderId="0" xfId="0" applyFont="1" applyFill="1"/>
    <xf numFmtId="0" fontId="1" fillId="17" borderId="0" xfId="0" applyFont="1" applyFill="1"/>
    <xf numFmtId="0" fontId="1" fillId="17" borderId="0" xfId="0" applyFont="1" applyFill="1" applyAlignment="1">
      <alignment wrapText="1"/>
    </xf>
    <xf numFmtId="9" fontId="0" fillId="17" borderId="0" xfId="0" applyNumberFormat="1" applyFill="1"/>
    <xf numFmtId="0" fontId="67" fillId="0" borderId="0" xfId="0" applyFont="1"/>
    <xf numFmtId="0" fontId="58" fillId="18" borderId="0" xfId="0" applyFont="1" applyFill="1"/>
    <xf numFmtId="0" fontId="0" fillId="18" borderId="0" xfId="0" applyFill="1"/>
    <xf numFmtId="0" fontId="61" fillId="18" borderId="0" xfId="0" applyFont="1" applyFill="1"/>
    <xf numFmtId="0" fontId="8" fillId="6" borderId="10" xfId="0" applyFont="1" applyFill="1" applyBorder="1" applyAlignment="1">
      <alignment vertical="center" wrapText="1"/>
    </xf>
    <xf numFmtId="0" fontId="9" fillId="6" borderId="12" xfId="0" applyFont="1" applyFill="1" applyBorder="1" applyAlignment="1">
      <alignment vertical="center" wrapText="1"/>
    </xf>
    <xf numFmtId="0" fontId="68" fillId="19" borderId="0" xfId="0" applyFont="1" applyFill="1"/>
    <xf numFmtId="9" fontId="68" fillId="19" borderId="0" xfId="0" applyNumberFormat="1" applyFont="1" applyFill="1"/>
    <xf numFmtId="0" fontId="69" fillId="6" borderId="0" xfId="0" applyFont="1" applyFill="1"/>
    <xf numFmtId="0" fontId="8" fillId="18" borderId="16" xfId="0" applyFont="1" applyFill="1" applyBorder="1" applyAlignment="1">
      <alignment vertical="center" wrapText="1"/>
    </xf>
    <xf numFmtId="0" fontId="9" fillId="18" borderId="17" xfId="0" applyFont="1" applyFill="1" applyBorder="1" applyAlignment="1">
      <alignment wrapText="1"/>
    </xf>
    <xf numFmtId="0" fontId="0" fillId="21" borderId="0" xfId="0" applyFill="1"/>
    <xf numFmtId="9" fontId="0" fillId="21" borderId="0" xfId="0" applyNumberFormat="1" applyFill="1"/>
    <xf numFmtId="9" fontId="0" fillId="10" borderId="0" xfId="0" applyNumberFormat="1" applyFill="1"/>
    <xf numFmtId="0" fontId="8" fillId="15" borderId="1" xfId="0" applyFont="1" applyFill="1" applyBorder="1" applyAlignment="1">
      <alignment wrapText="1"/>
    </xf>
    <xf numFmtId="0" fontId="8" fillId="20" borderId="16" xfId="0" applyFont="1" applyFill="1" applyBorder="1" applyAlignment="1">
      <alignment vertical="center" wrapText="1"/>
    </xf>
    <xf numFmtId="0" fontId="9" fillId="20" borderId="17" xfId="0" applyFont="1" applyFill="1" applyBorder="1" applyAlignment="1">
      <alignment wrapText="1"/>
    </xf>
    <xf numFmtId="0" fontId="8" fillId="21" borderId="16" xfId="0" applyFont="1" applyFill="1" applyBorder="1" applyAlignment="1">
      <alignment vertical="center" wrapText="1"/>
    </xf>
    <xf numFmtId="0" fontId="1" fillId="7" borderId="0" xfId="0" applyFont="1" applyFill="1"/>
    <xf numFmtId="0" fontId="8" fillId="22" borderId="16" xfId="0" applyFont="1" applyFill="1" applyBorder="1" applyAlignment="1">
      <alignment vertical="center" wrapText="1"/>
    </xf>
    <xf numFmtId="0" fontId="65" fillId="10" borderId="0" xfId="0" applyFont="1" applyFill="1"/>
    <xf numFmtId="0" fontId="17" fillId="19" borderId="16" xfId="0" applyFont="1" applyFill="1" applyBorder="1" applyAlignment="1">
      <alignment wrapText="1"/>
    </xf>
    <xf numFmtId="0" fontId="70" fillId="19" borderId="17" xfId="0" applyFont="1" applyFill="1" applyBorder="1" applyAlignment="1">
      <alignment wrapText="1"/>
    </xf>
    <xf numFmtId="43" fontId="31" fillId="0" borderId="0" xfId="0" applyNumberFormat="1" applyFont="1" applyBorder="1"/>
    <xf numFmtId="0" fontId="31" fillId="0" borderId="0" xfId="4" applyNumberFormat="1" applyFont="1" applyBorder="1"/>
    <xf numFmtId="0" fontId="31" fillId="0" borderId="0" xfId="0" applyNumberFormat="1" applyFont="1" applyBorder="1"/>
    <xf numFmtId="0" fontId="32" fillId="17" borderId="24" xfId="0" applyFont="1" applyFill="1" applyBorder="1"/>
    <xf numFmtId="171" fontId="32" fillId="17" borderId="1" xfId="1" applyNumberFormat="1" applyFont="1" applyFill="1" applyBorder="1"/>
    <xf numFmtId="171" fontId="32" fillId="17" borderId="25" xfId="1" applyNumberFormat="1" applyFont="1" applyFill="1" applyBorder="1"/>
    <xf numFmtId="0" fontId="34" fillId="17" borderId="24" xfId="0" applyFont="1" applyFill="1" applyBorder="1"/>
    <xf numFmtId="43" fontId="32" fillId="17" borderId="1" xfId="1" applyFont="1" applyFill="1" applyBorder="1"/>
    <xf numFmtId="9" fontId="34" fillId="17" borderId="25" xfId="4" applyFont="1" applyFill="1" applyBorder="1"/>
    <xf numFmtId="0" fontId="8" fillId="17" borderId="0" xfId="0" applyFont="1" applyFill="1" applyBorder="1"/>
    <xf numFmtId="0" fontId="1" fillId="23" borderId="0" xfId="0" applyFont="1" applyFill="1" applyAlignment="1">
      <alignment wrapText="1"/>
    </xf>
    <xf numFmtId="0" fontId="0" fillId="20" borderId="0" xfId="0" applyFill="1"/>
    <xf numFmtId="171" fontId="9" fillId="0" borderId="0" xfId="0" applyNumberFormat="1" applyFont="1" applyBorder="1"/>
    <xf numFmtId="171" fontId="32" fillId="20" borderId="1" xfId="1" applyNumberFormat="1" applyFont="1" applyFill="1" applyBorder="1"/>
    <xf numFmtId="0" fontId="9" fillId="21" borderId="0" xfId="0" applyFont="1" applyFill="1" applyBorder="1"/>
    <xf numFmtId="10" fontId="31" fillId="21" borderId="0" xfId="0" applyNumberFormat="1" applyFont="1" applyFill="1" applyBorder="1"/>
    <xf numFmtId="0" fontId="26" fillId="25" borderId="0" xfId="0" applyFont="1" applyFill="1" applyBorder="1"/>
    <xf numFmtId="0" fontId="43" fillId="16" borderId="24" xfId="0" applyFont="1" applyFill="1" applyBorder="1"/>
    <xf numFmtId="170" fontId="43" fillId="16" borderId="1" xfId="1" applyNumberFormat="1" applyFont="1" applyFill="1" applyBorder="1"/>
    <xf numFmtId="170" fontId="43" fillId="16" borderId="25" xfId="1" applyNumberFormat="1" applyFont="1" applyFill="1" applyBorder="1"/>
    <xf numFmtId="0" fontId="71" fillId="16" borderId="0" xfId="0" applyFont="1" applyFill="1"/>
    <xf numFmtId="43" fontId="9" fillId="24" borderId="0" xfId="1" applyFont="1" applyFill="1" applyBorder="1"/>
    <xf numFmtId="0" fontId="9" fillId="24" borderId="0" xfId="0" applyFont="1" applyFill="1"/>
    <xf numFmtId="43" fontId="8" fillId="24" borderId="0" xfId="1" applyFont="1" applyFill="1" applyBorder="1"/>
    <xf numFmtId="0" fontId="71" fillId="24" borderId="0" xfId="0" applyFont="1" applyFill="1"/>
    <xf numFmtId="0" fontId="71" fillId="24" borderId="0" xfId="0" applyFont="1" applyFill="1" applyAlignment="1">
      <alignment wrapText="1"/>
    </xf>
    <xf numFmtId="0" fontId="72" fillId="24" borderId="0" xfId="0" applyFont="1" applyFill="1"/>
    <xf numFmtId="9" fontId="72" fillId="24" borderId="0" xfId="0" applyNumberFormat="1" applyFont="1" applyFill="1"/>
    <xf numFmtId="0" fontId="72" fillId="24" borderId="0" xfId="0" applyFont="1" applyFill="1" applyAlignment="1">
      <alignment wrapText="1"/>
    </xf>
    <xf numFmtId="43" fontId="72" fillId="24" borderId="0" xfId="0" applyNumberFormat="1" applyFont="1" applyFill="1"/>
    <xf numFmtId="0" fontId="72" fillId="24" borderId="0" xfId="0" applyFont="1" applyFill="1" applyAlignment="1">
      <alignment vertical="center"/>
    </xf>
    <xf numFmtId="10" fontId="72" fillId="24" borderId="0" xfId="0" applyNumberFormat="1" applyFont="1" applyFill="1"/>
    <xf numFmtId="0" fontId="9" fillId="10" borderId="0" xfId="0" applyFont="1" applyFill="1" applyBorder="1"/>
    <xf numFmtId="170" fontId="31" fillId="10" borderId="0" xfId="0" applyNumberFormat="1" applyFont="1" applyFill="1" applyBorder="1"/>
    <xf numFmtId="170" fontId="31" fillId="14" borderId="0" xfId="0" applyNumberFormat="1" applyFont="1" applyFill="1" applyBorder="1"/>
    <xf numFmtId="0" fontId="31" fillId="21" borderId="0" xfId="0" applyFont="1" applyFill="1" applyBorder="1"/>
    <xf numFmtId="0" fontId="71" fillId="21" borderId="0" xfId="0" applyFont="1" applyFill="1"/>
    <xf numFmtId="0" fontId="69" fillId="21" borderId="0" xfId="0" applyFont="1" applyFill="1"/>
    <xf numFmtId="0" fontId="73" fillId="21" borderId="0" xfId="0" applyFont="1" applyFill="1"/>
    <xf numFmtId="0" fontId="69" fillId="21" borderId="0" xfId="0" applyFont="1" applyFill="1" applyAlignment="1">
      <alignment wrapText="1"/>
    </xf>
    <xf numFmtId="9" fontId="69" fillId="21" borderId="0" xfId="0" applyNumberFormat="1" applyFont="1" applyFill="1"/>
    <xf numFmtId="0" fontId="68" fillId="21" borderId="0" xfId="0" applyFont="1" applyFill="1"/>
    <xf numFmtId="0" fontId="74" fillId="21" borderId="0" xfId="0" applyFont="1" applyFill="1"/>
    <xf numFmtId="0" fontId="68" fillId="26" borderId="0" xfId="0" applyFont="1" applyFill="1" applyAlignment="1">
      <alignment wrapText="1"/>
    </xf>
    <xf numFmtId="0" fontId="6" fillId="26" borderId="0" xfId="0" applyFont="1" applyFill="1" applyAlignment="1">
      <alignment vertical="center" wrapText="1"/>
    </xf>
    <xf numFmtId="0" fontId="71" fillId="20" borderId="0" xfId="0" applyFont="1" applyFill="1"/>
    <xf numFmtId="166" fontId="75" fillId="14" borderId="30" xfId="0" applyNumberFormat="1" applyFont="1" applyFill="1" applyBorder="1" applyAlignment="1">
      <alignment horizontal="center"/>
    </xf>
    <xf numFmtId="166" fontId="75" fillId="14" borderId="31" xfId="0" applyNumberFormat="1" applyFont="1" applyFill="1" applyBorder="1" applyAlignment="1">
      <alignment horizontal="center"/>
    </xf>
    <xf numFmtId="0" fontId="71" fillId="14" borderId="0" xfId="0" applyFont="1" applyFill="1"/>
    <xf numFmtId="10" fontId="71" fillId="14" borderId="0" xfId="0" applyNumberFormat="1" applyFont="1" applyFill="1"/>
    <xf numFmtId="3" fontId="71" fillId="14" borderId="0" xfId="0" applyNumberFormat="1" applyFont="1" applyFill="1"/>
    <xf numFmtId="9" fontId="71" fillId="27" borderId="0" xfId="4" applyFont="1" applyFill="1"/>
    <xf numFmtId="0" fontId="71" fillId="27" borderId="0" xfId="0" applyFont="1" applyFill="1"/>
    <xf numFmtId="0" fontId="0" fillId="27" borderId="0" xfId="0" applyFill="1"/>
    <xf numFmtId="0" fontId="0" fillId="28" borderId="0" xfId="0" applyFill="1"/>
    <xf numFmtId="0" fontId="69" fillId="28" borderId="0" xfId="0" applyFont="1" applyFill="1" applyAlignment="1">
      <alignment wrapText="1"/>
    </xf>
    <xf numFmtId="0" fontId="69" fillId="0" borderId="0" xfId="0" applyFont="1"/>
    <xf numFmtId="0" fontId="69" fillId="17" borderId="0" xfId="0" applyFont="1" applyFill="1" applyAlignment="1">
      <alignment vertical="center" wrapText="1"/>
    </xf>
    <xf numFmtId="3" fontId="76" fillId="29" borderId="54" xfId="0" applyNumberFormat="1" applyFont="1" applyFill="1" applyBorder="1" applyAlignment="1">
      <alignment horizontal="right" vertical="center" wrapText="1"/>
    </xf>
    <xf numFmtId="0" fontId="69" fillId="10" borderId="0" xfId="0" applyFont="1" applyFill="1" applyAlignment="1">
      <alignment wrapText="1"/>
    </xf>
    <xf numFmtId="0" fontId="69" fillId="20" borderId="0" xfId="0" applyFont="1" applyFill="1"/>
    <xf numFmtId="0" fontId="69" fillId="6" borderId="0" xfId="0" applyFont="1" applyFill="1" applyAlignment="1">
      <alignment wrapText="1"/>
    </xf>
    <xf numFmtId="171" fontId="17" fillId="30" borderId="0" xfId="0" applyNumberFormat="1" applyFont="1" applyFill="1" applyBorder="1"/>
    <xf numFmtId="0" fontId="71" fillId="30" borderId="0" xfId="0" applyFont="1" applyFill="1" applyAlignment="1">
      <alignment wrapText="1"/>
    </xf>
    <xf numFmtId="166" fontId="41" fillId="3" borderId="30" xfId="0" applyNumberFormat="1" applyFont="1" applyFill="1" applyBorder="1" applyAlignment="1">
      <alignment horizontal="center" vertical="center"/>
    </xf>
    <xf numFmtId="0" fontId="0" fillId="0" borderId="0" xfId="0" applyAlignment="1">
      <alignment vertical="center"/>
    </xf>
    <xf numFmtId="0" fontId="9" fillId="15" borderId="1" xfId="0" applyFont="1" applyFill="1" applyBorder="1" applyAlignment="1">
      <alignment vertical="center" wrapText="1"/>
    </xf>
    <xf numFmtId="0" fontId="9" fillId="18" borderId="17" xfId="0" applyFont="1" applyFill="1" applyBorder="1" applyAlignment="1">
      <alignment vertical="center" wrapText="1"/>
    </xf>
    <xf numFmtId="0" fontId="9" fillId="21" borderId="17" xfId="0" applyFont="1" applyFill="1" applyBorder="1" applyAlignment="1">
      <alignment vertical="center" wrapText="1"/>
    </xf>
    <xf numFmtId="9" fontId="0" fillId="10" borderId="0" xfId="0" applyNumberFormat="1" applyFill="1" applyAlignment="1">
      <alignment vertical="center"/>
    </xf>
    <xf numFmtId="0" fontId="1" fillId="0" borderId="0" xfId="0" applyFont="1" applyAlignment="1">
      <alignment vertical="center"/>
    </xf>
    <xf numFmtId="0" fontId="9" fillId="22" borderId="17" xfId="0" applyFont="1" applyFill="1" applyBorder="1" applyAlignment="1">
      <alignment vertical="center" wrapText="1"/>
    </xf>
    <xf numFmtId="0" fontId="0" fillId="21" borderId="0" xfId="0" applyFill="1" applyAlignment="1">
      <alignment vertical="center"/>
    </xf>
    <xf numFmtId="0" fontId="71" fillId="31" borderId="0" xfId="0" applyFont="1" applyFill="1"/>
    <xf numFmtId="0" fontId="71" fillId="31" borderId="0" xfId="0" applyFont="1" applyFill="1" applyAlignment="1">
      <alignment vertical="center"/>
    </xf>
    <xf numFmtId="43" fontId="71" fillId="31" borderId="0" xfId="0" applyNumberFormat="1" applyFont="1" applyFill="1" applyAlignment="1">
      <alignment vertical="center"/>
    </xf>
    <xf numFmtId="43" fontId="71" fillId="31" borderId="0" xfId="0" applyNumberFormat="1" applyFont="1" applyFill="1"/>
    <xf numFmtId="0" fontId="71" fillId="31" borderId="0" xfId="0" applyFont="1" applyFill="1" applyAlignment="1">
      <alignment wrapText="1"/>
    </xf>
    <xf numFmtId="166" fontId="77" fillId="24" borderId="24" xfId="1" applyNumberFormat="1" applyFont="1" applyFill="1" applyBorder="1"/>
    <xf numFmtId="166" fontId="77" fillId="24" borderId="1" xfId="0" applyNumberFormat="1" applyFont="1" applyFill="1" applyBorder="1" applyAlignment="1">
      <alignment horizontal="center"/>
    </xf>
    <xf numFmtId="166" fontId="77" fillId="24" borderId="25" xfId="0" applyNumberFormat="1" applyFont="1" applyFill="1" applyBorder="1" applyAlignment="1">
      <alignment horizontal="center"/>
    </xf>
    <xf numFmtId="9" fontId="78" fillId="24" borderId="24" xfId="4" applyFont="1" applyFill="1" applyBorder="1"/>
    <xf numFmtId="9" fontId="78" fillId="24" borderId="1" xfId="0" applyNumberFormat="1" applyFont="1" applyFill="1" applyBorder="1"/>
    <xf numFmtId="9" fontId="78" fillId="24" borderId="25" xfId="0" applyNumberFormat="1" applyFont="1" applyFill="1" applyBorder="1"/>
    <xf numFmtId="9" fontId="78" fillId="24" borderId="1" xfId="4" applyFont="1" applyFill="1" applyBorder="1"/>
    <xf numFmtId="9" fontId="78" fillId="24" borderId="25" xfId="4" applyFont="1" applyFill="1" applyBorder="1"/>
    <xf numFmtId="9" fontId="78" fillId="24" borderId="10" xfId="4" applyFont="1" applyFill="1" applyBorder="1"/>
    <xf numFmtId="9" fontId="78" fillId="24" borderId="11" xfId="4" applyFont="1" applyFill="1" applyBorder="1"/>
    <xf numFmtId="9" fontId="78" fillId="24" borderId="12" xfId="4" applyFont="1" applyFill="1" applyBorder="1"/>
    <xf numFmtId="166" fontId="75" fillId="31" borderId="24" xfId="1" applyNumberFormat="1" applyFont="1" applyFill="1" applyBorder="1"/>
    <xf numFmtId="166" fontId="75" fillId="31" borderId="1" xfId="0" applyNumberFormat="1" applyFont="1" applyFill="1" applyBorder="1" applyAlignment="1">
      <alignment horizontal="center"/>
    </xf>
    <xf numFmtId="166" fontId="75" fillId="31" borderId="25" xfId="0" applyNumberFormat="1" applyFont="1" applyFill="1" applyBorder="1" applyAlignment="1">
      <alignment horizontal="center"/>
    </xf>
    <xf numFmtId="9" fontId="79" fillId="31" borderId="24" xfId="4" applyFont="1" applyFill="1" applyBorder="1"/>
    <xf numFmtId="9" fontId="79" fillId="31" borderId="1" xfId="4" applyFont="1" applyFill="1" applyBorder="1"/>
    <xf numFmtId="9" fontId="79" fillId="31" borderId="25" xfId="4" applyFont="1" applyFill="1" applyBorder="1"/>
    <xf numFmtId="9" fontId="79" fillId="31" borderId="1" xfId="0" applyNumberFormat="1" applyFont="1" applyFill="1" applyBorder="1"/>
    <xf numFmtId="9" fontId="79" fillId="31" borderId="25" xfId="0" applyNumberFormat="1" applyFont="1" applyFill="1" applyBorder="1"/>
    <xf numFmtId="9" fontId="79" fillId="31" borderId="26" xfId="4" applyFont="1" applyFill="1" applyBorder="1"/>
    <xf numFmtId="0" fontId="79" fillId="31" borderId="27" xfId="0" applyFont="1" applyFill="1" applyBorder="1"/>
    <xf numFmtId="0" fontId="79" fillId="31" borderId="28" xfId="0" applyFont="1" applyFill="1" applyBorder="1"/>
    <xf numFmtId="10" fontId="71" fillId="31" borderId="0" xfId="0" applyNumberFormat="1" applyFont="1" applyFill="1"/>
    <xf numFmtId="166" fontId="10" fillId="0" borderId="1" xfId="0" applyNumberFormat="1" applyFont="1" applyFill="1" applyBorder="1" applyAlignment="1">
      <alignment horizontal="center"/>
    </xf>
    <xf numFmtId="10" fontId="34" fillId="17" borderId="1" xfId="4" applyNumberFormat="1" applyFont="1" applyFill="1" applyBorder="1"/>
    <xf numFmtId="10" fontId="8" fillId="17" borderId="0" xfId="0" applyNumberFormat="1" applyFont="1" applyFill="1" applyBorder="1"/>
    <xf numFmtId="10" fontId="0" fillId="17" borderId="0" xfId="0" applyNumberFormat="1" applyFill="1"/>
    <xf numFmtId="0" fontId="0" fillId="6" borderId="0" xfId="0" applyFill="1"/>
    <xf numFmtId="0" fontId="0" fillId="32" borderId="0" xfId="0" applyFill="1"/>
    <xf numFmtId="0" fontId="6" fillId="32" borderId="0" xfId="0" applyFont="1" applyFill="1"/>
    <xf numFmtId="0" fontId="80" fillId="10" borderId="0" xfId="0" applyFont="1" applyFill="1"/>
    <xf numFmtId="0" fontId="26" fillId="32" borderId="10" xfId="0" applyFont="1" applyFill="1" applyBorder="1"/>
    <xf numFmtId="170" fontId="26" fillId="32" borderId="11" xfId="1" applyNumberFormat="1" applyFont="1" applyFill="1" applyBorder="1"/>
    <xf numFmtId="0" fontId="0" fillId="6" borderId="0" xfId="0" applyFill="1" applyAlignment="1">
      <alignment wrapText="1"/>
    </xf>
    <xf numFmtId="0" fontId="81" fillId="13" borderId="0" xfId="0" applyFont="1" applyFill="1" applyAlignment="1">
      <alignment horizontal="right" wrapText="1"/>
    </xf>
    <xf numFmtId="0" fontId="81" fillId="13" borderId="55" xfId="0" applyFont="1" applyFill="1" applyBorder="1" applyAlignment="1">
      <alignment horizontal="right" wrapText="1"/>
    </xf>
    <xf numFmtId="0" fontId="57" fillId="33" borderId="56" xfId="0" applyFont="1" applyFill="1" applyBorder="1" applyAlignment="1">
      <alignment horizontal="left" vertical="top"/>
    </xf>
    <xf numFmtId="0" fontId="3" fillId="33" borderId="56" xfId="2" applyFill="1" applyBorder="1" applyAlignment="1" applyProtection="1">
      <alignment horizontal="left" vertical="top"/>
    </xf>
    <xf numFmtId="4" fontId="57" fillId="33" borderId="56" xfId="0" applyNumberFormat="1" applyFont="1" applyFill="1" applyBorder="1" applyAlignment="1">
      <alignment horizontal="right" vertical="top" wrapText="1"/>
    </xf>
    <xf numFmtId="0" fontId="57" fillId="33" borderId="56" xfId="0" applyFont="1" applyFill="1" applyBorder="1" applyAlignment="1">
      <alignment horizontal="right" vertical="top" wrapText="1"/>
    </xf>
    <xf numFmtId="0" fontId="57" fillId="13" borderId="56" xfId="0" applyFont="1" applyFill="1" applyBorder="1" applyAlignment="1">
      <alignment horizontal="left" vertical="top"/>
    </xf>
    <xf numFmtId="0" fontId="3" fillId="13" borderId="56" xfId="2" applyFill="1" applyBorder="1" applyAlignment="1" applyProtection="1">
      <alignment horizontal="left" vertical="top"/>
    </xf>
    <xf numFmtId="4" fontId="57" fillId="13" borderId="56" xfId="0" applyNumberFormat="1" applyFont="1" applyFill="1" applyBorder="1" applyAlignment="1">
      <alignment horizontal="right" vertical="top" wrapText="1"/>
    </xf>
    <xf numFmtId="0" fontId="57" fillId="13" borderId="56" xfId="0" applyFont="1" applyFill="1" applyBorder="1" applyAlignment="1">
      <alignment horizontal="right" vertical="top" wrapText="1"/>
    </xf>
    <xf numFmtId="0" fontId="57" fillId="34" borderId="56" xfId="0" applyFont="1" applyFill="1" applyBorder="1" applyAlignment="1">
      <alignment horizontal="left" vertical="top"/>
    </xf>
    <xf numFmtId="0" fontId="3" fillId="34" borderId="56" xfId="2" applyFill="1" applyBorder="1" applyAlignment="1" applyProtection="1">
      <alignment horizontal="left" vertical="top"/>
    </xf>
    <xf numFmtId="0" fontId="57" fillId="34" borderId="56" xfId="0" applyFont="1" applyFill="1" applyBorder="1" applyAlignment="1">
      <alignment horizontal="right" vertical="top" wrapText="1"/>
    </xf>
    <xf numFmtId="4" fontId="57" fillId="34" borderId="56" xfId="0" applyNumberFormat="1" applyFont="1" applyFill="1" applyBorder="1" applyAlignment="1">
      <alignment horizontal="right" vertical="top" wrapText="1"/>
    </xf>
    <xf numFmtId="0" fontId="81" fillId="33" borderId="56" xfId="0" applyFont="1" applyFill="1" applyBorder="1" applyAlignment="1">
      <alignment horizontal="left" vertical="top"/>
    </xf>
    <xf numFmtId="0" fontId="81" fillId="33" borderId="56" xfId="0" applyFont="1" applyFill="1" applyBorder="1" applyAlignment="1">
      <alignment horizontal="right" vertical="top" wrapText="1"/>
    </xf>
    <xf numFmtId="4" fontId="81" fillId="33" borderId="56" xfId="0" applyNumberFormat="1" applyFont="1" applyFill="1" applyBorder="1" applyAlignment="1">
      <alignment horizontal="right" vertical="top" wrapText="1"/>
    </xf>
    <xf numFmtId="10" fontId="82" fillId="23" borderId="0" xfId="0" applyNumberFormat="1" applyFont="1" applyFill="1"/>
    <xf numFmtId="0" fontId="78" fillId="19" borderId="16" xfId="0" applyFont="1" applyFill="1" applyBorder="1" applyAlignment="1">
      <alignment vertical="center" wrapText="1"/>
    </xf>
    <xf numFmtId="0" fontId="83" fillId="19" borderId="17" xfId="0" applyFont="1" applyFill="1" applyBorder="1" applyAlignment="1">
      <alignment vertical="center" wrapText="1"/>
    </xf>
    <xf numFmtId="0" fontId="83" fillId="0" borderId="0" xfId="0" applyFont="1" applyAlignment="1">
      <alignment vertical="center"/>
    </xf>
    <xf numFmtId="0" fontId="78" fillId="18" borderId="16" xfId="0" applyFont="1" applyFill="1" applyBorder="1" applyAlignment="1">
      <alignment vertical="center" wrapText="1"/>
    </xf>
    <xf numFmtId="0" fontId="83" fillId="18" borderId="17" xfId="0" applyFont="1" applyFill="1" applyBorder="1" applyAlignment="1">
      <alignment vertical="center" wrapText="1"/>
    </xf>
    <xf numFmtId="0" fontId="8" fillId="27" borderId="0" xfId="0" applyFont="1" applyFill="1" applyBorder="1"/>
    <xf numFmtId="10" fontId="8" fillId="27" borderId="0" xfId="0" applyNumberFormat="1" applyFont="1" applyFill="1" applyBorder="1"/>
    <xf numFmtId="0" fontId="26" fillId="27" borderId="0" xfId="0" applyFont="1" applyFill="1" applyBorder="1"/>
    <xf numFmtId="10" fontId="26" fillId="27" borderId="0" xfId="0" applyNumberFormat="1" applyFont="1" applyFill="1" applyBorder="1"/>
    <xf numFmtId="9" fontId="9" fillId="0" borderId="0" xfId="4" applyFont="1" applyBorder="1"/>
    <xf numFmtId="0" fontId="31" fillId="27" borderId="0" xfId="0" applyFont="1" applyFill="1" applyBorder="1"/>
    <xf numFmtId="0" fontId="31" fillId="27" borderId="24" xfId="0" applyFont="1" applyFill="1" applyBorder="1"/>
    <xf numFmtId="171" fontId="31" fillId="27" borderId="1" xfId="1" applyNumberFormat="1" applyFont="1" applyFill="1" applyBorder="1"/>
    <xf numFmtId="171" fontId="31" fillId="27" borderId="25" xfId="1" applyNumberFormat="1" applyFont="1" applyFill="1" applyBorder="1"/>
    <xf numFmtId="166" fontId="33" fillId="27" borderId="8" xfId="0" applyNumberFormat="1" applyFont="1" applyFill="1" applyBorder="1" applyAlignment="1">
      <alignment horizontal="center"/>
    </xf>
    <xf numFmtId="171" fontId="32" fillId="27" borderId="1" xfId="1" applyNumberFormat="1" applyFont="1" applyFill="1" applyBorder="1"/>
    <xf numFmtId="9" fontId="34" fillId="27" borderId="1" xfId="4" applyFont="1" applyFill="1" applyBorder="1"/>
    <xf numFmtId="171" fontId="34" fillId="27" borderId="1" xfId="1" applyNumberFormat="1" applyFont="1" applyFill="1" applyBorder="1"/>
    <xf numFmtId="170" fontId="31" fillId="27" borderId="1" xfId="1" applyNumberFormat="1" applyFont="1" applyFill="1" applyBorder="1"/>
    <xf numFmtId="172" fontId="31" fillId="27" borderId="1" xfId="0" applyNumberFormat="1" applyFont="1" applyFill="1" applyBorder="1"/>
    <xf numFmtId="172" fontId="31" fillId="27" borderId="11" xfId="0" applyNumberFormat="1" applyFont="1" applyFill="1" applyBorder="1"/>
    <xf numFmtId="0" fontId="32" fillId="27" borderId="0" xfId="0" applyFont="1" applyFill="1" applyBorder="1"/>
    <xf numFmtId="10" fontId="34" fillId="27" borderId="1" xfId="4" applyNumberFormat="1" applyFont="1" applyFill="1" applyBorder="1"/>
    <xf numFmtId="43" fontId="31" fillId="27" borderId="0" xfId="0" applyNumberFormat="1" applyFont="1" applyFill="1" applyBorder="1"/>
    <xf numFmtId="0" fontId="31" fillId="27" borderId="0" xfId="0" applyNumberFormat="1" applyFont="1" applyFill="1" applyBorder="1"/>
    <xf numFmtId="0" fontId="31" fillId="27" borderId="0" xfId="4" applyNumberFormat="1" applyFont="1" applyFill="1" applyBorder="1"/>
    <xf numFmtId="10" fontId="31" fillId="27" borderId="0" xfId="0" applyNumberFormat="1" applyFont="1" applyFill="1" applyBorder="1"/>
    <xf numFmtId="170" fontId="31" fillId="27" borderId="0" xfId="0" applyNumberFormat="1" applyFont="1" applyFill="1" applyBorder="1"/>
    <xf numFmtId="9" fontId="31" fillId="0" borderId="0" xfId="4" applyFont="1" applyBorder="1"/>
    <xf numFmtId="0" fontId="34" fillId="19" borderId="24" xfId="0" applyFont="1" applyFill="1" applyBorder="1"/>
    <xf numFmtId="172" fontId="34" fillId="19" borderId="1" xfId="1" applyNumberFormat="1" applyFont="1" applyFill="1" applyBorder="1"/>
    <xf numFmtId="172" fontId="34" fillId="19" borderId="25" xfId="1" applyNumberFormat="1" applyFont="1" applyFill="1" applyBorder="1"/>
    <xf numFmtId="0" fontId="31" fillId="19" borderId="0" xfId="0" applyFont="1" applyFill="1" applyBorder="1"/>
    <xf numFmtId="0" fontId="84" fillId="35" borderId="56" xfId="0" applyFont="1" applyFill="1" applyBorder="1" applyAlignment="1">
      <alignment horizontal="left" vertical="top"/>
    </xf>
    <xf numFmtId="0" fontId="85" fillId="35" borderId="56" xfId="2" applyFont="1" applyFill="1" applyBorder="1" applyAlignment="1" applyProtection="1">
      <alignment horizontal="left" vertical="top"/>
    </xf>
    <xf numFmtId="0" fontId="72" fillId="24" borderId="0" xfId="0" applyFont="1" applyFill="1" applyAlignment="1">
      <alignment vertical="top" wrapText="1"/>
    </xf>
    <xf numFmtId="0" fontId="72" fillId="24" borderId="0" xfId="0" applyFont="1" applyFill="1" applyAlignment="1">
      <alignment vertical="top"/>
    </xf>
    <xf numFmtId="43" fontId="0" fillId="35" borderId="0" xfId="0" applyNumberFormat="1" applyFill="1"/>
    <xf numFmtId="0" fontId="71" fillId="17" borderId="0" xfId="0" applyFont="1" applyFill="1"/>
    <xf numFmtId="9" fontId="71" fillId="17" borderId="0" xfId="4" applyFont="1" applyFill="1"/>
    <xf numFmtId="0" fontId="71" fillId="17" borderId="0" xfId="0" applyFont="1" applyFill="1" applyAlignment="1">
      <alignment wrapText="1"/>
    </xf>
    <xf numFmtId="9" fontId="78" fillId="23" borderId="24" xfId="4" applyFont="1" applyFill="1" applyBorder="1"/>
    <xf numFmtId="9" fontId="78" fillId="23" borderId="1" xfId="4" applyFont="1" applyFill="1" applyBorder="1"/>
    <xf numFmtId="9" fontId="78" fillId="23" borderId="25" xfId="4" applyFont="1" applyFill="1" applyBorder="1"/>
    <xf numFmtId="9" fontId="9" fillId="23" borderId="0" xfId="0" applyNumberFormat="1" applyFont="1" applyFill="1"/>
    <xf numFmtId="0" fontId="9" fillId="23" borderId="0" xfId="0" applyFont="1" applyFill="1"/>
    <xf numFmtId="0" fontId="8" fillId="19" borderId="0" xfId="0" applyFont="1" applyFill="1" applyBorder="1"/>
    <xf numFmtId="9" fontId="8" fillId="19" borderId="0" xfId="4" applyFont="1" applyFill="1" applyBorder="1"/>
    <xf numFmtId="9" fontId="8" fillId="19" borderId="0" xfId="0" applyNumberFormat="1" applyFont="1" applyFill="1" applyBorder="1"/>
    <xf numFmtId="4" fontId="81" fillId="19" borderId="56" xfId="0" applyNumberFormat="1" applyFont="1" applyFill="1" applyBorder="1" applyAlignment="1">
      <alignment horizontal="right" vertical="top" wrapText="1"/>
    </xf>
    <xf numFmtId="0" fontId="81" fillId="19" borderId="56" xfId="0" applyFont="1" applyFill="1" applyBorder="1" applyAlignment="1">
      <alignment horizontal="right" vertical="top" wrapText="1"/>
    </xf>
    <xf numFmtId="0" fontId="1" fillId="19" borderId="0" xfId="0" applyFont="1" applyFill="1"/>
    <xf numFmtId="0" fontId="81" fillId="17" borderId="56" xfId="0" applyFont="1" applyFill="1" applyBorder="1" applyAlignment="1">
      <alignment horizontal="right" vertical="top" wrapText="1"/>
    </xf>
    <xf numFmtId="0" fontId="87" fillId="17" borderId="56" xfId="2" applyFont="1" applyFill="1" applyBorder="1" applyAlignment="1" applyProtection="1">
      <alignment horizontal="left" vertical="top" wrapText="1"/>
    </xf>
    <xf numFmtId="0" fontId="88" fillId="19" borderId="56" xfId="0" applyFont="1" applyFill="1" applyBorder="1" applyAlignment="1">
      <alignment horizontal="left" vertical="top" wrapText="1"/>
    </xf>
    <xf numFmtId="0" fontId="71" fillId="18" borderId="0" xfId="0" applyFont="1" applyFill="1"/>
    <xf numFmtId="0" fontId="71" fillId="19" borderId="0" xfId="0" applyFont="1" applyFill="1"/>
    <xf numFmtId="0" fontId="71" fillId="32" borderId="0" xfId="0" applyFont="1" applyFill="1"/>
    <xf numFmtId="0" fontId="32" fillId="32" borderId="24" xfId="0" applyFont="1" applyFill="1" applyBorder="1"/>
    <xf numFmtId="171" fontId="32" fillId="32" borderId="1" xfId="1" applyNumberFormat="1" applyFont="1" applyFill="1" applyBorder="1"/>
    <xf numFmtId="171" fontId="32" fillId="32" borderId="25" xfId="1" applyNumberFormat="1" applyFont="1" applyFill="1" applyBorder="1"/>
    <xf numFmtId="0" fontId="32" fillId="32" borderId="0" xfId="0" applyFont="1" applyFill="1" applyBorder="1"/>
    <xf numFmtId="43" fontId="32" fillId="19" borderId="1" xfId="1" applyFont="1" applyFill="1" applyBorder="1"/>
    <xf numFmtId="9" fontId="34" fillId="19" borderId="1" xfId="4" applyFont="1" applyFill="1" applyBorder="1"/>
    <xf numFmtId="9" fontId="34" fillId="19" borderId="25" xfId="4" applyFont="1" applyFill="1" applyBorder="1"/>
    <xf numFmtId="0" fontId="32" fillId="19" borderId="0" xfId="0" applyFont="1" applyFill="1" applyBorder="1"/>
    <xf numFmtId="0" fontId="1" fillId="18" borderId="0" xfId="0" applyFont="1" applyFill="1" applyAlignment="1">
      <alignment wrapText="1"/>
    </xf>
    <xf numFmtId="0" fontId="0" fillId="0" borderId="0" xfId="0" applyNumberFormat="1"/>
    <xf numFmtId="0" fontId="0" fillId="0" borderId="0" xfId="0" applyFont="1" applyFill="1" applyAlignment="1">
      <alignment wrapText="1"/>
    </xf>
    <xf numFmtId="10" fontId="0" fillId="7" borderId="0" xfId="0" applyNumberFormat="1" applyFill="1"/>
    <xf numFmtId="10" fontId="0" fillId="18" borderId="0" xfId="0" applyNumberFormat="1" applyFill="1"/>
    <xf numFmtId="0" fontId="0" fillId="23" borderId="0" xfId="0" applyFill="1"/>
    <xf numFmtId="0" fontId="1" fillId="20" borderId="0" xfId="0" applyFont="1" applyFill="1" applyAlignment="1">
      <alignment wrapText="1"/>
    </xf>
    <xf numFmtId="9" fontId="0" fillId="23" borderId="0" xfId="4" applyFont="1" applyFill="1"/>
    <xf numFmtId="9" fontId="0" fillId="18" borderId="0" xfId="4" applyFont="1" applyFill="1"/>
    <xf numFmtId="0" fontId="1" fillId="18" borderId="0" xfId="0" applyFont="1" applyFill="1"/>
    <xf numFmtId="0" fontId="61" fillId="18" borderId="0" xfId="0" applyFont="1" applyFill="1" applyAlignment="1">
      <alignment wrapText="1"/>
    </xf>
    <xf numFmtId="0" fontId="9" fillId="18" borderId="0" xfId="0" applyFont="1" applyFill="1" applyBorder="1"/>
    <xf numFmtId="9" fontId="40" fillId="18" borderId="0" xfId="4" applyFont="1" applyFill="1" applyBorder="1"/>
    <xf numFmtId="0" fontId="40" fillId="18" borderId="0" xfId="0" applyFont="1" applyFill="1" applyBorder="1"/>
    <xf numFmtId="0" fontId="73" fillId="18" borderId="0" xfId="0" applyFont="1" applyFill="1" applyAlignment="1">
      <alignment wrapText="1"/>
    </xf>
    <xf numFmtId="0" fontId="89" fillId="18" borderId="0" xfId="0" applyFont="1" applyFill="1" applyAlignment="1">
      <alignment wrapText="1"/>
    </xf>
    <xf numFmtId="0" fontId="90" fillId="18" borderId="0" xfId="0" applyFont="1" applyFill="1" applyAlignment="1">
      <alignment wrapText="1"/>
    </xf>
    <xf numFmtId="0" fontId="71" fillId="16" borderId="0" xfId="0" applyFont="1" applyFill="1" applyAlignment="1">
      <alignment wrapText="1"/>
    </xf>
    <xf numFmtId="3" fontId="86" fillId="29" borderId="54" xfId="0" applyNumberFormat="1" applyFont="1" applyFill="1" applyBorder="1" applyAlignment="1">
      <alignment horizontal="right" vertical="center" wrapText="1"/>
    </xf>
    <xf numFmtId="0" fontId="69" fillId="23" borderId="0" xfId="0" applyFont="1" applyFill="1" applyAlignment="1">
      <alignment wrapText="1"/>
    </xf>
    <xf numFmtId="0" fontId="69" fillId="14" borderId="0" xfId="0" applyFont="1" applyFill="1"/>
    <xf numFmtId="0" fontId="91" fillId="0" borderId="0" xfId="0" applyFont="1"/>
    <xf numFmtId="0" fontId="91" fillId="24" borderId="0" xfId="0" applyFont="1" applyFill="1"/>
    <xf numFmtId="0" fontId="0" fillId="24" borderId="0" xfId="0" applyFill="1"/>
    <xf numFmtId="9" fontId="0" fillId="24" borderId="0" xfId="4" applyFont="1" applyFill="1"/>
    <xf numFmtId="166" fontId="1" fillId="0" borderId="0" xfId="0" applyNumberFormat="1" applyFont="1"/>
    <xf numFmtId="0" fontId="31" fillId="20" borderId="0" xfId="0" applyFont="1" applyFill="1" applyBorder="1"/>
    <xf numFmtId="0" fontId="8" fillId="19" borderId="24" xfId="0" applyFont="1" applyFill="1" applyBorder="1"/>
    <xf numFmtId="170" fontId="8" fillId="19" borderId="1" xfId="1" applyNumberFormat="1" applyFont="1" applyFill="1" applyBorder="1"/>
    <xf numFmtId="170" fontId="8" fillId="19" borderId="25" xfId="1" applyNumberFormat="1" applyFont="1" applyFill="1" applyBorder="1"/>
    <xf numFmtId="0" fontId="8" fillId="0" borderId="24" xfId="0" applyFont="1" applyFill="1" applyBorder="1"/>
    <xf numFmtId="170" fontId="8" fillId="0" borderId="1" xfId="1" applyNumberFormat="1" applyFont="1" applyFill="1" applyBorder="1"/>
    <xf numFmtId="43" fontId="31" fillId="0" borderId="0" xfId="4" applyNumberFormat="1" applyFont="1" applyBorder="1"/>
    <xf numFmtId="0" fontId="8" fillId="20" borderId="0" xfId="0" applyFont="1" applyFill="1" applyBorder="1"/>
    <xf numFmtId="0" fontId="26" fillId="20" borderId="0" xfId="0" applyFont="1" applyFill="1" applyBorder="1"/>
    <xf numFmtId="0" fontId="26" fillId="20" borderId="24" xfId="0" applyFont="1" applyFill="1" applyBorder="1" applyAlignment="1">
      <alignment wrapText="1"/>
    </xf>
    <xf numFmtId="43" fontId="8" fillId="20" borderId="0" xfId="4" applyNumberFormat="1" applyFont="1" applyFill="1" applyBorder="1"/>
    <xf numFmtId="43" fontId="9" fillId="10" borderId="0" xfId="1" applyFont="1" applyFill="1" applyBorder="1"/>
    <xf numFmtId="9" fontId="26" fillId="20" borderId="0" xfId="4" applyFont="1" applyFill="1" applyBorder="1"/>
    <xf numFmtId="9" fontId="26" fillId="10" borderId="0" xfId="0" applyNumberFormat="1" applyFont="1" applyFill="1" applyBorder="1"/>
    <xf numFmtId="0" fontId="86" fillId="29" borderId="54" xfId="0" applyFont="1" applyFill="1" applyBorder="1" applyAlignment="1">
      <alignment horizontal="right" vertical="center" wrapText="1"/>
    </xf>
    <xf numFmtId="0" fontId="93" fillId="0" borderId="0" xfId="9" applyFont="1" applyAlignment="1">
      <alignment horizontal="centerContinuous"/>
    </xf>
    <xf numFmtId="0" fontId="92" fillId="0" borderId="0" xfId="9" applyAlignment="1">
      <alignment horizontal="centerContinuous"/>
    </xf>
    <xf numFmtId="0" fontId="92" fillId="0" borderId="0" xfId="9"/>
    <xf numFmtId="0" fontId="94" fillId="0" borderId="18" xfId="9" applyFont="1" applyBorder="1"/>
    <xf numFmtId="0" fontId="92" fillId="0" borderId="19" xfId="9" applyBorder="1"/>
    <xf numFmtId="0" fontId="92" fillId="0" borderId="20" xfId="9" applyBorder="1"/>
    <xf numFmtId="0" fontId="94" fillId="0" borderId="22" xfId="9" applyFont="1" applyBorder="1"/>
    <xf numFmtId="0" fontId="92" fillId="0" borderId="0" xfId="9" applyBorder="1"/>
    <xf numFmtId="0" fontId="92" fillId="0" borderId="23" xfId="9" applyBorder="1"/>
    <xf numFmtId="0" fontId="94" fillId="0" borderId="26" xfId="9" applyFont="1" applyBorder="1"/>
    <xf numFmtId="0" fontId="92" fillId="0" borderId="27" xfId="9" applyBorder="1"/>
    <xf numFmtId="0" fontId="92" fillId="0" borderId="28" xfId="9" applyBorder="1"/>
    <xf numFmtId="0" fontId="95" fillId="0" borderId="0" xfId="9" applyFont="1"/>
    <xf numFmtId="0" fontId="96" fillId="0" borderId="0" xfId="9" applyFont="1"/>
    <xf numFmtId="0" fontId="97" fillId="0" borderId="0" xfId="9" applyFont="1"/>
    <xf numFmtId="0" fontId="96" fillId="0" borderId="0" xfId="9" applyFont="1" applyAlignment="1">
      <alignment horizontal="centerContinuous"/>
    </xf>
    <xf numFmtId="0" fontId="97" fillId="0" borderId="0" xfId="9" applyFont="1" applyAlignment="1">
      <alignment horizontal="centerContinuous"/>
    </xf>
    <xf numFmtId="0" fontId="96" fillId="0" borderId="0" xfId="9" applyFont="1" applyAlignment="1">
      <alignment horizontal="center"/>
    </xf>
    <xf numFmtId="10" fontId="96" fillId="36" borderId="1" xfId="9" applyNumberFormat="1" applyFont="1" applyFill="1" applyBorder="1" applyAlignment="1">
      <alignment horizontal="center"/>
    </xf>
    <xf numFmtId="0" fontId="98" fillId="0" borderId="0" xfId="9" applyFont="1"/>
    <xf numFmtId="0" fontId="96" fillId="36" borderId="1" xfId="9" applyNumberFormat="1" applyFont="1" applyFill="1" applyBorder="1" applyAlignment="1">
      <alignment horizontal="center"/>
    </xf>
    <xf numFmtId="1" fontId="96" fillId="36" borderId="1" xfId="9" applyNumberFormat="1" applyFont="1" applyFill="1" applyBorder="1" applyAlignment="1">
      <alignment horizontal="center"/>
    </xf>
    <xf numFmtId="0" fontId="96" fillId="36" borderId="1" xfId="9" applyFont="1" applyFill="1" applyBorder="1" applyAlignment="1">
      <alignment horizontal="center"/>
    </xf>
    <xf numFmtId="10" fontId="96" fillId="36" borderId="1" xfId="11" applyNumberFormat="1" applyFont="1" applyFill="1" applyBorder="1" applyAlignment="1">
      <alignment horizontal="center"/>
    </xf>
    <xf numFmtId="182" fontId="96" fillId="36" borderId="1" xfId="9" applyNumberFormat="1" applyFont="1" applyFill="1" applyBorder="1" applyAlignment="1">
      <alignment horizontal="center"/>
    </xf>
    <xf numFmtId="182" fontId="96" fillId="36" borderId="1" xfId="10" applyFont="1" applyFill="1" applyBorder="1"/>
    <xf numFmtId="10" fontId="96" fillId="0" borderId="0" xfId="9" applyNumberFormat="1" applyFont="1" applyBorder="1" applyAlignment="1">
      <alignment horizontal="center"/>
    </xf>
    <xf numFmtId="0" fontId="96" fillId="0" borderId="0" xfId="9" applyFont="1" applyBorder="1"/>
    <xf numFmtId="0" fontId="96" fillId="0" borderId="0" xfId="9" applyFont="1" applyFill="1" applyBorder="1" applyAlignment="1">
      <alignment horizontal="center"/>
    </xf>
    <xf numFmtId="172" fontId="96" fillId="36" borderId="1" xfId="9" applyNumberFormat="1" applyFont="1" applyFill="1" applyBorder="1" applyAlignment="1">
      <alignment horizontal="center"/>
    </xf>
    <xf numFmtId="0" fontId="96" fillId="0" borderId="0" xfId="9" applyFont="1" applyFill="1" applyAlignment="1">
      <alignment horizontal="center"/>
    </xf>
    <xf numFmtId="0" fontId="97" fillId="0" borderId="0" xfId="9" applyFont="1" applyAlignment="1">
      <alignment horizontal="left"/>
    </xf>
    <xf numFmtId="10" fontId="96" fillId="0" borderId="1" xfId="9" applyNumberFormat="1" applyFont="1" applyBorder="1" applyAlignment="1">
      <alignment horizontal="center"/>
    </xf>
    <xf numFmtId="182" fontId="96" fillId="0" borderId="1" xfId="9" applyNumberFormat="1" applyFont="1" applyBorder="1" applyAlignment="1">
      <alignment horizontal="center"/>
    </xf>
    <xf numFmtId="0" fontId="98" fillId="0" borderId="0" xfId="9" applyFont="1" applyAlignment="1">
      <alignment horizontal="center"/>
    </xf>
    <xf numFmtId="10" fontId="98" fillId="0" borderId="1" xfId="9" applyNumberFormat="1" applyFont="1" applyBorder="1" applyAlignment="1">
      <alignment horizontal="center"/>
    </xf>
    <xf numFmtId="10" fontId="96" fillId="0" borderId="0" xfId="9" applyNumberFormat="1" applyFont="1" applyAlignment="1">
      <alignment horizontal="center"/>
    </xf>
    <xf numFmtId="0" fontId="98" fillId="0" borderId="1" xfId="9" applyFont="1" applyBorder="1" applyAlignment="1">
      <alignment horizontal="center"/>
    </xf>
    <xf numFmtId="0" fontId="98" fillId="0" borderId="1" xfId="9" applyNumberFormat="1" applyFont="1" applyBorder="1" applyAlignment="1">
      <alignment horizontal="center"/>
    </xf>
    <xf numFmtId="0" fontId="96" fillId="0" borderId="1" xfId="9" applyFont="1" applyBorder="1" applyAlignment="1">
      <alignment horizontal="center"/>
    </xf>
    <xf numFmtId="182" fontId="96" fillId="0" borderId="1" xfId="10" applyFont="1" applyBorder="1" applyAlignment="1">
      <alignment horizontal="center"/>
    </xf>
    <xf numFmtId="0" fontId="96" fillId="0" borderId="1" xfId="9" applyFont="1" applyBorder="1"/>
    <xf numFmtId="182" fontId="96" fillId="0" borderId="0" xfId="10" applyFont="1" applyAlignment="1">
      <alignment horizontal="center"/>
    </xf>
    <xf numFmtId="0" fontId="98" fillId="0" borderId="1" xfId="9" applyFont="1" applyBorder="1"/>
    <xf numFmtId="1" fontId="98" fillId="0" borderId="1" xfId="9" applyNumberFormat="1" applyFont="1" applyBorder="1" applyAlignment="1">
      <alignment horizontal="center"/>
    </xf>
    <xf numFmtId="0" fontId="97" fillId="0" borderId="0" xfId="9" applyFont="1" applyAlignment="1">
      <alignment horizontal="center"/>
    </xf>
    <xf numFmtId="182" fontId="97" fillId="0" borderId="1" xfId="10" applyFont="1" applyBorder="1" applyAlignment="1">
      <alignment horizontal="center"/>
    </xf>
    <xf numFmtId="0" fontId="99" fillId="0" borderId="0" xfId="9" applyFont="1"/>
    <xf numFmtId="0" fontId="99" fillId="0" borderId="0" xfId="9" applyFont="1" applyAlignment="1">
      <alignment horizontal="center"/>
    </xf>
    <xf numFmtId="182" fontId="100" fillId="10" borderId="1" xfId="10" applyFont="1" applyFill="1" applyBorder="1" applyAlignment="1">
      <alignment horizontal="center"/>
    </xf>
    <xf numFmtId="182" fontId="96" fillId="0" borderId="1" xfId="10" applyFont="1" applyFill="1" applyBorder="1" applyAlignment="1">
      <alignment horizontal="center"/>
    </xf>
    <xf numFmtId="0" fontId="96" fillId="0" borderId="1" xfId="9" applyFont="1" applyFill="1" applyBorder="1" applyAlignment="1" applyProtection="1">
      <alignment horizontal="center"/>
    </xf>
    <xf numFmtId="10" fontId="96" fillId="0" borderId="1" xfId="9" applyNumberFormat="1" applyFont="1" applyFill="1" applyBorder="1" applyAlignment="1">
      <alignment horizontal="center"/>
    </xf>
    <xf numFmtId="0" fontId="96" fillId="0" borderId="1" xfId="9" applyFont="1" applyFill="1" applyBorder="1" applyAlignment="1">
      <alignment horizontal="center"/>
    </xf>
    <xf numFmtId="0" fontId="96" fillId="0" borderId="1" xfId="4" applyNumberFormat="1" applyFont="1" applyFill="1" applyBorder="1" applyAlignment="1">
      <alignment horizontal="center"/>
    </xf>
    <xf numFmtId="0" fontId="96" fillId="0" borderId="1" xfId="9" applyNumberFormat="1" applyFont="1" applyFill="1" applyBorder="1" applyAlignment="1">
      <alignment horizontal="center"/>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8" fillId="9" borderId="7" xfId="0" applyFont="1" applyFill="1" applyBorder="1" applyAlignment="1">
      <alignment horizontal="center"/>
    </xf>
    <xf numFmtId="0" fontId="8" fillId="9" borderId="9" xfId="0" applyFont="1" applyFill="1" applyBorder="1" applyAlignment="1">
      <alignment horizontal="center"/>
    </xf>
    <xf numFmtId="0" fontId="38" fillId="9" borderId="18" xfId="0" applyFont="1" applyFill="1" applyBorder="1" applyAlignment="1">
      <alignment horizontal="center" vertical="center" wrapText="1"/>
    </xf>
    <xf numFmtId="0" fontId="38" fillId="9" borderId="20" xfId="0" applyFont="1" applyFill="1" applyBorder="1" applyAlignment="1">
      <alignment horizontal="center" vertical="center" wrapText="1"/>
    </xf>
    <xf numFmtId="0" fontId="38" fillId="9" borderId="22" xfId="0" applyFont="1" applyFill="1" applyBorder="1" applyAlignment="1">
      <alignment horizontal="center" vertical="center" wrapText="1"/>
    </xf>
    <xf numFmtId="0" fontId="38" fillId="9" borderId="23" xfId="0" applyFont="1" applyFill="1" applyBorder="1" applyAlignment="1">
      <alignment horizontal="center" vertical="center" wrapText="1"/>
    </xf>
    <xf numFmtId="0" fontId="38" fillId="9" borderId="26" xfId="0" applyFont="1" applyFill="1" applyBorder="1" applyAlignment="1">
      <alignment horizontal="center" vertical="center" wrapText="1"/>
    </xf>
    <xf numFmtId="0" fontId="38" fillId="9" borderId="28" xfId="0" applyFont="1" applyFill="1" applyBorder="1" applyAlignment="1">
      <alignment horizontal="center" vertical="center" wrapText="1"/>
    </xf>
    <xf numFmtId="0" fontId="45" fillId="0" borderId="0" xfId="2" applyFont="1" applyAlignment="1" applyProtection="1">
      <alignment horizontal="center"/>
    </xf>
    <xf numFmtId="0" fontId="27" fillId="9" borderId="19" xfId="0" applyFont="1" applyFill="1" applyBorder="1" applyAlignment="1">
      <alignment horizontal="center" vertical="center" wrapText="1"/>
    </xf>
    <xf numFmtId="0" fontId="27" fillId="9" borderId="20" xfId="0" applyFont="1" applyFill="1" applyBorder="1" applyAlignment="1">
      <alignment horizontal="center" vertical="center" wrapText="1"/>
    </xf>
    <xf numFmtId="0" fontId="27" fillId="9" borderId="22"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23" xfId="0" applyFont="1" applyFill="1" applyBorder="1" applyAlignment="1">
      <alignment horizontal="center" vertical="center" wrapText="1"/>
    </xf>
    <xf numFmtId="0" fontId="27" fillId="9" borderId="26" xfId="0" applyFont="1" applyFill="1" applyBorder="1" applyAlignment="1">
      <alignment horizontal="center" vertical="center" wrapText="1"/>
    </xf>
    <xf numFmtId="0" fontId="27" fillId="9" borderId="27" xfId="0" applyFont="1" applyFill="1" applyBorder="1" applyAlignment="1">
      <alignment horizontal="center" vertical="center" wrapText="1"/>
    </xf>
    <xf numFmtId="0" fontId="27" fillId="9" borderId="28" xfId="0" applyFont="1" applyFill="1" applyBorder="1" applyAlignment="1">
      <alignment horizontal="center" vertical="center" wrapText="1"/>
    </xf>
    <xf numFmtId="0" fontId="7" fillId="9" borderId="37" xfId="0" applyFont="1" applyFill="1" applyBorder="1" applyAlignment="1">
      <alignment horizontal="center"/>
    </xf>
    <xf numFmtId="0" fontId="7" fillId="9" borderId="38" xfId="0" applyFont="1" applyFill="1" applyBorder="1" applyAlignment="1">
      <alignment horizontal="center"/>
    </xf>
    <xf numFmtId="0" fontId="11" fillId="0" borderId="39" xfId="0" applyFont="1" applyBorder="1" applyAlignment="1">
      <alignment horizontal="center"/>
    </xf>
    <xf numFmtId="0" fontId="7" fillId="9" borderId="18" xfId="0" applyFont="1" applyFill="1" applyBorder="1" applyAlignment="1">
      <alignment horizontal="center"/>
    </xf>
    <xf numFmtId="0" fontId="7" fillId="9" borderId="19" xfId="0" applyFont="1" applyFill="1" applyBorder="1" applyAlignment="1">
      <alignment horizontal="center"/>
    </xf>
    <xf numFmtId="0" fontId="7" fillId="9" borderId="20" xfId="0" applyFont="1" applyFill="1" applyBorder="1" applyAlignment="1">
      <alignment horizontal="center"/>
    </xf>
    <xf numFmtId="0" fontId="39" fillId="9" borderId="26" xfId="0" applyFont="1" applyFill="1" applyBorder="1" applyAlignment="1">
      <alignment horizontal="center"/>
    </xf>
    <xf numFmtId="0" fontId="39" fillId="9" borderId="27" xfId="0" applyFont="1" applyFill="1" applyBorder="1" applyAlignment="1">
      <alignment horizontal="center"/>
    </xf>
    <xf numFmtId="0" fontId="39" fillId="9" borderId="28" xfId="0" applyFont="1" applyFill="1" applyBorder="1" applyAlignment="1">
      <alignment horizontal="center"/>
    </xf>
    <xf numFmtId="0" fontId="81" fillId="13" borderId="0" xfId="0" applyFont="1" applyFill="1" applyAlignment="1">
      <alignment horizontal="right" wrapText="1"/>
    </xf>
    <xf numFmtId="0" fontId="81" fillId="13" borderId="55" xfId="0" applyFont="1" applyFill="1" applyBorder="1" applyAlignment="1">
      <alignment horizontal="right" wrapText="1"/>
    </xf>
    <xf numFmtId="0" fontId="81" fillId="13" borderId="0" xfId="0" applyFont="1" applyFill="1" applyAlignment="1">
      <alignment horizontal="left"/>
    </xf>
    <xf numFmtId="0" fontId="81" fillId="13" borderId="55" xfId="0" applyFont="1" applyFill="1" applyBorder="1" applyAlignment="1">
      <alignment horizontal="left"/>
    </xf>
    <xf numFmtId="0" fontId="31" fillId="9" borderId="0"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8" fillId="9" borderId="26" xfId="0" applyFont="1" applyFill="1" applyBorder="1" applyAlignment="1">
      <alignment horizontal="center"/>
    </xf>
    <xf numFmtId="0" fontId="8" fillId="9" borderId="27" xfId="0" applyFont="1" applyFill="1" applyBorder="1" applyAlignment="1">
      <alignment horizontal="center"/>
    </xf>
    <xf numFmtId="0" fontId="8" fillId="9" borderId="28" xfId="0" applyFont="1" applyFill="1" applyBorder="1" applyAlignment="1">
      <alignment horizontal="center"/>
    </xf>
    <xf numFmtId="9" fontId="17" fillId="9" borderId="7" xfId="4" applyFont="1" applyFill="1" applyBorder="1" applyAlignment="1">
      <alignment horizontal="center"/>
    </xf>
    <xf numFmtId="9" fontId="17" fillId="9" borderId="8" xfId="4" applyFont="1" applyFill="1" applyBorder="1" applyAlignment="1">
      <alignment horizontal="center"/>
    </xf>
    <xf numFmtId="9" fontId="17" fillId="9" borderId="9" xfId="4" applyFont="1" applyFill="1" applyBorder="1" applyAlignment="1">
      <alignment horizontal="center"/>
    </xf>
    <xf numFmtId="9" fontId="79" fillId="31" borderId="7" xfId="4" applyFont="1" applyFill="1" applyBorder="1" applyAlignment="1">
      <alignment horizontal="center"/>
    </xf>
    <xf numFmtId="9" fontId="79" fillId="31" borderId="8" xfId="4" applyFont="1" applyFill="1" applyBorder="1" applyAlignment="1">
      <alignment horizontal="center"/>
    </xf>
    <xf numFmtId="9" fontId="79" fillId="31" borderId="9" xfId="4" applyFont="1" applyFill="1" applyBorder="1" applyAlignment="1">
      <alignment horizontal="center"/>
    </xf>
    <xf numFmtId="0" fontId="9" fillId="8" borderId="18" xfId="0" applyFont="1" applyFill="1" applyBorder="1" applyAlignment="1">
      <alignment horizontal="center" vertical="center" wrapText="1"/>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7" xfId="0" applyFont="1" applyFill="1" applyBorder="1" applyAlignment="1">
      <alignment horizontal="center" vertical="center"/>
    </xf>
    <xf numFmtId="0" fontId="9" fillId="8" borderId="28" xfId="0" applyFont="1" applyFill="1" applyBorder="1" applyAlignment="1">
      <alignment horizontal="center" vertical="center"/>
    </xf>
    <xf numFmtId="0" fontId="17" fillId="7" borderId="1" xfId="0" quotePrefix="1" applyFont="1" applyFill="1" applyBorder="1" applyAlignment="1">
      <alignment horizontal="center"/>
    </xf>
    <xf numFmtId="0" fontId="17" fillId="7" borderId="1" xfId="0" applyFont="1" applyFill="1" applyBorder="1" applyAlignment="1">
      <alignment horizontal="center"/>
    </xf>
    <xf numFmtId="0" fontId="9" fillId="0" borderId="1" xfId="0" applyFont="1" applyBorder="1" applyAlignment="1">
      <alignment horizontal="right"/>
    </xf>
    <xf numFmtId="0" fontId="7" fillId="6" borderId="18" xfId="0" applyFont="1" applyFill="1" applyBorder="1" applyAlignment="1">
      <alignment horizontal="center"/>
    </xf>
    <xf numFmtId="0" fontId="7" fillId="6" borderId="19" xfId="0" applyFont="1" applyFill="1" applyBorder="1" applyAlignment="1">
      <alignment horizontal="center"/>
    </xf>
    <xf numFmtId="0" fontId="7" fillId="6" borderId="20" xfId="0" applyFont="1" applyFill="1" applyBorder="1" applyAlignment="1">
      <alignment horizontal="center"/>
    </xf>
    <xf numFmtId="0" fontId="24" fillId="0" borderId="0" xfId="0" applyFont="1" applyAlignment="1">
      <alignment horizontal="center" vertical="center" wrapText="1"/>
    </xf>
    <xf numFmtId="0" fontId="28" fillId="6" borderId="22" xfId="2" applyFont="1" applyFill="1" applyBorder="1" applyAlignment="1" applyProtection="1">
      <alignment horizontal="center"/>
    </xf>
    <xf numFmtId="0" fontId="28" fillId="6" borderId="0" xfId="2" applyFont="1" applyFill="1" applyBorder="1" applyAlignment="1" applyProtection="1">
      <alignment horizontal="center"/>
    </xf>
    <xf numFmtId="0" fontId="28" fillId="6" borderId="23" xfId="2" applyFont="1" applyFill="1" applyBorder="1" applyAlignment="1" applyProtection="1">
      <alignment horizontal="center"/>
    </xf>
    <xf numFmtId="0" fontId="17" fillId="6" borderId="1" xfId="0" applyFont="1" applyFill="1" applyBorder="1" applyAlignment="1">
      <alignment horizontal="center"/>
    </xf>
    <xf numFmtId="0" fontId="11" fillId="6" borderId="22" xfId="2" applyFont="1" applyFill="1" applyBorder="1" applyAlignment="1" applyProtection="1">
      <alignment horizontal="center" vertical="center" wrapText="1"/>
    </xf>
    <xf numFmtId="0" fontId="11" fillId="6" borderId="0" xfId="2" applyFont="1" applyFill="1" applyBorder="1" applyAlignment="1" applyProtection="1">
      <alignment horizontal="center" vertical="center" wrapText="1"/>
    </xf>
    <xf numFmtId="0" fontId="11" fillId="6" borderId="23" xfId="2" applyFont="1" applyFill="1" applyBorder="1" applyAlignment="1" applyProtection="1">
      <alignment horizontal="center" vertical="center" wrapText="1"/>
    </xf>
    <xf numFmtId="0" fontId="11" fillId="6" borderId="26" xfId="2" applyFont="1" applyFill="1" applyBorder="1" applyAlignment="1" applyProtection="1">
      <alignment horizontal="center" vertical="center" wrapText="1"/>
    </xf>
    <xf numFmtId="0" fontId="11" fillId="6" borderId="27" xfId="2" applyFont="1" applyFill="1" applyBorder="1" applyAlignment="1" applyProtection="1">
      <alignment horizontal="center" vertical="center" wrapText="1"/>
    </xf>
    <xf numFmtId="0" fontId="11" fillId="6" borderId="28" xfId="2" applyFont="1" applyFill="1" applyBorder="1" applyAlignment="1" applyProtection="1">
      <alignment horizontal="center" vertical="center" wrapText="1"/>
    </xf>
    <xf numFmtId="0" fontId="9" fillId="5" borderId="1" xfId="0" applyFont="1" applyFill="1" applyBorder="1" applyAlignment="1">
      <alignment horizontal="left"/>
    </xf>
    <xf numFmtId="0" fontId="28" fillId="6" borderId="26" xfId="2" applyFont="1" applyFill="1" applyBorder="1" applyAlignment="1" applyProtection="1">
      <alignment horizontal="center"/>
    </xf>
    <xf numFmtId="0" fontId="28" fillId="6" borderId="27" xfId="2" applyFont="1" applyFill="1" applyBorder="1" applyAlignment="1" applyProtection="1">
      <alignment horizontal="center"/>
    </xf>
    <xf numFmtId="0" fontId="28" fillId="6" borderId="28" xfId="2" applyFont="1" applyFill="1" applyBorder="1" applyAlignment="1" applyProtection="1">
      <alignment horizontal="center"/>
    </xf>
    <xf numFmtId="0" fontId="8" fillId="8" borderId="1" xfId="0" applyFont="1" applyFill="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9" fillId="7" borderId="1" xfId="0" applyFont="1" applyFill="1" applyBorder="1" applyAlignment="1">
      <alignment horizontal="center"/>
    </xf>
    <xf numFmtId="0" fontId="26" fillId="8" borderId="1" xfId="0" applyFont="1" applyFill="1" applyBorder="1" applyAlignment="1">
      <alignment horizontal="center"/>
    </xf>
    <xf numFmtId="0" fontId="9" fillId="0" borderId="4" xfId="0" applyFont="1" applyBorder="1" applyAlignment="1">
      <alignment horizontal="right"/>
    </xf>
    <xf numFmtId="0" fontId="9" fillId="0" borderId="5" xfId="0" applyFont="1" applyBorder="1" applyAlignment="1">
      <alignment horizontal="right"/>
    </xf>
    <xf numFmtId="0" fontId="9" fillId="0" borderId="6" xfId="0" applyFont="1" applyBorder="1" applyAlignment="1">
      <alignment horizontal="right"/>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7" fillId="7" borderId="37" xfId="0" applyFont="1" applyFill="1" applyBorder="1" applyAlignment="1">
      <alignment horizontal="center"/>
    </xf>
    <xf numFmtId="0" fontId="7" fillId="7" borderId="38" xfId="0" applyFont="1" applyFill="1" applyBorder="1" applyAlignment="1">
      <alignment horizontal="center"/>
    </xf>
    <xf numFmtId="0" fontId="23" fillId="9" borderId="7" xfId="0" applyFont="1" applyFill="1" applyBorder="1" applyAlignment="1">
      <alignment horizontal="center"/>
    </xf>
    <xf numFmtId="0" fontId="23" fillId="9" borderId="9" xfId="0" applyFont="1" applyFill="1" applyBorder="1" applyAlignment="1">
      <alignment horizontal="center"/>
    </xf>
    <xf numFmtId="0" fontId="7" fillId="7" borderId="18" xfId="0" applyFont="1" applyFill="1" applyBorder="1" applyAlignment="1">
      <alignment horizontal="center"/>
    </xf>
    <xf numFmtId="0" fontId="7" fillId="7" borderId="19" xfId="0" applyFont="1" applyFill="1" applyBorder="1" applyAlignment="1">
      <alignment horizontal="center"/>
    </xf>
    <xf numFmtId="0" fontId="7" fillId="7" borderId="20" xfId="0" applyFont="1" applyFill="1" applyBorder="1" applyAlignment="1">
      <alignment horizontal="center"/>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28" xfId="0" applyFont="1" applyFill="1" applyBorder="1" applyAlignment="1">
      <alignment horizontal="center" vertical="center"/>
    </xf>
    <xf numFmtId="0" fontId="7" fillId="7" borderId="4" xfId="0" applyFont="1" applyFill="1" applyBorder="1" applyAlignment="1">
      <alignment horizontal="center"/>
    </xf>
    <xf numFmtId="0" fontId="7" fillId="7" borderId="5" xfId="0" applyFont="1" applyFill="1" applyBorder="1" applyAlignment="1">
      <alignment horizontal="center"/>
    </xf>
    <xf numFmtId="0" fontId="7" fillId="7" borderId="6" xfId="0" applyFont="1" applyFill="1" applyBorder="1" applyAlignment="1">
      <alignment horizontal="center"/>
    </xf>
    <xf numFmtId="0" fontId="8" fillId="7" borderId="4" xfId="0" applyFont="1" applyFill="1" applyBorder="1" applyAlignment="1">
      <alignment horizontal="center"/>
    </xf>
    <xf numFmtId="0" fontId="8" fillId="7" borderId="5" xfId="0" applyFont="1" applyFill="1" applyBorder="1" applyAlignment="1">
      <alignment horizontal="center"/>
    </xf>
    <xf numFmtId="0" fontId="8" fillId="7" borderId="6" xfId="0" applyFont="1" applyFill="1" applyBorder="1" applyAlignment="1">
      <alignment horizontal="center"/>
    </xf>
    <xf numFmtId="180" fontId="13" fillId="11" borderId="4" xfId="5" applyNumberFormat="1" applyFont="1" applyFill="1" applyBorder="1" applyAlignment="1" applyProtection="1">
      <alignment horizontal="center"/>
      <protection locked="0"/>
    </xf>
    <xf numFmtId="180" fontId="13" fillId="11" borderId="6" xfId="5" applyNumberFormat="1" applyFont="1" applyFill="1" applyBorder="1" applyAlignment="1" applyProtection="1">
      <alignment horizontal="center"/>
      <protection locked="0"/>
    </xf>
    <xf numFmtId="0" fontId="23" fillId="11" borderId="46" xfId="5" applyFont="1" applyFill="1" applyBorder="1" applyAlignment="1" applyProtection="1">
      <alignment horizontal="center"/>
    </xf>
    <xf numFmtId="0" fontId="23" fillId="11" borderId="0" xfId="5" applyFont="1" applyFill="1" applyBorder="1" applyAlignment="1" applyProtection="1">
      <alignment horizontal="center"/>
    </xf>
    <xf numFmtId="0" fontId="54" fillId="11" borderId="0" xfId="5" applyFont="1" applyFill="1" applyAlignment="1" applyProtection="1">
      <alignment horizontal="center"/>
    </xf>
    <xf numFmtId="0" fontId="23" fillId="11" borderId="0" xfId="5" applyFont="1" applyFill="1" applyBorder="1" applyAlignment="1" applyProtection="1">
      <alignment horizontal="center" wrapText="1"/>
    </xf>
    <xf numFmtId="0" fontId="56" fillId="11" borderId="3" xfId="5" applyFont="1" applyFill="1" applyBorder="1" applyAlignment="1" applyProtection="1">
      <alignment horizontal="center"/>
    </xf>
    <xf numFmtId="0" fontId="23" fillId="11" borderId="36" xfId="5" applyFont="1" applyFill="1" applyBorder="1" applyAlignment="1" applyProtection="1">
      <alignment horizontal="center"/>
    </xf>
    <xf numFmtId="0" fontId="23" fillId="11" borderId="45" xfId="5" applyFont="1" applyFill="1" applyBorder="1" applyAlignment="1" applyProtection="1">
      <alignment horizontal="center"/>
    </xf>
    <xf numFmtId="0" fontId="23" fillId="11" borderId="47" xfId="5" applyFont="1" applyFill="1" applyBorder="1" applyAlignment="1" applyProtection="1">
      <alignment horizontal="center"/>
    </xf>
    <xf numFmtId="0" fontId="52" fillId="12" borderId="51" xfId="5" applyFont="1" applyFill="1" applyBorder="1" applyAlignment="1" applyProtection="1">
      <alignment horizontal="left"/>
    </xf>
    <xf numFmtId="0" fontId="52" fillId="12" borderId="50" xfId="5" applyFont="1" applyFill="1" applyBorder="1" applyAlignment="1" applyProtection="1">
      <alignment horizontal="left"/>
    </xf>
    <xf numFmtId="0" fontId="52" fillId="12" borderId="49" xfId="5" applyFont="1" applyFill="1" applyBorder="1" applyAlignment="1" applyProtection="1">
      <alignment horizontal="left"/>
    </xf>
    <xf numFmtId="0" fontId="54" fillId="0" borderId="0" xfId="5" applyFont="1" applyFill="1" applyBorder="1" applyAlignment="1" applyProtection="1">
      <alignment horizontal="center"/>
    </xf>
    <xf numFmtId="0" fontId="23" fillId="11" borderId="2" xfId="5" applyFont="1" applyFill="1" applyBorder="1" applyAlignment="1" applyProtection="1">
      <alignment horizontal="center"/>
    </xf>
    <xf numFmtId="0" fontId="23" fillId="11" borderId="3" xfId="5" applyFont="1" applyFill="1" applyBorder="1" applyAlignment="1" applyProtection="1">
      <alignment horizontal="center"/>
    </xf>
    <xf numFmtId="9" fontId="13" fillId="0" borderId="45" xfId="7" applyFont="1" applyFill="1" applyBorder="1" applyAlignment="1" applyProtection="1">
      <alignment horizontal="center"/>
    </xf>
    <xf numFmtId="0" fontId="54" fillId="12" borderId="37" xfId="5" applyFont="1" applyFill="1" applyBorder="1" applyAlignment="1" applyProtection="1">
      <alignment horizontal="center"/>
    </xf>
    <xf numFmtId="0" fontId="54" fillId="12" borderId="39" xfId="5" applyFont="1" applyFill="1" applyBorder="1" applyAlignment="1" applyProtection="1">
      <alignment horizontal="center"/>
    </xf>
    <xf numFmtId="0" fontId="54" fillId="12" borderId="38" xfId="5" applyFont="1" applyFill="1" applyBorder="1" applyAlignment="1" applyProtection="1">
      <alignment horizontal="center"/>
    </xf>
    <xf numFmtId="0" fontId="52" fillId="12" borderId="2" xfId="5" applyFont="1" applyFill="1" applyBorder="1" applyAlignment="1" applyProtection="1">
      <alignment horizontal="left"/>
    </xf>
    <xf numFmtId="0" fontId="52" fillId="12" borderId="3" xfId="5" applyFont="1" applyFill="1" applyBorder="1" applyAlignment="1" applyProtection="1">
      <alignment horizontal="left"/>
    </xf>
    <xf numFmtId="0" fontId="52" fillId="12" borderId="33" xfId="5" applyFont="1" applyFill="1" applyBorder="1" applyAlignment="1" applyProtection="1">
      <alignment horizontal="left"/>
    </xf>
    <xf numFmtId="0" fontId="7" fillId="9" borderId="4" xfId="0" applyFont="1" applyFill="1" applyBorder="1" applyAlignment="1">
      <alignment horizontal="center"/>
    </xf>
    <xf numFmtId="0" fontId="7" fillId="9" borderId="5" xfId="0" applyFont="1" applyFill="1" applyBorder="1" applyAlignment="1">
      <alignment horizontal="center"/>
    </xf>
    <xf numFmtId="0" fontId="7" fillId="9" borderId="6" xfId="0" applyFont="1" applyFill="1" applyBorder="1" applyAlignment="1">
      <alignment horizontal="center"/>
    </xf>
    <xf numFmtId="0" fontId="36" fillId="9" borderId="4" xfId="0" applyFont="1" applyFill="1" applyBorder="1" applyAlignment="1">
      <alignment horizontal="center"/>
    </xf>
    <xf numFmtId="0" fontId="36" fillId="9" borderId="5" xfId="0" applyFont="1" applyFill="1" applyBorder="1" applyAlignment="1">
      <alignment horizontal="center"/>
    </xf>
    <xf numFmtId="0" fontId="36" fillId="9" borderId="6" xfId="0" applyFont="1" applyFill="1" applyBorder="1" applyAlignment="1">
      <alignment horizontal="center"/>
    </xf>
    <xf numFmtId="171" fontId="37" fillId="7" borderId="4" xfId="1" applyNumberFormat="1" applyFont="1" applyFill="1" applyBorder="1" applyAlignment="1">
      <alignment horizontal="right"/>
    </xf>
    <xf numFmtId="171" fontId="37" fillId="7" borderId="6" xfId="1" applyNumberFormat="1" applyFont="1" applyFill="1" applyBorder="1" applyAlignment="1">
      <alignment horizontal="right"/>
    </xf>
    <xf numFmtId="0" fontId="36" fillId="9" borderId="18" xfId="0" applyFont="1" applyFill="1" applyBorder="1" applyAlignment="1">
      <alignment horizontal="center" vertical="center" wrapText="1"/>
    </xf>
    <xf numFmtId="0" fontId="36" fillId="9" borderId="19" xfId="0" applyFont="1" applyFill="1" applyBorder="1" applyAlignment="1">
      <alignment horizontal="center" vertical="center" wrapText="1"/>
    </xf>
    <xf numFmtId="0" fontId="36" fillId="9" borderId="20" xfId="0" applyFont="1" applyFill="1" applyBorder="1" applyAlignment="1">
      <alignment horizontal="center" vertical="center" wrapText="1"/>
    </xf>
    <xf numFmtId="0" fontId="36" fillId="9" borderId="22" xfId="0" applyFont="1" applyFill="1" applyBorder="1" applyAlignment="1">
      <alignment horizontal="center" vertical="center" wrapText="1"/>
    </xf>
    <xf numFmtId="0" fontId="36" fillId="9" borderId="0" xfId="0" applyFont="1" applyFill="1" applyBorder="1" applyAlignment="1">
      <alignment horizontal="center" vertical="center" wrapText="1"/>
    </xf>
    <xf numFmtId="0" fontId="36" fillId="9" borderId="23" xfId="0" applyFont="1" applyFill="1" applyBorder="1" applyAlignment="1">
      <alignment horizontal="center" vertical="center" wrapText="1"/>
    </xf>
    <xf numFmtId="0" fontId="36" fillId="9" borderId="26" xfId="0" applyFont="1" applyFill="1" applyBorder="1" applyAlignment="1">
      <alignment horizontal="center" vertical="center" wrapText="1"/>
    </xf>
    <xf numFmtId="0" fontId="36" fillId="9" borderId="27" xfId="0" applyFont="1" applyFill="1" applyBorder="1" applyAlignment="1">
      <alignment horizontal="center" vertical="center" wrapText="1"/>
    </xf>
    <xf numFmtId="0" fontId="36" fillId="9" borderId="28" xfId="0" applyFont="1" applyFill="1" applyBorder="1" applyAlignment="1">
      <alignment horizontal="center" vertical="center" wrapText="1"/>
    </xf>
    <xf numFmtId="43" fontId="14" fillId="0" borderId="0" xfId="2" applyNumberFormat="1" applyFont="1" applyBorder="1" applyAlignment="1" applyProtection="1">
      <alignment horizontal="center"/>
    </xf>
    <xf numFmtId="43" fontId="10" fillId="2" borderId="0" xfId="3" applyNumberFormat="1" applyFont="1" applyBorder="1" applyAlignment="1">
      <alignment horizontal="center"/>
    </xf>
    <xf numFmtId="171" fontId="11" fillId="0" borderId="4" xfId="0" applyNumberFormat="1" applyFont="1" applyBorder="1" applyAlignment="1">
      <alignment horizontal="center"/>
    </xf>
    <xf numFmtId="171" fontId="11" fillId="0" borderId="5" xfId="0" applyNumberFormat="1" applyFont="1" applyBorder="1" applyAlignment="1">
      <alignment horizontal="center"/>
    </xf>
    <xf numFmtId="171" fontId="11" fillId="0" borderId="6" xfId="0" applyNumberFormat="1" applyFont="1" applyBorder="1" applyAlignment="1">
      <alignment horizontal="center"/>
    </xf>
    <xf numFmtId="0" fontId="8" fillId="9" borderId="43" xfId="0" applyFont="1" applyFill="1" applyBorder="1" applyAlignment="1">
      <alignment horizontal="center"/>
    </xf>
    <xf numFmtId="0" fontId="8" fillId="9" borderId="3" xfId="0" applyFont="1" applyFill="1" applyBorder="1" applyAlignment="1">
      <alignment horizontal="center"/>
    </xf>
    <xf numFmtId="0" fontId="8" fillId="9" borderId="44" xfId="0" applyFont="1" applyFill="1" applyBorder="1" applyAlignment="1">
      <alignment horizontal="center"/>
    </xf>
  </cellXfs>
  <cellStyles count="12">
    <cellStyle name="Accent6" xfId="3" builtinId="49"/>
    <cellStyle name="Comma" xfId="1" builtinId="3"/>
    <cellStyle name="Comma 2" xfId="8" xr:uid="{BAE7509D-EAC7-49D8-AB4E-1A6F5DA930B2}"/>
    <cellStyle name="Currency 2" xfId="6" xr:uid="{804E7DC8-74E8-4E90-85C1-EB6A7E0159E2}"/>
    <cellStyle name="Currency 3" xfId="10" xr:uid="{70A0BA51-5532-4CCC-841A-396DF78F7B38}"/>
    <cellStyle name="Hyperlink" xfId="2" builtinId="8"/>
    <cellStyle name="Normal" xfId="0" builtinId="0"/>
    <cellStyle name="Normal 2" xfId="5" xr:uid="{84E544AB-2B54-49C3-A5A1-DDA9E5C925C7}"/>
    <cellStyle name="Normal 3" xfId="9" xr:uid="{D6EF5C71-71CC-4186-995A-3A695D33645F}"/>
    <cellStyle name="Percent" xfId="4" builtinId="5"/>
    <cellStyle name="Percent 2" xfId="7" xr:uid="{E4A807D0-5FB8-467A-BA86-72CDB804D3A9}"/>
    <cellStyle name="Percent 3" xfId="11" xr:uid="{A428F857-D9FC-4204-A17C-B0EA4735AB69}"/>
  </cellStyles>
  <dxfs count="45">
    <dxf>
      <font>
        <b/>
        <i val="0"/>
        <color theme="0"/>
      </font>
      <fill>
        <patternFill>
          <bgColor theme="5"/>
        </patternFill>
      </fill>
    </dxf>
    <dxf>
      <font>
        <strike val="0"/>
        <outline val="0"/>
        <shadow val="0"/>
        <u val="none"/>
        <vertAlign val="baseline"/>
        <sz val="10"/>
        <name val="Arial"/>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numFmt numFmtId="166" formatCode="[$-409]mmm\-yy;@"/>
    </dxf>
    <dxf>
      <font>
        <b/>
        <i val="0"/>
        <strike val="0"/>
        <condense val="0"/>
        <extend val="0"/>
        <outline val="0"/>
        <shadow val="0"/>
        <u val="none"/>
        <vertAlign val="baseline"/>
        <sz val="10"/>
        <color theme="0"/>
        <name val="Arial"/>
        <family val="2"/>
        <scheme val="none"/>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71" formatCode="_ * #,##0_ ;_ * \-#,##0_ ;_ * &quot;-&quot;??_ ;_ @_ "/>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71" formatCode="_ * #,##0_ ;_ * \-#,##0_ ;_ * &quot;-&quot;??_ ;_ @_ "/>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71" formatCode="_ * #,##0_ ;_ * \-#,##0_ ;_ * &quot;-&quot;??_ ;_ @_ "/>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000FF"/>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276225</xdr:colOff>
      <xdr:row>36</xdr:row>
      <xdr:rowOff>142875</xdr:rowOff>
    </xdr:from>
    <xdr:to>
      <xdr:col>4</xdr:col>
      <xdr:colOff>104775</xdr:colOff>
      <xdr:row>39</xdr:row>
      <xdr:rowOff>47625</xdr:rowOff>
    </xdr:to>
    <xdr:sp macro="" textlink="">
      <xdr:nvSpPr>
        <xdr:cNvPr id="2" name="AutoShape 1">
          <a:extLst>
            <a:ext uri="{FF2B5EF4-FFF2-40B4-BE49-F238E27FC236}">
              <a16:creationId xmlns:a16="http://schemas.microsoft.com/office/drawing/2014/main" id="{640EC0F9-AFD3-4556-9512-B69B26B5FAA6}"/>
            </a:ext>
          </a:extLst>
        </xdr:cNvPr>
        <xdr:cNvSpPr>
          <a:spLocks/>
        </xdr:cNvSpPr>
      </xdr:nvSpPr>
      <xdr:spPr bwMode="auto">
        <a:xfrm>
          <a:off x="2105025" y="7000875"/>
          <a:ext cx="438150" cy="476250"/>
        </a:xfrm>
        <a:prstGeom prst="leftBracket">
          <a:avLst>
            <a:gd name="adj" fmla="val 339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1133475</xdr:colOff>
      <xdr:row>36</xdr:row>
      <xdr:rowOff>152400</xdr:rowOff>
    </xdr:from>
    <xdr:to>
      <xdr:col>7</xdr:col>
      <xdr:colOff>38100</xdr:colOff>
      <xdr:row>39</xdr:row>
      <xdr:rowOff>57150</xdr:rowOff>
    </xdr:to>
    <xdr:sp macro="" textlink="">
      <xdr:nvSpPr>
        <xdr:cNvPr id="3" name="AutoShape 2">
          <a:extLst>
            <a:ext uri="{FF2B5EF4-FFF2-40B4-BE49-F238E27FC236}">
              <a16:creationId xmlns:a16="http://schemas.microsoft.com/office/drawing/2014/main" id="{9DFBB3E5-8581-4369-9EA7-4782A3BC8CD7}"/>
            </a:ext>
          </a:extLst>
        </xdr:cNvPr>
        <xdr:cNvSpPr>
          <a:spLocks/>
        </xdr:cNvSpPr>
      </xdr:nvSpPr>
      <xdr:spPr bwMode="auto">
        <a:xfrm>
          <a:off x="4267200" y="7010400"/>
          <a:ext cx="38100" cy="476250"/>
        </a:xfrm>
        <a:prstGeom prst="rightBracket">
          <a:avLst>
            <a:gd name="adj" fmla="val 113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247650</xdr:colOff>
      <xdr:row>36</xdr:row>
      <xdr:rowOff>76200</xdr:rowOff>
    </xdr:from>
    <xdr:to>
      <xdr:col>9</xdr:col>
      <xdr:colOff>38100</xdr:colOff>
      <xdr:row>39</xdr:row>
      <xdr:rowOff>161925</xdr:rowOff>
    </xdr:to>
    <xdr:sp macro="" textlink="">
      <xdr:nvSpPr>
        <xdr:cNvPr id="4" name="AutoShape 3">
          <a:extLst>
            <a:ext uri="{FF2B5EF4-FFF2-40B4-BE49-F238E27FC236}">
              <a16:creationId xmlns:a16="http://schemas.microsoft.com/office/drawing/2014/main" id="{8F91D7ED-0642-4345-B1B8-2533ECE4525D}"/>
            </a:ext>
          </a:extLst>
        </xdr:cNvPr>
        <xdr:cNvSpPr>
          <a:spLocks noChangeArrowheads="1"/>
        </xdr:cNvSpPr>
      </xdr:nvSpPr>
      <xdr:spPr bwMode="auto">
        <a:xfrm>
          <a:off x="2076450" y="6934200"/>
          <a:ext cx="3448050"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20</xdr:row>
      <xdr:rowOff>142875</xdr:rowOff>
    </xdr:from>
    <xdr:to>
      <xdr:col>5</xdr:col>
      <xdr:colOff>47625</xdr:colOff>
      <xdr:row>23</xdr:row>
      <xdr:rowOff>38100</xdr:rowOff>
    </xdr:to>
    <xdr:sp macro="" textlink="">
      <xdr:nvSpPr>
        <xdr:cNvPr id="5" name="AutoShape 4">
          <a:extLst>
            <a:ext uri="{FF2B5EF4-FFF2-40B4-BE49-F238E27FC236}">
              <a16:creationId xmlns:a16="http://schemas.microsoft.com/office/drawing/2014/main" id="{39F32D24-277D-4F7C-AC7B-C86CB45B2BF0}"/>
            </a:ext>
          </a:extLst>
        </xdr:cNvPr>
        <xdr:cNvSpPr>
          <a:spLocks noChangeArrowheads="1"/>
        </xdr:cNvSpPr>
      </xdr:nvSpPr>
      <xdr:spPr bwMode="auto">
        <a:xfrm>
          <a:off x="657225" y="3952875"/>
          <a:ext cx="243840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21166</xdr:colOff>
      <xdr:row>31</xdr:row>
      <xdr:rowOff>114299</xdr:rowOff>
    </xdr:from>
    <xdr:to>
      <xdr:col>8</xdr:col>
      <xdr:colOff>4233</xdr:colOff>
      <xdr:row>31</xdr:row>
      <xdr:rowOff>116416</xdr:rowOff>
    </xdr:to>
    <xdr:sp macro="" textlink="">
      <xdr:nvSpPr>
        <xdr:cNvPr id="6" name="Line 6">
          <a:extLst>
            <a:ext uri="{FF2B5EF4-FFF2-40B4-BE49-F238E27FC236}">
              <a16:creationId xmlns:a16="http://schemas.microsoft.com/office/drawing/2014/main" id="{7E3243EA-8A29-41F2-8B72-18245F23217A}"/>
            </a:ext>
          </a:extLst>
        </xdr:cNvPr>
        <xdr:cNvSpPr>
          <a:spLocks noChangeShapeType="1"/>
        </xdr:cNvSpPr>
      </xdr:nvSpPr>
      <xdr:spPr bwMode="auto">
        <a:xfrm flipH="1">
          <a:off x="4288366" y="6019799"/>
          <a:ext cx="592667" cy="2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25399</xdr:colOff>
      <xdr:row>34</xdr:row>
      <xdr:rowOff>118532</xdr:rowOff>
    </xdr:from>
    <xdr:to>
      <xdr:col>8</xdr:col>
      <xdr:colOff>8466</xdr:colOff>
      <xdr:row>34</xdr:row>
      <xdr:rowOff>120649</xdr:rowOff>
    </xdr:to>
    <xdr:sp macro="" textlink="">
      <xdr:nvSpPr>
        <xdr:cNvPr id="7" name="Line 6">
          <a:extLst>
            <a:ext uri="{FF2B5EF4-FFF2-40B4-BE49-F238E27FC236}">
              <a16:creationId xmlns:a16="http://schemas.microsoft.com/office/drawing/2014/main" id="{9961EDE8-9123-4260-A428-2CE98821B400}"/>
            </a:ext>
          </a:extLst>
        </xdr:cNvPr>
        <xdr:cNvSpPr>
          <a:spLocks noChangeShapeType="1"/>
        </xdr:cNvSpPr>
      </xdr:nvSpPr>
      <xdr:spPr bwMode="auto">
        <a:xfrm flipH="1">
          <a:off x="4292599" y="6595532"/>
          <a:ext cx="592667" cy="2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25399</xdr:colOff>
      <xdr:row>24</xdr:row>
      <xdr:rowOff>107949</xdr:rowOff>
    </xdr:from>
    <xdr:to>
      <xdr:col>8</xdr:col>
      <xdr:colOff>8466</xdr:colOff>
      <xdr:row>24</xdr:row>
      <xdr:rowOff>110066</xdr:rowOff>
    </xdr:to>
    <xdr:sp macro="" textlink="">
      <xdr:nvSpPr>
        <xdr:cNvPr id="8" name="Line 6">
          <a:extLst>
            <a:ext uri="{FF2B5EF4-FFF2-40B4-BE49-F238E27FC236}">
              <a16:creationId xmlns:a16="http://schemas.microsoft.com/office/drawing/2014/main" id="{08BD6C64-5E02-455E-8935-3784AE9FF9BD}"/>
            </a:ext>
          </a:extLst>
        </xdr:cNvPr>
        <xdr:cNvSpPr>
          <a:spLocks noChangeShapeType="1"/>
        </xdr:cNvSpPr>
      </xdr:nvSpPr>
      <xdr:spPr bwMode="auto">
        <a:xfrm flipH="1">
          <a:off x="4292599" y="4679949"/>
          <a:ext cx="592667" cy="2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50799</xdr:colOff>
      <xdr:row>21</xdr:row>
      <xdr:rowOff>101598</xdr:rowOff>
    </xdr:from>
    <xdr:to>
      <xdr:col>10</xdr:col>
      <xdr:colOff>55032</xdr:colOff>
      <xdr:row>21</xdr:row>
      <xdr:rowOff>103715</xdr:rowOff>
    </xdr:to>
    <xdr:sp macro="" textlink="">
      <xdr:nvSpPr>
        <xdr:cNvPr id="9" name="Line 6">
          <a:extLst>
            <a:ext uri="{FF2B5EF4-FFF2-40B4-BE49-F238E27FC236}">
              <a16:creationId xmlns:a16="http://schemas.microsoft.com/office/drawing/2014/main" id="{8E8D0AB0-AF4F-4002-B2F3-F09ED3B508C0}"/>
            </a:ext>
          </a:extLst>
        </xdr:cNvPr>
        <xdr:cNvSpPr>
          <a:spLocks noChangeShapeType="1"/>
        </xdr:cNvSpPr>
      </xdr:nvSpPr>
      <xdr:spPr bwMode="auto">
        <a:xfrm flipH="1">
          <a:off x="5537199" y="4102098"/>
          <a:ext cx="613833" cy="2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nual" displayName="Annual" ref="A3:L36" headerRowCount="0" totalsRowCount="1" headerRowDxfId="44" dataDxfId="43">
  <tableColumns count="12">
    <tableColumn id="1" xr3:uid="{00000000-0010-0000-0000-000001000000}" name="Column1" headerRowDxfId="42" totalsRowDxfId="41"/>
    <tableColumn id="2" xr3:uid="{00000000-0010-0000-0000-000002000000}" name="Column2" headerRowDxfId="40" totalsRowDxfId="39"/>
    <tableColumn id="3" xr3:uid="{00000000-0010-0000-0000-000003000000}" name="Column3" headerRowDxfId="38" totalsRowDxfId="37"/>
    <tableColumn id="4" xr3:uid="{00000000-0010-0000-0000-000004000000}" name="Column4" totalsRowLabel="6.5" headerRowDxfId="36"/>
    <tableColumn id="5" xr3:uid="{00000000-0010-0000-0000-000005000000}" name="Column5" headerRowDxfId="35"/>
    <tableColumn id="6" xr3:uid="{00000000-0010-0000-0000-000006000000}" name="Column6" headerRowDxfId="34"/>
    <tableColumn id="7" xr3:uid="{00000000-0010-0000-0000-000007000000}" name="Column7" totalsRowLabel="10" headerRowDxfId="33"/>
    <tableColumn id="8" xr3:uid="{00000000-0010-0000-0000-000008000000}" name="Column8" totalsRowLabel="18" headerRowDxfId="32"/>
    <tableColumn id="9" xr3:uid="{00000000-0010-0000-0000-000009000000}" name="Column9" totalsRowLabel="9.5" headerRowDxfId="31"/>
    <tableColumn id="10" xr3:uid="{00000000-0010-0000-0000-00000A000000}" name="Column10" totalsRowLabel="18" headerRowDxfId="30"/>
    <tableColumn id="11" xr3:uid="{00000000-0010-0000-0000-00000B000000}" name="Column11" totalsRowLabel="26" headerRowDxfId="29"/>
    <tableColumn id="12" xr3:uid="{00000000-0010-0000-0000-00000C000000}" name="Column12" headerRowDxfId="28" totalsRowDxfId="2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Quarters" displayName="Quarters" ref="A3:K17" headerRowCount="0" totalsRowShown="0" headerRowDxfId="26" dataDxfId="25" tableBorderDxfId="24" totalsRowBorderDxfId="23">
  <tableColumns count="11">
    <tableColumn id="1" xr3:uid="{00000000-0010-0000-0100-000001000000}" name="Column1" headerRowDxfId="22" dataDxfId="21"/>
    <tableColumn id="2" xr3:uid="{00000000-0010-0000-0100-000002000000}" name="Column2" headerRowDxfId="20" dataDxfId="19"/>
    <tableColumn id="3" xr3:uid="{00000000-0010-0000-0100-000003000000}" name="Column3" headerRowDxfId="18" dataDxfId="17"/>
    <tableColumn id="4" xr3:uid="{00000000-0010-0000-0100-000004000000}" name="Column4" headerRowDxfId="16" dataDxfId="15"/>
    <tableColumn id="5" xr3:uid="{00000000-0010-0000-0100-000005000000}" name="Column5" headerRowDxfId="14" dataDxfId="13"/>
    <tableColumn id="6" xr3:uid="{00000000-0010-0000-0100-000006000000}" name="Column6" headerRowDxfId="12" dataDxfId="11"/>
    <tableColumn id="7" xr3:uid="{00000000-0010-0000-0100-000007000000}" name="Column7" headerRowDxfId="10" dataDxfId="9"/>
    <tableColumn id="8" xr3:uid="{00000000-0010-0000-0100-000008000000}" name="Column8" headerRowDxfId="8" dataDxfId="7"/>
    <tableColumn id="9" xr3:uid="{00000000-0010-0000-0100-000009000000}" name="Column9" headerRowDxfId="6" dataDxfId="5"/>
    <tableColumn id="10" xr3:uid="{00000000-0010-0000-0100-00000A000000}" name="Column10" headerRowDxfId="4" dataDxfId="3"/>
    <tableColumn id="11" xr3:uid="{00000000-0010-0000-0100-00000B000000}" name="Column11" headerRowDxfId="2" dataDxfId="1"/>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falniveshak.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1.bin"/><Relationship Id="rId1" Type="http://schemas.openxmlformats.org/officeDocument/2006/relationships/hyperlink" Target="http://amzn.to/2fLVgAe" TargetMode="External"/><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amzn.to/2xRdlRK" TargetMode="External"/><Relationship Id="rId1" Type="http://schemas.openxmlformats.org/officeDocument/2006/relationships/hyperlink" Target="https://www.safalniveshak.com/dhandho-investor-guide-to-intrinsic-value/"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3.bin"/><Relationship Id="rId1" Type="http://schemas.openxmlformats.org/officeDocument/2006/relationships/hyperlink" Target="http://www.safalniveshak.com/value-stocks-using-dcf/" TargetMode="External"/><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goo.gl/F4PjL7"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afalniveshak.co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8.bin"/><Relationship Id="rId1" Type="http://schemas.openxmlformats.org/officeDocument/2006/relationships/hyperlink" Target="http://www.screener.in/"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creener.in/excel/"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DCE27-A826-449A-B4CA-7EBB069471AF}">
  <dimension ref="A1:B23"/>
  <sheetViews>
    <sheetView workbookViewId="0"/>
  </sheetViews>
  <sheetFormatPr defaultColWidth="8.7109375" defaultRowHeight="12.75"/>
  <cols>
    <col min="1" max="1" width="151.42578125" style="281" customWidth="1"/>
    <col min="2" max="16384" width="8.7109375" style="281"/>
  </cols>
  <sheetData>
    <row r="1" spans="1:2" ht="19.5">
      <c r="A1" s="280" t="s">
        <v>273</v>
      </c>
    </row>
    <row r="2" spans="1:2" ht="16.5" thickBot="1">
      <c r="A2" s="282" t="s">
        <v>231</v>
      </c>
    </row>
    <row r="3" spans="1:2" s="285" customFormat="1" ht="16.5" thickBot="1">
      <c r="A3" s="283"/>
      <c r="B3" s="284"/>
    </row>
    <row r="4" spans="1:2" ht="15.75">
      <c r="A4" s="286" t="s">
        <v>284</v>
      </c>
    </row>
    <row r="5" spans="1:2" ht="15">
      <c r="A5" s="287" t="s">
        <v>317</v>
      </c>
    </row>
    <row r="6" spans="1:2" ht="15">
      <c r="A6" s="290" t="s">
        <v>318</v>
      </c>
    </row>
    <row r="7" spans="1:2" ht="25.5">
      <c r="A7" s="287" t="s">
        <v>319</v>
      </c>
    </row>
    <row r="8" spans="1:2" ht="38.25">
      <c r="A8" s="287" t="s">
        <v>320</v>
      </c>
    </row>
    <row r="9" spans="1:2" ht="13.5" thickBot="1">
      <c r="A9" s="288" t="s">
        <v>321</v>
      </c>
    </row>
    <row r="11" spans="1:2" ht="13.5" thickBot="1"/>
    <row r="12" spans="1:2" ht="15.75">
      <c r="A12" s="286" t="s">
        <v>285</v>
      </c>
    </row>
    <row r="13" spans="1:2" ht="25.5">
      <c r="A13" s="287" t="s">
        <v>292</v>
      </c>
    </row>
    <row r="14" spans="1:2" ht="38.25">
      <c r="A14" s="287" t="s">
        <v>286</v>
      </c>
    </row>
    <row r="15" spans="1:2" ht="25.5">
      <c r="A15" s="287" t="s">
        <v>308</v>
      </c>
    </row>
    <row r="16" spans="1:2" ht="25.5">
      <c r="A16" s="287" t="s">
        <v>307</v>
      </c>
    </row>
    <row r="17" spans="1:1">
      <c r="A17" s="287" t="s">
        <v>289</v>
      </c>
    </row>
    <row r="18" spans="1:1" ht="25.5">
      <c r="A18" s="287" t="s">
        <v>293</v>
      </c>
    </row>
    <row r="19" spans="1:1">
      <c r="A19" s="287" t="s">
        <v>290</v>
      </c>
    </row>
    <row r="20" spans="1:1" ht="25.5">
      <c r="A20" s="287" t="s">
        <v>291</v>
      </c>
    </row>
    <row r="21" spans="1:1" ht="13.5" thickBot="1">
      <c r="A21" s="288" t="s">
        <v>316</v>
      </c>
    </row>
    <row r="23" spans="1:1">
      <c r="A23" s="289" t="s">
        <v>322</v>
      </c>
    </row>
  </sheetData>
  <hyperlinks>
    <hyperlink ref="A2" r:id="rId1" xr:uid="{6C75252E-EC86-4CE2-A753-DBF34F09E162}"/>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4DCD7-B3DF-4568-A908-CAEE3C206890}">
  <dimension ref="A1:Q35"/>
  <sheetViews>
    <sheetView workbookViewId="0">
      <selection activeCell="K29" sqref="K29"/>
    </sheetView>
  </sheetViews>
  <sheetFormatPr defaultColWidth="8.7109375" defaultRowHeight="12.75"/>
  <cols>
    <col min="1" max="1" width="36" style="8" customWidth="1"/>
    <col min="2" max="11" width="11.42578125" style="8" bestFit="1" customWidth="1"/>
    <col min="12" max="16384" width="8.7109375" style="8"/>
  </cols>
  <sheetData>
    <row r="1" spans="1:17" ht="16.5" thickBot="1">
      <c r="A1" s="764" t="s">
        <v>184</v>
      </c>
      <c r="B1" s="765"/>
      <c r="C1" s="765"/>
      <c r="D1" s="765"/>
      <c r="E1" s="765"/>
      <c r="F1" s="765"/>
      <c r="G1" s="765"/>
      <c r="H1" s="765"/>
      <c r="I1" s="765"/>
      <c r="J1" s="765"/>
      <c r="K1" s="766"/>
    </row>
    <row r="2" spans="1:17" ht="15">
      <c r="A2" s="505" t="s">
        <v>198</v>
      </c>
      <c r="B2" s="506">
        <v>39538</v>
      </c>
      <c r="C2" s="506">
        <v>39903</v>
      </c>
      <c r="D2" s="506">
        <v>40268</v>
      </c>
      <c r="E2" s="506">
        <v>40633</v>
      </c>
      <c r="F2" s="506">
        <v>40999</v>
      </c>
      <c r="G2" s="506">
        <v>41364</v>
      </c>
      <c r="H2" s="506">
        <v>41729</v>
      </c>
      <c r="I2" s="506">
        <v>42094</v>
      </c>
      <c r="J2" s="506">
        <v>42460</v>
      </c>
      <c r="K2" s="507">
        <v>42825</v>
      </c>
      <c r="M2" s="770" t="s">
        <v>294</v>
      </c>
      <c r="N2" s="771"/>
      <c r="O2" s="771"/>
      <c r="P2" s="771"/>
      <c r="Q2" s="772"/>
    </row>
    <row r="3" spans="1:17" ht="15">
      <c r="A3" s="508" t="s">
        <v>4</v>
      </c>
      <c r="B3" s="509">
        <v>1</v>
      </c>
      <c r="C3" s="509">
        <v>1</v>
      </c>
      <c r="D3" s="509">
        <v>1</v>
      </c>
      <c r="E3" s="509">
        <v>1</v>
      </c>
      <c r="F3" s="509">
        <v>1</v>
      </c>
      <c r="G3" s="509">
        <v>1</v>
      </c>
      <c r="H3" s="509">
        <v>1</v>
      </c>
      <c r="I3" s="509">
        <v>1</v>
      </c>
      <c r="J3" s="509">
        <v>1</v>
      </c>
      <c r="K3" s="510">
        <v>1</v>
      </c>
      <c r="M3" s="773"/>
      <c r="N3" s="774"/>
      <c r="O3" s="774"/>
      <c r="P3" s="774"/>
      <c r="Q3" s="775"/>
    </row>
    <row r="4" spans="1:17" ht="15">
      <c r="A4" s="508" t="s">
        <v>74</v>
      </c>
      <c r="B4" s="511">
        <f>'Data Sheet'!B18/'Data Sheet'!B$17</f>
        <v>0</v>
      </c>
      <c r="C4" s="511">
        <f>'Data Sheet'!C18/'Data Sheet'!C$17</f>
        <v>0</v>
      </c>
      <c r="D4" s="511">
        <f>'Data Sheet'!D18/'Data Sheet'!D$17</f>
        <v>4.8628275787954622E-3</v>
      </c>
      <c r="E4" s="511">
        <f>'Data Sheet'!E18/'Data Sheet'!E$17</f>
        <v>4.9798874112411372E-3</v>
      </c>
      <c r="F4" s="511">
        <f>'Data Sheet'!F18/'Data Sheet'!F$17</f>
        <v>6.2285925824758382E-3</v>
      </c>
      <c r="G4" s="511">
        <f>'Data Sheet'!G18/'Data Sheet'!G$17</f>
        <v>6.0838328038004671E-3</v>
      </c>
      <c r="H4" s="511">
        <f>'Data Sheet'!H18/'Data Sheet'!H$17</f>
        <v>5.2534142694965541E-3</v>
      </c>
      <c r="I4" s="511">
        <f>'Data Sheet'!I18/'Data Sheet'!I$17</f>
        <v>5.8677202854652017E-3</v>
      </c>
      <c r="J4" s="511">
        <f>'Data Sheet'!J18/'Data Sheet'!J$17</f>
        <v>7.1115638191291027E-3</v>
      </c>
      <c r="K4" s="512">
        <f>'Data Sheet'!K18/'Data Sheet'!K$17</f>
        <v>6.6645138720701812E-3</v>
      </c>
      <c r="M4" s="773"/>
      <c r="N4" s="774"/>
      <c r="O4" s="774"/>
      <c r="P4" s="774"/>
      <c r="Q4" s="775"/>
    </row>
    <row r="5" spans="1:17" ht="15">
      <c r="A5" s="508" t="s">
        <v>75</v>
      </c>
      <c r="B5" s="511">
        <f>'Data Sheet'!B19/'Data Sheet'!B$17</f>
        <v>0</v>
      </c>
      <c r="C5" s="511">
        <f>'Data Sheet'!C19/'Data Sheet'!C$17</f>
        <v>0</v>
      </c>
      <c r="D5" s="511">
        <f>'Data Sheet'!D19/'Data Sheet'!D$17</f>
        <v>3.5310192363787097E-4</v>
      </c>
      <c r="E5" s="511">
        <f>'Data Sheet'!E19/'Data Sheet'!E$17</f>
        <v>2.8695003417314041E-5</v>
      </c>
      <c r="F5" s="511">
        <f>'Data Sheet'!F19/'Data Sheet'!F$17</f>
        <v>1.22199739067616E-4</v>
      </c>
      <c r="G5" s="511">
        <f>'Data Sheet'!G19/'Data Sheet'!G$17</f>
        <v>2.0319284413478967E-4</v>
      </c>
      <c r="H5" s="511">
        <f>'Data Sheet'!H19/'Data Sheet'!H$17</f>
        <v>-6.3868563892851933E-5</v>
      </c>
      <c r="I5" s="511">
        <f>'Data Sheet'!I19/'Data Sheet'!I$17</f>
        <v>2.2764255666288938E-4</v>
      </c>
      <c r="J5" s="511">
        <f>'Data Sheet'!J19/'Data Sheet'!J$17</f>
        <v>7.001278197957733E-5</v>
      </c>
      <c r="K5" s="512">
        <f>'Data Sheet'!K19/'Data Sheet'!K$17</f>
        <v>1.560776082452033E-5</v>
      </c>
      <c r="M5" s="773"/>
      <c r="N5" s="774"/>
      <c r="O5" s="774"/>
      <c r="P5" s="774"/>
      <c r="Q5" s="775"/>
    </row>
    <row r="6" spans="1:17" ht="15">
      <c r="A6" s="508" t="s">
        <v>76</v>
      </c>
      <c r="B6" s="511">
        <f>'Data Sheet'!B20/'Data Sheet'!B$17</f>
        <v>0</v>
      </c>
      <c r="C6" s="511">
        <f>'Data Sheet'!C20/'Data Sheet'!C$17</f>
        <v>0</v>
      </c>
      <c r="D6" s="511">
        <f>'Data Sheet'!D20/'Data Sheet'!D$17</f>
        <v>0</v>
      </c>
      <c r="E6" s="511">
        <f>'Data Sheet'!E20/'Data Sheet'!E$17</f>
        <v>0</v>
      </c>
      <c r="F6" s="511">
        <f>'Data Sheet'!F20/'Data Sheet'!F$17</f>
        <v>0.51688333159618027</v>
      </c>
      <c r="G6" s="511">
        <f>'Data Sheet'!G20/'Data Sheet'!G$17</f>
        <v>0.46903319323530818</v>
      </c>
      <c r="H6" s="511">
        <f>'Data Sheet'!H20/'Data Sheet'!H$17</f>
        <v>0.49642066175028648</v>
      </c>
      <c r="I6" s="511">
        <f>'Data Sheet'!I20/'Data Sheet'!I$17</f>
        <v>0.41325885041227001</v>
      </c>
      <c r="J6" s="511">
        <f>'Data Sheet'!J20/'Data Sheet'!J$17</f>
        <v>0.29611813200941017</v>
      </c>
      <c r="K6" s="512">
        <f>'Data Sheet'!K20/'Data Sheet'!K$17</f>
        <v>0.34129921153897907</v>
      </c>
      <c r="M6" s="773"/>
      <c r="N6" s="774"/>
      <c r="O6" s="774"/>
      <c r="P6" s="774"/>
      <c r="Q6" s="775"/>
    </row>
    <row r="7" spans="1:17" ht="15">
      <c r="A7" s="508" t="s">
        <v>77</v>
      </c>
      <c r="B7" s="511">
        <f>'Data Sheet'!B21/'Data Sheet'!B$17</f>
        <v>0</v>
      </c>
      <c r="C7" s="511">
        <f>'Data Sheet'!C21/'Data Sheet'!C$17</f>
        <v>0</v>
      </c>
      <c r="D7" s="511">
        <f>'Data Sheet'!D21/'Data Sheet'!D$17</f>
        <v>0</v>
      </c>
      <c r="E7" s="511">
        <f>'Data Sheet'!E21/'Data Sheet'!E$17</f>
        <v>0</v>
      </c>
      <c r="F7" s="511">
        <f>'Data Sheet'!F21/'Data Sheet'!F$17</f>
        <v>3.078534897010779E-2</v>
      </c>
      <c r="G7" s="511">
        <f>'Data Sheet'!G21/'Data Sheet'!G$17</f>
        <v>2.8843604532395675E-2</v>
      </c>
      <c r="H7" s="511">
        <f>'Data Sheet'!H21/'Data Sheet'!H$17</f>
        <v>2.8526759129156629E-2</v>
      </c>
      <c r="I7" s="511">
        <f>'Data Sheet'!I21/'Data Sheet'!I$17</f>
        <v>0.14924375275576754</v>
      </c>
      <c r="J7" s="511">
        <f>'Data Sheet'!J21/'Data Sheet'!J$17</f>
        <v>0.19009957304594635</v>
      </c>
      <c r="K7" s="512">
        <f>'Data Sheet'!K21/'Data Sheet'!K$17</f>
        <v>0.21566642447727458</v>
      </c>
      <c r="M7" s="773"/>
      <c r="N7" s="774"/>
      <c r="O7" s="774"/>
      <c r="P7" s="774"/>
      <c r="Q7" s="775"/>
    </row>
    <row r="8" spans="1:17" ht="15">
      <c r="A8" s="508" t="s">
        <v>78</v>
      </c>
      <c r="B8" s="511">
        <f>'Data Sheet'!B22/'Data Sheet'!B$17</f>
        <v>0</v>
      </c>
      <c r="C8" s="511">
        <f>'Data Sheet'!C22/'Data Sheet'!C$17</f>
        <v>0</v>
      </c>
      <c r="D8" s="511">
        <f>'Data Sheet'!D22/'Data Sheet'!D$17</f>
        <v>0</v>
      </c>
      <c r="E8" s="511">
        <f>'Data Sheet'!E22/'Data Sheet'!E$17</f>
        <v>0</v>
      </c>
      <c r="F8" s="511">
        <f>'Data Sheet'!F22/'Data Sheet'!F$17</f>
        <v>9.3772126239518666E-2</v>
      </c>
      <c r="G8" s="511">
        <f>'Data Sheet'!G22/'Data Sheet'!G$17</f>
        <v>7.5760506265293792E-2</v>
      </c>
      <c r="H8" s="511">
        <f>'Data Sheet'!H22/'Data Sheet'!H$17</f>
        <v>8.3563470060036449E-2</v>
      </c>
      <c r="I8" s="511">
        <f>'Data Sheet'!I22/'Data Sheet'!I$17</f>
        <v>8.53616500566593E-2</v>
      </c>
      <c r="J8" s="511">
        <f>'Data Sheet'!J22/'Data Sheet'!J$17</f>
        <v>0.11078004772021653</v>
      </c>
      <c r="K8" s="512">
        <f>'Data Sheet'!K22/'Data Sheet'!K$17</f>
        <v>0.11023330911439412</v>
      </c>
      <c r="M8" s="773"/>
      <c r="N8" s="774"/>
      <c r="O8" s="774"/>
      <c r="P8" s="774"/>
      <c r="Q8" s="775"/>
    </row>
    <row r="9" spans="1:17" ht="15">
      <c r="A9" s="508" t="s">
        <v>105</v>
      </c>
      <c r="B9" s="511">
        <f>'Data Sheet'!B23/'Data Sheet'!B$17</f>
        <v>0</v>
      </c>
      <c r="C9" s="511">
        <f>'Data Sheet'!C23/'Data Sheet'!C$17</f>
        <v>0</v>
      </c>
      <c r="D9" s="511">
        <f>'Data Sheet'!D23/'Data Sheet'!D$17</f>
        <v>0</v>
      </c>
      <c r="E9" s="511">
        <f>'Data Sheet'!E23/'Data Sheet'!E$17</f>
        <v>0</v>
      </c>
      <c r="F9" s="511">
        <f>'Data Sheet'!F23/'Data Sheet'!F$17</f>
        <v>0.3405527022315829</v>
      </c>
      <c r="G9" s="511">
        <f>'Data Sheet'!G23/'Data Sheet'!G$17</f>
        <v>0.22587003481443169</v>
      </c>
      <c r="H9" s="511">
        <f>'Data Sheet'!H23/'Data Sheet'!H$17</f>
        <v>0.23007345784404917</v>
      </c>
      <c r="I9" s="511">
        <f>'Data Sheet'!I23/'Data Sheet'!I$17</f>
        <v>0.18339372683180447</v>
      </c>
      <c r="J9" s="511">
        <f>'Data Sheet'!J23/'Data Sheet'!J$17</f>
        <v>0.19239140738703003</v>
      </c>
      <c r="K9" s="512">
        <f>'Data Sheet'!K23/'Data Sheet'!K$17</f>
        <v>0.20471031457711042</v>
      </c>
      <c r="M9" s="773"/>
      <c r="N9" s="774"/>
      <c r="O9" s="774"/>
      <c r="P9" s="774"/>
      <c r="Q9" s="775"/>
    </row>
    <row r="10" spans="1:17" ht="15.75" thickBot="1">
      <c r="A10" s="508" t="s">
        <v>80</v>
      </c>
      <c r="B10" s="511">
        <f>'Data Sheet'!B24/'Data Sheet'!B$17</f>
        <v>0</v>
      </c>
      <c r="C10" s="511">
        <f>'Data Sheet'!C24/'Data Sheet'!C$17</f>
        <v>0</v>
      </c>
      <c r="D10" s="511">
        <f>'Data Sheet'!D24/'Data Sheet'!D$17</f>
        <v>0.77748054101355601</v>
      </c>
      <c r="E10" s="511">
        <f>'Data Sheet'!E24/'Data Sheet'!E$17</f>
        <v>0.86144226304448768</v>
      </c>
      <c r="F10" s="511">
        <f>'Data Sheet'!F24/'Data Sheet'!F$17</f>
        <v>5.3426444742356227E-3</v>
      </c>
      <c r="G10" s="511">
        <f>'Data Sheet'!G24/'Data Sheet'!G$17</f>
        <v>9.7231578993119697E-2</v>
      </c>
      <c r="H10" s="511">
        <f>'Data Sheet'!H24/'Data Sheet'!H$17</f>
        <v>0.11037117530751364</v>
      </c>
      <c r="I10" s="511">
        <f>'Data Sheet'!I24/'Data Sheet'!I$17</f>
        <v>2.6387147459236183E-2</v>
      </c>
      <c r="J10" s="511">
        <f>'Data Sheet'!J24/'Data Sheet'!J$17</f>
        <v>7.5260642717338575E-3</v>
      </c>
      <c r="K10" s="512">
        <f>'Data Sheet'!K24/'Data Sheet'!K$17</f>
        <v>2.0327762977314927E-3</v>
      </c>
      <c r="M10" s="776"/>
      <c r="N10" s="777"/>
      <c r="O10" s="777"/>
      <c r="P10" s="777"/>
      <c r="Q10" s="778"/>
    </row>
    <row r="11" spans="1:17" s="602" customFormat="1" ht="15">
      <c r="A11" s="598" t="s">
        <v>6</v>
      </c>
      <c r="B11" s="599">
        <f>('Data Sheet'!B17-'Data Sheet'!B18-'Data Sheet'!B19-'Data Sheet'!B20-'Data Sheet'!B21-'Data Sheet'!B22-'Data Sheet'!B23-'Data Sheet'!B24)/'Data Sheet'!B$17</f>
        <v>1</v>
      </c>
      <c r="C11" s="599">
        <f>('Data Sheet'!C17-'Data Sheet'!C18-'Data Sheet'!C19-'Data Sheet'!C20-'Data Sheet'!C21-'Data Sheet'!C22-'Data Sheet'!C23-'Data Sheet'!C24)/'Data Sheet'!C$17</f>
        <v>1</v>
      </c>
      <c r="D11" s="599">
        <f>('Data Sheet'!D17-'Data Sheet'!D18-'Data Sheet'!D19-'Data Sheet'!D20-'Data Sheet'!D21-'Data Sheet'!D22-'Data Sheet'!D23-'Data Sheet'!D24)/'Data Sheet'!D$17</f>
        <v>0.21730352948401055</v>
      </c>
      <c r="E11" s="599">
        <f>('Data Sheet'!E17-'Data Sheet'!E18-'Data Sheet'!E19-'Data Sheet'!E20-'Data Sheet'!E21-'Data Sheet'!E22-'Data Sheet'!E23-'Data Sheet'!E24)/'Data Sheet'!E$17</f>
        <v>0.13354915454085381</v>
      </c>
      <c r="F11" s="599">
        <f>('Data Sheet'!F17-'Data Sheet'!F18-'Data Sheet'!F19-'Data Sheet'!F20-'Data Sheet'!F21-'Data Sheet'!F22-'Data Sheet'!F23-'Data Sheet'!F24)/'Data Sheet'!F$17</f>
        <v>6.3130541668313372E-3</v>
      </c>
      <c r="G11" s="599">
        <f>('Data Sheet'!G17-'Data Sheet'!G18-'Data Sheet'!G19-'Data Sheet'!G20-'Data Sheet'!G21-'Data Sheet'!G22-'Data Sheet'!G23-'Data Sheet'!G24)/'Data Sheet'!G$17</f>
        <v>9.6974056511515652E-2</v>
      </c>
      <c r="H11" s="599">
        <f>('Data Sheet'!H17-'Data Sheet'!H18-'Data Sheet'!H19-'Data Sheet'!H20-'Data Sheet'!H21-'Data Sheet'!H22-'Data Sheet'!H23-'Data Sheet'!H24)/'Data Sheet'!H$17</f>
        <v>4.5854930203353891E-2</v>
      </c>
      <c r="I11" s="599">
        <f>('Data Sheet'!I17-'Data Sheet'!I18-'Data Sheet'!I19-'Data Sheet'!I20-'Data Sheet'!I21-'Data Sheet'!I22-'Data Sheet'!I23-'Data Sheet'!I24)/'Data Sheet'!I$17</f>
        <v>0.13625950964213437</v>
      </c>
      <c r="J11" s="599">
        <f>('Data Sheet'!J17-'Data Sheet'!J18-'Data Sheet'!J19-'Data Sheet'!J20-'Data Sheet'!J21-'Data Sheet'!J22-'Data Sheet'!J23-'Data Sheet'!J24)/'Data Sheet'!J$17</f>
        <v>0.19590319896455435</v>
      </c>
      <c r="K11" s="600">
        <f>('Data Sheet'!K17-'Data Sheet'!K18-'Data Sheet'!K19-'Data Sheet'!K20-'Data Sheet'!K21-'Data Sheet'!K22-'Data Sheet'!K23-'Data Sheet'!K24)/'Data Sheet'!K$17</f>
        <v>0.11937784236161547</v>
      </c>
    </row>
    <row r="12" spans="1:17" ht="15">
      <c r="A12" s="508" t="s">
        <v>7</v>
      </c>
      <c r="B12" s="511">
        <f>'Data Sheet'!B25/'Data Sheet'!B$17</f>
        <v>1.5581653412243388E-2</v>
      </c>
      <c r="C12" s="511">
        <f>'Data Sheet'!C25/'Data Sheet'!C$17</f>
        <v>1.3567790401031047E-2</v>
      </c>
      <c r="D12" s="511">
        <f>'Data Sheet'!D25/'Data Sheet'!D$17</f>
        <v>2.3868922425042603E-2</v>
      </c>
      <c r="E12" s="511">
        <f>'Data Sheet'!E25/'Data Sheet'!E$17</f>
        <v>2.8888042531212337E-2</v>
      </c>
      <c r="F12" s="511">
        <f>'Data Sheet'!F25/'Data Sheet'!F$17</f>
        <v>2.7568620544651427E-2</v>
      </c>
      <c r="G12" s="511">
        <f>'Data Sheet'!G25/'Data Sheet'!G$17</f>
        <v>2.7733106742525326E-2</v>
      </c>
      <c r="H12" s="511">
        <f>'Data Sheet'!H25/'Data Sheet'!H$17</f>
        <v>2.8383729528326157E-2</v>
      </c>
      <c r="I12" s="511">
        <f>'Data Sheet'!I25/'Data Sheet'!I$17</f>
        <v>2.833539432430375E-2</v>
      </c>
      <c r="J12" s="511">
        <f>'Data Sheet'!J25/'Data Sheet'!J$17</f>
        <v>3.1915915268424667E-2</v>
      </c>
      <c r="K12" s="512">
        <f>'Data Sheet'!K25/'Data Sheet'!K$17</f>
        <v>4.2467640806221577E-2</v>
      </c>
    </row>
    <row r="13" spans="1:17" ht="15">
      <c r="A13" s="508" t="s">
        <v>8</v>
      </c>
      <c r="B13" s="511">
        <f>'Data Sheet'!B26/'Data Sheet'!B$17</f>
        <v>3.5370815609395229E-2</v>
      </c>
      <c r="C13" s="511">
        <f>'Data Sheet'!C26/'Data Sheet'!C$17</f>
        <v>1.3082280659940151E-2</v>
      </c>
      <c r="D13" s="511">
        <f>'Data Sheet'!D26/'Data Sheet'!D$17</f>
        <v>1.7655096181893547E-2</v>
      </c>
      <c r="E13" s="511">
        <f>'Data Sheet'!E26/'Data Sheet'!E$17</f>
        <v>1.6400498771332126E-2</v>
      </c>
      <c r="F13" s="511">
        <f>'Data Sheet'!F26/'Data Sheet'!F$17</f>
        <v>1.1954009768790906E-2</v>
      </c>
      <c r="G13" s="511">
        <f>'Data Sheet'!G26/'Data Sheet'!G$17</f>
        <v>9.3034071202249685E-3</v>
      </c>
      <c r="H13" s="511">
        <f>'Data Sheet'!H26/'Data Sheet'!H$17</f>
        <v>2.0330893134399248E-2</v>
      </c>
      <c r="I13" s="511">
        <f>'Data Sheet'!I26/'Data Sheet'!I$17</f>
        <v>2.170216310696902E-2</v>
      </c>
      <c r="J13" s="511">
        <f>'Data Sheet'!J26/'Data Sheet'!J$17</f>
        <v>3.1318018501961906E-2</v>
      </c>
      <c r="K13" s="512">
        <f>'Data Sheet'!K26/'Data Sheet'!K$17</f>
        <v>2.4609133231075591E-2</v>
      </c>
    </row>
    <row r="14" spans="1:17" s="602" customFormat="1" ht="15">
      <c r="A14" s="598" t="s">
        <v>9</v>
      </c>
      <c r="B14" s="599">
        <f>'Data Sheet'!B27/'Data Sheet'!B$17</f>
        <v>0.14139078971703348</v>
      </c>
      <c r="C14" s="599">
        <f>'Data Sheet'!C27/'Data Sheet'!C$17</f>
        <v>3.202598801232312E-2</v>
      </c>
      <c r="D14" s="599">
        <f>'Data Sheet'!D27/'Data Sheet'!D$17</f>
        <v>1.9416767735695534E-2</v>
      </c>
      <c r="E14" s="599">
        <f>'Data Sheet'!E27/'Data Sheet'!E$17</f>
        <v>1.1736256397681444E-2</v>
      </c>
      <c r="F14" s="599">
        <f>'Data Sheet'!F27/'Data Sheet'!F$17</f>
        <v>1.0690680113430112E-2</v>
      </c>
      <c r="G14" s="599">
        <f>'Data Sheet'!G27/'Data Sheet'!G$17</f>
        <v>7.8864901750283593E-3</v>
      </c>
      <c r="H14" s="599">
        <f>'Data Sheet'!H27/'Data Sheet'!H$17</f>
        <v>1.1026772622515198E-2</v>
      </c>
      <c r="I14" s="599">
        <f>'Data Sheet'!I27/'Data Sheet'!I$17</f>
        <v>1.0746595774322206E-2</v>
      </c>
      <c r="J14" s="599">
        <f>'Data Sheet'!J27/'Data Sheet'!J$17</f>
        <v>2.1701484085103324E-2</v>
      </c>
      <c r="K14" s="600">
        <f>'Data Sheet'!K27/'Data Sheet'!K$17</f>
        <v>2.1858938134065281E-2</v>
      </c>
      <c r="L14" s="601">
        <f>AVERAGE(B14:K14)</f>
        <v>2.8848076276719804E-2</v>
      </c>
    </row>
    <row r="15" spans="1:17" ht="15">
      <c r="A15" s="508" t="s">
        <v>188</v>
      </c>
      <c r="B15" s="511">
        <f>'Data Sheet'!B28/'Data Sheet'!B$17</f>
        <v>-0.93032180506750517</v>
      </c>
      <c r="C15" s="511">
        <f>'Data Sheet'!C28/'Data Sheet'!C$17</f>
        <v>-0.20585613022254001</v>
      </c>
      <c r="D15" s="511">
        <f>'Data Sheet'!D28/'Data Sheet'!D$17</f>
        <v>0.2048067918387399</v>
      </c>
      <c r="E15" s="511">
        <f>'Data Sheet'!E28/'Data Sheet'!E$17</f>
        <v>0.13435522327321295</v>
      </c>
      <c r="F15" s="511">
        <f>'Data Sheet'!F28/'Data Sheet'!F$17</f>
        <v>1.1484978417369614E-2</v>
      </c>
      <c r="G15" s="511">
        <f>'Data Sheet'!G28/'Data Sheet'!G$17</f>
        <v>0.1079225650543079</v>
      </c>
      <c r="H15" s="511">
        <f>'Data Sheet'!H28/'Data Sheet'!H$17</f>
        <v>4.2755955518693697E-2</v>
      </c>
      <c r="I15" s="511">
        <f>'Data Sheet'!I28/'Data Sheet'!I$17</f>
        <v>0.13260214831379341</v>
      </c>
      <c r="J15" s="511">
        <f>'Data Sheet'!J28/'Data Sheet'!J$17</f>
        <v>0.17493963720987293</v>
      </c>
      <c r="K15" s="512">
        <f>'Data Sheet'!K28/'Data Sheet'!K$17</f>
        <v>0.11540808912569631</v>
      </c>
    </row>
    <row r="16" spans="1:17" ht="15">
      <c r="A16" s="508" t="s">
        <v>11</v>
      </c>
      <c r="B16" s="511">
        <f>'Data Sheet'!B29/'Data Sheet'!B$17</f>
        <v>2.6817088958757166E-3</v>
      </c>
      <c r="C16" s="511">
        <f>'Data Sheet'!C29/'Data Sheet'!C$17</f>
        <v>1.368254724892526E-3</v>
      </c>
      <c r="D16" s="511">
        <f>'Data Sheet'!D29/'Data Sheet'!D$17</f>
        <v>-6.5515759092374531E-3</v>
      </c>
      <c r="E16" s="511">
        <f>'Data Sheet'!E29/'Data Sheet'!E$17</f>
        <v>-3.5292245566621971E-2</v>
      </c>
      <c r="F16" s="511">
        <f>'Data Sheet'!F29/'Data Sheet'!F$17</f>
        <v>-1.1495760747287346E-2</v>
      </c>
      <c r="G16" s="511">
        <f>'Data Sheet'!G29/'Data Sheet'!G$17</f>
        <v>2.2370771524315772E-2</v>
      </c>
      <c r="H16" s="511">
        <f>'Data Sheet'!H29/'Data Sheet'!H$17</f>
        <v>7.7361922461764316E-5</v>
      </c>
      <c r="I16" s="511">
        <f>'Data Sheet'!I29/'Data Sheet'!I$17</f>
        <v>3.8946984418333774E-2</v>
      </c>
      <c r="J16" s="511">
        <f>'Data Sheet'!J29/'Data Sheet'!J$17</f>
        <v>5.1880091029008216E-2</v>
      </c>
      <c r="K16" s="512">
        <f>'Data Sheet'!K29/'Data Sheet'!K$17</f>
        <v>2.611070746212427E-2</v>
      </c>
    </row>
    <row r="17" spans="1:11" s="602" customFormat="1" ht="15">
      <c r="A17" s="598" t="s">
        <v>189</v>
      </c>
      <c r="B17" s="599">
        <f>'Data Sheet'!B30/'Data Sheet'!B$17</f>
        <v>-0.93300351396338077</v>
      </c>
      <c r="C17" s="599">
        <f>'Data Sheet'!C30/'Data Sheet'!C$17</f>
        <v>-0.20722438494743256</v>
      </c>
      <c r="D17" s="599">
        <f>'Data Sheet'!D30/'Data Sheet'!D$17</f>
        <v>0.21136220581236473</v>
      </c>
      <c r="E17" s="599">
        <f>'Data Sheet'!E30/'Data Sheet'!E$17</f>
        <v>0.16964746883983492</v>
      </c>
      <c r="F17" s="599">
        <f>'Data Sheet'!F30/'Data Sheet'!F$17</f>
        <v>2.2980739164656958E-2</v>
      </c>
      <c r="G17" s="599">
        <f>'Data Sheet'!G30/'Data Sheet'!G$17</f>
        <v>8.5552880122741523E-2</v>
      </c>
      <c r="H17" s="599">
        <f>'Data Sheet'!H30/'Data Sheet'!H$17</f>
        <v>4.2678593596231933E-2</v>
      </c>
      <c r="I17" s="599">
        <f>'Data Sheet'!I30/'Data Sheet'!I$17</f>
        <v>9.3654445780138942E-2</v>
      </c>
      <c r="J17" s="599">
        <f>'Data Sheet'!J30/'Data Sheet'!J$17</f>
        <v>0.12305892659872329</v>
      </c>
      <c r="K17" s="600">
        <f>'Data Sheet'!K30/'Data Sheet'!K$17</f>
        <v>8.9297381663572026E-2</v>
      </c>
    </row>
    <row r="18" spans="1:11" ht="15.75" thickBot="1">
      <c r="A18" s="513" t="s">
        <v>64</v>
      </c>
      <c r="B18" s="514">
        <f>'Data Sheet'!B31/'Data Sheet'!B$17</f>
        <v>0</v>
      </c>
      <c r="C18" s="514">
        <f>'Data Sheet'!C31/'Data Sheet'!C$17</f>
        <v>0</v>
      </c>
      <c r="D18" s="514">
        <f>'Data Sheet'!D31/'Data Sheet'!D$17</f>
        <v>0</v>
      </c>
      <c r="E18" s="514">
        <f>'Data Sheet'!E31/'Data Sheet'!E$17</f>
        <v>0.12793536841775752</v>
      </c>
      <c r="F18" s="514">
        <f>'Data Sheet'!F31/'Data Sheet'!F$17</f>
        <v>0</v>
      </c>
      <c r="G18" s="514">
        <f>'Data Sheet'!G31/'Data Sheet'!G$17</f>
        <v>5.9614824602198392E-2</v>
      </c>
      <c r="H18" s="514">
        <f>'Data Sheet'!H31/'Data Sheet'!H$17</f>
        <v>3.3965482189666246E-2</v>
      </c>
      <c r="I18" s="514">
        <f>'Data Sheet'!I31/'Data Sheet'!I$17</f>
        <v>7.753419306099528E-2</v>
      </c>
      <c r="J18" s="514">
        <f>'Data Sheet'!J31/'Data Sheet'!J$17</f>
        <v>6.8318224822815007E-2</v>
      </c>
      <c r="K18" s="515">
        <f>'Data Sheet'!K31/'Data Sheet'!K$17</f>
        <v>0</v>
      </c>
    </row>
    <row r="19" spans="1:11" ht="13.5" thickBot="1"/>
    <row r="20" spans="1:11" ht="18.75">
      <c r="A20" s="767" t="s">
        <v>185</v>
      </c>
      <c r="B20" s="768"/>
      <c r="C20" s="768"/>
      <c r="D20" s="768"/>
      <c r="E20" s="768"/>
      <c r="F20" s="768"/>
      <c r="G20" s="768"/>
      <c r="H20" s="768"/>
      <c r="I20" s="768"/>
      <c r="J20" s="768"/>
      <c r="K20" s="769"/>
    </row>
    <row r="21" spans="1:11" ht="18.75">
      <c r="A21" s="516" t="s">
        <v>198</v>
      </c>
      <c r="B21" s="517">
        <v>39538</v>
      </c>
      <c r="C21" s="517">
        <v>39903</v>
      </c>
      <c r="D21" s="517">
        <v>40268</v>
      </c>
      <c r="E21" s="517">
        <v>40633</v>
      </c>
      <c r="F21" s="517">
        <v>40999</v>
      </c>
      <c r="G21" s="517">
        <v>41364</v>
      </c>
      <c r="H21" s="517">
        <v>41729</v>
      </c>
      <c r="I21" s="517">
        <v>42094</v>
      </c>
      <c r="J21" s="517">
        <v>42460</v>
      </c>
      <c r="K21" s="518">
        <v>42825</v>
      </c>
    </row>
    <row r="22" spans="1:11" ht="18.75">
      <c r="A22" s="519" t="s">
        <v>19</v>
      </c>
      <c r="B22" s="520">
        <f>'Data Sheet'!B57/'Data Sheet'!B$61</f>
        <v>7.8618412432191628E-2</v>
      </c>
      <c r="C22" s="520">
        <f>'Data Sheet'!C57/'Data Sheet'!C$61</f>
        <v>5.6981643372867832E-2</v>
      </c>
      <c r="D22" s="520">
        <f>'Data Sheet'!D57/'Data Sheet'!D$61</f>
        <v>1.36927646896158E-2</v>
      </c>
      <c r="E22" s="520">
        <f>'Data Sheet'!E57/'Data Sheet'!E$61</f>
        <v>1.0515679323160184E-2</v>
      </c>
      <c r="F22" s="520">
        <f>'Data Sheet'!F57/'Data Sheet'!F$61</f>
        <v>8.0502207910718594E-3</v>
      </c>
      <c r="G22" s="520">
        <f>'Data Sheet'!G57/'Data Sheet'!G$61</f>
        <v>5.0984058762864343E-3</v>
      </c>
      <c r="H22" s="520">
        <f>'Data Sheet'!H57/'Data Sheet'!H$61</f>
        <v>3.3056676587258859E-3</v>
      </c>
      <c r="I22" s="520">
        <f>'Data Sheet'!I57/'Data Sheet'!I$61</f>
        <v>2.8332847275801347E-3</v>
      </c>
      <c r="J22" s="520">
        <f>'Data Sheet'!J57/'Data Sheet'!J$61</f>
        <v>2.7399155884591436E-2</v>
      </c>
      <c r="K22" s="521">
        <f>'Data Sheet'!K57/'Data Sheet'!K$61</f>
        <v>2.283094351730559E-2</v>
      </c>
    </row>
    <row r="23" spans="1:11" ht="18.75">
      <c r="A23" s="519" t="s">
        <v>20</v>
      </c>
      <c r="B23" s="520">
        <f>'Data Sheet'!B58/'Data Sheet'!B$61</f>
        <v>-0.56361539872638178</v>
      </c>
      <c r="C23" s="520">
        <f>'Data Sheet'!C58/'Data Sheet'!C$61</f>
        <v>-0.83261874269168656</v>
      </c>
      <c r="D23" s="520">
        <f>'Data Sheet'!D58/'Data Sheet'!D$61</f>
        <v>4.3879289581902355E-2</v>
      </c>
      <c r="E23" s="520">
        <f>'Data Sheet'!E58/'Data Sheet'!E$61</f>
        <v>2.3418794635975959E-2</v>
      </c>
      <c r="F23" s="520">
        <f>'Data Sheet'!F58/'Data Sheet'!F$61</f>
        <v>9.1334605984958933E-2</v>
      </c>
      <c r="G23" s="520">
        <f>'Data Sheet'!G58/'Data Sheet'!G$61</f>
        <v>8.2707104055640718E-2</v>
      </c>
      <c r="H23" s="520">
        <f>'Data Sheet'!H58/'Data Sheet'!H$61</f>
        <v>4.019131955361642E-2</v>
      </c>
      <c r="I23" s="520">
        <f>'Data Sheet'!I58/'Data Sheet'!I$61</f>
        <v>3.5653242865106113E-2</v>
      </c>
      <c r="J23" s="520">
        <f>'Data Sheet'!J58/'Data Sheet'!J$61</f>
        <v>0.17965242396156395</v>
      </c>
      <c r="K23" s="521">
        <f>'Data Sheet'!K58/'Data Sheet'!K$61</f>
        <v>0.21586980166063899</v>
      </c>
    </row>
    <row r="24" spans="1:11" ht="18.75">
      <c r="A24" s="519" t="s">
        <v>65</v>
      </c>
      <c r="B24" s="520">
        <f>'Data Sheet'!B59/'Data Sheet'!B$61</f>
        <v>0.49364501166173125</v>
      </c>
      <c r="C24" s="520">
        <f>'Data Sheet'!C59/'Data Sheet'!C$61</f>
        <v>0.30625313213430594</v>
      </c>
      <c r="D24" s="520">
        <f>'Data Sheet'!D59/'Data Sheet'!D$61</f>
        <v>0.43209815972810717</v>
      </c>
      <c r="E24" s="520">
        <f>'Data Sheet'!E59/'Data Sheet'!E$61</f>
        <v>0.31902241860624436</v>
      </c>
      <c r="F24" s="520">
        <f>'Data Sheet'!F59/'Data Sheet'!F$61</f>
        <v>0.26630497487911559</v>
      </c>
      <c r="G24" s="520">
        <f>'Data Sheet'!G59/'Data Sheet'!G$61</f>
        <v>0.29899908494409194</v>
      </c>
      <c r="H24" s="520">
        <f>'Data Sheet'!H59/'Data Sheet'!H$61</f>
        <v>0.36031131421286344</v>
      </c>
      <c r="I24" s="520">
        <f>'Data Sheet'!I59/'Data Sheet'!I$61</f>
        <v>0.36234296957772061</v>
      </c>
      <c r="J24" s="520">
        <f>'Data Sheet'!J59/'Data Sheet'!J$61</f>
        <v>0.24669808846104427</v>
      </c>
      <c r="K24" s="521">
        <f>'Data Sheet'!K59/'Data Sheet'!K$61</f>
        <v>0.16397830785613859</v>
      </c>
    </row>
    <row r="25" spans="1:11" ht="18.75">
      <c r="A25" s="519" t="s">
        <v>66</v>
      </c>
      <c r="B25" s="520">
        <f>'Data Sheet'!B60/'Data Sheet'!B$61</f>
        <v>0.99135197463245905</v>
      </c>
      <c r="C25" s="520">
        <f>'Data Sheet'!C60/'Data Sheet'!C$61</f>
        <v>1.4693839671845128</v>
      </c>
      <c r="D25" s="520">
        <f>'Data Sheet'!D60/'Data Sheet'!D$61</f>
        <v>0.51032978600037471</v>
      </c>
      <c r="E25" s="520">
        <f>'Data Sheet'!E60/'Data Sheet'!E$61</f>
        <v>0.64704310743461957</v>
      </c>
      <c r="F25" s="520">
        <f>'Data Sheet'!F60/'Data Sheet'!F$61</f>
        <v>0.63431019834485369</v>
      </c>
      <c r="G25" s="520">
        <f>'Data Sheet'!G60/'Data Sheet'!G$61</f>
        <v>0.61319540512398096</v>
      </c>
      <c r="H25" s="520">
        <f>'Data Sheet'!H60/'Data Sheet'!H$61</f>
        <v>0.59619169857479426</v>
      </c>
      <c r="I25" s="520">
        <f>'Data Sheet'!I60/'Data Sheet'!I$61</f>
        <v>0.59917050282959317</v>
      </c>
      <c r="J25" s="520">
        <f>'Data Sheet'!J60/'Data Sheet'!J$61</f>
        <v>0.54625033169280035</v>
      </c>
      <c r="K25" s="521">
        <f>'Data Sheet'!K60/'Data Sheet'!K$61</f>
        <v>0.59732094696591687</v>
      </c>
    </row>
    <row r="26" spans="1:11" ht="18.75">
      <c r="A26" s="519" t="s">
        <v>186</v>
      </c>
      <c r="B26" s="522">
        <v>1</v>
      </c>
      <c r="C26" s="522">
        <v>1</v>
      </c>
      <c r="D26" s="522">
        <v>1</v>
      </c>
      <c r="E26" s="522">
        <v>1</v>
      </c>
      <c r="F26" s="522">
        <v>1</v>
      </c>
      <c r="G26" s="522">
        <v>1</v>
      </c>
      <c r="H26" s="522">
        <v>1</v>
      </c>
      <c r="I26" s="522">
        <v>1</v>
      </c>
      <c r="J26" s="522">
        <v>1</v>
      </c>
      <c r="K26" s="523">
        <v>1</v>
      </c>
    </row>
    <row r="27" spans="1:11" ht="18.75">
      <c r="A27" s="519" t="s">
        <v>22</v>
      </c>
      <c r="B27" s="520">
        <f>'Data Sheet'!B62/'Data Sheet'!B$66</f>
        <v>0.10634450588327786</v>
      </c>
      <c r="C27" s="520">
        <f>'Data Sheet'!C62/'Data Sheet'!C$66</f>
        <v>8.6252018486552701E-2</v>
      </c>
      <c r="D27" s="520">
        <f>'Data Sheet'!D62/'Data Sheet'!D$66</f>
        <v>0.37300518273373595</v>
      </c>
      <c r="E27" s="520">
        <f>'Data Sheet'!E62/'Data Sheet'!E$66</f>
        <v>0.28469060953261743</v>
      </c>
      <c r="F27" s="520">
        <f>'Data Sheet'!F62/'Data Sheet'!F$66</f>
        <v>0.23233146980773869</v>
      </c>
      <c r="G27" s="520">
        <f>'Data Sheet'!G62/'Data Sheet'!G$66</f>
        <v>0.29302714112287825</v>
      </c>
      <c r="H27" s="520">
        <f>'Data Sheet'!H62/'Data Sheet'!H$66</f>
        <v>0.42596488885634665</v>
      </c>
      <c r="I27" s="520">
        <f>'Data Sheet'!I62/'Data Sheet'!I$66</f>
        <v>0.45000682941595577</v>
      </c>
      <c r="J27" s="520">
        <f>'Data Sheet'!J62/'Data Sheet'!J$66</f>
        <v>0.36095855987919917</v>
      </c>
      <c r="K27" s="521">
        <f>'Data Sheet'!K62/'Data Sheet'!K$66</f>
        <v>0.23962416453286478</v>
      </c>
    </row>
    <row r="28" spans="1:11" ht="18.75">
      <c r="A28" s="519" t="s">
        <v>23</v>
      </c>
      <c r="B28" s="520">
        <f>'Data Sheet'!B63/'Data Sheet'!B$66</f>
        <v>5.2412274954794424E-4</v>
      </c>
      <c r="C28" s="520">
        <f>'Data Sheet'!C63/'Data Sheet'!C$66</f>
        <v>5.9765762755906978E-3</v>
      </c>
      <c r="D28" s="520">
        <f>'Data Sheet'!D63/'Data Sheet'!D$66</f>
        <v>0</v>
      </c>
      <c r="E28" s="520">
        <f>'Data Sheet'!E63/'Data Sheet'!E$66</f>
        <v>0</v>
      </c>
      <c r="F28" s="520">
        <f>'Data Sheet'!F63/'Data Sheet'!F$66</f>
        <v>0</v>
      </c>
      <c r="G28" s="520">
        <f>'Data Sheet'!G63/'Data Sheet'!G$66</f>
        <v>1.1375921906372011E-3</v>
      </c>
      <c r="H28" s="520">
        <f>'Data Sheet'!H63/'Data Sheet'!H$66</f>
        <v>0</v>
      </c>
      <c r="I28" s="520">
        <f>'Data Sheet'!I63/'Data Sheet'!I$66</f>
        <v>4.1530232163226737E-5</v>
      </c>
      <c r="J28" s="520">
        <f>'Data Sheet'!J63/'Data Sheet'!J$66</f>
        <v>2.4307664935908206E-3</v>
      </c>
      <c r="K28" s="521">
        <f>'Data Sheet'!K63/'Data Sheet'!K$66</f>
        <v>1.5910351265690868E-3</v>
      </c>
    </row>
    <row r="29" spans="1:11" ht="18.75">
      <c r="A29" s="519" t="s">
        <v>24</v>
      </c>
      <c r="B29" s="520">
        <f>'Data Sheet'!B64/'Data Sheet'!B$66</f>
        <v>2.7333001388925287E-2</v>
      </c>
      <c r="C29" s="520">
        <f>'Data Sheet'!C64/'Data Sheet'!C$66</f>
        <v>0</v>
      </c>
      <c r="D29" s="520">
        <f>'Data Sheet'!D64/'Data Sheet'!D$66</f>
        <v>0.29307422638109598</v>
      </c>
      <c r="E29" s="520">
        <f>'Data Sheet'!E64/'Data Sheet'!E$66</f>
        <v>0.27479148469746018</v>
      </c>
      <c r="F29" s="520">
        <f>'Data Sheet'!F64/'Data Sheet'!F$66</f>
        <v>0.13725233115514113</v>
      </c>
      <c r="G29" s="520">
        <f>'Data Sheet'!G64/'Data Sheet'!G$66</f>
        <v>0.18905287561716455</v>
      </c>
      <c r="H29" s="520">
        <f>'Data Sheet'!H64/'Data Sheet'!H$66</f>
        <v>0.13691386313028422</v>
      </c>
      <c r="I29" s="520">
        <f>'Data Sheet'!I64/'Data Sheet'!I$66</f>
        <v>4.7695164404345722E-2</v>
      </c>
      <c r="J29" s="520">
        <f>'Data Sheet'!J64/'Data Sheet'!J$66</f>
        <v>7.498044057927819E-2</v>
      </c>
      <c r="K29" s="521">
        <f>'Data Sheet'!K64/'Data Sheet'!K$66</f>
        <v>0.23454598969458948</v>
      </c>
    </row>
    <row r="30" spans="1:11" ht="18.75">
      <c r="A30" s="519" t="s">
        <v>67</v>
      </c>
      <c r="B30" s="520">
        <f>'Data Sheet'!B65/'Data Sheet'!B$66</f>
        <v>0.86579836997824899</v>
      </c>
      <c r="C30" s="520">
        <f>'Data Sheet'!C65/'Data Sheet'!C$66</f>
        <v>0.9077714052378566</v>
      </c>
      <c r="D30" s="520">
        <f>'Data Sheet'!D65/'Data Sheet'!D$66</f>
        <v>0.33392059088516807</v>
      </c>
      <c r="E30" s="520">
        <f>'Data Sheet'!E65/'Data Sheet'!E$66</f>
        <v>0.44051790576992245</v>
      </c>
      <c r="F30" s="520">
        <f>'Data Sheet'!F65/'Data Sheet'!F$66</f>
        <v>0.63041619903712021</v>
      </c>
      <c r="G30" s="520">
        <f>'Data Sheet'!G65/'Data Sheet'!G$66</f>
        <v>0.51678239106932011</v>
      </c>
      <c r="H30" s="520">
        <f>'Data Sheet'!H65/'Data Sheet'!H$66</f>
        <v>0.4371212480133691</v>
      </c>
      <c r="I30" s="520">
        <f>'Data Sheet'!I65/'Data Sheet'!I$66</f>
        <v>0.50225647594753531</v>
      </c>
      <c r="J30" s="520">
        <f>'Data Sheet'!J65/'Data Sheet'!J$66</f>
        <v>0.5616302330479318</v>
      </c>
      <c r="K30" s="521">
        <f>'Data Sheet'!K65/'Data Sheet'!K$66</f>
        <v>0.52423881064597666</v>
      </c>
    </row>
    <row r="31" spans="1:11" ht="18.75">
      <c r="A31" s="519" t="s">
        <v>187</v>
      </c>
      <c r="B31" s="522">
        <v>1</v>
      </c>
      <c r="C31" s="522">
        <v>1</v>
      </c>
      <c r="D31" s="522">
        <v>1</v>
      </c>
      <c r="E31" s="522">
        <v>1</v>
      </c>
      <c r="F31" s="522">
        <v>1</v>
      </c>
      <c r="G31" s="522">
        <v>1</v>
      </c>
      <c r="H31" s="522">
        <v>1</v>
      </c>
      <c r="I31" s="522">
        <v>1</v>
      </c>
      <c r="J31" s="522">
        <v>1</v>
      </c>
      <c r="K31" s="523">
        <v>1</v>
      </c>
    </row>
    <row r="32" spans="1:11" ht="18.75">
      <c r="A32" s="519" t="s">
        <v>72</v>
      </c>
      <c r="B32" s="520">
        <f>'Data Sheet'!B67/'Data Sheet'!B$66</f>
        <v>8.1501087554705313E-3</v>
      </c>
      <c r="C32" s="520">
        <f>'Data Sheet'!C67/'Data Sheet'!C$66</f>
        <v>1.0728140022644172E-2</v>
      </c>
      <c r="D32" s="520">
        <f>'Data Sheet'!D67/'Data Sheet'!D$66</f>
        <v>8.0506320080640133E-3</v>
      </c>
      <c r="E32" s="520">
        <f>'Data Sheet'!E67/'Data Sheet'!E$66</f>
        <v>5.7065543167377419E-3</v>
      </c>
      <c r="F32" s="520">
        <f>'Data Sheet'!F67/'Data Sheet'!F$66</f>
        <v>1.0205687074544521E-2</v>
      </c>
      <c r="G32" s="520">
        <f>'Data Sheet'!G67/'Data Sheet'!G$66</f>
        <v>1.1379243343424966E-2</v>
      </c>
      <c r="H32" s="520">
        <f>'Data Sheet'!H67/'Data Sheet'!H$66</f>
        <v>9.5961270926922144E-3</v>
      </c>
      <c r="I32" s="520">
        <f>'Data Sheet'!I67/'Data Sheet'!I$66</f>
        <v>9.6488572725896785E-3</v>
      </c>
      <c r="J32" s="520">
        <f>'Data Sheet'!J67/'Data Sheet'!J$66</f>
        <v>1.1945502777855924E-2</v>
      </c>
      <c r="K32" s="521">
        <f>'Data Sheet'!K67/'Data Sheet'!K$66</f>
        <v>1.0023710781521002E-2</v>
      </c>
    </row>
    <row r="33" spans="1:11" ht="18.75">
      <c r="A33" s="519" t="s">
        <v>40</v>
      </c>
      <c r="B33" s="520">
        <f>'Data Sheet'!B68/'Data Sheet'!B$66</f>
        <v>2.0100107445163658E-2</v>
      </c>
      <c r="C33" s="520">
        <f>'Data Sheet'!C68/'Data Sheet'!C$66</f>
        <v>4.9297473875679787E-2</v>
      </c>
      <c r="D33" s="520">
        <f>'Data Sheet'!D68/'Data Sheet'!D$66</f>
        <v>1.5178005940965007E-2</v>
      </c>
      <c r="E33" s="520">
        <f>'Data Sheet'!E68/'Data Sheet'!E$66</f>
        <v>1.5300827210604738E-2</v>
      </c>
      <c r="F33" s="520">
        <f>'Data Sheet'!F68/'Data Sheet'!F$66</f>
        <v>1.2327064475188538E-2</v>
      </c>
      <c r="G33" s="520">
        <f>'Data Sheet'!G68/'Data Sheet'!G$66</f>
        <v>8.6822364564252373E-3</v>
      </c>
      <c r="H33" s="520">
        <f>'Data Sheet'!H68/'Data Sheet'!H$66</f>
        <v>7.2455497314548823E-3</v>
      </c>
      <c r="I33" s="520">
        <f>'Data Sheet'!I68/'Data Sheet'!I$66</f>
        <v>1.4004917179488126E-2</v>
      </c>
      <c r="J33" s="520">
        <f>'Data Sheet'!J68/'Data Sheet'!J$66</f>
        <v>6.623211424982684E-3</v>
      </c>
      <c r="K33" s="521">
        <f>'Data Sheet'!K68/'Data Sheet'!K$66</f>
        <v>1.0304778916226538E-2</v>
      </c>
    </row>
    <row r="34" spans="1:11" ht="18.75">
      <c r="A34" s="519" t="s">
        <v>81</v>
      </c>
      <c r="B34" s="520">
        <f>'Data Sheet'!B69/'Data Sheet'!B$66</f>
        <v>0.24589218795041801</v>
      </c>
      <c r="C34" s="520">
        <f>'Data Sheet'!C69/'Data Sheet'!C$66</f>
        <v>0.35915140041204968</v>
      </c>
      <c r="D34" s="520">
        <f>'Data Sheet'!D69/'Data Sheet'!D$66</f>
        <v>0.13407312917584724</v>
      </c>
      <c r="E34" s="520">
        <f>'Data Sheet'!E69/'Data Sheet'!E$66</f>
        <v>0.26569730599941771</v>
      </c>
      <c r="F34" s="520">
        <f>'Data Sheet'!F69/'Data Sheet'!F$66</f>
        <v>0.34320425009702221</v>
      </c>
      <c r="G34" s="520">
        <f>'Data Sheet'!G69/'Data Sheet'!G$66</f>
        <v>0.22263426494106939</v>
      </c>
      <c r="H34" s="520">
        <f>'Data Sheet'!H69/'Data Sheet'!H$66</f>
        <v>0.11860886306567833</v>
      </c>
      <c r="I34" s="520">
        <f>'Data Sheet'!I69/'Data Sheet'!I$66</f>
        <v>0.18452159018336062</v>
      </c>
      <c r="J34" s="520">
        <f>'Data Sheet'!J69/'Data Sheet'!J$66</f>
        <v>0.28274064550270184</v>
      </c>
      <c r="K34" s="521">
        <f>'Data Sheet'!K69/'Data Sheet'!K$66</f>
        <v>0.29259761275253499</v>
      </c>
    </row>
    <row r="35" spans="1:11" ht="19.5" thickBot="1">
      <c r="A35" s="524"/>
      <c r="B35" s="525"/>
      <c r="C35" s="525"/>
      <c r="D35" s="525"/>
      <c r="E35" s="525"/>
      <c r="F35" s="525"/>
      <c r="G35" s="525"/>
      <c r="H35" s="525"/>
      <c r="I35" s="525"/>
      <c r="J35" s="525"/>
      <c r="K35" s="526"/>
    </row>
  </sheetData>
  <mergeCells count="3">
    <mergeCell ref="A1:K1"/>
    <mergeCell ref="A20:K20"/>
    <mergeCell ref="M2:Q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5AC69-F1A4-43D6-9E92-BD08207E36DB}">
  <dimension ref="A1:L61"/>
  <sheetViews>
    <sheetView topLeftCell="A51" workbookViewId="0">
      <selection activeCell="A61" sqref="A61"/>
    </sheetView>
  </sheetViews>
  <sheetFormatPr defaultRowHeight="15"/>
  <cols>
    <col min="1" max="1" width="40.140625" customWidth="1"/>
    <col min="2" max="3" width="15.28515625" customWidth="1"/>
    <col min="4" max="4" width="11.42578125" bestFit="1" customWidth="1"/>
    <col min="5" max="5" width="17.28515625" customWidth="1"/>
    <col min="6" max="10" width="11.42578125" bestFit="1" customWidth="1"/>
    <col min="11" max="11" width="11.85546875" bestFit="1" customWidth="1"/>
  </cols>
  <sheetData>
    <row r="1" spans="1:12" ht="21">
      <c r="A1" s="471" t="s">
        <v>480</v>
      </c>
    </row>
    <row r="3" spans="1:12" ht="18.75">
      <c r="A3" s="472" t="s">
        <v>481</v>
      </c>
      <c r="B3" s="472"/>
      <c r="C3" s="472"/>
      <c r="D3" s="472"/>
      <c r="E3" s="472"/>
    </row>
    <row r="4" spans="1:12" ht="18.75">
      <c r="A4" s="472" t="s">
        <v>63</v>
      </c>
      <c r="B4" s="472"/>
      <c r="C4" s="472"/>
      <c r="D4" s="472"/>
      <c r="E4" s="472"/>
    </row>
    <row r="5" spans="1:12" ht="18.75">
      <c r="A5" s="472" t="s">
        <v>62</v>
      </c>
      <c r="B5" s="472"/>
      <c r="C5" s="472"/>
      <c r="D5" s="472"/>
      <c r="E5" s="472"/>
    </row>
    <row r="6" spans="1:12" ht="18.75">
      <c r="A6" s="472" t="s">
        <v>60</v>
      </c>
      <c r="B6" s="472"/>
      <c r="C6" s="472"/>
      <c r="D6" s="472"/>
      <c r="E6" s="472"/>
    </row>
    <row r="9" spans="1:12" ht="18.75">
      <c r="A9" s="475"/>
      <c r="B9" s="473">
        <v>39538</v>
      </c>
      <c r="C9" s="473">
        <v>39903</v>
      </c>
      <c r="D9" s="473">
        <v>40268</v>
      </c>
      <c r="E9" s="473">
        <v>40633</v>
      </c>
      <c r="F9" s="473">
        <v>40999</v>
      </c>
      <c r="G9" s="473">
        <v>41364</v>
      </c>
      <c r="H9" s="473">
        <v>41729</v>
      </c>
      <c r="I9" s="473">
        <v>42094</v>
      </c>
      <c r="J9" s="473">
        <v>42460</v>
      </c>
      <c r="K9" s="474">
        <v>42825</v>
      </c>
    </row>
    <row r="10" spans="1:12" ht="18.75">
      <c r="A10" s="475" t="s">
        <v>482</v>
      </c>
      <c r="B10" s="475">
        <f>'Data Sheet'!B17</f>
        <v>216.28</v>
      </c>
      <c r="C10" s="475">
        <f>'Data Sheet'!C17</f>
        <v>1132.83</v>
      </c>
      <c r="D10" s="475">
        <f>'Data Sheet'!D17</f>
        <v>2605.48</v>
      </c>
      <c r="E10" s="475">
        <f>'Data Sheet'!E17</f>
        <v>3833.42</v>
      </c>
      <c r="F10" s="475">
        <f>'Data Sheet'!F17</f>
        <v>5564.66</v>
      </c>
      <c r="G10" s="475">
        <f>'Data Sheet'!G17</f>
        <v>9203.08</v>
      </c>
      <c r="H10" s="475">
        <f>'Data Sheet'!H17</f>
        <v>11116.58</v>
      </c>
      <c r="I10" s="475">
        <f>'Data Sheet'!I17</f>
        <v>13925.34</v>
      </c>
      <c r="J10" s="475">
        <f>'Data Sheet'!J17</f>
        <v>16139.91</v>
      </c>
      <c r="K10" s="475">
        <f>'Data Sheet'!K17</f>
        <v>18580.5</v>
      </c>
    </row>
    <row r="11" spans="1:12" ht="18.75">
      <c r="A11" s="475" t="s">
        <v>518</v>
      </c>
      <c r="B11" s="475">
        <f>'Profit &amp; Loss'!B59</f>
        <v>177.47</v>
      </c>
      <c r="C11" s="475">
        <f>'Profit &amp; Loss'!C59</f>
        <v>1080.18</v>
      </c>
      <c r="D11" s="475">
        <f>'Profit &amp; Loss'!D59</f>
        <v>488.50000000000006</v>
      </c>
      <c r="E11" s="475">
        <f>'Profit &amp; Loss'!E59</f>
        <v>539.6</v>
      </c>
      <c r="F11" s="475">
        <f>'Profit &amp; Loss'!F59</f>
        <v>-25.549999999999301</v>
      </c>
      <c r="G11" s="475">
        <f>'Profit &amp; Loss'!G59</f>
        <v>532.1200000000008</v>
      </c>
      <c r="H11" s="475">
        <f>'Profit &amp; Loss'!H59</f>
        <v>158.87999999999994</v>
      </c>
      <c r="I11" s="475">
        <f>'Profit &amp; Loss'!I59</f>
        <v>909.58999999999924</v>
      </c>
      <c r="J11" s="475">
        <f>'Profit &amp; Loss'!J59</f>
        <v>1471.0500000000002</v>
      </c>
      <c r="K11" s="475">
        <f>'Profit &amp; Loss'!K59</f>
        <v>870.13000000000022</v>
      </c>
    </row>
    <row r="12" spans="1:12" ht="18.75">
      <c r="A12" s="475" t="s">
        <v>483</v>
      </c>
      <c r="B12" s="476">
        <f>B11/B10</f>
        <v>0.82055668577769558</v>
      </c>
      <c r="C12" s="476">
        <f t="shared" ref="C12:K12" si="0">C11/C10</f>
        <v>0.95352347660284431</v>
      </c>
      <c r="D12" s="476">
        <f t="shared" si="0"/>
        <v>0.18748944532293477</v>
      </c>
      <c r="E12" s="476">
        <f t="shared" si="0"/>
        <v>0.1407620349452969</v>
      </c>
      <c r="F12" s="476">
        <f t="shared" si="0"/>
        <v>-4.5914754899669162E-3</v>
      </c>
      <c r="G12" s="476">
        <f t="shared" si="0"/>
        <v>5.7819773380216273E-2</v>
      </c>
      <c r="H12" s="476">
        <f t="shared" si="0"/>
        <v>1.429216539619199E-2</v>
      </c>
      <c r="I12" s="476">
        <f t="shared" si="0"/>
        <v>6.5319051455835136E-2</v>
      </c>
      <c r="J12" s="476">
        <f t="shared" si="0"/>
        <v>9.1143630912440043E-2</v>
      </c>
      <c r="K12" s="476">
        <f t="shared" si="0"/>
        <v>4.6830279055999582E-2</v>
      </c>
      <c r="L12" s="556">
        <f>AVERAGE(B12:K12)</f>
        <v>0.23731450673594878</v>
      </c>
    </row>
    <row r="13" spans="1:12" ht="18.75">
      <c r="A13" s="475" t="s">
        <v>484</v>
      </c>
      <c r="B13" s="475"/>
      <c r="C13" s="475"/>
      <c r="D13" s="475"/>
      <c r="E13" s="475"/>
      <c r="F13" s="475"/>
      <c r="G13" s="475"/>
      <c r="H13" s="475"/>
      <c r="I13" s="475"/>
      <c r="J13" s="475"/>
      <c r="K13" s="477">
        <v>26.65</v>
      </c>
    </row>
    <row r="14" spans="1:12" ht="18.75">
      <c r="A14" s="475" t="s">
        <v>485</v>
      </c>
      <c r="B14" s="475"/>
      <c r="C14" s="475"/>
      <c r="D14" s="475"/>
      <c r="E14" s="475"/>
      <c r="F14" s="475"/>
      <c r="G14" s="475"/>
      <c r="H14" s="475"/>
      <c r="I14" s="475"/>
      <c r="J14" s="475"/>
      <c r="K14" s="478">
        <f>K13/K11</f>
        <v>3.0627607369013817E-2</v>
      </c>
    </row>
    <row r="15" spans="1:12" s="406" customFormat="1" ht="18.75">
      <c r="A15" s="612" t="s">
        <v>546</v>
      </c>
      <c r="B15" s="612"/>
      <c r="C15" s="612"/>
      <c r="D15" s="612"/>
      <c r="E15" s="612"/>
      <c r="F15" s="612"/>
      <c r="G15" s="612"/>
      <c r="H15" s="612"/>
    </row>
    <row r="16" spans="1:12" ht="18.75">
      <c r="A16" s="479" t="s">
        <v>486</v>
      </c>
    </row>
    <row r="17" spans="1:9" ht="18.75">
      <c r="A17" s="479" t="s">
        <v>487</v>
      </c>
    </row>
    <row r="18" spans="1:9" ht="18.75">
      <c r="A18" s="479" t="s">
        <v>488</v>
      </c>
    </row>
    <row r="20" spans="1:9" ht="18.75">
      <c r="A20" s="479" t="s">
        <v>489</v>
      </c>
      <c r="B20" s="480"/>
      <c r="C20" s="480"/>
      <c r="D20" s="480"/>
      <c r="E20" s="480"/>
      <c r="G20" s="388" t="s">
        <v>490</v>
      </c>
      <c r="I20" s="388" t="s">
        <v>491</v>
      </c>
    </row>
    <row r="21" spans="1:9" ht="18.75">
      <c r="A21" s="479" t="s">
        <v>493</v>
      </c>
      <c r="B21" s="481"/>
      <c r="C21" s="481"/>
    </row>
    <row r="23" spans="1:9" ht="18.75">
      <c r="A23" s="472" t="s">
        <v>494</v>
      </c>
      <c r="B23" s="438"/>
      <c r="C23" s="438"/>
      <c r="D23" s="438"/>
      <c r="E23" s="438"/>
    </row>
    <row r="25" spans="1:9" ht="21">
      <c r="A25" s="482" t="s">
        <v>495</v>
      </c>
      <c r="B25" s="483" t="s">
        <v>496</v>
      </c>
    </row>
    <row r="27" spans="1:9" ht="63">
      <c r="A27" s="484" t="s">
        <v>497</v>
      </c>
    </row>
    <row r="29" spans="1:9" ht="42">
      <c r="A29" s="486" t="s">
        <v>500</v>
      </c>
      <c r="C29" s="487" t="s">
        <v>501</v>
      </c>
      <c r="E29" s="487" t="s">
        <v>502</v>
      </c>
    </row>
    <row r="31" spans="1:9" ht="63">
      <c r="A31" s="488" t="s">
        <v>503</v>
      </c>
    </row>
    <row r="33" spans="1:11" ht="37.5">
      <c r="A33" s="490" t="s">
        <v>504</v>
      </c>
    </row>
    <row r="35" spans="1:11" ht="63">
      <c r="A35" s="639" t="s">
        <v>547</v>
      </c>
      <c r="B35" s="407"/>
      <c r="C35" s="407"/>
    </row>
    <row r="37" spans="1:11" ht="37.5">
      <c r="A37" s="597" t="s">
        <v>548</v>
      </c>
    </row>
    <row r="39" spans="1:11" ht="56.25">
      <c r="A39" s="640" t="s">
        <v>549</v>
      </c>
      <c r="B39" s="640"/>
      <c r="C39" s="640" t="s">
        <v>550</v>
      </c>
      <c r="D39" s="640"/>
      <c r="E39" s="640" t="s">
        <v>551</v>
      </c>
      <c r="F39" s="640"/>
      <c r="G39" s="640"/>
    </row>
    <row r="41" spans="1:11" ht="42">
      <c r="A41" s="639" t="s">
        <v>552</v>
      </c>
    </row>
    <row r="43" spans="1:11" ht="84">
      <c r="A43" s="642" t="s">
        <v>554</v>
      </c>
    </row>
    <row r="45" spans="1:11" ht="18.75">
      <c r="A45" s="640" t="s">
        <v>553</v>
      </c>
    </row>
    <row r="47" spans="1:11" ht="21">
      <c r="A47" s="643" t="s">
        <v>555</v>
      </c>
    </row>
    <row r="48" spans="1:11" s="385" customFormat="1" ht="15.75">
      <c r="A48" s="644" t="s">
        <v>198</v>
      </c>
      <c r="B48" s="648">
        <v>39538</v>
      </c>
      <c r="C48" s="648">
        <v>39903</v>
      </c>
      <c r="D48" s="648">
        <v>40268</v>
      </c>
      <c r="E48" s="648">
        <v>40633</v>
      </c>
      <c r="F48" s="648">
        <v>40999</v>
      </c>
      <c r="G48" s="648">
        <v>41364</v>
      </c>
      <c r="H48" s="648">
        <v>41729</v>
      </c>
      <c r="I48" s="648">
        <v>42094</v>
      </c>
      <c r="J48" s="648">
        <v>42460</v>
      </c>
      <c r="K48" s="648">
        <v>42825</v>
      </c>
    </row>
    <row r="49" spans="1:11" ht="15.75">
      <c r="A49" s="644" t="s">
        <v>556</v>
      </c>
      <c r="B49">
        <f>'Data Sheet'!B67</f>
        <v>3.11</v>
      </c>
      <c r="C49">
        <f>'Data Sheet'!C67</f>
        <v>5.78</v>
      </c>
      <c r="D49">
        <f>'Data Sheet'!D67</f>
        <v>18.05</v>
      </c>
      <c r="E49">
        <f>'Data Sheet'!E67</f>
        <v>16.66</v>
      </c>
      <c r="F49">
        <f>'Data Sheet'!F67</f>
        <v>38.92</v>
      </c>
      <c r="G49">
        <f>'Data Sheet'!G67</f>
        <v>68.52</v>
      </c>
      <c r="H49">
        <f>'Data Sheet'!H67</f>
        <v>89.12</v>
      </c>
      <c r="I49">
        <f>'Data Sheet'!I67</f>
        <v>104.55</v>
      </c>
      <c r="J49">
        <f>'Data Sheet'!J67</f>
        <v>157.11000000000001</v>
      </c>
      <c r="K49">
        <f>'Data Sheet'!K67</f>
        <v>158.69999999999999</v>
      </c>
    </row>
    <row r="50" spans="1:11" s="646" customFormat="1" ht="15.75">
      <c r="A50" s="645" t="s">
        <v>557</v>
      </c>
      <c r="C50" s="647">
        <f>(C49-B49)/B49</f>
        <v>0.8585209003215436</v>
      </c>
      <c r="D50" s="647">
        <f t="shared" ref="D50:K50" si="1">(D49-C49)/C49</f>
        <v>2.1228373702422143</v>
      </c>
      <c r="E50" s="647">
        <f t="shared" si="1"/>
        <v>-7.7008310249307502E-2</v>
      </c>
      <c r="F50" s="647">
        <f t="shared" si="1"/>
        <v>1.3361344537815127</v>
      </c>
      <c r="G50" s="647">
        <f t="shared" si="1"/>
        <v>0.76053442959917761</v>
      </c>
      <c r="H50" s="647">
        <f t="shared" si="1"/>
        <v>0.30064214827787522</v>
      </c>
      <c r="I50" s="647">
        <f t="shared" si="1"/>
        <v>0.17313734290843796</v>
      </c>
      <c r="J50" s="647">
        <f t="shared" si="1"/>
        <v>0.50272596843615514</v>
      </c>
      <c r="K50" s="647">
        <f t="shared" si="1"/>
        <v>1.0120297880465756E-2</v>
      </c>
    </row>
    <row r="51" spans="1:11" ht="15.75">
      <c r="A51" s="644" t="s">
        <v>482</v>
      </c>
      <c r="B51">
        <f>'Profit &amp; Loss'!B4</f>
        <v>216.28</v>
      </c>
      <c r="C51">
        <f>'Profit &amp; Loss'!C4</f>
        <v>1132.83</v>
      </c>
      <c r="D51">
        <f>'Profit &amp; Loss'!D4</f>
        <v>2605.48</v>
      </c>
      <c r="E51">
        <f>'Profit &amp; Loss'!E4</f>
        <v>3833.42</v>
      </c>
      <c r="F51">
        <f>'Profit &amp; Loss'!F4</f>
        <v>5564.66</v>
      </c>
      <c r="G51">
        <f>'Profit &amp; Loss'!G4</f>
        <v>9203.08</v>
      </c>
      <c r="H51">
        <f>'Profit &amp; Loss'!H4</f>
        <v>11116.58</v>
      </c>
      <c r="I51">
        <f>'Profit &amp; Loss'!I4</f>
        <v>13925.34</v>
      </c>
      <c r="J51">
        <f>'Profit &amp; Loss'!J4</f>
        <v>16139.91</v>
      </c>
      <c r="K51">
        <f>'Profit &amp; Loss'!K4</f>
        <v>18580.5</v>
      </c>
    </row>
    <row r="52" spans="1:11" s="646" customFormat="1" ht="15.75">
      <c r="A52" s="645" t="s">
        <v>557</v>
      </c>
      <c r="B52" s="647">
        <f>'Profit &amp; Loss'!B5</f>
        <v>0</v>
      </c>
      <c r="C52" s="647">
        <f>'Profit &amp; Loss'!C5</f>
        <v>4.2377936008877377</v>
      </c>
      <c r="D52" s="647">
        <f>'Profit &amp; Loss'!D5</f>
        <v>1.2999744003954699</v>
      </c>
      <c r="E52" s="647">
        <f>'Profit &amp; Loss'!E5</f>
        <v>0.47129127838248608</v>
      </c>
      <c r="F52" s="647">
        <f>'Profit &amp; Loss'!F5</f>
        <v>0.45161761560173419</v>
      </c>
      <c r="G52" s="647">
        <f>'Profit &amp; Loss'!G5</f>
        <v>0.65384408032116981</v>
      </c>
      <c r="H52" s="647">
        <f>'Profit &amp; Loss'!H5</f>
        <v>0.20791952259460955</v>
      </c>
      <c r="I52" s="647">
        <f>'Profit &amp; Loss'!I5</f>
        <v>0.25266403876012222</v>
      </c>
      <c r="J52" s="647">
        <f>'Profit &amp; Loss'!J5</f>
        <v>0.15903166457695117</v>
      </c>
      <c r="K52" s="647">
        <f>'Profit &amp; Loss'!K5</f>
        <v>0.1512145978509174</v>
      </c>
    </row>
    <row r="53" spans="1:11" ht="15.75">
      <c r="A53" s="644" t="s">
        <v>329</v>
      </c>
      <c r="B53">
        <f>'Data Sheet'!B68</f>
        <v>7.67</v>
      </c>
      <c r="C53">
        <f>'Data Sheet'!C68</f>
        <v>26.56</v>
      </c>
      <c r="D53">
        <f>'Data Sheet'!D68</f>
        <v>34.03</v>
      </c>
      <c r="E53">
        <f>'Data Sheet'!E68</f>
        <v>44.67</v>
      </c>
      <c r="F53">
        <f>'Data Sheet'!F68</f>
        <v>47.01</v>
      </c>
      <c r="G53">
        <f>'Data Sheet'!G68</f>
        <v>52.28</v>
      </c>
      <c r="H53">
        <f>'Data Sheet'!H68</f>
        <v>67.290000000000006</v>
      </c>
      <c r="I53">
        <f>'Data Sheet'!I68</f>
        <v>151.75</v>
      </c>
      <c r="J53">
        <f>'Data Sheet'!J68</f>
        <v>87.11</v>
      </c>
      <c r="K53">
        <f>'Data Sheet'!K68</f>
        <v>163.15</v>
      </c>
    </row>
    <row r="54" spans="1:11" s="646" customFormat="1" ht="15.75">
      <c r="A54" s="645" t="s">
        <v>557</v>
      </c>
      <c r="C54" s="647">
        <f>(C53-B53)/B53</f>
        <v>2.4628422425032594</v>
      </c>
      <c r="D54" s="647">
        <f t="shared" ref="D54:K54" si="2">(D53-C53)/C53</f>
        <v>0.28125000000000011</v>
      </c>
      <c r="E54" s="647">
        <f t="shared" si="2"/>
        <v>0.31266529532765208</v>
      </c>
      <c r="F54" s="647">
        <f t="shared" si="2"/>
        <v>5.23841504365345E-2</v>
      </c>
      <c r="G54" s="647">
        <f t="shared" si="2"/>
        <v>0.11210380770048933</v>
      </c>
      <c r="H54" s="647">
        <f t="shared" si="2"/>
        <v>0.28710788064269327</v>
      </c>
      <c r="I54" s="647">
        <f t="shared" si="2"/>
        <v>1.25516421459355</v>
      </c>
      <c r="J54" s="647">
        <f t="shared" si="2"/>
        <v>-0.4259637561779242</v>
      </c>
      <c r="K54" s="647">
        <f t="shared" si="2"/>
        <v>0.87291929744001839</v>
      </c>
    </row>
    <row r="59" spans="1:11" ht="56.25">
      <c r="A59" s="640" t="s">
        <v>558</v>
      </c>
    </row>
    <row r="61" spans="1:11" ht="63">
      <c r="A61" s="639" t="s">
        <v>559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F1DB-0E6A-490D-8734-CFE414A8FB66}">
  <dimension ref="A1:K40"/>
  <sheetViews>
    <sheetView workbookViewId="0">
      <selection activeCell="C8" sqref="C8"/>
    </sheetView>
  </sheetViews>
  <sheetFormatPr defaultRowHeight="15"/>
  <cols>
    <col min="1" max="1" width="19.28515625" customWidth="1"/>
    <col min="2" max="2" width="18.42578125" customWidth="1"/>
    <col min="3" max="3" width="13.85546875" customWidth="1"/>
    <col min="4" max="4" width="24" customWidth="1"/>
    <col min="8" max="8" width="18.42578125" customWidth="1"/>
  </cols>
  <sheetData>
    <row r="1" spans="1:11" ht="28.5">
      <c r="A1" s="389" t="s">
        <v>369</v>
      </c>
    </row>
    <row r="2" spans="1:11" ht="56.25">
      <c r="A2" s="451" t="s">
        <v>323</v>
      </c>
      <c r="B2" s="451" t="s">
        <v>370</v>
      </c>
      <c r="C2" s="451" t="s">
        <v>325</v>
      </c>
      <c r="D2" s="452" t="s">
        <v>371</v>
      </c>
      <c r="E2" s="452" t="s">
        <v>372</v>
      </c>
      <c r="F2" s="452" t="s">
        <v>373</v>
      </c>
    </row>
    <row r="3" spans="1:11" ht="18.75">
      <c r="A3" s="453">
        <v>1</v>
      </c>
      <c r="B3" s="453" t="s">
        <v>374</v>
      </c>
      <c r="C3" s="458">
        <f>1/C11</f>
        <v>4.8367621098623498E-2</v>
      </c>
      <c r="D3" s="454">
        <v>0.1</v>
      </c>
      <c r="E3" s="453">
        <v>2</v>
      </c>
      <c r="F3" s="453"/>
      <c r="J3" t="s">
        <v>87</v>
      </c>
      <c r="K3">
        <f>'DuPont Model X 5'!C20+'DuPont Model X 5'!E20</f>
        <v>3007.1699999999987</v>
      </c>
    </row>
    <row r="4" spans="1:11" ht="18.75">
      <c r="A4" s="453">
        <v>2</v>
      </c>
      <c r="B4" s="453" t="s">
        <v>375</v>
      </c>
      <c r="C4" s="453">
        <v>1.67</v>
      </c>
      <c r="D4" s="453">
        <v>2</v>
      </c>
      <c r="E4" s="453">
        <v>1</v>
      </c>
      <c r="F4" s="453"/>
      <c r="J4" t="s">
        <v>380</v>
      </c>
      <c r="K4" s="388">
        <v>9113</v>
      </c>
    </row>
    <row r="5" spans="1:11" ht="18.75">
      <c r="A5" s="453">
        <v>3</v>
      </c>
      <c r="B5" s="453" t="s">
        <v>376</v>
      </c>
      <c r="C5" s="453">
        <f>C12/'Profit &amp; Loss'!L4</f>
        <v>2.0138482977192877</v>
      </c>
      <c r="D5" s="453">
        <v>0.8</v>
      </c>
      <c r="E5" s="453">
        <v>1</v>
      </c>
      <c r="F5" s="453"/>
    </row>
    <row r="6" spans="1:11" ht="18.75">
      <c r="A6" s="453">
        <v>4</v>
      </c>
      <c r="B6" s="453" t="s">
        <v>377</v>
      </c>
      <c r="C6" s="453">
        <f>C12/'Cash Flow'!K4</f>
        <v>12.257985706240232</v>
      </c>
      <c r="D6" s="453">
        <v>10</v>
      </c>
      <c r="E6" s="453">
        <v>3</v>
      </c>
      <c r="F6" s="453"/>
      <c r="G6" s="595" t="s">
        <v>531</v>
      </c>
      <c r="H6" s="596">
        <f>'Cash Flow'!K11/'Data Sheet'!B9</f>
        <v>7.6463053940677178E-2</v>
      </c>
    </row>
    <row r="7" spans="1:11" ht="18.75">
      <c r="A7" s="453">
        <v>5</v>
      </c>
      <c r="B7" s="453" t="s">
        <v>378</v>
      </c>
      <c r="C7" s="453">
        <f>'Intrinsic Values'!B7/'Data Sheet'!B9</f>
        <v>1.2029600602902983</v>
      </c>
      <c r="D7" s="453">
        <v>60</v>
      </c>
      <c r="E7" s="453">
        <v>3</v>
      </c>
      <c r="F7" s="453"/>
    </row>
    <row r="8" spans="1:11" ht="37.5">
      <c r="A8" s="457">
        <v>6</v>
      </c>
      <c r="B8" s="455" t="s">
        <v>379</v>
      </c>
      <c r="C8" s="456">
        <f>'Intrinsic Values'!B6/'Data Sheet'!B6</f>
        <v>1017.1482689089128</v>
      </c>
      <c r="D8" s="453"/>
      <c r="E8" s="453"/>
      <c r="F8" s="453"/>
    </row>
    <row r="9" spans="1:11" ht="18.75">
      <c r="A9" s="453">
        <v>7</v>
      </c>
      <c r="B9" s="453" t="s">
        <v>331</v>
      </c>
      <c r="C9" s="453">
        <f>NNWC!C7</f>
        <v>2236.9599999999996</v>
      </c>
      <c r="D9" s="453"/>
      <c r="E9" s="453"/>
      <c r="F9" s="453"/>
    </row>
    <row r="10" spans="1:11" ht="18.75">
      <c r="A10" s="453">
        <v>8</v>
      </c>
      <c r="B10" s="453" t="s">
        <v>382</v>
      </c>
      <c r="C10" s="453">
        <v>5000</v>
      </c>
      <c r="D10" s="453"/>
      <c r="E10" s="453"/>
      <c r="F10" s="453"/>
    </row>
    <row r="11" spans="1:11" ht="56.25">
      <c r="A11" s="453"/>
      <c r="B11" s="592" t="s">
        <v>529</v>
      </c>
      <c r="C11" s="593">
        <f>Summary!B23</f>
        <v>20.674988293531335</v>
      </c>
      <c r="D11" s="453"/>
      <c r="E11" s="453"/>
      <c r="F11" s="453"/>
      <c r="H11" s="388" t="s">
        <v>471</v>
      </c>
      <c r="I11" s="388"/>
    </row>
    <row r="12" spans="1:11" ht="18.75">
      <c r="A12" s="453">
        <v>9</v>
      </c>
      <c r="B12" s="593" t="s">
        <v>200</v>
      </c>
      <c r="C12" s="453">
        <f>'Data Sheet'!B9</f>
        <v>46360.56</v>
      </c>
      <c r="D12" s="453"/>
      <c r="E12" s="453"/>
      <c r="F12" s="453"/>
      <c r="H12" s="463" t="s">
        <v>473</v>
      </c>
      <c r="I12" s="463">
        <f>'Profit &amp; Loss'!M70</f>
        <v>20.890652176336349</v>
      </c>
    </row>
    <row r="13" spans="1:11" ht="18.75">
      <c r="H13" s="463" t="s">
        <v>475</v>
      </c>
      <c r="I13" s="463">
        <f>'Profit &amp; Loss'!K72</f>
        <v>-1.4426809816524702</v>
      </c>
    </row>
    <row r="14" spans="1:11" ht="21">
      <c r="A14" s="464" t="s">
        <v>412</v>
      </c>
      <c r="B14" s="464"/>
      <c r="C14" s="464"/>
      <c r="D14" s="464"/>
      <c r="E14" s="464"/>
      <c r="F14" s="464"/>
      <c r="G14" s="464"/>
    </row>
    <row r="15" spans="1:11" ht="21">
      <c r="A15" s="465"/>
      <c r="B15" s="464"/>
      <c r="C15" s="464"/>
      <c r="D15" s="464"/>
      <c r="E15" s="464"/>
      <c r="F15" s="464"/>
      <c r="G15" s="464"/>
    </row>
    <row r="16" spans="1:11" ht="21">
      <c r="A16" s="464" t="s">
        <v>401</v>
      </c>
      <c r="B16" s="464"/>
      <c r="C16" s="464"/>
      <c r="D16" s="464"/>
      <c r="E16" s="464" t="s">
        <v>402</v>
      </c>
      <c r="F16" s="464"/>
      <c r="G16" s="464"/>
    </row>
    <row r="17" spans="1:7" ht="21">
      <c r="A17" s="464"/>
      <c r="B17" s="464"/>
      <c r="C17" s="464"/>
      <c r="D17" s="466"/>
      <c r="E17" s="466"/>
      <c r="F17" s="466"/>
      <c r="G17" s="464"/>
    </row>
    <row r="18" spans="1:7" ht="21">
      <c r="A18" s="464" t="s">
        <v>403</v>
      </c>
      <c r="B18" s="464"/>
      <c r="C18" s="464"/>
      <c r="D18" s="464"/>
      <c r="E18" s="464"/>
      <c r="F18" s="464"/>
      <c r="G18" s="464"/>
    </row>
    <row r="19" spans="1:7" ht="21">
      <c r="A19" s="464"/>
      <c r="B19" s="464"/>
      <c r="C19" s="464"/>
      <c r="D19" s="464"/>
      <c r="E19" s="464"/>
      <c r="F19" s="464"/>
      <c r="G19" s="464"/>
    </row>
    <row r="20" spans="1:7" ht="21">
      <c r="A20" s="464" t="s">
        <v>404</v>
      </c>
      <c r="B20" s="464"/>
      <c r="C20" s="464"/>
      <c r="D20" s="464"/>
      <c r="E20" s="464"/>
      <c r="F20" s="464"/>
      <c r="G20" s="464"/>
    </row>
    <row r="21" spans="1:7" ht="21">
      <c r="A21" s="464"/>
      <c r="B21" s="464"/>
      <c r="C21" s="464"/>
      <c r="D21" s="467"/>
      <c r="E21" s="464"/>
      <c r="F21" s="464"/>
      <c r="G21" s="464"/>
    </row>
    <row r="22" spans="1:7" ht="21">
      <c r="A22" s="464" t="s">
        <v>405</v>
      </c>
      <c r="B22" s="464"/>
      <c r="C22" s="464"/>
      <c r="D22" s="464"/>
      <c r="E22" s="464"/>
      <c r="F22" s="464"/>
      <c r="G22" s="464"/>
    </row>
    <row r="23" spans="1:7" ht="21">
      <c r="A23" s="464"/>
      <c r="B23" s="464"/>
      <c r="C23" s="464"/>
      <c r="D23" s="464"/>
      <c r="E23" s="464"/>
      <c r="F23" s="464"/>
      <c r="G23" s="464"/>
    </row>
    <row r="24" spans="1:7" ht="21">
      <c r="A24" s="464" t="s">
        <v>406</v>
      </c>
      <c r="B24" s="464"/>
      <c r="C24" s="464"/>
      <c r="D24" s="464"/>
      <c r="E24" s="464"/>
      <c r="F24" s="464"/>
      <c r="G24" s="464"/>
    </row>
    <row r="26" spans="1:7">
      <c r="A26" s="385"/>
      <c r="B26" s="385"/>
      <c r="C26" s="385"/>
      <c r="D26" s="386"/>
      <c r="E26" s="386"/>
      <c r="F26" s="386"/>
    </row>
    <row r="27" spans="1:7">
      <c r="B27" s="291"/>
      <c r="C27" s="388"/>
    </row>
    <row r="28" spans="1:7">
      <c r="C28" s="390"/>
    </row>
    <row r="29" spans="1:7">
      <c r="C29" s="388"/>
    </row>
    <row r="30" spans="1:7">
      <c r="B30" s="291"/>
    </row>
    <row r="31" spans="1:7">
      <c r="B31" s="291"/>
      <c r="C31" s="388"/>
    </row>
    <row r="32" spans="1:7" ht="31.5">
      <c r="A32" s="392"/>
    </row>
    <row r="35" spans="1:6">
      <c r="A35" s="385"/>
      <c r="B35" s="385"/>
      <c r="C35" s="385"/>
      <c r="D35" s="386"/>
      <c r="E35" s="386"/>
      <c r="F35" s="386"/>
    </row>
    <row r="36" spans="1:6">
      <c r="C36" s="388"/>
    </row>
    <row r="37" spans="1:6">
      <c r="B37" s="291"/>
      <c r="C37" s="388"/>
    </row>
    <row r="38" spans="1:6">
      <c r="B38" s="291"/>
    </row>
    <row r="39" spans="1:6">
      <c r="C39" s="388"/>
    </row>
    <row r="40" spans="1:6">
      <c r="B40" s="29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E7281-F7AE-42C7-A859-C5349551870F}">
  <dimension ref="A1:M122"/>
  <sheetViews>
    <sheetView showGridLines="0" showZeros="0" topLeftCell="A52" workbookViewId="0">
      <selection activeCell="D23" sqref="D23"/>
    </sheetView>
  </sheetViews>
  <sheetFormatPr defaultColWidth="12.42578125" defaultRowHeight="12.75"/>
  <cols>
    <col min="1" max="1" width="2.7109375" style="666" customWidth="1"/>
    <col min="2" max="256" width="12.42578125" style="666"/>
    <col min="257" max="257" width="2.7109375" style="666" customWidth="1"/>
    <col min="258" max="512" width="12.42578125" style="666"/>
    <col min="513" max="513" width="2.7109375" style="666" customWidth="1"/>
    <col min="514" max="768" width="12.42578125" style="666"/>
    <col min="769" max="769" width="2.7109375" style="666" customWidth="1"/>
    <col min="770" max="1024" width="12.42578125" style="666"/>
    <col min="1025" max="1025" width="2.7109375" style="666" customWidth="1"/>
    <col min="1026" max="1280" width="12.42578125" style="666"/>
    <col min="1281" max="1281" width="2.7109375" style="666" customWidth="1"/>
    <col min="1282" max="1536" width="12.42578125" style="666"/>
    <col min="1537" max="1537" width="2.7109375" style="666" customWidth="1"/>
    <col min="1538" max="1792" width="12.42578125" style="666"/>
    <col min="1793" max="1793" width="2.7109375" style="666" customWidth="1"/>
    <col min="1794" max="2048" width="12.42578125" style="666"/>
    <col min="2049" max="2049" width="2.7109375" style="666" customWidth="1"/>
    <col min="2050" max="2304" width="12.42578125" style="666"/>
    <col min="2305" max="2305" width="2.7109375" style="666" customWidth="1"/>
    <col min="2306" max="2560" width="12.42578125" style="666"/>
    <col min="2561" max="2561" width="2.7109375" style="666" customWidth="1"/>
    <col min="2562" max="2816" width="12.42578125" style="666"/>
    <col min="2817" max="2817" width="2.7109375" style="666" customWidth="1"/>
    <col min="2818" max="3072" width="12.42578125" style="666"/>
    <col min="3073" max="3073" width="2.7109375" style="666" customWidth="1"/>
    <col min="3074" max="3328" width="12.42578125" style="666"/>
    <col min="3329" max="3329" width="2.7109375" style="666" customWidth="1"/>
    <col min="3330" max="3584" width="12.42578125" style="666"/>
    <col min="3585" max="3585" width="2.7109375" style="666" customWidth="1"/>
    <col min="3586" max="3840" width="12.42578125" style="666"/>
    <col min="3841" max="3841" width="2.7109375" style="666" customWidth="1"/>
    <col min="3842" max="4096" width="12.42578125" style="666"/>
    <col min="4097" max="4097" width="2.7109375" style="666" customWidth="1"/>
    <col min="4098" max="4352" width="12.42578125" style="666"/>
    <col min="4353" max="4353" width="2.7109375" style="666" customWidth="1"/>
    <col min="4354" max="4608" width="12.42578125" style="666"/>
    <col min="4609" max="4609" width="2.7109375" style="666" customWidth="1"/>
    <col min="4610" max="4864" width="12.42578125" style="666"/>
    <col min="4865" max="4865" width="2.7109375" style="666" customWidth="1"/>
    <col min="4866" max="5120" width="12.42578125" style="666"/>
    <col min="5121" max="5121" width="2.7109375" style="666" customWidth="1"/>
    <col min="5122" max="5376" width="12.42578125" style="666"/>
    <col min="5377" max="5377" width="2.7109375" style="666" customWidth="1"/>
    <col min="5378" max="5632" width="12.42578125" style="666"/>
    <col min="5633" max="5633" width="2.7109375" style="666" customWidth="1"/>
    <col min="5634" max="5888" width="12.42578125" style="666"/>
    <col min="5889" max="5889" width="2.7109375" style="666" customWidth="1"/>
    <col min="5890" max="6144" width="12.42578125" style="666"/>
    <col min="6145" max="6145" width="2.7109375" style="666" customWidth="1"/>
    <col min="6146" max="6400" width="12.42578125" style="666"/>
    <col min="6401" max="6401" width="2.7109375" style="666" customWidth="1"/>
    <col min="6402" max="6656" width="12.42578125" style="666"/>
    <col min="6657" max="6657" width="2.7109375" style="666" customWidth="1"/>
    <col min="6658" max="6912" width="12.42578125" style="666"/>
    <col min="6913" max="6913" width="2.7109375" style="666" customWidth="1"/>
    <col min="6914" max="7168" width="12.42578125" style="666"/>
    <col min="7169" max="7169" width="2.7109375" style="666" customWidth="1"/>
    <col min="7170" max="7424" width="12.42578125" style="666"/>
    <col min="7425" max="7425" width="2.7109375" style="666" customWidth="1"/>
    <col min="7426" max="7680" width="12.42578125" style="666"/>
    <col min="7681" max="7681" width="2.7109375" style="666" customWidth="1"/>
    <col min="7682" max="7936" width="12.42578125" style="666"/>
    <col min="7937" max="7937" width="2.7109375" style="666" customWidth="1"/>
    <col min="7938" max="8192" width="12.42578125" style="666"/>
    <col min="8193" max="8193" width="2.7109375" style="666" customWidth="1"/>
    <col min="8194" max="8448" width="12.42578125" style="666"/>
    <col min="8449" max="8449" width="2.7109375" style="666" customWidth="1"/>
    <col min="8450" max="8704" width="12.42578125" style="666"/>
    <col min="8705" max="8705" width="2.7109375" style="666" customWidth="1"/>
    <col min="8706" max="8960" width="12.42578125" style="666"/>
    <col min="8961" max="8961" width="2.7109375" style="666" customWidth="1"/>
    <col min="8962" max="9216" width="12.42578125" style="666"/>
    <col min="9217" max="9217" width="2.7109375" style="666" customWidth="1"/>
    <col min="9218" max="9472" width="12.42578125" style="666"/>
    <col min="9473" max="9473" width="2.7109375" style="666" customWidth="1"/>
    <col min="9474" max="9728" width="12.42578125" style="666"/>
    <col min="9729" max="9729" width="2.7109375" style="666" customWidth="1"/>
    <col min="9730" max="9984" width="12.42578125" style="666"/>
    <col min="9985" max="9985" width="2.7109375" style="666" customWidth="1"/>
    <col min="9986" max="10240" width="12.42578125" style="666"/>
    <col min="10241" max="10241" width="2.7109375" style="666" customWidth="1"/>
    <col min="10242" max="10496" width="12.42578125" style="666"/>
    <col min="10497" max="10497" width="2.7109375" style="666" customWidth="1"/>
    <col min="10498" max="10752" width="12.42578125" style="666"/>
    <col min="10753" max="10753" width="2.7109375" style="666" customWidth="1"/>
    <col min="10754" max="11008" width="12.42578125" style="666"/>
    <col min="11009" max="11009" width="2.7109375" style="666" customWidth="1"/>
    <col min="11010" max="11264" width="12.42578125" style="666"/>
    <col min="11265" max="11265" width="2.7109375" style="666" customWidth="1"/>
    <col min="11266" max="11520" width="12.42578125" style="666"/>
    <col min="11521" max="11521" width="2.7109375" style="666" customWidth="1"/>
    <col min="11522" max="11776" width="12.42578125" style="666"/>
    <col min="11777" max="11777" width="2.7109375" style="666" customWidth="1"/>
    <col min="11778" max="12032" width="12.42578125" style="666"/>
    <col min="12033" max="12033" width="2.7109375" style="666" customWidth="1"/>
    <col min="12034" max="12288" width="12.42578125" style="666"/>
    <col min="12289" max="12289" width="2.7109375" style="666" customWidth="1"/>
    <col min="12290" max="12544" width="12.42578125" style="666"/>
    <col min="12545" max="12545" width="2.7109375" style="666" customWidth="1"/>
    <col min="12546" max="12800" width="12.42578125" style="666"/>
    <col min="12801" max="12801" width="2.7109375" style="666" customWidth="1"/>
    <col min="12802" max="13056" width="12.42578125" style="666"/>
    <col min="13057" max="13057" width="2.7109375" style="666" customWidth="1"/>
    <col min="13058" max="13312" width="12.42578125" style="666"/>
    <col min="13313" max="13313" width="2.7109375" style="666" customWidth="1"/>
    <col min="13314" max="13568" width="12.42578125" style="666"/>
    <col min="13569" max="13569" width="2.7109375" style="666" customWidth="1"/>
    <col min="13570" max="13824" width="12.42578125" style="666"/>
    <col min="13825" max="13825" width="2.7109375" style="666" customWidth="1"/>
    <col min="13826" max="14080" width="12.42578125" style="666"/>
    <col min="14081" max="14081" width="2.7109375" style="666" customWidth="1"/>
    <col min="14082" max="14336" width="12.42578125" style="666"/>
    <col min="14337" max="14337" width="2.7109375" style="666" customWidth="1"/>
    <col min="14338" max="14592" width="12.42578125" style="666"/>
    <col min="14593" max="14593" width="2.7109375" style="666" customWidth="1"/>
    <col min="14594" max="14848" width="12.42578125" style="666"/>
    <col min="14849" max="14849" width="2.7109375" style="666" customWidth="1"/>
    <col min="14850" max="15104" width="12.42578125" style="666"/>
    <col min="15105" max="15105" width="2.7109375" style="666" customWidth="1"/>
    <col min="15106" max="15360" width="12.42578125" style="666"/>
    <col min="15361" max="15361" width="2.7109375" style="666" customWidth="1"/>
    <col min="15362" max="15616" width="12.42578125" style="666"/>
    <col min="15617" max="15617" width="2.7109375" style="666" customWidth="1"/>
    <col min="15618" max="15872" width="12.42578125" style="666"/>
    <col min="15873" max="15873" width="2.7109375" style="666" customWidth="1"/>
    <col min="15874" max="16128" width="12.42578125" style="666"/>
    <col min="16129" max="16129" width="2.7109375" style="666" customWidth="1"/>
    <col min="16130" max="16384" width="12.42578125" style="666"/>
  </cols>
  <sheetData>
    <row r="1" spans="2:9" ht="20.100000000000001" customHeight="1">
      <c r="B1" s="664" t="s">
        <v>569</v>
      </c>
      <c r="C1" s="665"/>
      <c r="D1" s="665"/>
      <c r="E1" s="665"/>
      <c r="F1" s="665"/>
      <c r="G1" s="665"/>
      <c r="H1" s="665"/>
      <c r="I1" s="665"/>
    </row>
    <row r="2" spans="2:9" ht="20.100000000000001" customHeight="1" thickBot="1">
      <c r="B2" s="664"/>
      <c r="C2" s="665"/>
      <c r="D2" s="665"/>
      <c r="E2" s="665"/>
      <c r="F2" s="665"/>
      <c r="G2" s="665"/>
      <c r="H2" s="665"/>
      <c r="I2" s="665"/>
    </row>
    <row r="3" spans="2:9" ht="20.100000000000001" customHeight="1">
      <c r="B3" s="667" t="s">
        <v>570</v>
      </c>
      <c r="C3" s="668"/>
      <c r="D3" s="668"/>
      <c r="E3" s="668"/>
      <c r="F3" s="668"/>
      <c r="G3" s="669"/>
    </row>
    <row r="4" spans="2:9" ht="20.100000000000001" customHeight="1">
      <c r="B4" s="670" t="s">
        <v>571</v>
      </c>
      <c r="C4" s="671"/>
      <c r="D4" s="671"/>
      <c r="E4" s="671"/>
      <c r="F4" s="671"/>
      <c r="G4" s="672"/>
    </row>
    <row r="5" spans="2:9" ht="20.100000000000001" customHeight="1" thickBot="1">
      <c r="B5" s="673" t="s">
        <v>572</v>
      </c>
      <c r="C5" s="674"/>
      <c r="D5" s="674"/>
      <c r="E5" s="674"/>
      <c r="F5" s="674"/>
      <c r="G5" s="675"/>
    </row>
    <row r="6" spans="2:9" s="677" customFormat="1" ht="20.100000000000001" customHeight="1">
      <c r="B6" s="676"/>
    </row>
    <row r="7" spans="2:9" s="677" customFormat="1" ht="20.100000000000001" customHeight="1">
      <c r="B7" s="678"/>
    </row>
    <row r="8" spans="2:9" s="677" customFormat="1" ht="20.100000000000001" customHeight="1">
      <c r="B8" s="678" t="s">
        <v>573</v>
      </c>
    </row>
    <row r="9" spans="2:9" s="677" customFormat="1" ht="20.100000000000001" customHeight="1">
      <c r="B9" s="677" t="s">
        <v>574</v>
      </c>
    </row>
    <row r="10" spans="2:9" s="677" customFormat="1" ht="20.100000000000001" customHeight="1">
      <c r="B10" s="677" t="s">
        <v>575</v>
      </c>
    </row>
    <row r="11" spans="2:9" s="677" customFormat="1" ht="20.100000000000001" customHeight="1">
      <c r="B11" s="677" t="s">
        <v>576</v>
      </c>
    </row>
    <row r="12" spans="2:9" s="677" customFormat="1" ht="20.100000000000001" customHeight="1">
      <c r="B12" s="677" t="s">
        <v>577</v>
      </c>
    </row>
    <row r="13" spans="2:9" s="677" customFormat="1" ht="20.100000000000001" customHeight="1"/>
    <row r="14" spans="2:9" s="677" customFormat="1" ht="20.100000000000001" customHeight="1">
      <c r="B14" s="678" t="s">
        <v>578</v>
      </c>
    </row>
    <row r="15" spans="2:9" s="677" customFormat="1" ht="20.100000000000001" customHeight="1">
      <c r="B15" s="677" t="s">
        <v>579</v>
      </c>
    </row>
    <row r="16" spans="2:9" s="677" customFormat="1" ht="20.100000000000001" customHeight="1">
      <c r="B16" s="677" t="s">
        <v>580</v>
      </c>
    </row>
    <row r="17" spans="1:9" s="677" customFormat="1" ht="20.100000000000001" customHeight="1">
      <c r="B17" s="677" t="s">
        <v>581</v>
      </c>
    </row>
    <row r="18" spans="1:9" s="677" customFormat="1" ht="20.100000000000001" customHeight="1">
      <c r="B18" s="677" t="s">
        <v>582</v>
      </c>
    </row>
    <row r="19" spans="1:9" s="677" customFormat="1" ht="20.100000000000001" customHeight="1"/>
    <row r="20" spans="1:9" s="677" customFormat="1" ht="20.100000000000001" customHeight="1"/>
    <row r="21" spans="1:9" s="677" customFormat="1" ht="20.100000000000001" customHeight="1">
      <c r="A21" s="679"/>
      <c r="B21" s="680" t="s">
        <v>583</v>
      </c>
      <c r="C21" s="679"/>
      <c r="D21" s="679"/>
      <c r="E21" s="679"/>
      <c r="F21" s="679"/>
      <c r="G21" s="679"/>
      <c r="H21" s="679"/>
      <c r="I21" s="679"/>
    </row>
    <row r="22" spans="1:9" s="677" customFormat="1" ht="20.100000000000001" customHeight="1">
      <c r="B22" s="677" t="s">
        <v>584</v>
      </c>
      <c r="D22" s="714">
        <f>'Profit &amp; Loss'!K26</f>
        <v>45.901665811898468</v>
      </c>
      <c r="E22" s="681" t="s">
        <v>585</v>
      </c>
    </row>
    <row r="23" spans="1:9" s="677" customFormat="1" ht="20.100000000000001" customHeight="1">
      <c r="B23" s="677" t="s">
        <v>586</v>
      </c>
      <c r="D23" s="714">
        <f>('Profit &amp; Loss'!K26*'Profit &amp; Loss'!K76)</f>
        <v>0</v>
      </c>
      <c r="E23" s="681" t="s">
        <v>585</v>
      </c>
    </row>
    <row r="24" spans="1:9" s="677" customFormat="1" ht="20.100000000000001" customHeight="1"/>
    <row r="25" spans="1:9" s="677" customFormat="1" ht="20.100000000000001" customHeight="1">
      <c r="B25" s="677" t="s">
        <v>587</v>
      </c>
      <c r="E25" s="715" t="s">
        <v>588</v>
      </c>
      <c r="F25" s="681" t="s">
        <v>589</v>
      </c>
    </row>
    <row r="26" spans="1:9" s="677" customFormat="1" ht="20.100000000000001" customHeight="1">
      <c r="B26" s="677" t="s">
        <v>590</v>
      </c>
      <c r="E26" s="682">
        <v>0.12</v>
      </c>
      <c r="F26" s="681" t="s">
        <v>591</v>
      </c>
    </row>
    <row r="27" spans="1:9" s="677" customFormat="1" ht="20.100000000000001" customHeight="1">
      <c r="B27" s="683" t="s">
        <v>592</v>
      </c>
      <c r="F27" s="681"/>
    </row>
    <row r="28" spans="1:9" s="677" customFormat="1" ht="20.100000000000001" customHeight="1">
      <c r="B28" s="677" t="s">
        <v>593</v>
      </c>
      <c r="D28" s="684">
        <v>1.42</v>
      </c>
      <c r="F28" s="681"/>
    </row>
    <row r="29" spans="1:9" s="677" customFormat="1" ht="20.100000000000001" customHeight="1">
      <c r="B29" s="677" t="s">
        <v>594</v>
      </c>
      <c r="D29" s="682">
        <v>7.0000000000000007E-2</v>
      </c>
      <c r="E29" s="681" t="s">
        <v>591</v>
      </c>
      <c r="F29" s="681"/>
    </row>
    <row r="30" spans="1:9" s="677" customFormat="1" ht="20.100000000000001" customHeight="1">
      <c r="B30" s="677" t="s">
        <v>595</v>
      </c>
      <c r="D30" s="682">
        <v>5.5E-2</v>
      </c>
      <c r="E30" s="681" t="s">
        <v>591</v>
      </c>
      <c r="F30" s="681"/>
    </row>
    <row r="31" spans="1:9" s="677" customFormat="1" ht="20.100000000000001" customHeight="1">
      <c r="F31" s="681"/>
    </row>
    <row r="32" spans="1:9" s="677" customFormat="1" ht="20.100000000000001" customHeight="1">
      <c r="B32" s="678" t="s">
        <v>596</v>
      </c>
      <c r="F32" s="681"/>
    </row>
    <row r="33" spans="2:7" s="677" customFormat="1" ht="20.100000000000001" customHeight="1">
      <c r="B33" s="677" t="s">
        <v>597</v>
      </c>
      <c r="E33" s="685">
        <v>4</v>
      </c>
      <c r="F33" s="681" t="s">
        <v>598</v>
      </c>
    </row>
    <row r="34" spans="2:7" s="677" customFormat="1" ht="20.100000000000001" customHeight="1">
      <c r="B34" s="678"/>
      <c r="F34" s="681"/>
    </row>
    <row r="35" spans="2:7" s="677" customFormat="1" ht="20.100000000000001" customHeight="1">
      <c r="B35" s="677" t="s">
        <v>599</v>
      </c>
      <c r="E35" s="686" t="s">
        <v>600</v>
      </c>
      <c r="F35" s="681" t="s">
        <v>589</v>
      </c>
    </row>
    <row r="36" spans="2:7" s="677" customFormat="1" ht="20.100000000000001" customHeight="1">
      <c r="B36" s="677" t="s">
        <v>601</v>
      </c>
      <c r="E36" s="714">
        <f>'Profit &amp; Loss'!F26</f>
        <v>41.648208469055604</v>
      </c>
      <c r="F36" s="681" t="s">
        <v>585</v>
      </c>
    </row>
    <row r="37" spans="2:7" s="677" customFormat="1" ht="20.100000000000001" customHeight="1">
      <c r="F37" s="681"/>
    </row>
    <row r="38" spans="2:7" s="677" customFormat="1" ht="20.100000000000001" customHeight="1">
      <c r="B38" s="677" t="s">
        <v>602</v>
      </c>
      <c r="E38" s="686" t="s">
        <v>600</v>
      </c>
      <c r="F38" s="681" t="s">
        <v>589</v>
      </c>
    </row>
    <row r="39" spans="2:7" s="677" customFormat="1" ht="20.100000000000001" customHeight="1">
      <c r="B39" s="677" t="s">
        <v>603</v>
      </c>
      <c r="E39" s="687">
        <v>0.1</v>
      </c>
      <c r="F39" s="681" t="s">
        <v>591</v>
      </c>
    </row>
    <row r="40" spans="2:7" s="677" customFormat="1" ht="20.100000000000001" customHeight="1">
      <c r="F40" s="681"/>
    </row>
    <row r="41" spans="2:7" s="677" customFormat="1" ht="20.100000000000001" customHeight="1">
      <c r="B41" s="677" t="s">
        <v>604</v>
      </c>
      <c r="F41" s="686" t="s">
        <v>490</v>
      </c>
      <c r="G41" s="681" t="s">
        <v>589</v>
      </c>
    </row>
    <row r="42" spans="2:7" s="677" customFormat="1" ht="20.100000000000001" customHeight="1">
      <c r="B42" s="683" t="s">
        <v>606</v>
      </c>
      <c r="F42" s="681"/>
    </row>
    <row r="43" spans="2:7" s="677" customFormat="1" ht="20.100000000000001" customHeight="1">
      <c r="B43" s="677" t="s">
        <v>607</v>
      </c>
      <c r="D43" s="688">
        <v>0</v>
      </c>
      <c r="E43" s="681" t="s">
        <v>608</v>
      </c>
      <c r="F43" s="681" t="s">
        <v>585</v>
      </c>
    </row>
    <row r="44" spans="2:7" s="677" customFormat="1" ht="20.100000000000001" customHeight="1">
      <c r="B44" s="677" t="s">
        <v>609</v>
      </c>
      <c r="D44" s="688">
        <v>0</v>
      </c>
      <c r="E44" s="689">
        <v>0</v>
      </c>
      <c r="F44" s="681" t="s">
        <v>585</v>
      </c>
    </row>
    <row r="45" spans="2:7" s="677" customFormat="1" ht="20.100000000000001" customHeight="1">
      <c r="B45" s="677" t="s">
        <v>610</v>
      </c>
      <c r="D45" s="687">
        <v>0</v>
      </c>
      <c r="F45" s="681" t="s">
        <v>591</v>
      </c>
    </row>
    <row r="46" spans="2:7" s="677" customFormat="1" ht="20.100000000000001" customHeight="1">
      <c r="B46" s="683" t="s">
        <v>611</v>
      </c>
      <c r="F46" s="681"/>
    </row>
    <row r="47" spans="2:7" s="677" customFormat="1" ht="20.100000000000001" customHeight="1">
      <c r="B47" s="677" t="s">
        <v>612</v>
      </c>
      <c r="C47" s="716">
        <f>Summary!B21</f>
        <v>1.3918607065080284</v>
      </c>
      <c r="D47" s="681" t="s">
        <v>591</v>
      </c>
    </row>
    <row r="48" spans="2:7" s="677" customFormat="1" ht="20.100000000000001" customHeight="1">
      <c r="B48" s="677" t="s">
        <v>613</v>
      </c>
      <c r="C48" s="682">
        <f>1-D23/D22</f>
        <v>1</v>
      </c>
      <c r="D48" s="681" t="s">
        <v>591</v>
      </c>
    </row>
    <row r="49" spans="2:8" s="677" customFormat="1" ht="20.100000000000001" customHeight="1">
      <c r="B49" s="677" t="s">
        <v>614</v>
      </c>
      <c r="F49" s="681"/>
      <c r="G49" s="686" t="s">
        <v>605</v>
      </c>
      <c r="H49" s="681" t="s">
        <v>589</v>
      </c>
    </row>
    <row r="50" spans="2:8" s="677" customFormat="1" ht="20.100000000000001" customHeight="1">
      <c r="B50" s="683" t="s">
        <v>615</v>
      </c>
      <c r="F50" s="681"/>
    </row>
    <row r="51" spans="2:8" s="677" customFormat="1" ht="20.100000000000001" customHeight="1">
      <c r="B51" s="677" t="s">
        <v>612</v>
      </c>
      <c r="C51" s="682">
        <f>C47</f>
        <v>1.3918607065080284</v>
      </c>
      <c r="D51" s="681" t="s">
        <v>591</v>
      </c>
    </row>
    <row r="52" spans="2:8" s="677" customFormat="1" ht="20.100000000000001" customHeight="1">
      <c r="B52" s="677" t="s">
        <v>613</v>
      </c>
      <c r="C52" s="682">
        <f>C48</f>
        <v>1</v>
      </c>
      <c r="D52" s="681" t="s">
        <v>591</v>
      </c>
    </row>
    <row r="53" spans="2:8" s="677" customFormat="1" ht="20.100000000000001" customHeight="1">
      <c r="B53" s="677" t="s">
        <v>616</v>
      </c>
      <c r="C53" s="681"/>
      <c r="E53" s="681"/>
      <c r="F53" s="681"/>
      <c r="G53" s="686" t="s">
        <v>600</v>
      </c>
      <c r="H53" s="681" t="s">
        <v>589</v>
      </c>
    </row>
    <row r="54" spans="2:8" s="677" customFormat="1" ht="20.100000000000001" customHeight="1">
      <c r="B54" s="683" t="s">
        <v>617</v>
      </c>
      <c r="C54" s="681"/>
      <c r="E54" s="681"/>
      <c r="F54" s="681"/>
    </row>
    <row r="55" spans="2:8" s="677" customFormat="1" ht="20.100000000000001" customHeight="1">
      <c r="B55" s="677" t="s">
        <v>612</v>
      </c>
      <c r="C55" s="682">
        <v>0.08</v>
      </c>
      <c r="D55" s="681" t="s">
        <v>591</v>
      </c>
    </row>
    <row r="56" spans="2:8" s="677" customFormat="1" ht="20.100000000000001" customHeight="1">
      <c r="C56" s="690"/>
      <c r="D56" s="681" t="s">
        <v>591</v>
      </c>
    </row>
    <row r="57" spans="2:8" s="677" customFormat="1" ht="20.100000000000001" customHeight="1">
      <c r="E57" s="681"/>
      <c r="F57" s="681"/>
    </row>
    <row r="58" spans="2:8" s="677" customFormat="1" ht="20.100000000000001" customHeight="1">
      <c r="B58" s="683" t="s">
        <v>618</v>
      </c>
      <c r="E58" s="681"/>
      <c r="F58" s="681"/>
    </row>
    <row r="59" spans="2:8" s="677" customFormat="1" ht="20.100000000000001" customHeight="1">
      <c r="B59" s="677" t="s">
        <v>619</v>
      </c>
      <c r="E59" s="682">
        <v>0.3</v>
      </c>
      <c r="F59" s="681" t="s">
        <v>591</v>
      </c>
    </row>
    <row r="60" spans="2:8" s="677" customFormat="1" ht="20.100000000000001" customHeight="1">
      <c r="B60" s="677" t="s">
        <v>620</v>
      </c>
      <c r="E60" s="682">
        <v>0.3</v>
      </c>
      <c r="F60" s="681" t="s">
        <v>591</v>
      </c>
    </row>
    <row r="61" spans="2:8" s="677" customFormat="1" ht="20.100000000000001" customHeight="1">
      <c r="B61" s="677" t="s">
        <v>621</v>
      </c>
      <c r="E61" s="682">
        <v>0.4</v>
      </c>
      <c r="F61" s="681" t="s">
        <v>591</v>
      </c>
    </row>
    <row r="62" spans="2:8" s="677" customFormat="1" ht="20.100000000000001" customHeight="1"/>
    <row r="63" spans="2:8" s="677" customFormat="1" ht="20.100000000000001" customHeight="1">
      <c r="B63" s="678" t="s">
        <v>622</v>
      </c>
    </row>
    <row r="64" spans="2:8" s="677" customFormat="1" ht="20.100000000000001" customHeight="1">
      <c r="B64" s="677" t="s">
        <v>623</v>
      </c>
      <c r="E64" s="686">
        <v>6</v>
      </c>
      <c r="F64" s="681" t="s">
        <v>598</v>
      </c>
    </row>
    <row r="65" spans="2:8" s="677" customFormat="1" ht="20.100000000000001" customHeight="1">
      <c r="F65" s="681"/>
    </row>
    <row r="66" spans="2:8" s="677" customFormat="1" ht="20.100000000000001" customHeight="1">
      <c r="B66" s="677" t="s">
        <v>624</v>
      </c>
      <c r="G66" s="717" t="s">
        <v>490</v>
      </c>
      <c r="H66" s="681" t="s">
        <v>589</v>
      </c>
    </row>
    <row r="67" spans="2:8" s="677" customFormat="1" ht="20.100000000000001" customHeight="1">
      <c r="B67" s="677" t="s">
        <v>625</v>
      </c>
      <c r="G67" s="718">
        <f>'Profit &amp; Loss'!K76+0.2</f>
        <v>0.2</v>
      </c>
      <c r="H67" s="681" t="s">
        <v>591</v>
      </c>
    </row>
    <row r="68" spans="2:8" s="677" customFormat="1" ht="20.100000000000001" customHeight="1">
      <c r="G68" s="691"/>
      <c r="H68" s="681"/>
    </row>
    <row r="69" spans="2:8" s="677" customFormat="1" ht="20.100000000000001" customHeight="1">
      <c r="B69" s="677" t="s">
        <v>626</v>
      </c>
      <c r="G69" s="717" t="s">
        <v>600</v>
      </c>
      <c r="H69" s="681" t="s">
        <v>589</v>
      </c>
    </row>
    <row r="70" spans="2:8" s="677" customFormat="1" ht="20.100000000000001" customHeight="1">
      <c r="B70" s="677" t="s">
        <v>627</v>
      </c>
      <c r="G70" s="686">
        <v>1.1000000000000001</v>
      </c>
    </row>
    <row r="71" spans="2:8" s="677" customFormat="1" ht="20.100000000000001" customHeight="1"/>
    <row r="72" spans="2:8" s="677" customFormat="1" ht="20.100000000000001" customHeight="1">
      <c r="B72" s="678" t="s">
        <v>628</v>
      </c>
    </row>
    <row r="73" spans="2:8" s="677" customFormat="1" ht="20.100000000000001" customHeight="1">
      <c r="B73" s="677" t="s">
        <v>629</v>
      </c>
      <c r="E73" s="682">
        <v>0.02</v>
      </c>
      <c r="F73" s="681" t="s">
        <v>591</v>
      </c>
    </row>
    <row r="74" spans="2:8" s="677" customFormat="1" ht="20.100000000000001" customHeight="1">
      <c r="E74" s="692"/>
      <c r="F74" s="681"/>
    </row>
    <row r="75" spans="2:8" s="677" customFormat="1" ht="20.100000000000001" customHeight="1">
      <c r="B75" s="677" t="s">
        <v>630</v>
      </c>
      <c r="E75" s="693">
        <f>1-E73/C55</f>
        <v>0.75</v>
      </c>
      <c r="F75" s="681" t="s">
        <v>591</v>
      </c>
    </row>
    <row r="76" spans="2:8" s="677" customFormat="1" ht="20.100000000000001" customHeight="1">
      <c r="B76" s="677" t="s">
        <v>631</v>
      </c>
      <c r="E76" s="717" t="s">
        <v>588</v>
      </c>
      <c r="F76" s="681" t="s">
        <v>589</v>
      </c>
    </row>
    <row r="77" spans="2:8" s="677" customFormat="1" ht="20.100000000000001" customHeight="1">
      <c r="B77" s="677" t="s">
        <v>632</v>
      </c>
      <c r="E77" s="719">
        <f>G67+0.2</f>
        <v>0.4</v>
      </c>
      <c r="F77" s="681" t="s">
        <v>591</v>
      </c>
    </row>
    <row r="78" spans="2:8" s="677" customFormat="1" ht="20.100000000000001" customHeight="1">
      <c r="E78" s="694"/>
      <c r="F78" s="681"/>
    </row>
    <row r="79" spans="2:8" s="677" customFormat="1" ht="20.100000000000001" customHeight="1">
      <c r="B79" s="677" t="s">
        <v>633</v>
      </c>
      <c r="E79" s="686" t="s">
        <v>588</v>
      </c>
      <c r="F79" s="681" t="s">
        <v>589</v>
      </c>
    </row>
    <row r="80" spans="2:8" s="677" customFormat="1" ht="20.100000000000001" customHeight="1">
      <c r="B80" s="677" t="s">
        <v>634</v>
      </c>
      <c r="E80" s="686">
        <v>0.8</v>
      </c>
      <c r="F80" s="681"/>
    </row>
    <row r="81" spans="1:9" s="677" customFormat="1" ht="20.100000000000001" customHeight="1">
      <c r="E81" s="681"/>
      <c r="F81" s="681"/>
    </row>
    <row r="82" spans="1:9" s="677" customFormat="1" ht="20.100000000000001" customHeight="1">
      <c r="A82" s="679"/>
      <c r="B82" s="680" t="s">
        <v>635</v>
      </c>
      <c r="C82" s="679"/>
      <c r="D82" s="679"/>
      <c r="E82" s="679"/>
      <c r="F82" s="679"/>
      <c r="G82" s="679"/>
      <c r="H82" s="679"/>
      <c r="I82" s="679"/>
    </row>
    <row r="83" spans="1:9" s="677" customFormat="1" ht="20.100000000000001" customHeight="1">
      <c r="A83" s="679"/>
      <c r="B83" s="695" t="s">
        <v>636</v>
      </c>
      <c r="C83" s="679"/>
      <c r="D83" s="679"/>
      <c r="E83" s="679"/>
      <c r="F83" s="679"/>
      <c r="G83" s="679"/>
      <c r="H83" s="679"/>
      <c r="I83" s="679"/>
    </row>
    <row r="84" spans="1:9" s="677" customFormat="1" ht="20.100000000000001" customHeight="1">
      <c r="B84" s="677" t="s">
        <v>637</v>
      </c>
      <c r="D84" s="696">
        <f>IF(E25="Yes",E26,D29+D28*D30)</f>
        <v>0.12</v>
      </c>
      <c r="E84" s="681"/>
      <c r="F84" s="681"/>
    </row>
    <row r="85" spans="1:9" s="677" customFormat="1" ht="20.100000000000001" customHeight="1">
      <c r="B85" s="677" t="s">
        <v>638</v>
      </c>
      <c r="D85" s="697">
        <f>D22</f>
        <v>45.901665811898468</v>
      </c>
      <c r="E85" s="681"/>
      <c r="F85" s="681"/>
    </row>
    <row r="86" spans="1:9" s="677" customFormat="1" ht="20.100000000000001" customHeight="1">
      <c r="E86" s="681"/>
      <c r="F86" s="681"/>
    </row>
    <row r="87" spans="1:9" s="677" customFormat="1" ht="20.100000000000001" customHeight="1">
      <c r="B87" s="677" t="s">
        <v>639</v>
      </c>
      <c r="E87" s="681"/>
      <c r="F87" s="681"/>
    </row>
    <row r="88" spans="1:9" s="683" customFormat="1" ht="20.100000000000001" customHeight="1">
      <c r="D88" s="683" t="s">
        <v>640</v>
      </c>
      <c r="E88" s="698" t="s">
        <v>641</v>
      </c>
      <c r="F88" s="698"/>
    </row>
    <row r="89" spans="1:9" s="677" customFormat="1" ht="20.100000000000001" customHeight="1">
      <c r="B89" s="677" t="s">
        <v>642</v>
      </c>
      <c r="D89" s="696">
        <f>(D22/E36)^(0.2)-1</f>
        <v>1.9638967260214857E-2</v>
      </c>
      <c r="E89" s="696">
        <f>E59</f>
        <v>0.3</v>
      </c>
      <c r="F89" s="681"/>
    </row>
    <row r="90" spans="1:9" s="677" customFormat="1" ht="20.100000000000001" customHeight="1">
      <c r="B90" s="677" t="s">
        <v>643</v>
      </c>
      <c r="D90" s="696">
        <f>E39</f>
        <v>0.1</v>
      </c>
      <c r="E90" s="696">
        <f>E60</f>
        <v>0.3</v>
      </c>
      <c r="F90" s="681"/>
    </row>
    <row r="91" spans="1:9" s="677" customFormat="1" ht="20.100000000000001" customHeight="1">
      <c r="B91" s="677" t="s">
        <v>644</v>
      </c>
      <c r="D91" s="696">
        <f>IF(G49="No",IF(C47="NA",0,C48*C47),C52*C51)</f>
        <v>1.3918607065080284</v>
      </c>
      <c r="E91" s="696">
        <f>E61</f>
        <v>0.4</v>
      </c>
      <c r="F91" s="681"/>
    </row>
    <row r="92" spans="1:9" s="683" customFormat="1" ht="20.100000000000001" customHeight="1">
      <c r="B92" s="683" t="s">
        <v>645</v>
      </c>
      <c r="D92" s="699">
        <f>D89*E89+D90*E90+D91*E91</f>
        <v>0.59263597278127589</v>
      </c>
      <c r="E92" s="698"/>
      <c r="F92" s="698"/>
    </row>
    <row r="93" spans="1:9" s="677" customFormat="1" ht="20.100000000000001" customHeight="1">
      <c r="E93" s="681"/>
      <c r="F93" s="681"/>
    </row>
    <row r="94" spans="1:9" s="677" customFormat="1" ht="20.100000000000001" customHeight="1">
      <c r="B94" s="677" t="s">
        <v>646</v>
      </c>
      <c r="E94" s="696">
        <f>1-C52</f>
        <v>0</v>
      </c>
      <c r="F94" s="681"/>
    </row>
    <row r="95" spans="1:9" s="677" customFormat="1" ht="20.100000000000001" customHeight="1">
      <c r="E95" s="700"/>
      <c r="F95" s="681"/>
    </row>
    <row r="96" spans="1:9" s="677" customFormat="1" ht="20.100000000000001" customHeight="1">
      <c r="B96" s="683" t="s">
        <v>647</v>
      </c>
      <c r="E96" s="700"/>
      <c r="F96" s="681"/>
    </row>
    <row r="97" spans="2:13" s="683" customFormat="1" ht="20.100000000000001" customHeight="1">
      <c r="B97" s="701" t="s">
        <v>125</v>
      </c>
      <c r="C97" s="701">
        <f>IF(E33=0," ",1)</f>
        <v>1</v>
      </c>
      <c r="D97" s="701">
        <f>IF(E33=1," ",2)</f>
        <v>2</v>
      </c>
      <c r="E97" s="702">
        <f>IF(E33&lt;3," ",3)</f>
        <v>3</v>
      </c>
      <c r="F97" s="701">
        <f>IF(E33&lt;4," ",4)</f>
        <v>4</v>
      </c>
      <c r="G97" s="701" t="str">
        <f>IF($E$33&lt;5," ",5)</f>
        <v xml:space="preserve"> </v>
      </c>
      <c r="H97" s="701" t="str">
        <f>IF($E$33&lt;6," ",6)</f>
        <v xml:space="preserve"> </v>
      </c>
      <c r="I97" s="701" t="str">
        <f>IF($E$33&lt;7," ",7)</f>
        <v xml:space="preserve"> </v>
      </c>
      <c r="J97" s="701" t="str">
        <f>IF($E$33&lt;8," ",8)</f>
        <v xml:space="preserve"> </v>
      </c>
      <c r="K97" s="701" t="str">
        <f>IF($E$33&lt;9," ",9)</f>
        <v xml:space="preserve"> </v>
      </c>
      <c r="L97" s="701" t="str">
        <f>IF($E$33&lt;10," ",10)</f>
        <v xml:space="preserve"> </v>
      </c>
      <c r="M97" s="698"/>
    </row>
    <row r="98" spans="2:13" s="677" customFormat="1" ht="20.100000000000001" customHeight="1">
      <c r="B98" s="703" t="s">
        <v>648</v>
      </c>
      <c r="C98" s="704">
        <f>IF(E33&lt;1," ",D85*(1+D92))</f>
        <v>73.104644182613953</v>
      </c>
      <c r="D98" s="704">
        <f>IF($E$33&lt;2," ",C98*(1+$D$92))</f>
        <v>116.42908610260642</v>
      </c>
      <c r="E98" s="704">
        <f>IF($E$33&lt;3," ",D98*(1+$D$92))</f>
        <v>185.42915080505952</v>
      </c>
      <c r="F98" s="704">
        <f>IF($E$33&lt;4," ",E98*(1+$D$92))</f>
        <v>295.32113597442191</v>
      </c>
      <c r="G98" s="704" t="str">
        <f>IF($E$33&lt;5," ",F98*(1+$D$92))</f>
        <v xml:space="preserve"> </v>
      </c>
      <c r="H98" s="704" t="str">
        <f>IF($E$33&lt;6," ",G98*(1+$D$92))</f>
        <v xml:space="preserve"> </v>
      </c>
      <c r="I98" s="704" t="str">
        <f>IF($E$33&lt;7," ",H98*(1+$D$92))</f>
        <v xml:space="preserve"> </v>
      </c>
      <c r="J98" s="704" t="str">
        <f>IF($E$33&lt;8," ",I98*(1+$D$92))</f>
        <v xml:space="preserve"> </v>
      </c>
      <c r="K98" s="704" t="str">
        <f>IF($E$33&lt;9," ",J98*(1+$D$92))</f>
        <v xml:space="preserve"> </v>
      </c>
      <c r="L98" s="704" t="str">
        <f>IF($E$33&lt;10," ",K98*(1+$D$92))</f>
        <v xml:space="preserve"> </v>
      </c>
      <c r="M98" s="681"/>
    </row>
    <row r="99" spans="2:13" s="677" customFormat="1" ht="20.100000000000001" customHeight="1">
      <c r="B99" s="703" t="s">
        <v>649</v>
      </c>
      <c r="C99" s="704">
        <f>IF(E33&lt;1," ",D85*(1+D92)*E94)</f>
        <v>0</v>
      </c>
      <c r="D99" s="704">
        <f t="shared" ref="D99:L99" si="0">IF($E$33&lt;D97," ",C99*(1+$D$92))</f>
        <v>0</v>
      </c>
      <c r="E99" s="704">
        <f t="shared" si="0"/>
        <v>0</v>
      </c>
      <c r="F99" s="704">
        <f t="shared" si="0"/>
        <v>0</v>
      </c>
      <c r="G99" s="704" t="str">
        <f t="shared" si="0"/>
        <v xml:space="preserve"> </v>
      </c>
      <c r="H99" s="704" t="str">
        <f t="shared" si="0"/>
        <v xml:space="preserve"> </v>
      </c>
      <c r="I99" s="704" t="str">
        <f t="shared" si="0"/>
        <v xml:space="preserve"> </v>
      </c>
      <c r="J99" s="704" t="str">
        <f t="shared" si="0"/>
        <v xml:space="preserve"> </v>
      </c>
      <c r="K99" s="704" t="str">
        <f t="shared" si="0"/>
        <v xml:space="preserve"> </v>
      </c>
      <c r="L99" s="704" t="str">
        <f t="shared" si="0"/>
        <v xml:space="preserve"> </v>
      </c>
    </row>
    <row r="100" spans="2:13" s="677" customFormat="1" ht="20.100000000000001" customHeight="1">
      <c r="B100" s="705" t="s">
        <v>158</v>
      </c>
      <c r="C100" s="704">
        <f t="shared" ref="C100:L100" si="1">IF($E$33&lt;C97," ",C99/(1+$D$84)^C97)</f>
        <v>0</v>
      </c>
      <c r="D100" s="704">
        <f t="shared" si="1"/>
        <v>0</v>
      </c>
      <c r="E100" s="704">
        <f t="shared" si="1"/>
        <v>0</v>
      </c>
      <c r="F100" s="704">
        <f t="shared" si="1"/>
        <v>0</v>
      </c>
      <c r="G100" s="704" t="str">
        <f t="shared" si="1"/>
        <v xml:space="preserve"> </v>
      </c>
      <c r="H100" s="704" t="str">
        <f t="shared" si="1"/>
        <v xml:space="preserve"> </v>
      </c>
      <c r="I100" s="704" t="str">
        <f t="shared" si="1"/>
        <v xml:space="preserve"> </v>
      </c>
      <c r="J100" s="704" t="str">
        <f t="shared" si="1"/>
        <v xml:space="preserve"> </v>
      </c>
      <c r="K100" s="704" t="str">
        <f t="shared" si="1"/>
        <v xml:space="preserve"> </v>
      </c>
      <c r="L100" s="704" t="str">
        <f t="shared" si="1"/>
        <v xml:space="preserve"> </v>
      </c>
    </row>
    <row r="101" spans="2:13" s="677" customFormat="1" ht="20.100000000000001" customHeight="1">
      <c r="C101" s="706"/>
      <c r="D101" s="706"/>
      <c r="E101" s="706"/>
      <c r="F101" s="706"/>
      <c r="G101" s="706"/>
      <c r="H101" s="706"/>
      <c r="I101" s="706"/>
      <c r="J101" s="706"/>
      <c r="K101" s="706"/>
      <c r="L101" s="706"/>
    </row>
    <row r="102" spans="2:13" s="677" customFormat="1" ht="20.100000000000001" customHeight="1">
      <c r="B102" s="678" t="s">
        <v>650</v>
      </c>
      <c r="E102" s="681"/>
      <c r="F102" s="681"/>
    </row>
    <row r="103" spans="2:13" s="683" customFormat="1" ht="20.100000000000001" customHeight="1">
      <c r="B103" s="707" t="s">
        <v>125</v>
      </c>
      <c r="C103" s="708">
        <f>IF(E64&lt;1," ",E33+1)</f>
        <v>5</v>
      </c>
      <c r="D103" s="701">
        <f>IF($E$64&lt;2," ",$E$33+2)</f>
        <v>6</v>
      </c>
      <c r="E103" s="701">
        <f>IF($E$64&lt;3," ",$E$33+3)</f>
        <v>7</v>
      </c>
      <c r="F103" s="701">
        <f>IF($E$64&lt;4," ",$E$33+4)</f>
        <v>8</v>
      </c>
      <c r="G103" s="701">
        <f>IF($E$64&lt;5," ",$E$33+5)</f>
        <v>9</v>
      </c>
      <c r="H103" s="701">
        <f>IF($E$64&lt;6," ",$E$33+6)</f>
        <v>10</v>
      </c>
      <c r="I103" s="701" t="str">
        <f>IF($E$64&lt;7," ",$E$33+7)</f>
        <v xml:space="preserve"> </v>
      </c>
      <c r="J103" s="701" t="str">
        <f>IF($E$64&lt;8," ",$E$33+8)</f>
        <v xml:space="preserve"> </v>
      </c>
      <c r="K103" s="698" t="str">
        <f>IF($E$64&lt;9," ",$E$33+9)</f>
        <v xml:space="preserve"> </v>
      </c>
      <c r="L103" s="698" t="str">
        <f>IF($E$64&lt;10," ",$E$33+10)</f>
        <v xml:space="preserve"> </v>
      </c>
    </row>
    <row r="104" spans="2:13" s="677" customFormat="1" ht="20.100000000000001" customHeight="1">
      <c r="B104" s="705" t="s">
        <v>640</v>
      </c>
      <c r="C104" s="696">
        <f>IF($E$64&lt;1,,$D$92-($D$92-$E$113)/$E$64)</f>
        <v>0.49719664398439656</v>
      </c>
      <c r="D104" s="696">
        <f>IF($E$64&lt;2,,C104-($D$92-$E$113)/$E$64)</f>
        <v>0.40175731518751723</v>
      </c>
      <c r="E104" s="696">
        <f>IF($E$64&lt;3,,D104-($D$92-$E$113)/$E$64)</f>
        <v>0.3063179863906379</v>
      </c>
      <c r="F104" s="696">
        <f>IF($E$64&lt;4,,E104-($D$92-$E$113)/$E$64)</f>
        <v>0.21087865759375857</v>
      </c>
      <c r="G104" s="696">
        <f>IF($E$64&lt;5,,F104-($D$92-$E$113)/$E$64)</f>
        <v>0.11543932879687925</v>
      </c>
      <c r="H104" s="696">
        <f>IF($E$64&lt;6,,G104-($D$92-$E$113)/$E$64)</f>
        <v>1.9999999999999934E-2</v>
      </c>
      <c r="I104" s="696">
        <f>IF($E$64&lt;7,,H104-($D$92-$E$113)/$E$64)</f>
        <v>0</v>
      </c>
      <c r="J104" s="696">
        <f>IF($E$64&lt;8,,I104-($D$92-$E$113)/$E$64)</f>
        <v>0</v>
      </c>
      <c r="K104" s="700">
        <f>IF($E$64&lt;9,,J104-($D$92-$E$113)/$E$64)</f>
        <v>0</v>
      </c>
      <c r="L104" s="700">
        <f>IF($E$64&lt;10,,K104-($D$92-$E$113)/$E$64)</f>
        <v>0</v>
      </c>
    </row>
    <row r="105" spans="2:13" s="677" customFormat="1" ht="20.100000000000001" customHeight="1">
      <c r="B105" s="705" t="s">
        <v>651</v>
      </c>
      <c r="C105" s="696">
        <f>IF($E$64&lt;(C103-$E$33)," ",(IF($G$66="Yes",$E$94+($E$114-$E$94)/$E$64,$G$67)))</f>
        <v>6.6666666666666666E-2</v>
      </c>
      <c r="D105" s="696">
        <f>IF($E$64&lt;2," ",(IF($G$66="Yes",C105+($E$114-$E$94)/$E$64,$G$67)))</f>
        <v>0.13333333333333333</v>
      </c>
      <c r="E105" s="696">
        <f>IF($E$64&lt;3," ",(IF($G$66="Yes",D105+($E$114-$E$94)/$E$64,$G$67)))</f>
        <v>0.2</v>
      </c>
      <c r="F105" s="696">
        <f>IF($E$64&lt;4," ",(IF($G$66="Yes",E105+($E$114-$E$94)/$E$64,$G$67)))</f>
        <v>0.26666666666666666</v>
      </c>
      <c r="G105" s="696">
        <f>IF($E$64&lt;5," ",(IF($G$66="Yes",F105+($E$114-$E$94)/$E$64,$G$67)))</f>
        <v>0.33333333333333331</v>
      </c>
      <c r="H105" s="696">
        <f>IF($E$64&lt;6," ",(IF($G$66="Yes",G105+($E$114-$E$94)/$E$64,$G$67)))</f>
        <v>0.39999999999999997</v>
      </c>
      <c r="I105" s="696" t="str">
        <f>IF($E$64&lt;7," ",(IF($G$66="Yes",H105+($E$114-$E$94)/$E$64,$G$67)))</f>
        <v xml:space="preserve"> </v>
      </c>
      <c r="J105" s="696" t="str">
        <f>IF($E$64&lt;8," ",(IF($G$66="Yes",I105+($E$114-$E$94)/$E$64,$G$67)))</f>
        <v xml:space="preserve"> </v>
      </c>
      <c r="K105" s="700" t="str">
        <f>IF($E$64&lt;9," ",(IF($G$66="Yes",J105+($E$114-$E$94)/$E$64,$G$67)))</f>
        <v xml:space="preserve"> </v>
      </c>
      <c r="L105" s="700" t="str">
        <f>IF($E$64&lt;10," ",(IF($G$66="Yes",K105+($E$114-$E$94)/$E$64,$G$67)))</f>
        <v xml:space="preserve"> </v>
      </c>
    </row>
    <row r="106" spans="2:13" s="677" customFormat="1" ht="20.100000000000001" customHeight="1">
      <c r="B106" s="705" t="s">
        <v>648</v>
      </c>
      <c r="C106" s="704">
        <f>IF($E$64&lt;1," ",$D$85*(1+$D$92)^$E$33*(1+$C$104))</f>
        <v>442.15381367856423</v>
      </c>
      <c r="D106" s="704">
        <f>IF($E$64&lt;2," ",C106*(1+D104))</f>
        <v>619.79234276198599</v>
      </c>
      <c r="E106" s="704">
        <f>IF($E$64&lt;3," ",D106*(1+E104))</f>
        <v>809.64588517717368</v>
      </c>
      <c r="F106" s="704">
        <f>IF($E$64&lt;4," ",E106*(1+F104))</f>
        <v>980.38292256964655</v>
      </c>
      <c r="G106" s="704">
        <f>IF($E$64&lt;5," ",F106*(1+G104))</f>
        <v>1093.5576691150095</v>
      </c>
      <c r="H106" s="704">
        <f>IF($E$64&lt;6," ",G106*(1+H104))</f>
        <v>1115.4288224973097</v>
      </c>
      <c r="I106" s="704" t="str">
        <f>IF($E$64&lt;7," ",H106*(1+I104))</f>
        <v xml:space="preserve"> </v>
      </c>
      <c r="J106" s="704" t="str">
        <f>IF($E$64&lt;8," ",I106*(1+J104))</f>
        <v xml:space="preserve"> </v>
      </c>
      <c r="K106" s="706" t="str">
        <f>IF($E$64&lt;9," ",J106*(1+K104))</f>
        <v xml:space="preserve"> </v>
      </c>
      <c r="L106" s="706" t="str">
        <f>IF($E$64&lt;10," ",K106*(1+L104))</f>
        <v xml:space="preserve"> </v>
      </c>
    </row>
    <row r="107" spans="2:13" s="677" customFormat="1" ht="20.100000000000001" customHeight="1">
      <c r="B107" s="705" t="s">
        <v>649</v>
      </c>
      <c r="C107" s="704">
        <f>IF($E$64&lt;1," ",C106*C105)</f>
        <v>29.476920911904283</v>
      </c>
      <c r="D107" s="704">
        <f>IF($E$64&lt;2," ",D106*D105)</f>
        <v>82.638979034931467</v>
      </c>
      <c r="E107" s="704">
        <f>IF($E$64&lt;3," ",E106*E105)</f>
        <v>161.92917703543475</v>
      </c>
      <c r="F107" s="704">
        <f>IF($E$64&lt;4," ",F106*F105)</f>
        <v>261.43544601857241</v>
      </c>
      <c r="G107" s="704">
        <f>IF($E$64&lt;5," ",G106*G105)</f>
        <v>364.51922303833646</v>
      </c>
      <c r="H107" s="704">
        <f>IF($E$64&lt;6," ",H106*H105)</f>
        <v>446.17152899892386</v>
      </c>
      <c r="I107" s="704" t="str">
        <f>IF($E$64&lt;7," ",I106*I105)</f>
        <v xml:space="preserve"> </v>
      </c>
      <c r="J107" s="704" t="str">
        <f>IF($E$64&lt;8," ",J106*J105)</f>
        <v xml:space="preserve"> </v>
      </c>
      <c r="K107" s="706" t="str">
        <f>IF($E$64&lt;9," ",K106*K105)</f>
        <v xml:space="preserve"> </v>
      </c>
      <c r="L107" s="706" t="str">
        <f>IF($E$64&lt;10," ",L106*L105)</f>
        <v xml:space="preserve"> </v>
      </c>
    </row>
    <row r="108" spans="2:13" s="677" customFormat="1" ht="20.100000000000001" customHeight="1">
      <c r="B108" s="705" t="s">
        <v>652</v>
      </c>
      <c r="C108" s="703">
        <f>IF($E$64&lt;1," ",(IF($G$69="Yes",$D$28-($D$28-($E$115-$D$29)/$D$30)/$E$64,$G$70)))</f>
        <v>1.3166666666666667</v>
      </c>
      <c r="D108" s="703">
        <f>IF($E$64&lt;2," ",(IF($G$69="Yes",C108-($D$28-($E$115-$D$29)/$D$30)/$E$64,$G$70)))</f>
        <v>1.2133333333333334</v>
      </c>
      <c r="E108" s="703">
        <f>IF($E$64&lt;3," ",(IF($G$69="Yes",D108-($D$28-($E$115-$D$29)/$D$30)/$E$64,$G$70)))</f>
        <v>1.1100000000000001</v>
      </c>
      <c r="F108" s="703">
        <f>IF($E$64&lt;4," ",(IF($G$69="Yes",E108-($D$28-($E$115-$D$29)/$D$30)/$E$64,$G$70)))</f>
        <v>1.0066666666666668</v>
      </c>
      <c r="G108" s="703">
        <f>IF($E$64&lt;5," ",(IF($G$69="Yes",F108-($D$28-($E$115-$D$29)/$D$30)/$E$64,$G$70)))</f>
        <v>0.90333333333333354</v>
      </c>
      <c r="H108" s="703">
        <f>IF($E$64&lt;6," ",(IF($G$69="Yes",G108-($D$28-($E$115-$D$29)/$D$30)/$E$64,$G$70)))</f>
        <v>0.80000000000000027</v>
      </c>
      <c r="I108" s="703" t="str">
        <f>IF($E$64&lt;7," ",(IF($G$69="Yes",H108-($D$28-($E$115-$D$29)/$D$30)/$E$64,$G$70)))</f>
        <v xml:space="preserve"> </v>
      </c>
      <c r="J108" s="703" t="str">
        <f>IF($E$64&lt;8," ",(IF($G$69="Yes",I108-($D$28-($E$115-$D$29)/$D$30)/$E$64,$G$70)))</f>
        <v xml:space="preserve"> </v>
      </c>
      <c r="K108" s="681" t="str">
        <f>IF($E$64&lt;9," ",(IF($G$69="Yes",J108-($D$28-($E$115-$D$29)/$D$30)/$E$64,$G$70)))</f>
        <v xml:space="preserve"> </v>
      </c>
      <c r="L108" s="681" t="str">
        <f>IF($E$64&lt;10," ",(IF($G$69="Yes",K108-($D$28-($E$115-$D$29)/$D$30)/$E$64,$G$70)))</f>
        <v xml:space="preserve"> </v>
      </c>
    </row>
    <row r="109" spans="2:13" s="677" customFormat="1" ht="20.100000000000001" customHeight="1">
      <c r="B109" s="705" t="s">
        <v>653</v>
      </c>
      <c r="C109" s="696">
        <f>IF($E$64&lt;1,0,$D$29+$D$30*C108)</f>
        <v>0.14241666666666669</v>
      </c>
      <c r="D109" s="696">
        <f>IF($E$64&lt;2,0,$D$29+$D$30*D108)</f>
        <v>0.13673333333333335</v>
      </c>
      <c r="E109" s="696">
        <f>IF($E$64&lt;3,0,$D$29+$D$30*E108)</f>
        <v>0.13105</v>
      </c>
      <c r="F109" s="696">
        <f>IF($E$64&lt;4,0,$D$29+$D$30*F108)</f>
        <v>0.12536666666666668</v>
      </c>
      <c r="G109" s="696">
        <f>IF($E$64&lt;5,0,$D$29+$D$30*G108)</f>
        <v>0.11968333333333335</v>
      </c>
      <c r="H109" s="696">
        <f>IF($E$64&lt;6,0,$D$29+$D$30*H108)</f>
        <v>0.11400000000000002</v>
      </c>
      <c r="I109" s="696">
        <f>IF($E$64&lt;7,0,$D$29+$D$30*I108)</f>
        <v>0</v>
      </c>
      <c r="J109" s="696">
        <f>IF($E$64&lt;8,0,$D$29+$D$30*J108)</f>
        <v>0</v>
      </c>
      <c r="K109" s="700">
        <f>IF($E$64&lt;9,0,$D$29+$D$30*K108)</f>
        <v>0</v>
      </c>
      <c r="L109" s="700">
        <f>IF($E$64&lt;10,0,$D$29+$D$30*L108)</f>
        <v>0</v>
      </c>
    </row>
    <row r="110" spans="2:13" s="677" customFormat="1" ht="20.100000000000001" customHeight="1">
      <c r="B110" s="705" t="s">
        <v>158</v>
      </c>
      <c r="C110" s="704">
        <f>IF($E$64&lt;1," ",C107/(((1+$D$84)^$E$33)*(1+C109)))</f>
        <v>16.397796602428706</v>
      </c>
      <c r="D110" s="704">
        <f>IF($E$64&lt;2," ",D107/(((1+$D$84)^$E$33)*(1+C109)*(1+D109)))</f>
        <v>40.44173011625967</v>
      </c>
      <c r="E110" s="704">
        <f>IF($E$64&lt;3," ",E107/(((1+$D$84)^$E$33)*(1+C109)*(1+D109)*(1+E109)))</f>
        <v>70.062896580556952</v>
      </c>
      <c r="F110" s="704">
        <f>IF($E$64&lt;4," ",F107/(((1+$D$84)^$E$33)*(1+C109)*(1+D109)*(1+E109)*(1+F109)))</f>
        <v>100.51558444192428</v>
      </c>
      <c r="G110" s="704">
        <f>IF($E$64&lt;5," ",G107/(((1+$D$84)^$E$33)*(1+C109)*(1+D109)*(1+E109)*(1+F109)*(1+G109)))</f>
        <v>125.16824255763467</v>
      </c>
      <c r="H110" s="704">
        <f>IF($E$64&lt;6," ",H107/(((1+$D$84)^$E$33)*(1+C109)*(1+D109)*(1+E109)*(1+F109)*(1+G109)*(1+H109)))</f>
        <v>137.52776381556984</v>
      </c>
      <c r="I110" s="704" t="str">
        <f>IF($E$64&lt;7," ",I107/(((1+$D$84)^$E$33)*(1+C109)*(1+D109)*(1+E109)*(1+F109)*(1+G109)*(1+H109)*(1+I109)))</f>
        <v xml:space="preserve"> </v>
      </c>
      <c r="J110" s="704" t="str">
        <f>IF($E$64&lt;8," ",J107/(((1+$D$84)^$E$33)*(1+C109)*(1+D109)*(1+E109)*(1+F109)*(1+G109)*(1+H109)*(1+I109)*(1+J109)))</f>
        <v xml:space="preserve"> </v>
      </c>
      <c r="K110" s="706" t="str">
        <f>IF($E$64&lt;9," ",K107/(((1+$D$84)^$E$33)*(1+C109)*(1+D109)*(1+E109)*(1+F109)*(1+G109)*(1+H109)*(1+I109)*(1+J109)*(1+K109)))</f>
        <v xml:space="preserve"> </v>
      </c>
      <c r="L110" s="706" t="str">
        <f>IF($E$64&lt;10," ",L107/(((1+$D$84)^$E$33)*(1+C109)*(1+D109)*(1+E109)*(1+F109)*(1+G109)*(1+H109)*(1+I109)*(1+J109)*(1+K109)*(1+L109)))</f>
        <v xml:space="preserve"> </v>
      </c>
    </row>
    <row r="111" spans="2:13" s="677" customFormat="1" ht="20.100000000000001" customHeight="1"/>
    <row r="112" spans="2:13" s="677" customFormat="1" ht="20.100000000000001" customHeight="1">
      <c r="B112" s="678" t="s">
        <v>654</v>
      </c>
    </row>
    <row r="113" spans="2:7" s="677" customFormat="1" ht="20.100000000000001" customHeight="1">
      <c r="B113" s="677" t="s">
        <v>655</v>
      </c>
      <c r="E113" s="696">
        <f>E73</f>
        <v>0.02</v>
      </c>
      <c r="F113" s="681"/>
    </row>
    <row r="114" spans="2:7" s="677" customFormat="1" ht="20.100000000000001" customHeight="1">
      <c r="B114" s="677" t="s">
        <v>656</v>
      </c>
      <c r="E114" s="696">
        <f>IF(E76="No",E75,E77)</f>
        <v>0.4</v>
      </c>
      <c r="F114" s="681"/>
    </row>
    <row r="115" spans="2:7" s="677" customFormat="1" ht="20.100000000000001" customHeight="1">
      <c r="B115" s="677" t="s">
        <v>657</v>
      </c>
      <c r="E115" s="696">
        <f>IF(E79="No",D29+D28*D30,D29+E80*D30)</f>
        <v>0.11400000000000002</v>
      </c>
      <c r="F115" s="681"/>
    </row>
    <row r="116" spans="2:7" s="677" customFormat="1" ht="20.100000000000001" customHeight="1">
      <c r="B116" s="677" t="s">
        <v>658</v>
      </c>
      <c r="E116" s="704">
        <f>D85*(1+D92)^E33*(1+C104)*(1+D104)*(1+E104)*(1+F104)*(1+G104)*(1+H104)*(1+I104)*(1+J104)*(1+K104)*(1+L104)*(1+E113)*E114/(E115-E113)</f>
        <v>4841.4357402010892</v>
      </c>
      <c r="F116" s="681"/>
    </row>
    <row r="117" spans="2:7" s="677" customFormat="1" ht="20.100000000000001" customHeight="1">
      <c r="E117" s="681"/>
      <c r="F117" s="681"/>
    </row>
    <row r="118" spans="2:7" s="677" customFormat="1" ht="20.100000000000001" customHeight="1">
      <c r="B118" s="678" t="s">
        <v>659</v>
      </c>
      <c r="C118" s="678"/>
      <c r="D118" s="678"/>
      <c r="E118" s="709"/>
      <c r="F118" s="710">
        <f>SUM(C100:L100)</f>
        <v>0</v>
      </c>
    </row>
    <row r="119" spans="2:7" s="677" customFormat="1" ht="20.100000000000001" customHeight="1">
      <c r="B119" s="678" t="s">
        <v>660</v>
      </c>
      <c r="C119" s="678"/>
      <c r="D119" s="678"/>
      <c r="E119" s="709"/>
      <c r="F119" s="710">
        <f>SUM(C110:L110)</f>
        <v>490.11401411437419</v>
      </c>
    </row>
    <row r="120" spans="2:7" s="677" customFormat="1" ht="20.100000000000001" customHeight="1">
      <c r="B120" s="678" t="s">
        <v>661</v>
      </c>
      <c r="C120" s="678"/>
      <c r="D120" s="678"/>
      <c r="E120" s="709"/>
      <c r="F120" s="710">
        <f>E116/((1+D84)^E33*(1+C109)*(1+D109)*(1+E109)*(1+F109)*(1+G109)*(1+H109)*(1+I109)*(1+J109)*(1+K109)*(1+L109))</f>
        <v>1492.3225435306517</v>
      </c>
    </row>
    <row r="121" spans="2:7" s="677" customFormat="1" ht="20.100000000000001" customHeight="1">
      <c r="B121" s="678" t="s">
        <v>662</v>
      </c>
      <c r="C121" s="678"/>
      <c r="D121" s="678"/>
      <c r="E121" s="709"/>
      <c r="F121" s="713">
        <f>SUM(F118:F120)</f>
        <v>1982.4365576450259</v>
      </c>
    </row>
    <row r="122" spans="2:7" ht="20.100000000000001" customHeight="1">
      <c r="B122" s="711"/>
      <c r="C122" s="711"/>
      <c r="D122" s="711"/>
      <c r="E122" s="712"/>
      <c r="F122" s="712"/>
      <c r="G122" s="711"/>
    </row>
  </sheetData>
  <printOptions gridLinesSet="0"/>
  <pageMargins left="0.75" right="0.75" top="1" bottom="1" header="0.5" footer="0.5"/>
  <pageSetup orientation="portrait" horizontalDpi="0" verticalDpi="0" copies="0"/>
  <headerFooter alignWithMargins="0">
    <oddHeader>&amp;C Three-Stage Dividend Discount Model</oddHeader>
    <oddFooter>Page &amp;p</oddFooter>
  </headerFooter>
  <rowBreaks count="5" manualBreakCount="5">
    <brk id="20" max="65535" man="1"/>
    <brk id="59" max="65535" man="1"/>
    <brk id="84" max="65535" man="1"/>
    <brk id="95" max="65535" man="1"/>
    <brk id="135" max="65535"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E2FC-E217-4C3F-BA44-BE1AD0FC8F27}">
  <dimension ref="A1:L47"/>
  <sheetViews>
    <sheetView topLeftCell="A4" workbookViewId="0">
      <selection activeCell="K11" sqref="K11"/>
    </sheetView>
  </sheetViews>
  <sheetFormatPr defaultColWidth="8.7109375" defaultRowHeight="12.75"/>
  <cols>
    <col min="1" max="1" width="32.140625" style="8" customWidth="1"/>
    <col min="2" max="2" width="7.5703125" style="8" customWidth="1"/>
    <col min="3" max="7" width="7.42578125" style="8" bestFit="1" customWidth="1"/>
    <col min="8" max="8" width="16.85546875" style="8" bestFit="1" customWidth="1"/>
    <col min="9" max="9" width="7.42578125" style="8" bestFit="1" customWidth="1"/>
    <col min="10" max="10" width="10.140625" style="8" bestFit="1" customWidth="1"/>
    <col min="11" max="12" width="9.28515625" style="8" bestFit="1" customWidth="1"/>
    <col min="13" max="16384" width="8.7109375" style="8"/>
  </cols>
  <sheetData>
    <row r="1" spans="1:12" ht="19.5">
      <c r="A1" s="782" t="s">
        <v>109</v>
      </c>
      <c r="B1" s="783"/>
      <c r="C1" s="783"/>
      <c r="D1" s="783"/>
      <c r="E1" s="783"/>
      <c r="F1" s="783"/>
      <c r="G1" s="783"/>
      <c r="H1" s="783"/>
      <c r="I1" s="783"/>
      <c r="J1" s="783"/>
      <c r="K1" s="783"/>
      <c r="L1" s="784"/>
    </row>
    <row r="2" spans="1:12">
      <c r="A2" s="786" t="s">
        <v>299</v>
      </c>
      <c r="B2" s="787"/>
      <c r="C2" s="787"/>
      <c r="D2" s="787"/>
      <c r="E2" s="787"/>
      <c r="F2" s="787"/>
      <c r="G2" s="787"/>
      <c r="H2" s="787"/>
      <c r="I2" s="787"/>
      <c r="J2" s="787"/>
      <c r="K2" s="787"/>
      <c r="L2" s="788"/>
    </row>
    <row r="3" spans="1:12" ht="12.95" customHeight="1">
      <c r="A3" s="790" t="s">
        <v>302</v>
      </c>
      <c r="B3" s="791"/>
      <c r="C3" s="791"/>
      <c r="D3" s="791"/>
      <c r="E3" s="791"/>
      <c r="F3" s="791"/>
      <c r="G3" s="791"/>
      <c r="H3" s="791"/>
      <c r="I3" s="791"/>
      <c r="J3" s="791"/>
      <c r="K3" s="791"/>
      <c r="L3" s="792"/>
    </row>
    <row r="4" spans="1:12" ht="12.95" customHeight="1" thickBot="1">
      <c r="A4" s="793"/>
      <c r="B4" s="794"/>
      <c r="C4" s="794"/>
      <c r="D4" s="794"/>
      <c r="E4" s="794"/>
      <c r="F4" s="794"/>
      <c r="G4" s="794"/>
      <c r="H4" s="794"/>
      <c r="I4" s="794"/>
      <c r="J4" s="794"/>
      <c r="K4" s="794"/>
      <c r="L4" s="795"/>
    </row>
    <row r="6" spans="1:12">
      <c r="A6" s="15" t="s">
        <v>93</v>
      </c>
      <c r="B6" s="796" t="str">
        <f>'Profit &amp; Loss'!A2</f>
        <v>INTERGLOBE AVIATION LTD</v>
      </c>
      <c r="C6" s="796"/>
      <c r="D6" s="796"/>
      <c r="E6" s="796"/>
    </row>
    <row r="7" spans="1:12">
      <c r="A7" s="15" t="s">
        <v>119</v>
      </c>
      <c r="B7" s="244">
        <f>'Profit &amp; Loss'!K3</f>
        <v>42825</v>
      </c>
    </row>
    <row r="8" spans="1:12">
      <c r="A8" s="13"/>
      <c r="B8" s="13"/>
    </row>
    <row r="9" spans="1:12" ht="15.75">
      <c r="A9" s="789" t="s">
        <v>257</v>
      </c>
      <c r="B9" s="789"/>
      <c r="C9" s="789"/>
      <c r="D9" s="789"/>
      <c r="E9" s="789"/>
      <c r="F9" s="789"/>
      <c r="H9" s="780" t="s">
        <v>116</v>
      </c>
      <c r="I9" s="780"/>
      <c r="J9" s="780"/>
      <c r="K9" s="780"/>
      <c r="L9" s="780"/>
    </row>
    <row r="10" spans="1:12">
      <c r="A10" s="52" t="s">
        <v>124</v>
      </c>
      <c r="B10" s="53">
        <f>'Profit &amp; Loss'!G3</f>
        <v>41364</v>
      </c>
      <c r="C10" s="53">
        <f>'Profit &amp; Loss'!H3</f>
        <v>41729</v>
      </c>
      <c r="D10" s="53">
        <f>'Profit &amp; Loss'!I3</f>
        <v>42094</v>
      </c>
      <c r="E10" s="53">
        <f>'Profit &amp; Loss'!J3</f>
        <v>42460</v>
      </c>
      <c r="F10" s="53">
        <f>'Profit &amp; Loss'!K3</f>
        <v>42825</v>
      </c>
      <c r="H10" s="54" t="s">
        <v>136</v>
      </c>
      <c r="I10" s="55" t="s">
        <v>90</v>
      </c>
      <c r="J10" s="176" t="s">
        <v>250</v>
      </c>
      <c r="K10" s="55" t="s">
        <v>115</v>
      </c>
      <c r="L10" s="55" t="s">
        <v>114</v>
      </c>
    </row>
    <row r="11" spans="1:12">
      <c r="A11" s="15" t="s">
        <v>4</v>
      </c>
      <c r="B11" s="35">
        <f>'Data Sheet'!G17</f>
        <v>9203.08</v>
      </c>
      <c r="C11" s="35">
        <f>'Data Sheet'!H17</f>
        <v>11116.58</v>
      </c>
      <c r="D11" s="35">
        <f>'Data Sheet'!I17</f>
        <v>13925.34</v>
      </c>
      <c r="E11" s="35">
        <f>'Data Sheet'!J17</f>
        <v>16139.91</v>
      </c>
      <c r="F11" s="35">
        <f>'Data Sheet'!K17</f>
        <v>18580.5</v>
      </c>
      <c r="H11" s="46">
        <v>0.1</v>
      </c>
      <c r="I11" s="33">
        <f>$F$20/H11</f>
        <v>28650.785415854105</v>
      </c>
      <c r="J11" s="42">
        <f>'Balance Sheet'!K19-'Balance Sheet'!K6</f>
        <v>10325.82</v>
      </c>
      <c r="K11" s="36">
        <f>I11+J11</f>
        <v>38976.605415854108</v>
      </c>
      <c r="L11" s="42">
        <f>K11/'Data Sheet'!B6</f>
        <v>1013.9596019071136</v>
      </c>
    </row>
    <row r="12" spans="1:12">
      <c r="A12" s="15" t="s">
        <v>87</v>
      </c>
      <c r="B12" s="16">
        <f>'Data Sheet'!G28+'Data Sheet'!G27</f>
        <v>1065.8</v>
      </c>
      <c r="C12" s="16">
        <f>'Data Sheet'!H28+'Data Sheet'!H27</f>
        <v>597.88</v>
      </c>
      <c r="D12" s="16">
        <f>'Data Sheet'!I28+'Data Sheet'!I27</f>
        <v>1996.18</v>
      </c>
      <c r="E12" s="16">
        <f>'Data Sheet'!J28+'Data Sheet'!J27</f>
        <v>3173.7700000000004</v>
      </c>
      <c r="F12" s="16">
        <f>'Data Sheet'!K28+'Data Sheet'!K27</f>
        <v>2550.4900000000002</v>
      </c>
      <c r="H12" s="142">
        <v>0.12</v>
      </c>
      <c r="I12" s="47">
        <f>$F$20/H12</f>
        <v>23875.654513211757</v>
      </c>
      <c r="J12" s="47">
        <f>J11</f>
        <v>10325.82</v>
      </c>
      <c r="K12" s="48">
        <f>I12+J12</f>
        <v>34201.474513211753</v>
      </c>
      <c r="L12" s="47">
        <f>K12/'Data Sheet'!B6</f>
        <v>889.73662821715345</v>
      </c>
    </row>
    <row r="13" spans="1:12">
      <c r="A13" s="137" t="s">
        <v>112</v>
      </c>
      <c r="B13" s="141">
        <f>B12*0.5%</f>
        <v>5.3289999999999997</v>
      </c>
      <c r="C13" s="141">
        <f>C12*0.5%</f>
        <v>2.9893999999999998</v>
      </c>
      <c r="D13" s="141">
        <f>D12*0.5%</f>
        <v>9.9809000000000001</v>
      </c>
      <c r="E13" s="141">
        <f>E12*0.5%</f>
        <v>15.868850000000002</v>
      </c>
      <c r="F13" s="141">
        <f>F12*0.5%</f>
        <v>12.752450000000001</v>
      </c>
      <c r="H13" s="46">
        <v>0.15</v>
      </c>
      <c r="I13" s="33">
        <f>$F$20/H13</f>
        <v>19100.523610569406</v>
      </c>
      <c r="J13" s="42">
        <f>J12</f>
        <v>10325.82</v>
      </c>
      <c r="K13" s="36">
        <f>I13+J13</f>
        <v>29426.343610569405</v>
      </c>
      <c r="L13" s="42">
        <f>K13/'Data Sheet'!B6</f>
        <v>765.51365452719369</v>
      </c>
    </row>
    <row r="14" spans="1:12">
      <c r="A14" s="15" t="s">
        <v>192</v>
      </c>
      <c r="B14" s="16">
        <f>B12-B13</f>
        <v>1060.471</v>
      </c>
      <c r="C14" s="16">
        <f>C12-C13</f>
        <v>594.89059999999995</v>
      </c>
      <c r="D14" s="16">
        <f>D12-D13</f>
        <v>1986.1991</v>
      </c>
      <c r="E14" s="16">
        <f>E12-E13</f>
        <v>3157.9011500000006</v>
      </c>
      <c r="F14" s="16">
        <f>F12-F13</f>
        <v>2537.7375500000003</v>
      </c>
      <c r="H14" s="781" t="s">
        <v>121</v>
      </c>
      <c r="I14" s="781"/>
      <c r="J14" s="781"/>
      <c r="K14" s="47">
        <f>'Data Sheet'!B9</f>
        <v>46360.56</v>
      </c>
      <c r="L14" s="15"/>
    </row>
    <row r="15" spans="1:12">
      <c r="A15" s="45" t="s">
        <v>193</v>
      </c>
      <c r="B15" s="32">
        <f>B14/B11</f>
        <v>0.11523000995318959</v>
      </c>
      <c r="C15" s="32">
        <f>C14/C11</f>
        <v>5.3513814500502847E-2</v>
      </c>
      <c r="D15" s="32">
        <f>D14/D11</f>
        <v>0.14263200036767504</v>
      </c>
      <c r="E15" s="32">
        <f>E14/E11</f>
        <v>0.19565791568850141</v>
      </c>
      <c r="F15" s="32">
        <f>F14/F11</f>
        <v>0.1365806921234628</v>
      </c>
      <c r="H15" s="781" t="s">
        <v>118</v>
      </c>
      <c r="I15" s="781"/>
      <c r="J15" s="781"/>
      <c r="K15" s="49">
        <f>K12/K14</f>
        <v>0.73772781245980967</v>
      </c>
      <c r="L15" s="15"/>
    </row>
    <row r="16" spans="1:12">
      <c r="A16" s="45" t="s">
        <v>113</v>
      </c>
      <c r="B16" s="32">
        <f>'Data Sheet'!G29/'Data Sheet'!G28</f>
        <v>0.20728539497795048</v>
      </c>
      <c r="C16" s="32">
        <f>'Data Sheet'!H29/'Data Sheet'!H28</f>
        <v>1.8093835472333263E-3</v>
      </c>
      <c r="D16" s="32">
        <f>'Data Sheet'!I29/'Data Sheet'!I28</f>
        <v>0.29371307262811869</v>
      </c>
      <c r="E16" s="32">
        <f>'Data Sheet'!J29/'Data Sheet'!J28</f>
        <v>0.29655995551636083</v>
      </c>
      <c r="F16" s="32">
        <f>'Data Sheet'!K29/'Data Sheet'!K28</f>
        <v>0.22624677056810019</v>
      </c>
    </row>
    <row r="17" spans="1:12">
      <c r="A17" s="45" t="s">
        <v>256</v>
      </c>
      <c r="B17" s="37">
        <f>B14*(1-B16)</f>
        <v>840.65084990233788</v>
      </c>
      <c r="C17" s="37">
        <f>C14*(1-C16)</f>
        <v>593.81421473595617</v>
      </c>
      <c r="D17" s="37">
        <f>D14*(1-D16)</f>
        <v>1402.826459487796</v>
      </c>
      <c r="E17" s="37">
        <f>E14*(1-E16)</f>
        <v>2221.3941254309357</v>
      </c>
      <c r="F17" s="37">
        <f>F14*(1-F16)</f>
        <v>1963.5826247630976</v>
      </c>
      <c r="H17" s="785" t="s">
        <v>249</v>
      </c>
      <c r="I17" s="785"/>
      <c r="J17" s="785"/>
      <c r="K17" s="785"/>
      <c r="L17" s="785"/>
    </row>
    <row r="18" spans="1:12" ht="12.95" customHeight="1">
      <c r="A18" s="45" t="s">
        <v>8</v>
      </c>
      <c r="B18" s="37">
        <f>'Data Sheet'!G26</f>
        <v>85.62</v>
      </c>
      <c r="C18" s="37">
        <f>'Data Sheet'!H26</f>
        <v>226.01</v>
      </c>
      <c r="D18" s="37">
        <f>'Data Sheet'!I26</f>
        <v>302.20999999999998</v>
      </c>
      <c r="E18" s="37">
        <f>'Data Sheet'!J26</f>
        <v>505.47</v>
      </c>
      <c r="F18" s="37">
        <f>'Data Sheet'!K26</f>
        <v>457.25</v>
      </c>
      <c r="H18" s="785"/>
      <c r="I18" s="785"/>
      <c r="J18" s="785"/>
      <c r="K18" s="785"/>
      <c r="L18" s="785"/>
    </row>
    <row r="19" spans="1:12" ht="12.6" customHeight="1">
      <c r="A19" s="45" t="s">
        <v>265</v>
      </c>
      <c r="B19" s="37">
        <f>B40</f>
        <v>-1015.8963417389404</v>
      </c>
      <c r="C19" s="37">
        <f>C40</f>
        <v>-534.27522108977587</v>
      </c>
      <c r="D19" s="37">
        <f>D40</f>
        <v>232.85601254867061</v>
      </c>
      <c r="E19" s="37">
        <f>E40</f>
        <v>-386.33805924681724</v>
      </c>
      <c r="F19" s="37">
        <f>F40</f>
        <v>-444.24591682231301</v>
      </c>
      <c r="H19" s="785"/>
      <c r="I19" s="785"/>
      <c r="J19" s="785"/>
      <c r="K19" s="785"/>
      <c r="L19" s="785"/>
    </row>
    <row r="20" spans="1:12">
      <c r="A20" s="45" t="s">
        <v>261</v>
      </c>
      <c r="B20" s="37">
        <f>B17+B18-B19</f>
        <v>1942.1671916412784</v>
      </c>
      <c r="C20" s="37">
        <f>C17+C18-C19</f>
        <v>1354.0994358257321</v>
      </c>
      <c r="D20" s="37">
        <f>D17+D18-D19</f>
        <v>1472.1804469391254</v>
      </c>
      <c r="E20" s="37">
        <f>E17+E18-E19</f>
        <v>3113.2021846777534</v>
      </c>
      <c r="F20" s="177">
        <f>F17+F18-F19</f>
        <v>2865.0785415854107</v>
      </c>
    </row>
    <row r="21" spans="1:12">
      <c r="A21" s="45" t="s">
        <v>194</v>
      </c>
      <c r="B21" s="37">
        <f>'Data Sheet'!G30</f>
        <v>787.35</v>
      </c>
      <c r="C21" s="37">
        <f>'Data Sheet'!H30</f>
        <v>474.44</v>
      </c>
      <c r="D21" s="37">
        <f>'Data Sheet'!I30</f>
        <v>1304.17</v>
      </c>
      <c r="E21" s="37">
        <f>'Data Sheet'!J30</f>
        <v>1986.16</v>
      </c>
      <c r="F21" s="37">
        <f>'Data Sheet'!K30</f>
        <v>1659.19</v>
      </c>
    </row>
    <row r="22" spans="1:12">
      <c r="A22" s="38"/>
      <c r="B22" s="39"/>
      <c r="C22" s="39"/>
      <c r="D22" s="39"/>
      <c r="E22" s="39"/>
      <c r="F22" s="39"/>
      <c r="G22" s="27"/>
    </row>
    <row r="23" spans="1:12">
      <c r="A23" s="245" t="s">
        <v>263</v>
      </c>
      <c r="B23" s="39"/>
      <c r="C23" s="39"/>
      <c r="D23" s="39"/>
      <c r="E23" s="39"/>
      <c r="F23" s="39"/>
      <c r="G23" s="27"/>
    </row>
    <row r="24" spans="1:12">
      <c r="A24" s="17" t="s">
        <v>258</v>
      </c>
      <c r="B24" s="39"/>
      <c r="C24" s="39"/>
      <c r="D24" s="39"/>
      <c r="E24" s="39"/>
      <c r="F24" s="39"/>
      <c r="G24" s="39"/>
    </row>
    <row r="25" spans="1:12">
      <c r="A25" s="8" t="s">
        <v>295</v>
      </c>
      <c r="B25" s="39"/>
      <c r="C25" s="39"/>
      <c r="D25" s="39"/>
      <c r="E25" s="39"/>
      <c r="F25" s="39"/>
      <c r="G25" s="17"/>
    </row>
    <row r="26" spans="1:12">
      <c r="A26" s="8" t="s">
        <v>260</v>
      </c>
      <c r="B26" s="39"/>
      <c r="C26" s="39"/>
      <c r="D26" s="39"/>
      <c r="E26" s="39"/>
      <c r="F26" s="39"/>
      <c r="G26" s="17"/>
    </row>
    <row r="27" spans="1:12">
      <c r="A27" s="8" t="s">
        <v>259</v>
      </c>
      <c r="B27" s="39"/>
      <c r="C27" s="39"/>
      <c r="D27" s="39"/>
      <c r="E27" s="39"/>
      <c r="F27" s="39"/>
      <c r="G27" s="17"/>
    </row>
    <row r="28" spans="1:12">
      <c r="A28" s="8" t="s">
        <v>262</v>
      </c>
      <c r="B28" s="39"/>
      <c r="C28" s="39"/>
      <c r="D28" s="39"/>
      <c r="E28" s="39"/>
      <c r="F28" s="39"/>
      <c r="G28" s="17"/>
      <c r="H28" s="17"/>
    </row>
    <row r="29" spans="1:12">
      <c r="A29" s="8" t="s">
        <v>301</v>
      </c>
      <c r="B29" s="39"/>
      <c r="C29" s="39"/>
      <c r="D29" s="39"/>
      <c r="E29" s="39"/>
      <c r="F29" s="39"/>
      <c r="G29" s="17"/>
      <c r="H29" s="17"/>
    </row>
    <row r="30" spans="1:12">
      <c r="A30" s="8" t="s">
        <v>300</v>
      </c>
      <c r="B30" s="39"/>
      <c r="C30" s="39"/>
      <c r="D30" s="39"/>
      <c r="E30" s="39"/>
      <c r="F30" s="39"/>
      <c r="G30" s="17"/>
      <c r="H30" s="17"/>
    </row>
    <row r="31" spans="1:12">
      <c r="A31" s="38"/>
      <c r="B31" s="39"/>
      <c r="C31" s="39"/>
      <c r="D31" s="39"/>
      <c r="E31" s="39"/>
      <c r="F31" s="39"/>
      <c r="G31" s="17"/>
      <c r="H31" s="17"/>
    </row>
    <row r="32" spans="1:12" ht="15.75">
      <c r="A32" s="779" t="s">
        <v>117</v>
      </c>
      <c r="B32" s="779"/>
      <c r="C32" s="779"/>
      <c r="D32" s="779"/>
      <c r="E32" s="779"/>
      <c r="F32" s="779"/>
    </row>
    <row r="33" spans="1:9">
      <c r="A33" s="52" t="s">
        <v>124</v>
      </c>
      <c r="B33" s="56">
        <f>'Data Sheet'!G16</f>
        <v>41364</v>
      </c>
      <c r="C33" s="56">
        <f>'Data Sheet'!H16</f>
        <v>41729</v>
      </c>
      <c r="D33" s="56">
        <f>'Data Sheet'!I16</f>
        <v>42094</v>
      </c>
      <c r="E33" s="56">
        <f>'Data Sheet'!J16</f>
        <v>42460</v>
      </c>
      <c r="F33" s="56">
        <f>'Data Sheet'!K16</f>
        <v>42825</v>
      </c>
    </row>
    <row r="34" spans="1:9">
      <c r="A34" s="40" t="s">
        <v>252</v>
      </c>
      <c r="B34" s="42">
        <f>'Data Sheet'!G62</f>
        <v>1764.46</v>
      </c>
      <c r="C34" s="42">
        <f>'Data Sheet'!H62</f>
        <v>3955.97</v>
      </c>
      <c r="D34" s="42">
        <f>'Data Sheet'!I62</f>
        <v>4876.04</v>
      </c>
      <c r="E34" s="42">
        <f>'Data Sheet'!J62</f>
        <v>4747.41</v>
      </c>
      <c r="F34" s="42">
        <f>'Data Sheet'!K62</f>
        <v>3793.84</v>
      </c>
      <c r="H34" s="34"/>
      <c r="I34" s="34"/>
    </row>
    <row r="35" spans="1:9">
      <c r="A35" s="40" t="s">
        <v>110</v>
      </c>
      <c r="B35" s="42">
        <f>'Data Sheet'!G17</f>
        <v>9203.08</v>
      </c>
      <c r="C35" s="42">
        <f>'Data Sheet'!H17</f>
        <v>11116.58</v>
      </c>
      <c r="D35" s="42">
        <f>'Data Sheet'!I17</f>
        <v>13925.34</v>
      </c>
      <c r="E35" s="42">
        <f>'Data Sheet'!J17</f>
        <v>16139.91</v>
      </c>
      <c r="F35" s="42">
        <f>'Data Sheet'!K17</f>
        <v>18580.5</v>
      </c>
      <c r="G35" s="34"/>
      <c r="H35" s="34"/>
      <c r="I35" s="34"/>
    </row>
    <row r="36" spans="1:9">
      <c r="A36" s="40" t="s">
        <v>254</v>
      </c>
      <c r="B36" s="44">
        <f>B34/B35</f>
        <v>0.19172494425779196</v>
      </c>
      <c r="C36" s="44">
        <f>C34/C35</f>
        <v>0.35586214465240207</v>
      </c>
      <c r="D36" s="44">
        <f>D34/D35</f>
        <v>0.35015590283612463</v>
      </c>
      <c r="E36" s="44">
        <f>E34/E35</f>
        <v>0.29414104539616392</v>
      </c>
      <c r="F36" s="44">
        <f>F34/F35</f>
        <v>0.20418395629826969</v>
      </c>
      <c r="G36" s="34"/>
    </row>
    <row r="37" spans="1:9">
      <c r="A37" s="66" t="s">
        <v>253</v>
      </c>
      <c r="B37" s="67">
        <f>(B11-'Data Sheet'!F17)</f>
        <v>3638.42</v>
      </c>
      <c r="C37" s="67">
        <f>(C11-B11)</f>
        <v>1913.5</v>
      </c>
      <c r="D37" s="67">
        <f>(D11-C11)</f>
        <v>2808.76</v>
      </c>
      <c r="E37" s="67">
        <f>(E11-D11)</f>
        <v>2214.5699999999997</v>
      </c>
      <c r="F37" s="67">
        <f>(F11-E11)</f>
        <v>2440.59</v>
      </c>
    </row>
    <row r="38" spans="1:9">
      <c r="A38" s="66" t="s">
        <v>111</v>
      </c>
      <c r="B38" s="67">
        <f>'Cash Flow'!G10</f>
        <v>0</v>
      </c>
      <c r="C38" s="67">
        <f>'Cash Flow'!H10</f>
        <v>0</v>
      </c>
      <c r="D38" s="67">
        <f>'Cash Flow'!I10</f>
        <v>1017.1</v>
      </c>
      <c r="E38" s="67">
        <f>'Cash Flow'!J10</f>
        <v>232</v>
      </c>
      <c r="F38" s="67">
        <f>'Cash Flow'!K10</f>
        <v>237.20000000000002</v>
      </c>
    </row>
    <row r="39" spans="1:9">
      <c r="A39" s="40" t="s">
        <v>88</v>
      </c>
      <c r="B39" s="41">
        <f>B37*AVERAGE($B$36:$F$36)</f>
        <v>1015.8963417389404</v>
      </c>
      <c r="C39" s="41">
        <f>C37*AVERAGE($B$36:$F$36)</f>
        <v>534.27522108977587</v>
      </c>
      <c r="D39" s="41">
        <f>D37*AVERAGE($B$36:$F$36)</f>
        <v>784.24398745132942</v>
      </c>
      <c r="E39" s="41">
        <f>E37*AVERAGE($B$36:$F$36)</f>
        <v>618.33805924681724</v>
      </c>
      <c r="F39" s="41">
        <f>F37*AVERAGE($B$36:$F$36)</f>
        <v>681.44591682231305</v>
      </c>
    </row>
    <row r="40" spans="1:9">
      <c r="A40" s="40" t="s">
        <v>89</v>
      </c>
      <c r="B40" s="43">
        <f>B38-B39</f>
        <v>-1015.8963417389404</v>
      </c>
      <c r="C40" s="43">
        <f>C38-C39</f>
        <v>-534.27522108977587</v>
      </c>
      <c r="D40" s="43">
        <f>D38-D39</f>
        <v>232.85601254867061</v>
      </c>
      <c r="E40" s="43">
        <f>E38-E39</f>
        <v>-386.33805924681724</v>
      </c>
      <c r="F40" s="43">
        <f>F38-F39</f>
        <v>-444.24591682231301</v>
      </c>
    </row>
    <row r="41" spans="1:9">
      <c r="A41" s="17"/>
      <c r="B41" s="17"/>
      <c r="C41" s="17"/>
      <c r="D41" s="17"/>
      <c r="E41" s="17"/>
      <c r="F41" s="17"/>
    </row>
    <row r="42" spans="1:9">
      <c r="A42" s="245" t="s">
        <v>264</v>
      </c>
    </row>
    <row r="43" spans="1:9">
      <c r="A43" s="17" t="s">
        <v>296</v>
      </c>
    </row>
    <row r="44" spans="1:9">
      <c r="A44" s="17" t="s">
        <v>251</v>
      </c>
    </row>
    <row r="45" spans="1:9">
      <c r="A45" s="17" t="s">
        <v>297</v>
      </c>
    </row>
    <row r="46" spans="1:9">
      <c r="A46" s="17" t="s">
        <v>298</v>
      </c>
      <c r="C46" s="34"/>
      <c r="D46" s="34"/>
      <c r="E46" s="34"/>
      <c r="F46" s="34"/>
    </row>
    <row r="47" spans="1:9">
      <c r="C47" s="34"/>
      <c r="D47" s="34"/>
      <c r="E47" s="34"/>
      <c r="F47" s="34"/>
    </row>
  </sheetData>
  <mergeCells count="10">
    <mergeCell ref="A32:F32"/>
    <mergeCell ref="H9:L9"/>
    <mergeCell ref="H14:J14"/>
    <mergeCell ref="H15:J15"/>
    <mergeCell ref="A1:L1"/>
    <mergeCell ref="H17:L19"/>
    <mergeCell ref="A2:L2"/>
    <mergeCell ref="A9:F9"/>
    <mergeCell ref="A3:L4"/>
    <mergeCell ref="B6:E6"/>
  </mergeCells>
  <hyperlinks>
    <hyperlink ref="A2:L2" r:id="rId1" display="Read the book - Value Investing: From Graham to Buffett and Beyond by Bruce Greenwald" xr:uid="{5365D6CB-73E8-4A7A-880E-32486C7C3B32}"/>
  </hyperlinks>
  <pageMargins left="0.7" right="0.7" top="0.75" bottom="0.75" header="0.3" footer="0.3"/>
  <pageSetup orientation="portrait"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A0A00-A0D5-4FFF-90D7-C49DAC877E8D}">
  <dimension ref="A1:M27"/>
  <sheetViews>
    <sheetView workbookViewId="0">
      <selection activeCell="D22" sqref="D22"/>
    </sheetView>
  </sheetViews>
  <sheetFormatPr defaultColWidth="8.7109375" defaultRowHeight="12.75"/>
  <cols>
    <col min="1" max="1" width="4.7109375" style="8" bestFit="1" customWidth="1"/>
    <col min="2" max="2" width="9.42578125" style="8" customWidth="1"/>
    <col min="3" max="3" width="10.85546875" style="8" bestFit="1" customWidth="1"/>
    <col min="4" max="4" width="16.140625" style="8" bestFit="1" customWidth="1"/>
    <col min="5" max="5" width="13" style="8" bestFit="1" customWidth="1"/>
    <col min="6" max="6" width="6.85546875" style="8" customWidth="1"/>
    <col min="7" max="7" width="8.7109375" style="8"/>
    <col min="8" max="8" width="4.7109375" style="8" bestFit="1" customWidth="1"/>
    <col min="9" max="9" width="8.42578125" style="8" customWidth="1"/>
    <col min="10" max="10" width="10.85546875" style="8" bestFit="1" customWidth="1"/>
    <col min="11" max="11" width="16.140625" style="8" bestFit="1" customWidth="1"/>
    <col min="12" max="12" width="13" style="8" bestFit="1" customWidth="1"/>
    <col min="13" max="13" width="7" style="8" customWidth="1"/>
    <col min="14" max="16384" width="8.7109375" style="8"/>
  </cols>
  <sheetData>
    <row r="1" spans="1:13" ht="19.5">
      <c r="A1" s="782" t="s">
        <v>276</v>
      </c>
      <c r="B1" s="783"/>
      <c r="C1" s="783"/>
      <c r="D1" s="783"/>
      <c r="E1" s="783"/>
      <c r="F1" s="783"/>
      <c r="G1" s="783"/>
      <c r="H1" s="783"/>
      <c r="I1" s="783"/>
      <c r="J1" s="783"/>
      <c r="K1" s="783"/>
      <c r="L1" s="783"/>
      <c r="M1" s="784"/>
    </row>
    <row r="2" spans="1:13" ht="13.5" thickBot="1">
      <c r="A2" s="797" t="s">
        <v>277</v>
      </c>
      <c r="B2" s="798"/>
      <c r="C2" s="798"/>
      <c r="D2" s="798"/>
      <c r="E2" s="798"/>
      <c r="F2" s="798"/>
      <c r="G2" s="798"/>
      <c r="H2" s="798"/>
      <c r="I2" s="798"/>
      <c r="J2" s="798"/>
      <c r="K2" s="798"/>
      <c r="L2" s="798"/>
      <c r="M2" s="799"/>
    </row>
    <row r="4" spans="1:13">
      <c r="A4" s="803" t="str">
        <f>'Data Sheet'!B1</f>
        <v>INTERGLOBE AVIATION LTD</v>
      </c>
      <c r="B4" s="803"/>
      <c r="C4" s="803"/>
      <c r="D4" s="803"/>
      <c r="H4" s="803" t="str">
        <f>A4</f>
        <v>INTERGLOBE AVIATION LTD</v>
      </c>
      <c r="I4" s="803"/>
      <c r="J4" s="803"/>
      <c r="K4" s="803"/>
    </row>
    <row r="5" spans="1:13">
      <c r="A5" s="803" t="s">
        <v>278</v>
      </c>
      <c r="B5" s="803"/>
      <c r="C5" s="803"/>
      <c r="D5" s="803"/>
      <c r="E5" s="801"/>
      <c r="F5" s="802"/>
      <c r="H5" s="803" t="s">
        <v>279</v>
      </c>
      <c r="I5" s="803"/>
      <c r="J5" s="803"/>
      <c r="K5" s="803"/>
      <c r="L5" s="801"/>
      <c r="M5" s="802"/>
    </row>
    <row r="6" spans="1:13">
      <c r="A6" s="63" t="s">
        <v>125</v>
      </c>
      <c r="B6" s="64"/>
      <c r="C6" s="65" t="s">
        <v>126</v>
      </c>
      <c r="D6" s="64" t="s">
        <v>127</v>
      </c>
      <c r="E6" s="800" t="s">
        <v>128</v>
      </c>
      <c r="F6" s="800"/>
      <c r="H6" s="63" t="s">
        <v>125</v>
      </c>
      <c r="I6" s="64"/>
      <c r="J6" s="65" t="s">
        <v>126</v>
      </c>
      <c r="K6" s="64" t="s">
        <v>127</v>
      </c>
      <c r="L6" s="800" t="s">
        <v>128</v>
      </c>
      <c r="M6" s="800"/>
    </row>
    <row r="7" spans="1:13">
      <c r="A7" s="58">
        <v>0</v>
      </c>
      <c r="B7" s="15" t="s">
        <v>145</v>
      </c>
      <c r="C7" s="59"/>
      <c r="D7" s="61">
        <f>'Balance Sheet'!K19</f>
        <v>12922</v>
      </c>
      <c r="E7" s="57" t="s">
        <v>129</v>
      </c>
      <c r="F7" s="68">
        <v>0.15</v>
      </c>
      <c r="H7" s="58">
        <v>0</v>
      </c>
      <c r="I7" s="15" t="s">
        <v>145</v>
      </c>
      <c r="J7" s="59"/>
      <c r="K7" s="61">
        <f>D7</f>
        <v>12922</v>
      </c>
      <c r="L7" s="57" t="s">
        <v>129</v>
      </c>
      <c r="M7" s="68">
        <v>0.15</v>
      </c>
    </row>
    <row r="8" spans="1:13">
      <c r="A8" s="58">
        <v>1</v>
      </c>
      <c r="B8" s="15" t="s">
        <v>130</v>
      </c>
      <c r="C8" s="60">
        <f>'Cash Flow'!B12*(1+$F$7)</f>
        <v>2988.2251666666666</v>
      </c>
      <c r="D8" s="61">
        <f>C8/((1+$F$10)^A8)</f>
        <v>2532.3942090395481</v>
      </c>
      <c r="E8" s="57" t="s">
        <v>131</v>
      </c>
      <c r="F8" s="68">
        <v>0.1</v>
      </c>
      <c r="H8" s="58">
        <v>1</v>
      </c>
      <c r="I8" s="15" t="s">
        <v>130</v>
      </c>
      <c r="J8" s="60">
        <f>'Cash Flow'!B12*(1+$M$7)</f>
        <v>2988.2251666666666</v>
      </c>
      <c r="K8" s="61">
        <f>J8/((1+$M$10)^H8)</f>
        <v>2668.0581845238094</v>
      </c>
      <c r="L8" s="57" t="s">
        <v>131</v>
      </c>
      <c r="M8" s="68">
        <v>0.1</v>
      </c>
    </row>
    <row r="9" spans="1:13">
      <c r="A9" s="58">
        <v>2</v>
      </c>
      <c r="B9" s="15" t="s">
        <v>132</v>
      </c>
      <c r="C9" s="60">
        <f>C8*(1+$F$7)</f>
        <v>3436.4589416666663</v>
      </c>
      <c r="D9" s="61">
        <f t="shared" ref="D9:D18" si="0">C9/((1+$F$10)^A9)</f>
        <v>2468.0113054198987</v>
      </c>
      <c r="E9" s="57" t="s">
        <v>133</v>
      </c>
      <c r="F9" s="68">
        <v>0.05</v>
      </c>
      <c r="H9" s="58">
        <v>2</v>
      </c>
      <c r="I9" s="15" t="s">
        <v>132</v>
      </c>
      <c r="J9" s="60">
        <f>J8*(1+$M$7)</f>
        <v>3436.4589416666663</v>
      </c>
      <c r="K9" s="61">
        <f t="shared" ref="K9:K18" si="1">J9/((1+$M$10)^H9)</f>
        <v>2739.5240287521251</v>
      </c>
      <c r="L9" s="57" t="s">
        <v>133</v>
      </c>
      <c r="M9" s="68">
        <v>0.05</v>
      </c>
    </row>
    <row r="10" spans="1:13">
      <c r="A10" s="58">
        <v>3</v>
      </c>
      <c r="B10" s="15" t="s">
        <v>134</v>
      </c>
      <c r="C10" s="60">
        <f>C9*(1+$F$7)</f>
        <v>3951.9277829166658</v>
      </c>
      <c r="D10" s="61">
        <f t="shared" si="0"/>
        <v>2405.2652552821041</v>
      </c>
      <c r="E10" s="57" t="s">
        <v>136</v>
      </c>
      <c r="F10" s="68">
        <v>0.18</v>
      </c>
      <c r="H10" s="58">
        <v>3</v>
      </c>
      <c r="I10" s="15" t="s">
        <v>134</v>
      </c>
      <c r="J10" s="60">
        <f>J9*(1+$M$7)</f>
        <v>3951.9277829166658</v>
      </c>
      <c r="K10" s="61">
        <f t="shared" si="1"/>
        <v>2812.9041366651277</v>
      </c>
      <c r="L10" s="57" t="s">
        <v>136</v>
      </c>
      <c r="M10" s="68">
        <v>0.12</v>
      </c>
    </row>
    <row r="11" spans="1:13">
      <c r="A11" s="58">
        <v>4</v>
      </c>
      <c r="B11" s="15" t="s">
        <v>135</v>
      </c>
      <c r="C11" s="60">
        <f>C10*(1+$F$8)</f>
        <v>4347.1205612083331</v>
      </c>
      <c r="D11" s="61">
        <f t="shared" si="0"/>
        <v>2242.1964244155215</v>
      </c>
      <c r="H11" s="58">
        <v>4</v>
      </c>
      <c r="I11" s="15" t="s">
        <v>135</v>
      </c>
      <c r="J11" s="60">
        <f>J10*(1+$M$8)</f>
        <v>4347.1205612083331</v>
      </c>
      <c r="K11" s="61">
        <f t="shared" si="1"/>
        <v>2762.6737056532511</v>
      </c>
    </row>
    <row r="12" spans="1:13">
      <c r="A12" s="58">
        <v>5</v>
      </c>
      <c r="B12" s="15" t="s">
        <v>137</v>
      </c>
      <c r="C12" s="60">
        <f>C11*(1+$F$8)</f>
        <v>4781.8326173291671</v>
      </c>
      <c r="D12" s="61">
        <f t="shared" si="0"/>
        <v>2090.1831075059954</v>
      </c>
      <c r="E12" s="804" t="s">
        <v>303</v>
      </c>
      <c r="F12" s="804"/>
      <c r="G12" s="13"/>
      <c r="H12" s="58">
        <v>5</v>
      </c>
      <c r="I12" s="15" t="s">
        <v>137</v>
      </c>
      <c r="J12" s="60">
        <f>J11*(1+$M$8)</f>
        <v>4781.8326173291671</v>
      </c>
      <c r="K12" s="61">
        <f t="shared" si="1"/>
        <v>2713.3402466237289</v>
      </c>
    </row>
    <row r="13" spans="1:13">
      <c r="A13" s="58">
        <v>6</v>
      </c>
      <c r="B13" s="15" t="s">
        <v>138</v>
      </c>
      <c r="C13" s="60">
        <f>C12*(1+$F$8)</f>
        <v>5260.0158790620844</v>
      </c>
      <c r="D13" s="61">
        <f t="shared" si="0"/>
        <v>1948.4757781835549</v>
      </c>
      <c r="E13" s="137" t="s">
        <v>4</v>
      </c>
      <c r="F13" s="143">
        <f>('Profit &amp; Loss'!K4/'Profit &amp; Loss'!F4)^(1/5)-1</f>
        <v>0.27269328445743923</v>
      </c>
      <c r="H13" s="58">
        <v>6</v>
      </c>
      <c r="I13" s="15" t="s">
        <v>138</v>
      </c>
      <c r="J13" s="60">
        <f>J12*(1+$M$8)</f>
        <v>5260.0158790620844</v>
      </c>
      <c r="K13" s="61">
        <f t="shared" si="1"/>
        <v>2664.8877422197338</v>
      </c>
    </row>
    <row r="14" spans="1:13">
      <c r="A14" s="58">
        <v>7</v>
      </c>
      <c r="B14" s="15" t="s">
        <v>139</v>
      </c>
      <c r="C14" s="60">
        <f>C13*(1+$F$9)</f>
        <v>5523.0166730151886</v>
      </c>
      <c r="D14" s="61">
        <f t="shared" si="0"/>
        <v>1733.8131924514685</v>
      </c>
      <c r="E14" s="137" t="s">
        <v>148</v>
      </c>
      <c r="F14" s="143">
        <f>('Profit &amp; Loss'!K19/'Profit &amp; Loss'!F19)^(1/5)-1</f>
        <v>1.0191684739507454</v>
      </c>
      <c r="H14" s="58">
        <v>7</v>
      </c>
      <c r="I14" s="15" t="s">
        <v>139</v>
      </c>
      <c r="J14" s="60">
        <f>J13*(1+$M$9)</f>
        <v>5523.0166730151886</v>
      </c>
      <c r="K14" s="61">
        <f t="shared" si="1"/>
        <v>2498.3322583310005</v>
      </c>
    </row>
    <row r="15" spans="1:13">
      <c r="A15" s="58">
        <v>8</v>
      </c>
      <c r="B15" s="15" t="s">
        <v>140</v>
      </c>
      <c r="C15" s="60">
        <f>C14*(1+$F$9)</f>
        <v>5799.1675066659482</v>
      </c>
      <c r="D15" s="61">
        <f t="shared" si="0"/>
        <v>1542.7998746390188</v>
      </c>
      <c r="E15" s="137" t="s">
        <v>146</v>
      </c>
      <c r="F15" s="143">
        <f>('Cash Flow'!K11/'Cash Flow'!F11)^(1/5)-1</f>
        <v>0.31658165024466722</v>
      </c>
      <c r="H15" s="58">
        <v>8</v>
      </c>
      <c r="I15" s="15" t="s">
        <v>140</v>
      </c>
      <c r="J15" s="60">
        <f>J14*(1+$M$9)</f>
        <v>5799.1675066659482</v>
      </c>
      <c r="K15" s="61">
        <f t="shared" si="1"/>
        <v>2342.1864921853125</v>
      </c>
    </row>
    <row r="16" spans="1:13">
      <c r="A16" s="58">
        <v>9</v>
      </c>
      <c r="B16" s="15" t="s">
        <v>141</v>
      </c>
      <c r="C16" s="60">
        <f>C15*(1+$F$9)</f>
        <v>6089.1258819992454</v>
      </c>
      <c r="D16" s="61">
        <f t="shared" si="0"/>
        <v>1372.8303969245505</v>
      </c>
      <c r="H16" s="58">
        <v>9</v>
      </c>
      <c r="I16" s="15" t="s">
        <v>141</v>
      </c>
      <c r="J16" s="60">
        <f>J15*(1+$M$9)</f>
        <v>6089.1258819992454</v>
      </c>
      <c r="K16" s="61">
        <f t="shared" si="1"/>
        <v>2195.7998364237305</v>
      </c>
    </row>
    <row r="17" spans="1:11">
      <c r="A17" s="58">
        <v>10</v>
      </c>
      <c r="B17" s="15" t="s">
        <v>142</v>
      </c>
      <c r="C17" s="60">
        <f>C16*(1+$F$9)</f>
        <v>6393.5821760992076</v>
      </c>
      <c r="D17" s="61">
        <f t="shared" si="0"/>
        <v>1221.5863701447272</v>
      </c>
      <c r="H17" s="58">
        <v>10</v>
      </c>
      <c r="I17" s="15" t="s">
        <v>142</v>
      </c>
      <c r="J17" s="60">
        <f>J16*(1+$M$9)</f>
        <v>6393.5821760992076</v>
      </c>
      <c r="K17" s="61">
        <f t="shared" si="1"/>
        <v>2058.5623466472471</v>
      </c>
    </row>
    <row r="18" spans="1:11">
      <c r="A18" s="58">
        <v>10</v>
      </c>
      <c r="B18" s="15"/>
      <c r="C18" s="70">
        <f>C17*10</f>
        <v>63935.821760992076</v>
      </c>
      <c r="D18" s="61">
        <f t="shared" si="0"/>
        <v>12215.863701447272</v>
      </c>
      <c r="H18" s="58">
        <v>10</v>
      </c>
      <c r="I18" s="15"/>
      <c r="J18" s="69">
        <f>J17*15</f>
        <v>95903.73264148811</v>
      </c>
      <c r="K18" s="61">
        <f t="shared" si="1"/>
        <v>30878.435199708707</v>
      </c>
    </row>
    <row r="19" spans="1:11">
      <c r="A19" s="805" t="s">
        <v>149</v>
      </c>
      <c r="B19" s="806"/>
      <c r="C19" s="807"/>
      <c r="D19" s="71">
        <f>SUM(D7:D18)</f>
        <v>44695.419615453655</v>
      </c>
      <c r="H19" s="805" t="s">
        <v>149</v>
      </c>
      <c r="I19" s="806"/>
      <c r="J19" s="807"/>
      <c r="K19" s="71">
        <f>SUM(K7:K18)</f>
        <v>69256.704177733773</v>
      </c>
    </row>
    <row r="20" spans="1:11">
      <c r="A20" s="805" t="s">
        <v>143</v>
      </c>
      <c r="B20" s="806"/>
      <c r="C20" s="807"/>
      <c r="D20" s="72">
        <f>'Data Sheet'!B9</f>
        <v>46360.56</v>
      </c>
      <c r="H20" s="805" t="s">
        <v>143</v>
      </c>
      <c r="I20" s="806"/>
      <c r="J20" s="807"/>
      <c r="K20" s="72">
        <f>D20</f>
        <v>46360.56</v>
      </c>
    </row>
    <row r="21" spans="1:11">
      <c r="A21" s="805" t="s">
        <v>144</v>
      </c>
      <c r="B21" s="806"/>
      <c r="C21" s="807"/>
      <c r="D21" s="62">
        <f>D20/D19-1</f>
        <v>3.725528026971725E-2</v>
      </c>
      <c r="H21" s="805" t="s">
        <v>144</v>
      </c>
      <c r="I21" s="806"/>
      <c r="J21" s="807"/>
      <c r="K21" s="62">
        <f>K20/K19-1</f>
        <v>-0.33059823521164544</v>
      </c>
    </row>
    <row r="23" spans="1:11">
      <c r="A23" s="178" t="s">
        <v>204</v>
      </c>
    </row>
    <row r="24" spans="1:11" ht="13.5" thickBot="1"/>
    <row r="25" spans="1:11" ht="12.95" customHeight="1">
      <c r="A25" s="770" t="s">
        <v>315</v>
      </c>
      <c r="B25" s="808"/>
      <c r="C25" s="808"/>
      <c r="D25" s="808"/>
      <c r="E25" s="808"/>
      <c r="F25" s="808"/>
      <c r="G25" s="808"/>
      <c r="H25" s="808"/>
      <c r="I25" s="808"/>
      <c r="J25" s="808"/>
      <c r="K25" s="809"/>
    </row>
    <row r="26" spans="1:11">
      <c r="A26" s="810"/>
      <c r="B26" s="811"/>
      <c r="C26" s="811"/>
      <c r="D26" s="811"/>
      <c r="E26" s="811"/>
      <c r="F26" s="811"/>
      <c r="G26" s="811"/>
      <c r="H26" s="811"/>
      <c r="I26" s="811"/>
      <c r="J26" s="811"/>
      <c r="K26" s="812"/>
    </row>
    <row r="27" spans="1:11" ht="13.5" thickBot="1">
      <c r="A27" s="813"/>
      <c r="B27" s="814"/>
      <c r="C27" s="814"/>
      <c r="D27" s="814"/>
      <c r="E27" s="814"/>
      <c r="F27" s="814"/>
      <c r="G27" s="814"/>
      <c r="H27" s="814"/>
      <c r="I27" s="814"/>
      <c r="J27" s="814"/>
      <c r="K27" s="815"/>
    </row>
  </sheetData>
  <mergeCells count="18">
    <mergeCell ref="E12:F12"/>
    <mergeCell ref="A19:C19"/>
    <mergeCell ref="A20:C20"/>
    <mergeCell ref="A25:K27"/>
    <mergeCell ref="A21:C21"/>
    <mergeCell ref="H19:J19"/>
    <mergeCell ref="H20:J20"/>
    <mergeCell ref="H21:J21"/>
    <mergeCell ref="A1:M1"/>
    <mergeCell ref="A2:M2"/>
    <mergeCell ref="L6:M6"/>
    <mergeCell ref="E5:F5"/>
    <mergeCell ref="L5:M5"/>
    <mergeCell ref="A4:D4"/>
    <mergeCell ref="H4:K4"/>
    <mergeCell ref="A5:D5"/>
    <mergeCell ref="H5:K5"/>
    <mergeCell ref="E6:F6"/>
  </mergeCells>
  <hyperlinks>
    <hyperlink ref="A23" r:id="rId1" display="Note: See the explanation of this model here" xr:uid="{3A1B8835-469E-42AF-AD6D-C9D8252FF3E9}"/>
    <hyperlink ref="A2:M2" r:id="rId2" display="Read the book - The Dhandho Investor by Mohnish Pabrai" xr:uid="{E154C3A4-29CB-44BF-B3CB-B131F029EEEA}"/>
  </hyperlinks>
  <pageMargins left="0.7" right="0.7" top="0.75" bottom="0.75" header="0.3" footer="0.3"/>
  <pageSetup orientation="portrait"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DFBE-87D7-4EDE-A582-1B7206ED356B}">
  <dimension ref="A1:I20"/>
  <sheetViews>
    <sheetView workbookViewId="0">
      <selection activeCell="B10" sqref="B10"/>
    </sheetView>
  </sheetViews>
  <sheetFormatPr defaultColWidth="8.7109375" defaultRowHeight="12.75"/>
  <cols>
    <col min="1" max="1" width="26.42578125" style="8" bestFit="1" customWidth="1"/>
    <col min="2" max="2" width="21.42578125" style="8" bestFit="1" customWidth="1"/>
    <col min="3" max="3" width="8.7109375" style="8"/>
    <col min="4" max="4" width="26.140625" style="8" bestFit="1" customWidth="1"/>
    <col min="5" max="5" width="21.42578125" style="8" bestFit="1" customWidth="1"/>
    <col min="6" max="6" width="8.7109375" style="8"/>
    <col min="7" max="8" width="4.85546875" style="8" bestFit="1" customWidth="1"/>
    <col min="9" max="9" width="26.42578125" style="8" bestFit="1" customWidth="1"/>
    <col min="10" max="10" width="8.7109375" style="8"/>
    <col min="11" max="11" width="6.85546875" style="8" bestFit="1" customWidth="1"/>
    <col min="12" max="16384" width="8.7109375" style="8"/>
  </cols>
  <sheetData>
    <row r="1" spans="1:9" ht="20.25" thickBot="1">
      <c r="A1" s="816" t="s">
        <v>305</v>
      </c>
      <c r="B1" s="817"/>
      <c r="D1" s="816" t="s">
        <v>306</v>
      </c>
      <c r="E1" s="817"/>
    </row>
    <row r="3" spans="1:9">
      <c r="A3" s="15" t="s">
        <v>93</v>
      </c>
      <c r="B3" s="18" t="str">
        <f>'Profit &amp; Loss'!A2</f>
        <v>INTERGLOBE AVIATION LTD</v>
      </c>
      <c r="D3" s="15" t="s">
        <v>93</v>
      </c>
      <c r="E3" s="18" t="str">
        <f>B3</f>
        <v>INTERGLOBE AVIATION LTD</v>
      </c>
    </row>
    <row r="4" spans="1:9">
      <c r="A4" s="15" t="s">
        <v>92</v>
      </c>
      <c r="B4" s="19">
        <f>'Profit &amp; Loss'!K3</f>
        <v>42825</v>
      </c>
      <c r="D4" s="15" t="s">
        <v>92</v>
      </c>
      <c r="E4" s="19">
        <f>B4</f>
        <v>42825</v>
      </c>
    </row>
    <row r="5" spans="1:9">
      <c r="B5" s="20"/>
      <c r="E5" s="20"/>
    </row>
    <row r="6" spans="1:9">
      <c r="A6" s="15" t="s">
        <v>123</v>
      </c>
      <c r="B6" s="21">
        <f>AVERAGE('Profit &amp; Loss'!G23:K23)</f>
        <v>1242.2600000000002</v>
      </c>
      <c r="D6" s="15" t="s">
        <v>123</v>
      </c>
      <c r="E6" s="21">
        <f>B6</f>
        <v>1242.2600000000002</v>
      </c>
    </row>
    <row r="7" spans="1:9">
      <c r="A7" s="15" t="s">
        <v>91</v>
      </c>
      <c r="B7" s="21">
        <v>7</v>
      </c>
      <c r="D7" s="15" t="s">
        <v>91</v>
      </c>
      <c r="E7" s="21">
        <f>B7</f>
        <v>7</v>
      </c>
    </row>
    <row r="8" spans="1:9">
      <c r="A8" s="15" t="s">
        <v>120</v>
      </c>
      <c r="B8" s="51">
        <f>(('Profit &amp; Loss'!K23/'Profit &amp; Loss'!F23)^(1/5)-1)*100*50%</f>
        <v>33.483915942171357</v>
      </c>
      <c r="D8" s="15" t="s">
        <v>120</v>
      </c>
      <c r="E8" s="51">
        <f>(('Profit &amp; Loss'!K23/'Profit &amp; Loss'!F23)^(1/5)-1)*100</f>
        <v>66.967831884342715</v>
      </c>
    </row>
    <row r="9" spans="1:9">
      <c r="B9" s="24"/>
      <c r="E9" s="24"/>
      <c r="H9" s="25"/>
      <c r="I9" s="23"/>
    </row>
    <row r="10" spans="1:9">
      <c r="A10" s="15" t="s">
        <v>122</v>
      </c>
      <c r="B10" s="50">
        <f>4.4/8*B6*(B7+1.5*B8)</f>
        <v>39099.177770115486</v>
      </c>
      <c r="D10" s="15" t="s">
        <v>122</v>
      </c>
      <c r="E10" s="50">
        <f>4.4/8*E6*(E7+1.5*E8)</f>
        <v>73415.654540230971</v>
      </c>
    </row>
    <row r="11" spans="1:9">
      <c r="A11" s="15" t="s">
        <v>121</v>
      </c>
      <c r="B11" s="50">
        <f>'Data Sheet'!B9</f>
        <v>46360.56</v>
      </c>
      <c r="D11" s="15" t="s">
        <v>121</v>
      </c>
      <c r="E11" s="50">
        <f>B11</f>
        <v>46360.56</v>
      </c>
      <c r="F11" s="25"/>
    </row>
    <row r="12" spans="1:9">
      <c r="B12" s="24"/>
    </row>
    <row r="13" spans="1:9">
      <c r="A13" s="80" t="s">
        <v>304</v>
      </c>
      <c r="B13" s="24"/>
    </row>
    <row r="14" spans="1:9">
      <c r="A14" s="22" t="s">
        <v>266</v>
      </c>
    </row>
    <row r="15" spans="1:9">
      <c r="A15" s="163" t="s">
        <v>267</v>
      </c>
    </row>
    <row r="17" spans="1:1">
      <c r="A17" s="22" t="s">
        <v>268</v>
      </c>
    </row>
    <row r="18" spans="1:1">
      <c r="A18" s="163" t="s">
        <v>269</v>
      </c>
    </row>
    <row r="20" spans="1:1">
      <c r="A20" s="22" t="s">
        <v>381</v>
      </c>
    </row>
  </sheetData>
  <mergeCells count="2">
    <mergeCell ref="A1:B1"/>
    <mergeCell ref="D1:E1"/>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1C8D-1BA5-4829-B6F3-908F22FF23F9}">
  <dimension ref="A1:F37"/>
  <sheetViews>
    <sheetView tabSelected="1" workbookViewId="0">
      <selection activeCell="F11" sqref="F11"/>
    </sheetView>
  </sheetViews>
  <sheetFormatPr defaultColWidth="12.85546875" defaultRowHeight="12.75"/>
  <cols>
    <col min="1" max="1" width="32.42578125" style="8" bestFit="1" customWidth="1"/>
    <col min="2" max="2" width="41" style="8" customWidth="1"/>
    <col min="3" max="3" width="7.140625" style="8" bestFit="1" customWidth="1"/>
    <col min="4" max="4" width="12.7109375" style="8" bestFit="1" customWidth="1"/>
    <col min="5" max="5" width="7.5703125" style="8" bestFit="1" customWidth="1"/>
    <col min="6" max="6" width="33.42578125" style="8" bestFit="1" customWidth="1"/>
    <col min="7" max="7" width="12.85546875" style="8"/>
    <col min="8" max="8" width="49.85546875" style="8" customWidth="1"/>
    <col min="9" max="9" width="12.85546875" style="8"/>
    <col min="10" max="10" width="12.85546875" style="8" customWidth="1"/>
    <col min="11" max="16384" width="12.85546875" style="8"/>
  </cols>
  <sheetData>
    <row r="1" spans="1:6" ht="19.5">
      <c r="A1" s="820" t="s">
        <v>177</v>
      </c>
      <c r="B1" s="821"/>
      <c r="C1" s="821"/>
      <c r="D1" s="821"/>
      <c r="E1" s="821"/>
      <c r="F1" s="822"/>
    </row>
    <row r="2" spans="1:6" ht="13.5" thickBot="1">
      <c r="A2" s="823" t="str">
        <f>'Data Sheet'!B1</f>
        <v>INTERGLOBE AVIATION LTD</v>
      </c>
      <c r="B2" s="824"/>
      <c r="C2" s="824"/>
      <c r="D2" s="824"/>
      <c r="E2" s="824"/>
      <c r="F2" s="825"/>
    </row>
    <row r="3" spans="1:6" ht="13.5" thickBot="1">
      <c r="A3" s="73"/>
      <c r="B3" s="73"/>
      <c r="C3" s="73"/>
    </row>
    <row r="4" spans="1:6" ht="13.5" thickBot="1">
      <c r="A4" s="8" t="s">
        <v>178</v>
      </c>
      <c r="B4" s="74">
        <f>'Cash Flow'!B12</f>
        <v>2598.4566666666669</v>
      </c>
      <c r="E4" s="147">
        <f>B29</f>
        <v>55769.902052691992</v>
      </c>
      <c r="F4" s="138" t="s">
        <v>181</v>
      </c>
    </row>
    <row r="5" spans="1:6" ht="13.5" thickBot="1">
      <c r="E5" s="148">
        <f>'Data Sheet'!B9</f>
        <v>46360.56</v>
      </c>
      <c r="F5" s="138" t="s">
        <v>176</v>
      </c>
    </row>
    <row r="6" spans="1:6" ht="13.5" thickBot="1">
      <c r="A6" s="75" t="s">
        <v>152</v>
      </c>
      <c r="B6" s="76" t="s">
        <v>153</v>
      </c>
      <c r="C6" s="77" t="s">
        <v>154</v>
      </c>
      <c r="D6" s="78"/>
      <c r="E6" s="140">
        <f>E4/E5</f>
        <v>1.2029600602902983</v>
      </c>
      <c r="F6" s="138" t="s">
        <v>311</v>
      </c>
    </row>
    <row r="7" spans="1:6" ht="13.5" thickBot="1">
      <c r="A7" s="8" t="s">
        <v>155</v>
      </c>
      <c r="B7" s="133">
        <v>0.15</v>
      </c>
      <c r="C7" s="134">
        <v>0.1</v>
      </c>
      <c r="D7" s="79"/>
    </row>
    <row r="8" spans="1:6" ht="13.5" thickBot="1">
      <c r="A8" s="8" t="s">
        <v>136</v>
      </c>
      <c r="B8" s="135">
        <v>0.12</v>
      </c>
      <c r="C8" s="80"/>
    </row>
    <row r="9" spans="1:6" ht="13.5" thickBot="1">
      <c r="A9" s="8" t="s">
        <v>156</v>
      </c>
      <c r="B9" s="136">
        <v>0.02</v>
      </c>
      <c r="C9" s="80"/>
      <c r="F9" s="81"/>
    </row>
    <row r="10" spans="1:6" ht="13.5" thickBot="1">
      <c r="B10" s="82"/>
      <c r="C10" s="80"/>
      <c r="F10" s="81"/>
    </row>
    <row r="11" spans="1:6" ht="13.5" thickBot="1">
      <c r="A11" s="83" t="s">
        <v>179</v>
      </c>
      <c r="B11" s="74">
        <f>'Balance Sheet'!K6-'Balance Sheet'!K19</f>
        <v>-10325.82</v>
      </c>
      <c r="C11" s="80"/>
      <c r="D11" s="23"/>
    </row>
    <row r="12" spans="1:6" ht="13.5" thickBot="1"/>
    <row r="13" spans="1:6">
      <c r="A13" s="84" t="s">
        <v>125</v>
      </c>
      <c r="B13" s="85" t="s">
        <v>146</v>
      </c>
      <c r="C13" s="85" t="s">
        <v>157</v>
      </c>
      <c r="D13" s="86" t="s">
        <v>158</v>
      </c>
    </row>
    <row r="14" spans="1:6">
      <c r="A14" s="87">
        <v>1</v>
      </c>
      <c r="B14" s="88">
        <f>(B4*C14)+B4</f>
        <v>2988.2251666666671</v>
      </c>
      <c r="C14" s="89">
        <f>$B$7</f>
        <v>0.15</v>
      </c>
      <c r="D14" s="90">
        <f t="shared" ref="D14:D23" si="0">B14/((1+$B$8)^A14)</f>
        <v>2668.0581845238098</v>
      </c>
    </row>
    <row r="15" spans="1:6">
      <c r="A15" s="87">
        <v>2</v>
      </c>
      <c r="B15" s="88">
        <f t="shared" ref="B15:B23" si="1">(B14*C15)+B14</f>
        <v>3436.4589416666672</v>
      </c>
      <c r="C15" s="89">
        <f>$B$7</f>
        <v>0.15</v>
      </c>
      <c r="D15" s="90">
        <f t="shared" si="0"/>
        <v>2739.524028752126</v>
      </c>
    </row>
    <row r="16" spans="1:6">
      <c r="A16" s="87">
        <v>3</v>
      </c>
      <c r="B16" s="88">
        <f t="shared" si="1"/>
        <v>3951.9277829166672</v>
      </c>
      <c r="C16" s="89">
        <f>$B$7</f>
        <v>0.15</v>
      </c>
      <c r="D16" s="90">
        <f t="shared" si="0"/>
        <v>2812.9041366651286</v>
      </c>
      <c r="F16" s="91"/>
    </row>
    <row r="17" spans="1:6">
      <c r="A17" s="87">
        <v>4</v>
      </c>
      <c r="B17" s="88">
        <f t="shared" si="1"/>
        <v>4544.7169503541672</v>
      </c>
      <c r="C17" s="89">
        <f>$B$7</f>
        <v>0.15</v>
      </c>
      <c r="D17" s="90">
        <f t="shared" si="0"/>
        <v>2888.2497831829451</v>
      </c>
      <c r="F17" s="81"/>
    </row>
    <row r="18" spans="1:6">
      <c r="A18" s="87">
        <v>5</v>
      </c>
      <c r="B18" s="88">
        <f t="shared" si="1"/>
        <v>5226.424492907292</v>
      </c>
      <c r="C18" s="89">
        <f>$B$7</f>
        <v>0.15</v>
      </c>
      <c r="D18" s="90">
        <f t="shared" si="0"/>
        <v>2965.613616661059</v>
      </c>
      <c r="F18" s="81"/>
    </row>
    <row r="19" spans="1:6">
      <c r="A19" s="87">
        <v>6</v>
      </c>
      <c r="B19" s="88">
        <f t="shared" si="1"/>
        <v>5749.066942198021</v>
      </c>
      <c r="C19" s="89">
        <f>$C$7</f>
        <v>0.1</v>
      </c>
      <c r="D19" s="90">
        <f t="shared" si="0"/>
        <v>2912.6562306492542</v>
      </c>
      <c r="F19" s="81"/>
    </row>
    <row r="20" spans="1:6">
      <c r="A20" s="87">
        <v>7</v>
      </c>
      <c r="B20" s="88">
        <f t="shared" si="1"/>
        <v>6323.9736364178234</v>
      </c>
      <c r="C20" s="89">
        <f>$C$7</f>
        <v>0.1</v>
      </c>
      <c r="D20" s="90">
        <f t="shared" si="0"/>
        <v>2860.6445122448031</v>
      </c>
      <c r="F20" s="81"/>
    </row>
    <row r="21" spans="1:6">
      <c r="A21" s="87">
        <v>8</v>
      </c>
      <c r="B21" s="88">
        <f t="shared" si="1"/>
        <v>6956.3710000596056</v>
      </c>
      <c r="C21" s="89">
        <f>$C$7</f>
        <v>0.1</v>
      </c>
      <c r="D21" s="90">
        <f t="shared" si="0"/>
        <v>2809.5615745261457</v>
      </c>
    </row>
    <row r="22" spans="1:6">
      <c r="A22" s="87">
        <v>9</v>
      </c>
      <c r="B22" s="88">
        <f t="shared" si="1"/>
        <v>7652.0081000655664</v>
      </c>
      <c r="C22" s="89">
        <f>$C$7</f>
        <v>0.1</v>
      </c>
      <c r="D22" s="90">
        <f t="shared" si="0"/>
        <v>2759.3908321238932</v>
      </c>
    </row>
    <row r="23" spans="1:6" ht="13.5" thickBot="1">
      <c r="A23" s="92">
        <v>10</v>
      </c>
      <c r="B23" s="93">
        <f t="shared" si="1"/>
        <v>8417.2089100721223</v>
      </c>
      <c r="C23" s="94">
        <f>$C$7</f>
        <v>0.1</v>
      </c>
      <c r="D23" s="95">
        <f t="shared" si="0"/>
        <v>2710.1159958359658</v>
      </c>
    </row>
    <row r="24" spans="1:6" ht="13.5" thickBot="1">
      <c r="A24" s="96"/>
      <c r="B24" s="97"/>
      <c r="C24" s="98"/>
      <c r="D24" s="99"/>
    </row>
    <row r="25" spans="1:6">
      <c r="A25" s="818" t="s">
        <v>159</v>
      </c>
      <c r="B25" s="819"/>
      <c r="C25" s="98"/>
      <c r="D25" s="99"/>
    </row>
    <row r="26" spans="1:6">
      <c r="A26" s="100" t="s">
        <v>160</v>
      </c>
      <c r="B26" s="90">
        <f>(B23*B9)+B23</f>
        <v>8585.5530882735657</v>
      </c>
      <c r="C26" s="101"/>
      <c r="D26" s="102"/>
    </row>
    <row r="27" spans="1:6">
      <c r="A27" s="103" t="s">
        <v>161</v>
      </c>
      <c r="B27" s="90">
        <f>SUM(D14:D23)</f>
        <v>28126.718895165133</v>
      </c>
      <c r="C27" s="83"/>
    </row>
    <row r="28" spans="1:6">
      <c r="A28" s="100" t="s">
        <v>162</v>
      </c>
      <c r="B28" s="90">
        <f>((B26)/($B$8-$B$9))/(1+$B$8)^A23</f>
        <v>27643.183157526859</v>
      </c>
      <c r="C28" s="83"/>
    </row>
    <row r="29" spans="1:6">
      <c r="A29" s="100" t="s">
        <v>163</v>
      </c>
      <c r="B29" s="90">
        <f>B27+B28</f>
        <v>55769.902052691992</v>
      </c>
      <c r="C29" s="83"/>
    </row>
    <row r="30" spans="1:6">
      <c r="A30" s="100" t="s">
        <v>173</v>
      </c>
      <c r="B30" s="90">
        <f>'Data Sheet'!B9</f>
        <v>46360.56</v>
      </c>
      <c r="C30" s="83"/>
    </row>
    <row r="32" spans="1:6">
      <c r="A32" s="179" t="s">
        <v>270</v>
      </c>
      <c r="D32" s="23"/>
    </row>
    <row r="34" spans="1:2" ht="13.5" thickBot="1"/>
    <row r="35" spans="1:2" ht="150.75" thickBot="1">
      <c r="A35" s="557" t="s">
        <v>213</v>
      </c>
      <c r="B35" s="558" t="s">
        <v>214</v>
      </c>
    </row>
    <row r="36" spans="1:2" ht="15.75" thickBot="1">
      <c r="A36" s="559"/>
      <c r="B36" s="559"/>
    </row>
    <row r="37" spans="1:2" ht="255.75" thickBot="1">
      <c r="A37" s="560" t="s">
        <v>225</v>
      </c>
      <c r="B37" s="561" t="s">
        <v>226</v>
      </c>
    </row>
  </sheetData>
  <mergeCells count="3">
    <mergeCell ref="A25:B25"/>
    <mergeCell ref="A1:F1"/>
    <mergeCell ref="A2:F2"/>
  </mergeCells>
  <hyperlinks>
    <hyperlink ref="A32" r:id="rId1" display="Note: See the explanation of DCF here" xr:uid="{91503647-C77F-463A-9B2F-E18BF48EAA17}"/>
  </hyperlinks>
  <pageMargins left="0.7" right="0.7" top="0.75" bottom="0.75" header="0.3" footer="0.3"/>
  <pageSetup orientation="portrait"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4E50A-9683-4BE8-9E21-BF16FCEC8D13}">
  <dimension ref="A1:M18"/>
  <sheetViews>
    <sheetView workbookViewId="0">
      <selection activeCell="B14" sqref="B14"/>
    </sheetView>
  </sheetViews>
  <sheetFormatPr defaultColWidth="9.140625" defaultRowHeight="12.75"/>
  <cols>
    <col min="1" max="1" width="40.42578125" style="119" bestFit="1" customWidth="1"/>
    <col min="2" max="2" width="9.28515625" style="119" bestFit="1" customWidth="1"/>
    <col min="3" max="11" width="6.7109375" style="119" bestFit="1" customWidth="1"/>
    <col min="12" max="13" width="11.42578125" style="119" bestFit="1" customWidth="1"/>
    <col min="14" max="16384" width="9.140625" style="119"/>
  </cols>
  <sheetData>
    <row r="1" spans="1:13" ht="19.5">
      <c r="A1" s="826" t="s">
        <v>182</v>
      </c>
      <c r="B1" s="827"/>
      <c r="C1" s="827"/>
      <c r="D1" s="827"/>
      <c r="E1" s="827"/>
      <c r="F1" s="827"/>
      <c r="G1" s="827"/>
      <c r="H1" s="827"/>
      <c r="I1" s="827"/>
      <c r="J1" s="827"/>
      <c r="K1" s="827"/>
      <c r="L1" s="827"/>
      <c r="M1" s="828"/>
    </row>
    <row r="2" spans="1:13">
      <c r="A2" s="829" t="str">
        <f>'Data Sheet'!B1</f>
        <v>INTERGLOBE AVIATION LTD</v>
      </c>
      <c r="B2" s="830"/>
      <c r="C2" s="830"/>
      <c r="D2" s="830"/>
      <c r="E2" s="830"/>
      <c r="F2" s="830"/>
      <c r="G2" s="830"/>
      <c r="H2" s="830"/>
      <c r="I2" s="830"/>
      <c r="J2" s="830"/>
      <c r="K2" s="830"/>
      <c r="L2" s="830"/>
      <c r="M2" s="831"/>
    </row>
    <row r="3" spans="1:13">
      <c r="A3" s="104" t="s">
        <v>164</v>
      </c>
      <c r="B3" s="105">
        <f>'Data Sheet'!B16</f>
        <v>39172</v>
      </c>
      <c r="C3" s="105">
        <f>'Data Sheet'!C16</f>
        <v>39538</v>
      </c>
      <c r="D3" s="105">
        <f>'Data Sheet'!D16</f>
        <v>40268</v>
      </c>
      <c r="E3" s="105">
        <f>'Data Sheet'!E16</f>
        <v>40633</v>
      </c>
      <c r="F3" s="105">
        <f>'Data Sheet'!F16</f>
        <v>40999</v>
      </c>
      <c r="G3" s="105">
        <f>'Data Sheet'!G16</f>
        <v>41364</v>
      </c>
      <c r="H3" s="105">
        <f>'Data Sheet'!H16</f>
        <v>41729</v>
      </c>
      <c r="I3" s="105">
        <f>'Data Sheet'!I16</f>
        <v>42094</v>
      </c>
      <c r="J3" s="105">
        <f>'Data Sheet'!J16</f>
        <v>42460</v>
      </c>
      <c r="K3" s="105">
        <f>'Data Sheet'!K16</f>
        <v>42825</v>
      </c>
      <c r="L3" s="120" t="s">
        <v>168</v>
      </c>
      <c r="M3" s="121" t="s">
        <v>165</v>
      </c>
    </row>
    <row r="4" spans="1:13">
      <c r="A4" s="106" t="s">
        <v>171</v>
      </c>
      <c r="B4" s="122">
        <f>'Data Sheet'!B30</f>
        <v>-201.79</v>
      </c>
      <c r="C4" s="122">
        <f>'Data Sheet'!C30</f>
        <v>-234.75</v>
      </c>
      <c r="D4" s="122">
        <f>'Data Sheet'!D30</f>
        <v>550.70000000000005</v>
      </c>
      <c r="E4" s="122">
        <f>'Data Sheet'!E30</f>
        <v>650.33000000000004</v>
      </c>
      <c r="F4" s="122">
        <f>'Data Sheet'!F30</f>
        <v>127.88</v>
      </c>
      <c r="G4" s="122">
        <f>'Data Sheet'!G30</f>
        <v>787.35</v>
      </c>
      <c r="H4" s="122">
        <f>'Data Sheet'!H30</f>
        <v>474.44</v>
      </c>
      <c r="I4" s="122">
        <f>'Data Sheet'!I30</f>
        <v>1304.17</v>
      </c>
      <c r="J4" s="122">
        <f>'Data Sheet'!J30</f>
        <v>1986.16</v>
      </c>
      <c r="K4" s="122">
        <f>'Data Sheet'!K30</f>
        <v>1659.19</v>
      </c>
      <c r="L4" s="124">
        <f>(K4/B4)^(1/9)-1</f>
        <v>-2.2637648611703112</v>
      </c>
      <c r="M4" s="125">
        <f>(K4/F4)^(1/5)-1</f>
        <v>0.66962407659372403</v>
      </c>
    </row>
    <row r="5" spans="1:13">
      <c r="A5" s="107" t="s">
        <v>95</v>
      </c>
      <c r="B5" s="108">
        <f>B4/'Data Sheet'!B17</f>
        <v>-0.93300351396338077</v>
      </c>
      <c r="C5" s="108">
        <f>C4/'Data Sheet'!C17</f>
        <v>-0.20722438494743256</v>
      </c>
      <c r="D5" s="108">
        <f>D4/'Data Sheet'!D17</f>
        <v>0.21136220581236473</v>
      </c>
      <c r="E5" s="108">
        <f>E4/'Data Sheet'!E17</f>
        <v>0.16964746883983492</v>
      </c>
      <c r="F5" s="108">
        <f>F4/'Data Sheet'!F17</f>
        <v>2.2980739164656958E-2</v>
      </c>
      <c r="G5" s="108">
        <f>G4/'Data Sheet'!G17</f>
        <v>8.5552880122741523E-2</v>
      </c>
      <c r="H5" s="108">
        <f>H4/'Data Sheet'!H17</f>
        <v>4.2678593596231933E-2</v>
      </c>
      <c r="I5" s="108">
        <f>I4/'Data Sheet'!I17</f>
        <v>9.3654445780138942E-2</v>
      </c>
      <c r="J5" s="108">
        <f>J4/'Data Sheet'!J17</f>
        <v>0.12305892659872329</v>
      </c>
      <c r="K5" s="108">
        <f>K4/'Data Sheet'!K17</f>
        <v>8.9297381663572026E-2</v>
      </c>
      <c r="L5" s="126"/>
      <c r="M5" s="127"/>
    </row>
    <row r="6" spans="1:13" ht="13.5" thickBot="1">
      <c r="A6" s="109" t="s">
        <v>55</v>
      </c>
      <c r="B6" s="110" t="str">
        <f>'Balance Sheet'!B26</f>
        <v/>
      </c>
      <c r="C6" s="110" t="str">
        <f>'Balance Sheet'!C26</f>
        <v/>
      </c>
      <c r="D6" s="110">
        <f>'Balance Sheet'!D26</f>
        <v>4.266268980477224</v>
      </c>
      <c r="E6" s="110">
        <f>'Balance Sheet'!E26</f>
        <v>6.5644493792268088</v>
      </c>
      <c r="F6" s="110">
        <f>'Balance Sheet'!F26</f>
        <v>0.33735257644917205</v>
      </c>
      <c r="G6" s="110">
        <f>'Balance Sheet'!G26</f>
        <v>1.4891625056740823</v>
      </c>
      <c r="H6" s="110">
        <f>'Balance Sheet'!H26</f>
        <v>1.174398455292603</v>
      </c>
      <c r="I6" s="110">
        <f>'Balance Sheet'!I26</f>
        <v>3.1273560021102087</v>
      </c>
      <c r="J6" s="110">
        <f>'Balance Sheet'!J26</f>
        <v>0.72935417653560719</v>
      </c>
      <c r="K6" s="110">
        <f>'Balance Sheet'!K26</f>
        <v>0.43903239292764118</v>
      </c>
      <c r="L6" s="128"/>
      <c r="M6" s="129"/>
    </row>
    <row r="7" spans="1:13">
      <c r="A7" s="111"/>
      <c r="B7" s="112"/>
      <c r="C7" s="112"/>
      <c r="D7" s="112"/>
      <c r="E7" s="112"/>
      <c r="F7" s="112"/>
      <c r="G7" s="112"/>
      <c r="H7" s="112"/>
      <c r="I7" s="112"/>
      <c r="J7" s="112"/>
      <c r="K7" s="112"/>
      <c r="L7" s="112"/>
      <c r="M7" s="112"/>
    </row>
    <row r="8" spans="1:13" ht="13.5" thickBot="1">
      <c r="A8" s="22" t="s">
        <v>175</v>
      </c>
      <c r="B8" s="113"/>
      <c r="C8" s="113"/>
      <c r="D8" s="113"/>
      <c r="E8" s="113"/>
      <c r="F8" s="113"/>
      <c r="G8" s="113"/>
      <c r="H8" s="113"/>
      <c r="I8" s="113"/>
      <c r="J8" s="113"/>
      <c r="K8" s="113"/>
      <c r="L8" s="114"/>
      <c r="M8" s="114"/>
    </row>
    <row r="9" spans="1:13">
      <c r="A9" s="115" t="s">
        <v>169</v>
      </c>
      <c r="B9" s="131">
        <v>0.12</v>
      </c>
      <c r="C9" s="8"/>
      <c r="D9" s="8"/>
      <c r="E9" s="8"/>
      <c r="F9" s="8"/>
      <c r="G9" s="8"/>
      <c r="H9" s="8"/>
      <c r="I9" s="8"/>
      <c r="J9" s="8"/>
      <c r="K9" s="8"/>
      <c r="L9" s="8"/>
      <c r="M9" s="8"/>
    </row>
    <row r="10" spans="1:13">
      <c r="A10" s="116" t="s">
        <v>170</v>
      </c>
      <c r="B10" s="117">
        <f>K4*(1+B9)^10</f>
        <v>5153.192288802632</v>
      </c>
      <c r="C10" s="118"/>
      <c r="D10" s="8"/>
      <c r="E10" s="8"/>
      <c r="F10" s="8"/>
      <c r="G10" s="8"/>
      <c r="H10" s="8"/>
      <c r="I10" s="8"/>
      <c r="J10" s="8"/>
      <c r="K10" s="8"/>
      <c r="L10" s="8"/>
      <c r="M10" s="8"/>
    </row>
    <row r="11" spans="1:13">
      <c r="A11" s="116" t="s">
        <v>166</v>
      </c>
      <c r="B11" s="130">
        <f>'Data Sheet'!B9/'Data Sheet'!K30</f>
        <v>27.941682387188926</v>
      </c>
      <c r="C11" s="8"/>
      <c r="D11" s="8"/>
      <c r="E11" s="8"/>
      <c r="F11" s="8"/>
      <c r="G11" s="8"/>
      <c r="H11" s="8"/>
      <c r="I11" s="8"/>
      <c r="J11" s="8"/>
      <c r="K11" s="8"/>
      <c r="L11" s="8"/>
      <c r="M11" s="8"/>
    </row>
    <row r="12" spans="1:13">
      <c r="A12" s="116" t="s">
        <v>167</v>
      </c>
      <c r="B12" s="132">
        <v>20</v>
      </c>
      <c r="C12" s="8"/>
      <c r="D12" s="8"/>
      <c r="E12" s="8"/>
      <c r="F12" s="8"/>
      <c r="G12" s="8"/>
      <c r="H12" s="8"/>
      <c r="I12" s="8"/>
      <c r="J12" s="8"/>
      <c r="K12" s="8"/>
      <c r="L12" s="8"/>
      <c r="M12" s="8"/>
    </row>
    <row r="13" spans="1:13">
      <c r="A13" s="116" t="s">
        <v>172</v>
      </c>
      <c r="B13" s="117">
        <f>B10*B12</f>
        <v>103063.84577605264</v>
      </c>
      <c r="C13" s="8"/>
      <c r="D13" s="8"/>
      <c r="E13" s="8"/>
      <c r="F13" s="8"/>
      <c r="G13" s="8"/>
      <c r="H13" s="8"/>
      <c r="I13" s="8"/>
      <c r="J13" s="8"/>
      <c r="K13" s="8"/>
      <c r="L13" s="8"/>
      <c r="M13" s="8"/>
    </row>
    <row r="14" spans="1:13">
      <c r="A14" s="116" t="s">
        <v>197</v>
      </c>
      <c r="B14" s="123">
        <f>'EPV Valuation'!H12</f>
        <v>0.12</v>
      </c>
      <c r="C14" s="8"/>
      <c r="D14" s="8"/>
      <c r="E14" s="8"/>
      <c r="F14" s="8"/>
      <c r="G14" s="8"/>
      <c r="H14" s="8"/>
      <c r="I14" s="8"/>
      <c r="J14" s="8"/>
      <c r="K14" s="8"/>
      <c r="L14" s="8"/>
      <c r="M14" s="8"/>
    </row>
    <row r="15" spans="1:13">
      <c r="A15" s="116" t="s">
        <v>174</v>
      </c>
      <c r="B15" s="149">
        <f>B13/(1+B14)^10</f>
        <v>33183.800000000003</v>
      </c>
      <c r="C15" s="8"/>
      <c r="D15" s="8"/>
      <c r="E15" s="8"/>
      <c r="F15" s="8"/>
      <c r="G15" s="8"/>
      <c r="H15" s="8"/>
      <c r="I15" s="8"/>
      <c r="J15" s="8"/>
      <c r="K15" s="8"/>
      <c r="L15" s="8"/>
      <c r="M15" s="8"/>
    </row>
    <row r="16" spans="1:13">
      <c r="A16" s="116" t="s">
        <v>173</v>
      </c>
      <c r="B16" s="149">
        <f>'Data Sheet'!B9</f>
        <v>46360.56</v>
      </c>
      <c r="C16" s="8"/>
      <c r="D16" s="8"/>
      <c r="E16" s="8"/>
      <c r="F16" s="8"/>
      <c r="G16" s="8"/>
      <c r="H16" s="8"/>
      <c r="I16" s="8"/>
      <c r="J16" s="8"/>
      <c r="K16" s="8"/>
      <c r="L16" s="8"/>
      <c r="M16" s="8"/>
    </row>
    <row r="17" spans="1:13">
      <c r="A17" s="8"/>
      <c r="B17" s="8"/>
      <c r="C17" s="8"/>
      <c r="D17" s="8"/>
      <c r="E17" s="8"/>
      <c r="F17" s="8"/>
      <c r="G17" s="8"/>
      <c r="H17" s="8"/>
      <c r="I17" s="8"/>
      <c r="J17" s="8"/>
      <c r="K17" s="8"/>
      <c r="L17" s="8"/>
      <c r="M17" s="8"/>
    </row>
    <row r="18" spans="1:13">
      <c r="A18" s="178" t="s">
        <v>271</v>
      </c>
    </row>
  </sheetData>
  <mergeCells count="2">
    <mergeCell ref="A1:M1"/>
    <mergeCell ref="A2:M2"/>
  </mergeCells>
  <hyperlinks>
    <hyperlink ref="A18" r:id="rId1" display="See the explanation of this model here" xr:uid="{0C82AB57-CC6D-432D-ACCA-FA9353EEAB84}"/>
  </hyperlinks>
  <pageMargins left="0.7" right="0.7" top="0.75" bottom="0.75" header="0.3" footer="0.3"/>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7B619-3CFC-405C-8787-59FDEA6EFA49}">
  <dimension ref="A1:D7"/>
  <sheetViews>
    <sheetView workbookViewId="0">
      <selection activeCell="B7" sqref="B7:C7"/>
    </sheetView>
  </sheetViews>
  <sheetFormatPr defaultRowHeight="15"/>
  <cols>
    <col min="2" max="2" width="14.28515625" customWidth="1"/>
    <col min="3" max="3" width="12.85546875" customWidth="1"/>
    <col min="4" max="4" width="16.140625" customWidth="1"/>
  </cols>
  <sheetData>
    <row r="1" spans="1:4" ht="30">
      <c r="A1" t="s">
        <v>323</v>
      </c>
      <c r="B1" t="s">
        <v>324</v>
      </c>
      <c r="C1" t="s">
        <v>325</v>
      </c>
      <c r="D1" s="291" t="s">
        <v>326</v>
      </c>
    </row>
    <row r="2" spans="1:4">
      <c r="A2">
        <v>1</v>
      </c>
      <c r="B2" t="s">
        <v>327</v>
      </c>
      <c r="C2" s="8">
        <f>'Data Sheet'!K69</f>
        <v>4632.54</v>
      </c>
      <c r="D2" s="8">
        <f>C2</f>
        <v>4632.54</v>
      </c>
    </row>
    <row r="3" spans="1:4" ht="30">
      <c r="A3">
        <v>2</v>
      </c>
      <c r="B3" s="291" t="s">
        <v>328</v>
      </c>
      <c r="C3">
        <f>'Data Sheet'!K67</f>
        <v>158.69999999999999</v>
      </c>
      <c r="D3">
        <f>0.75*C3</f>
        <v>119.02499999999999</v>
      </c>
    </row>
    <row r="4" spans="1:4">
      <c r="A4">
        <v>3</v>
      </c>
      <c r="B4" t="s">
        <v>329</v>
      </c>
      <c r="C4">
        <f>'Data Sheet'!K68</f>
        <v>163.15</v>
      </c>
      <c r="D4">
        <f>0.5*C4</f>
        <v>81.575000000000003</v>
      </c>
    </row>
    <row r="5" spans="1:4">
      <c r="A5">
        <v>4</v>
      </c>
      <c r="B5" t="s">
        <v>330</v>
      </c>
      <c r="C5">
        <f>'Data Sheet'!K59</f>
        <v>2596.1799999999998</v>
      </c>
    </row>
    <row r="7" spans="1:4">
      <c r="B7" s="292" t="s">
        <v>331</v>
      </c>
      <c r="C7" s="292">
        <f>(D2+D3+D4)-C5</f>
        <v>2236.9599999999996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2B96-D0DA-4AA6-93E6-84124E1A00D8}">
  <dimension ref="A1:I24"/>
  <sheetViews>
    <sheetView topLeftCell="A4" workbookViewId="0">
      <selection activeCell="B18" sqref="B18"/>
    </sheetView>
  </sheetViews>
  <sheetFormatPr defaultColWidth="9.140625" defaultRowHeight="12.75"/>
  <cols>
    <col min="1" max="1" width="34.5703125" style="218" bestFit="1" customWidth="1"/>
    <col min="2" max="2" width="21.42578125" style="218" bestFit="1" customWidth="1"/>
    <col min="3" max="16384" width="9.140625" style="218"/>
  </cols>
  <sheetData>
    <row r="1" spans="1:9" ht="13.5" thickBot="1">
      <c r="A1" s="731" t="s">
        <v>273</v>
      </c>
      <c r="B1" s="732"/>
    </row>
    <row r="2" spans="1:9">
      <c r="A2" s="733"/>
      <c r="B2" s="734"/>
      <c r="E2" s="720" t="s">
        <v>281</v>
      </c>
      <c r="F2" s="721"/>
      <c r="G2" s="721"/>
      <c r="H2" s="721"/>
      <c r="I2" s="722"/>
    </row>
    <row r="3" spans="1:9" ht="15" customHeight="1">
      <c r="A3" s="733"/>
      <c r="B3" s="734"/>
      <c r="E3" s="723"/>
      <c r="F3" s="724"/>
      <c r="G3" s="724"/>
      <c r="H3" s="724"/>
      <c r="I3" s="725"/>
    </row>
    <row r="4" spans="1:9" ht="15" customHeight="1">
      <c r="A4" s="733"/>
      <c r="B4" s="734"/>
      <c r="E4" s="723"/>
      <c r="F4" s="724"/>
      <c r="G4" s="724"/>
      <c r="H4" s="724"/>
      <c r="I4" s="725"/>
    </row>
    <row r="5" spans="1:9" ht="13.5" thickBot="1">
      <c r="A5" s="735"/>
      <c r="B5" s="736"/>
      <c r="E5" s="723"/>
      <c r="F5" s="724"/>
      <c r="G5" s="724"/>
      <c r="H5" s="724"/>
      <c r="I5" s="725"/>
    </row>
    <row r="6" spans="1:9" ht="16.5" thickBot="1">
      <c r="A6" s="737" t="s">
        <v>231</v>
      </c>
      <c r="B6" s="737"/>
      <c r="E6" s="726"/>
      <c r="F6" s="727"/>
      <c r="G6" s="727"/>
      <c r="H6" s="727"/>
      <c r="I6" s="728"/>
    </row>
    <row r="7" spans="1:9">
      <c r="A7" s="729" t="s">
        <v>232</v>
      </c>
      <c r="B7" s="730"/>
    </row>
    <row r="8" spans="1:9" ht="13.5" thickBot="1">
      <c r="A8" s="219" t="s">
        <v>233</v>
      </c>
      <c r="B8" s="220" t="s">
        <v>234</v>
      </c>
    </row>
    <row r="9" spans="1:9">
      <c r="A9" s="100" t="s">
        <v>235</v>
      </c>
      <c r="B9" s="221" t="str">
        <f>'Data Sheet'!B1</f>
        <v>INTERGLOBE AVIATION LTD</v>
      </c>
      <c r="E9" s="720" t="s">
        <v>282</v>
      </c>
      <c r="F9" s="738"/>
      <c r="G9" s="738"/>
      <c r="H9" s="738"/>
      <c r="I9" s="739"/>
    </row>
    <row r="10" spans="1:9">
      <c r="A10" s="100" t="s">
        <v>236</v>
      </c>
      <c r="B10" s="222">
        <f>'Data Sheet'!B8</f>
        <v>1206.05</v>
      </c>
      <c r="E10" s="740"/>
      <c r="F10" s="741"/>
      <c r="G10" s="741"/>
      <c r="H10" s="741"/>
      <c r="I10" s="742"/>
    </row>
    <row r="11" spans="1:9">
      <c r="A11" s="100" t="s">
        <v>237</v>
      </c>
      <c r="B11" s="223">
        <f>'Data Sheet'!B7</f>
        <v>10</v>
      </c>
      <c r="E11" s="740"/>
      <c r="F11" s="741"/>
      <c r="G11" s="741"/>
      <c r="H11" s="741"/>
      <c r="I11" s="742"/>
    </row>
    <row r="12" spans="1:9" ht="13.5" thickBot="1">
      <c r="A12" s="100" t="s">
        <v>238</v>
      </c>
      <c r="B12" s="223">
        <f>'Data Sheet'!B6</f>
        <v>38.439998341693958</v>
      </c>
      <c r="E12" s="743"/>
      <c r="F12" s="744"/>
      <c r="G12" s="744"/>
      <c r="H12" s="744"/>
      <c r="I12" s="745"/>
    </row>
    <row r="13" spans="1:9">
      <c r="A13" s="100" t="s">
        <v>239</v>
      </c>
      <c r="B13" s="222">
        <f>B10*B12</f>
        <v>46360.56</v>
      </c>
    </row>
    <row r="14" spans="1:9" ht="13.5" thickBot="1"/>
    <row r="15" spans="1:9">
      <c r="A15" s="729" t="s">
        <v>243</v>
      </c>
      <c r="B15" s="730"/>
      <c r="E15" s="720" t="s">
        <v>283</v>
      </c>
      <c r="F15" s="721"/>
      <c r="G15" s="721"/>
      <c r="H15" s="721"/>
      <c r="I15" s="722"/>
    </row>
    <row r="16" spans="1:9">
      <c r="A16" s="219" t="s">
        <v>233</v>
      </c>
      <c r="B16" s="220" t="s">
        <v>234</v>
      </c>
      <c r="E16" s="723"/>
      <c r="F16" s="724"/>
      <c r="G16" s="724"/>
      <c r="H16" s="724"/>
      <c r="I16" s="725"/>
    </row>
    <row r="17" spans="1:9">
      <c r="A17" s="100" t="s">
        <v>244</v>
      </c>
      <c r="B17" s="224">
        <f>'Profit &amp; Loss'!B39</f>
        <v>0.64018731356988368</v>
      </c>
      <c r="E17" s="723"/>
      <c r="F17" s="724"/>
      <c r="G17" s="724"/>
      <c r="H17" s="724"/>
      <c r="I17" s="725"/>
    </row>
    <row r="18" spans="1:9">
      <c r="A18" s="100" t="s">
        <v>245</v>
      </c>
      <c r="B18" s="224">
        <f>'Profit &amp; Loss'!B40</f>
        <v>0.31576686549152511</v>
      </c>
      <c r="E18" s="723"/>
      <c r="F18" s="724"/>
      <c r="G18" s="724"/>
      <c r="H18" s="724"/>
      <c r="I18" s="725"/>
    </row>
    <row r="19" spans="1:9">
      <c r="A19" s="100" t="s">
        <v>240</v>
      </c>
      <c r="B19" s="224">
        <f>('Data Sheet'!K30/'Data Sheet'!B30)^(1/9)-1</f>
        <v>-2.2637648611703112</v>
      </c>
      <c r="E19" s="723"/>
      <c r="F19" s="724"/>
      <c r="G19" s="724"/>
      <c r="H19" s="724"/>
      <c r="I19" s="725"/>
    </row>
    <row r="20" spans="1:9">
      <c r="A20" s="100" t="s">
        <v>241</v>
      </c>
      <c r="B20" s="225">
        <f>AVERAGE('Balance Sheet'!G25:K25)</f>
        <v>4.5964157417979896</v>
      </c>
      <c r="E20" s="723"/>
      <c r="F20" s="724"/>
      <c r="G20" s="724"/>
      <c r="H20" s="724"/>
      <c r="I20" s="725"/>
    </row>
    <row r="21" spans="1:9">
      <c r="A21" s="100" t="s">
        <v>242</v>
      </c>
      <c r="B21" s="226">
        <f>AVERAGE('Balance Sheet'!G26:K26)</f>
        <v>1.3918607065080284</v>
      </c>
      <c r="E21" s="723"/>
      <c r="F21" s="724"/>
      <c r="G21" s="724"/>
      <c r="H21" s="724"/>
      <c r="I21" s="725"/>
    </row>
    <row r="22" spans="1:9">
      <c r="A22" s="100" t="s">
        <v>247</v>
      </c>
      <c r="B22" s="227">
        <f>AVERAGE('Profit &amp; Loss'!G28:K28)</f>
        <v>20.998484117738855</v>
      </c>
      <c r="E22" s="723"/>
      <c r="F22" s="724"/>
      <c r="G22" s="724"/>
      <c r="H22" s="724"/>
      <c r="I22" s="725"/>
    </row>
    <row r="23" spans="1:9" ht="13.5" thickBot="1">
      <c r="A23" s="228" t="s">
        <v>246</v>
      </c>
      <c r="B23" s="229">
        <f>B13/Annual[[#This Row],[Column12]]</f>
        <v>20.674988293531335</v>
      </c>
      <c r="E23" s="726"/>
      <c r="F23" s="727"/>
      <c r="G23" s="727"/>
      <c r="H23" s="727"/>
      <c r="I23" s="728"/>
    </row>
    <row r="24" spans="1:9">
      <c r="A24" s="230"/>
    </row>
  </sheetData>
  <mergeCells count="7">
    <mergeCell ref="E15:I23"/>
    <mergeCell ref="A15:B15"/>
    <mergeCell ref="A1:B5"/>
    <mergeCell ref="E2:I6"/>
    <mergeCell ref="A6:B6"/>
    <mergeCell ref="A7:B7"/>
    <mergeCell ref="E9:I12"/>
  </mergeCells>
  <hyperlinks>
    <hyperlink ref="A6" r:id="rId1" xr:uid="{5B192A1A-282F-45FC-8CDA-AE3F3BAD64CD}"/>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035A-0E4D-4053-8B4B-CFB7D1824FCC}">
  <sheetPr>
    <pageSetUpPr fitToPage="1"/>
  </sheetPr>
  <dimension ref="A1:M59"/>
  <sheetViews>
    <sheetView topLeftCell="A19" zoomScale="90" zoomScaleNormal="90" workbookViewId="0">
      <selection activeCell="G30" sqref="G30"/>
    </sheetView>
  </sheetViews>
  <sheetFormatPr defaultRowHeight="12.75"/>
  <cols>
    <col min="1" max="1" width="3.42578125" style="293" customWidth="1"/>
    <col min="2" max="2" width="2" style="293" customWidth="1"/>
    <col min="3" max="3" width="31.5703125" style="293" customWidth="1"/>
    <col min="4" max="4" width="4.42578125" style="293" bestFit="1" customWidth="1"/>
    <col min="5" max="5" width="18.5703125" style="293" bestFit="1" customWidth="1"/>
    <col min="6" max="6" width="5.7109375" style="293" customWidth="1"/>
    <col min="7" max="7" width="28" style="293" customWidth="1"/>
    <col min="8" max="8" width="4" style="293" customWidth="1"/>
    <col min="9" max="9" width="33.28515625" style="293" customWidth="1"/>
    <col min="10" max="10" width="3.7109375" style="293" bestFit="1" customWidth="1"/>
    <col min="11" max="11" width="26.85546875" style="293" customWidth="1"/>
    <col min="12" max="12" width="9" style="293" bestFit="1" customWidth="1"/>
    <col min="13" max="16384" width="9.140625" style="293"/>
  </cols>
  <sheetData>
    <row r="1" spans="1:12" ht="15.75">
      <c r="A1" s="836" t="s">
        <v>368</v>
      </c>
      <c r="B1" s="836"/>
      <c r="C1" s="836"/>
      <c r="D1" s="836"/>
      <c r="E1" s="836"/>
      <c r="F1" s="836"/>
      <c r="G1" s="836"/>
      <c r="H1" s="836"/>
      <c r="I1" s="836"/>
      <c r="J1" s="836"/>
      <c r="K1" s="836"/>
    </row>
    <row r="3" spans="1:12">
      <c r="A3" s="293" t="s">
        <v>367</v>
      </c>
      <c r="K3" s="382"/>
    </row>
    <row r="4" spans="1:12">
      <c r="K4" s="837"/>
    </row>
    <row r="5" spans="1:12">
      <c r="C5" s="838" t="s">
        <v>366</v>
      </c>
      <c r="D5" s="838"/>
      <c r="E5" s="838"/>
      <c r="I5" s="381"/>
      <c r="J5" s="381"/>
      <c r="K5" s="837"/>
      <c r="L5" s="381"/>
    </row>
    <row r="6" spans="1:12">
      <c r="C6" s="380" t="s">
        <v>365</v>
      </c>
      <c r="D6" s="832">
        <f>'Data Sheet'!K17</f>
        <v>18580.5</v>
      </c>
      <c r="E6" s="833"/>
      <c r="G6" s="839" t="s">
        <v>364</v>
      </c>
      <c r="H6" s="840"/>
      <c r="I6" s="379">
        <f>I23</f>
        <v>0.16184548316783717</v>
      </c>
      <c r="K6" s="378"/>
      <c r="L6" s="378"/>
    </row>
    <row r="7" spans="1:12">
      <c r="C7" s="369" t="s">
        <v>357</v>
      </c>
      <c r="D7" s="832">
        <f>'Data Sheet'!K18+'Data Sheet'!K20+'Data Sheet'!K21+'Data Sheet'!K22+'Data Sheet'!K24+'Data Sheet'!K19</f>
        <v>12558.780000000002</v>
      </c>
      <c r="E7" s="833"/>
      <c r="F7" s="377"/>
      <c r="G7" s="834" t="s">
        <v>363</v>
      </c>
      <c r="H7" s="835"/>
      <c r="I7" s="376">
        <f>G26</f>
        <v>1.1735699948081348</v>
      </c>
      <c r="K7" s="375"/>
      <c r="L7" s="375"/>
    </row>
    <row r="8" spans="1:12">
      <c r="C8" s="369" t="s">
        <v>358</v>
      </c>
      <c r="D8" s="832">
        <f>'Data Sheet'!K23</f>
        <v>3803.62</v>
      </c>
      <c r="E8" s="833"/>
      <c r="G8" s="834" t="s">
        <v>339</v>
      </c>
      <c r="H8" s="835"/>
      <c r="I8" s="374">
        <f>G30</f>
        <v>0.18993700284099874</v>
      </c>
      <c r="K8" s="373"/>
      <c r="L8" s="370"/>
    </row>
    <row r="9" spans="1:12">
      <c r="C9" s="369" t="s">
        <v>343</v>
      </c>
      <c r="D9" s="832">
        <f>'Data Sheet'!K27</f>
        <v>406.15</v>
      </c>
      <c r="E9" s="833"/>
      <c r="G9" s="834" t="s">
        <v>362</v>
      </c>
      <c r="H9" s="841"/>
      <c r="I9" s="372">
        <f>E39-G39</f>
        <v>3.349561588015626E-2</v>
      </c>
      <c r="J9" s="308"/>
      <c r="K9" s="371"/>
      <c r="L9" s="370"/>
    </row>
    <row r="10" spans="1:12">
      <c r="C10" s="369" t="s">
        <v>7</v>
      </c>
      <c r="D10" s="832">
        <f>'Data Sheet'!K25</f>
        <v>789.07</v>
      </c>
      <c r="E10" s="833"/>
      <c r="G10" s="834" t="s">
        <v>361</v>
      </c>
      <c r="H10" s="841"/>
      <c r="I10" s="368">
        <f>G33</f>
        <v>0.19614121188128386</v>
      </c>
      <c r="J10" s="367"/>
      <c r="K10" s="366"/>
    </row>
    <row r="11" spans="1:12">
      <c r="C11" s="365" t="s">
        <v>187</v>
      </c>
      <c r="D11" s="832">
        <f>'Data Sheet'!K66</f>
        <v>15832.46</v>
      </c>
      <c r="E11" s="833"/>
      <c r="G11" s="846" t="s">
        <v>55</v>
      </c>
      <c r="H11" s="847"/>
      <c r="I11" s="364">
        <f>K39</f>
        <v>0.19650687353244256</v>
      </c>
      <c r="K11" s="363"/>
    </row>
    <row r="12" spans="1:12">
      <c r="C12" s="362" t="s">
        <v>186</v>
      </c>
      <c r="D12" s="832">
        <f>'Data Sheet'!K59</f>
        <v>2596.1799999999998</v>
      </c>
      <c r="E12" s="833"/>
      <c r="G12" s="293" t="s">
        <v>360</v>
      </c>
    </row>
    <row r="13" spans="1:12" ht="13.5" thickBot="1">
      <c r="C13" s="361"/>
      <c r="D13" s="848"/>
      <c r="E13" s="848"/>
    </row>
    <row r="14" spans="1:12" ht="16.5" thickBot="1">
      <c r="B14" s="849" t="s">
        <v>359</v>
      </c>
      <c r="C14" s="850"/>
      <c r="D14" s="850"/>
      <c r="E14" s="850"/>
      <c r="F14" s="850"/>
      <c r="G14" s="850"/>
      <c r="H14" s="850"/>
      <c r="I14" s="850"/>
      <c r="J14" s="850"/>
      <c r="K14" s="851"/>
    </row>
    <row r="15" spans="1:12" ht="15.75">
      <c r="B15" s="339">
        <v>1</v>
      </c>
      <c r="C15" s="852" t="s">
        <v>94</v>
      </c>
      <c r="D15" s="853"/>
      <c r="E15" s="854"/>
      <c r="F15" s="319"/>
      <c r="G15" s="319"/>
      <c r="H15" s="319"/>
      <c r="I15" s="319"/>
      <c r="J15" s="308"/>
      <c r="K15" s="318"/>
    </row>
    <row r="16" spans="1:12" ht="15.75">
      <c r="B16" s="339"/>
      <c r="C16" s="328" t="s">
        <v>352</v>
      </c>
      <c r="D16" s="314" t="s">
        <v>338</v>
      </c>
      <c r="E16" s="327" t="s">
        <v>358</v>
      </c>
      <c r="F16" s="314" t="s">
        <v>338</v>
      </c>
      <c r="G16" s="326" t="s">
        <v>357</v>
      </c>
      <c r="H16" s="314" t="s">
        <v>334</v>
      </c>
      <c r="I16" s="315" t="s">
        <v>356</v>
      </c>
      <c r="J16" s="308"/>
      <c r="K16" s="318"/>
    </row>
    <row r="17" spans="2:12" ht="15.75">
      <c r="B17" s="312"/>
      <c r="C17" s="360">
        <f>D6</f>
        <v>18580.5</v>
      </c>
      <c r="D17" s="359"/>
      <c r="E17" s="360">
        <f>D8</f>
        <v>3803.62</v>
      </c>
      <c r="F17" s="359"/>
      <c r="G17" s="360">
        <f>D7</f>
        <v>12558.780000000002</v>
      </c>
      <c r="H17" s="359"/>
      <c r="I17" s="358">
        <f>C17-E17-G17</f>
        <v>2218.0999999999985</v>
      </c>
      <c r="J17" s="308"/>
      <c r="K17" s="318"/>
    </row>
    <row r="18" spans="2:12" ht="15.75">
      <c r="B18" s="312"/>
      <c r="C18" s="356"/>
      <c r="D18" s="359"/>
      <c r="E18" s="356"/>
      <c r="F18" s="359"/>
      <c r="G18" s="344"/>
      <c r="H18" s="359"/>
      <c r="I18" s="344"/>
      <c r="J18" s="308"/>
      <c r="K18" s="318"/>
    </row>
    <row r="19" spans="2:12" ht="15.75">
      <c r="B19" s="312"/>
      <c r="C19" s="328" t="s">
        <v>356</v>
      </c>
      <c r="D19" s="314" t="s">
        <v>340</v>
      </c>
      <c r="E19" s="315" t="s">
        <v>7</v>
      </c>
      <c r="F19" s="314" t="s">
        <v>338</v>
      </c>
      <c r="G19" s="326" t="s">
        <v>343</v>
      </c>
      <c r="H19" s="314" t="s">
        <v>334</v>
      </c>
      <c r="I19" s="315" t="s">
        <v>355</v>
      </c>
      <c r="J19" s="308"/>
      <c r="K19" s="318"/>
    </row>
    <row r="20" spans="2:12" ht="15.75">
      <c r="B20" s="312"/>
      <c r="C20" s="360">
        <f>I17</f>
        <v>2218.0999999999985</v>
      </c>
      <c r="D20" s="353"/>
      <c r="E20" s="360">
        <f>D10</f>
        <v>789.07</v>
      </c>
      <c r="F20" s="359"/>
      <c r="G20" s="360">
        <f>D9</f>
        <v>406.15</v>
      </c>
      <c r="H20" s="359"/>
      <c r="I20" s="358">
        <f>C20+E20-G20</f>
        <v>2601.0199999999986</v>
      </c>
      <c r="J20" s="308"/>
      <c r="K20" s="318"/>
    </row>
    <row r="21" spans="2:12" ht="15.75">
      <c r="B21" s="357"/>
      <c r="C21" s="356"/>
      <c r="D21" s="310"/>
      <c r="E21" s="356"/>
      <c r="F21" s="310"/>
      <c r="G21" s="356"/>
      <c r="H21" s="310"/>
      <c r="I21" s="356"/>
      <c r="J21" s="308"/>
      <c r="K21" s="318"/>
    </row>
    <row r="22" spans="2:12" ht="15.75">
      <c r="B22" s="312"/>
      <c r="C22" s="328" t="s">
        <v>355</v>
      </c>
      <c r="D22" s="314" t="s">
        <v>340</v>
      </c>
      <c r="E22" s="327" t="s">
        <v>343</v>
      </c>
      <c r="F22" s="314" t="s">
        <v>342</v>
      </c>
      <c r="G22" s="328" t="s">
        <v>352</v>
      </c>
      <c r="H22" s="314" t="s">
        <v>334</v>
      </c>
      <c r="I22" s="355" t="s">
        <v>94</v>
      </c>
      <c r="J22" s="308"/>
      <c r="K22" s="354" t="s">
        <v>354</v>
      </c>
    </row>
    <row r="23" spans="2:12" ht="16.5" thickBot="1">
      <c r="B23" s="312"/>
      <c r="C23" s="343">
        <f>I20</f>
        <v>2601.0199999999986</v>
      </c>
      <c r="D23" s="353"/>
      <c r="E23" s="351">
        <f>D9</f>
        <v>406.15</v>
      </c>
      <c r="F23" s="352"/>
      <c r="G23" s="351">
        <f>C17</f>
        <v>18580.5</v>
      </c>
      <c r="H23" s="350"/>
      <c r="I23" s="349">
        <f>(C23+E23)/G23</f>
        <v>0.16184548316783717</v>
      </c>
      <c r="J23" s="308"/>
      <c r="K23" s="318"/>
      <c r="L23" s="348"/>
    </row>
    <row r="24" spans="2:12" ht="15.75">
      <c r="B24" s="332">
        <v>2</v>
      </c>
      <c r="C24" s="842" t="s">
        <v>353</v>
      </c>
      <c r="D24" s="843"/>
      <c r="E24" s="844"/>
      <c r="F24" s="347"/>
      <c r="G24" s="331"/>
      <c r="H24" s="331"/>
      <c r="I24" s="331"/>
      <c r="J24" s="330"/>
      <c r="K24" s="346"/>
      <c r="L24" s="337"/>
    </row>
    <row r="25" spans="2:12" ht="15.75">
      <c r="B25" s="339"/>
      <c r="C25" s="328" t="s">
        <v>352</v>
      </c>
      <c r="D25" s="314" t="s">
        <v>342</v>
      </c>
      <c r="E25" s="327" t="s">
        <v>187</v>
      </c>
      <c r="F25" s="314" t="s">
        <v>334</v>
      </c>
      <c r="G25" s="336" t="s">
        <v>347</v>
      </c>
      <c r="H25" s="319"/>
      <c r="I25" s="345" t="s">
        <v>349</v>
      </c>
      <c r="J25" s="308"/>
      <c r="K25" s="338"/>
      <c r="L25" s="337"/>
    </row>
    <row r="26" spans="2:12" ht="16.5" thickBot="1">
      <c r="B26" s="312"/>
      <c r="C26" s="343">
        <f>C17</f>
        <v>18580.5</v>
      </c>
      <c r="D26" s="344"/>
      <c r="E26" s="343">
        <f>D11</f>
        <v>15832.46</v>
      </c>
      <c r="F26" s="310"/>
      <c r="G26" s="342">
        <f>C26/E26</f>
        <v>1.1735699948081348</v>
      </c>
      <c r="H26" s="319"/>
      <c r="I26" s="319"/>
      <c r="J26" s="308"/>
      <c r="K26" s="338"/>
      <c r="L26" s="337"/>
    </row>
    <row r="27" spans="2:12" ht="15.75">
      <c r="B27" s="332">
        <v>3</v>
      </c>
      <c r="C27" s="842" t="s">
        <v>351</v>
      </c>
      <c r="D27" s="843"/>
      <c r="E27" s="844"/>
      <c r="F27" s="341"/>
      <c r="G27" s="331"/>
      <c r="H27" s="331"/>
      <c r="I27" s="331"/>
      <c r="J27" s="330"/>
      <c r="K27" s="340"/>
      <c r="L27" s="337"/>
    </row>
    <row r="28" spans="2:12" ht="15.75">
      <c r="B28" s="339"/>
      <c r="C28" s="328" t="s">
        <v>350</v>
      </c>
      <c r="D28" s="314" t="s">
        <v>336</v>
      </c>
      <c r="E28" s="327" t="s">
        <v>349</v>
      </c>
      <c r="F28" s="334"/>
      <c r="G28" s="319"/>
      <c r="H28" s="319"/>
      <c r="I28" s="319"/>
      <c r="J28" s="308"/>
      <c r="K28" s="338"/>
      <c r="L28" s="337"/>
    </row>
    <row r="29" spans="2:12" ht="15.75">
      <c r="B29" s="312"/>
      <c r="C29" s="328" t="s">
        <v>348</v>
      </c>
      <c r="D29" s="314" t="s">
        <v>336</v>
      </c>
      <c r="E29" s="327" t="s">
        <v>347</v>
      </c>
      <c r="F29" s="314" t="s">
        <v>334</v>
      </c>
      <c r="G29" s="336" t="s">
        <v>339</v>
      </c>
      <c r="H29" s="319"/>
      <c r="I29" s="319"/>
      <c r="J29" s="308"/>
      <c r="K29" s="318"/>
    </row>
    <row r="30" spans="2:12" ht="16.5" thickBot="1">
      <c r="B30" s="312"/>
      <c r="C30" s="335">
        <f>I23</f>
        <v>0.16184548316783717</v>
      </c>
      <c r="D30" s="319"/>
      <c r="E30" s="335">
        <f>G26</f>
        <v>1.1735699948081348</v>
      </c>
      <c r="F30" s="334"/>
      <c r="G30" s="333">
        <f>C30*E30</f>
        <v>0.18993700284099874</v>
      </c>
      <c r="H30" s="319"/>
      <c r="I30" s="319"/>
      <c r="J30" s="308"/>
      <c r="K30" s="318"/>
    </row>
    <row r="31" spans="2:12" ht="15.75">
      <c r="B31" s="332">
        <v>4</v>
      </c>
      <c r="C31" s="842" t="s">
        <v>346</v>
      </c>
      <c r="D31" s="843"/>
      <c r="E31" s="844"/>
      <c r="F31" s="331"/>
      <c r="G31" s="331"/>
      <c r="H31" s="331"/>
      <c r="I31" s="331"/>
      <c r="J31" s="330"/>
      <c r="K31" s="329"/>
    </row>
    <row r="32" spans="2:12" ht="15.75">
      <c r="B32" s="312"/>
      <c r="C32" s="328" t="s">
        <v>186</v>
      </c>
      <c r="D32" s="314" t="s">
        <v>342</v>
      </c>
      <c r="E32" s="327" t="s">
        <v>345</v>
      </c>
      <c r="F32" s="314" t="s">
        <v>334</v>
      </c>
      <c r="G32" s="326" t="s">
        <v>335</v>
      </c>
      <c r="H32" s="319"/>
      <c r="I32" s="319" t="s">
        <v>344</v>
      </c>
      <c r="J32" s="308"/>
      <c r="K32" s="318"/>
    </row>
    <row r="33" spans="1:13" ht="15.75">
      <c r="B33" s="312"/>
      <c r="C33" s="325">
        <f>D12</f>
        <v>2596.1799999999998</v>
      </c>
      <c r="D33" s="321"/>
      <c r="E33" s="325">
        <f>D11-D12</f>
        <v>13236.279999999999</v>
      </c>
      <c r="F33" s="310"/>
      <c r="G33" s="324">
        <f>C33/E33</f>
        <v>0.19614121188128386</v>
      </c>
      <c r="H33" s="319"/>
      <c r="I33" s="319"/>
      <c r="J33" s="308"/>
      <c r="K33" s="318"/>
    </row>
    <row r="34" spans="1:13" ht="15.75">
      <c r="B34" s="312"/>
      <c r="C34" s="323"/>
      <c r="D34" s="321"/>
      <c r="E34" s="323"/>
      <c r="F34" s="310"/>
      <c r="G34" s="322"/>
      <c r="H34" s="319"/>
      <c r="I34" s="319"/>
      <c r="J34" s="308"/>
      <c r="K34" s="318"/>
    </row>
    <row r="35" spans="1:13" ht="15.75">
      <c r="B35" s="312"/>
      <c r="C35" s="320" t="s">
        <v>343</v>
      </c>
      <c r="D35" s="314" t="s">
        <v>342</v>
      </c>
      <c r="E35" s="320" t="s">
        <v>186</v>
      </c>
      <c r="F35" s="314" t="s">
        <v>334</v>
      </c>
      <c r="G35" s="309" t="s">
        <v>337</v>
      </c>
      <c r="H35" s="319"/>
      <c r="I35" s="319" t="s">
        <v>341</v>
      </c>
      <c r="J35" s="308"/>
      <c r="K35" s="318"/>
    </row>
    <row r="36" spans="1:13" ht="15.75">
      <c r="B36" s="312"/>
      <c r="C36" s="320">
        <f>D9</f>
        <v>406.15</v>
      </c>
      <c r="D36" s="321"/>
      <c r="E36" s="320">
        <f>D12</f>
        <v>2596.1799999999998</v>
      </c>
      <c r="F36" s="310"/>
      <c r="G36" s="311">
        <f>C36/E36</f>
        <v>0.15644138696084248</v>
      </c>
      <c r="H36" s="319"/>
      <c r="I36" s="319"/>
      <c r="J36" s="308"/>
      <c r="K36" s="318"/>
    </row>
    <row r="37" spans="1:13" ht="15.75">
      <c r="B37" s="312"/>
      <c r="C37" s="319"/>
      <c r="D37" s="310"/>
      <c r="E37" s="319"/>
      <c r="F37" s="310"/>
      <c r="G37" s="319"/>
      <c r="H37" s="319"/>
      <c r="I37" s="319"/>
      <c r="J37" s="308"/>
      <c r="K37" s="318"/>
    </row>
    <row r="38" spans="1:13" ht="15.75">
      <c r="B38" s="312"/>
      <c r="C38" s="317" t="s">
        <v>339</v>
      </c>
      <c r="D38" s="314" t="s">
        <v>340</v>
      </c>
      <c r="E38" s="317" t="s">
        <v>339</v>
      </c>
      <c r="F38" s="314" t="s">
        <v>338</v>
      </c>
      <c r="G38" s="316" t="s">
        <v>337</v>
      </c>
      <c r="H38" s="314" t="s">
        <v>336</v>
      </c>
      <c r="I38" s="315" t="s">
        <v>335</v>
      </c>
      <c r="J38" s="314" t="s">
        <v>334</v>
      </c>
      <c r="K38" s="313" t="s">
        <v>55</v>
      </c>
    </row>
    <row r="39" spans="1:13" ht="15.75">
      <c r="B39" s="312"/>
      <c r="C39" s="311">
        <f>G30</f>
        <v>0.18993700284099874</v>
      </c>
      <c r="D39" s="308"/>
      <c r="E39" s="311">
        <f>G30</f>
        <v>0.18993700284099874</v>
      </c>
      <c r="F39" s="310"/>
      <c r="G39" s="311">
        <f>G36</f>
        <v>0.15644138696084248</v>
      </c>
      <c r="H39" s="310"/>
      <c r="I39" s="309">
        <f>G33</f>
        <v>0.19614121188128386</v>
      </c>
      <c r="J39" s="308"/>
      <c r="K39" s="307">
        <f>C39+((E39-G39)*I39)</f>
        <v>0.19650687353244256</v>
      </c>
    </row>
    <row r="40" spans="1:13" ht="16.5" thickBot="1">
      <c r="B40" s="306"/>
      <c r="C40" s="304"/>
      <c r="D40" s="305"/>
      <c r="E40" s="304"/>
      <c r="F40" s="305"/>
      <c r="G40" s="304"/>
      <c r="H40" s="304"/>
      <c r="I40" s="304"/>
      <c r="J40" s="303"/>
      <c r="K40" s="302"/>
    </row>
    <row r="41" spans="1:13">
      <c r="A41" s="294"/>
      <c r="B41" s="294"/>
      <c r="C41" s="294"/>
      <c r="D41" s="294"/>
      <c r="E41" s="294"/>
      <c r="F41" s="294"/>
      <c r="G41" s="294"/>
      <c r="H41" s="294"/>
      <c r="I41" s="294"/>
      <c r="J41" s="294"/>
      <c r="K41" s="294"/>
      <c r="L41" s="294"/>
      <c r="M41" s="294"/>
    </row>
    <row r="42" spans="1:13" ht="15.75">
      <c r="A42" s="294"/>
      <c r="B42" s="845"/>
      <c r="C42" s="845"/>
      <c r="D42" s="845"/>
      <c r="E42" s="845"/>
      <c r="F42" s="845"/>
      <c r="G42" s="845"/>
      <c r="H42" s="845"/>
      <c r="I42" s="845"/>
      <c r="J42" s="845"/>
      <c r="K42" s="845"/>
      <c r="L42" s="294"/>
      <c r="M42" s="294"/>
    </row>
    <row r="43" spans="1:13" ht="15.75">
      <c r="A43" s="294"/>
      <c r="B43" s="301"/>
      <c r="C43" s="300"/>
      <c r="D43" s="299"/>
      <c r="E43" s="300"/>
      <c r="F43" s="299"/>
      <c r="G43" s="300"/>
      <c r="H43" s="294"/>
      <c r="I43" s="294"/>
      <c r="J43" s="294"/>
      <c r="K43" s="294"/>
      <c r="L43" s="294"/>
      <c r="M43" s="294"/>
    </row>
    <row r="44" spans="1:13" ht="15.75">
      <c r="A44" s="294"/>
      <c r="B44" s="294"/>
      <c r="C44" s="297"/>
      <c r="D44" s="296"/>
      <c r="E44" s="297"/>
      <c r="F44" s="296"/>
      <c r="G44" s="297"/>
      <c r="H44" s="294"/>
      <c r="I44" s="294"/>
      <c r="J44" s="294"/>
      <c r="K44" s="294"/>
      <c r="L44" s="294"/>
      <c r="M44" s="294"/>
    </row>
    <row r="45" spans="1:13">
      <c r="A45" s="294"/>
      <c r="B45" s="294"/>
      <c r="C45" s="294"/>
      <c r="D45" s="294"/>
      <c r="E45" s="294"/>
      <c r="F45" s="294"/>
      <c r="G45" s="294"/>
      <c r="H45" s="294"/>
      <c r="I45" s="294"/>
      <c r="J45" s="294"/>
      <c r="K45" s="294"/>
      <c r="L45" s="294"/>
      <c r="M45" s="294"/>
    </row>
    <row r="46" spans="1:13" ht="15.75">
      <c r="A46" s="294"/>
      <c r="B46" s="294"/>
      <c r="C46" s="300"/>
      <c r="D46" s="299"/>
      <c r="E46" s="300"/>
      <c r="F46" s="299"/>
      <c r="G46" s="300"/>
      <c r="H46" s="299"/>
      <c r="I46" s="299"/>
      <c r="J46" s="294"/>
      <c r="K46" s="294"/>
      <c r="L46" s="294"/>
      <c r="M46" s="294"/>
    </row>
    <row r="47" spans="1:13" ht="15.75">
      <c r="A47" s="294"/>
      <c r="B47" s="294"/>
      <c r="C47" s="297"/>
      <c r="D47" s="296"/>
      <c r="E47" s="298"/>
      <c r="F47" s="296"/>
      <c r="G47" s="297"/>
      <c r="H47" s="296"/>
      <c r="I47" s="295"/>
      <c r="J47" s="294"/>
      <c r="K47" s="294"/>
      <c r="L47" s="294"/>
      <c r="M47" s="294"/>
    </row>
    <row r="48" spans="1:13">
      <c r="A48" s="294"/>
      <c r="B48" s="294"/>
      <c r="C48" s="294"/>
      <c r="D48" s="294"/>
      <c r="E48" s="294"/>
      <c r="F48" s="294"/>
      <c r="G48" s="294"/>
      <c r="H48" s="294"/>
      <c r="I48" s="294"/>
      <c r="J48" s="294"/>
      <c r="K48" s="294"/>
      <c r="L48" s="294"/>
      <c r="M48" s="294"/>
    </row>
    <row r="49" spans="1:13">
      <c r="A49" s="294"/>
      <c r="B49" s="294"/>
      <c r="C49" s="294"/>
      <c r="D49" s="294"/>
      <c r="E49" s="294"/>
      <c r="F49" s="294"/>
      <c r="G49" s="294"/>
      <c r="H49" s="294"/>
      <c r="I49" s="294"/>
      <c r="J49" s="294"/>
      <c r="K49" s="294"/>
      <c r="L49" s="294"/>
      <c r="M49" s="294"/>
    </row>
    <row r="50" spans="1:13">
      <c r="A50" s="294"/>
      <c r="B50" s="294"/>
      <c r="C50" s="294"/>
      <c r="D50" s="294"/>
      <c r="E50" s="294"/>
      <c r="F50" s="294"/>
      <c r="G50" s="294"/>
      <c r="H50" s="294"/>
      <c r="I50" s="294"/>
      <c r="J50" s="294"/>
      <c r="K50" s="294"/>
      <c r="L50" s="294"/>
      <c r="M50" s="294"/>
    </row>
    <row r="51" spans="1:13">
      <c r="A51" s="294"/>
      <c r="B51" s="294"/>
      <c r="C51" s="294"/>
      <c r="D51" s="294"/>
      <c r="E51" s="294"/>
      <c r="F51" s="294"/>
      <c r="G51" s="294"/>
      <c r="H51" s="294"/>
      <c r="I51" s="294"/>
      <c r="J51" s="294"/>
      <c r="K51" s="294"/>
      <c r="L51" s="294"/>
      <c r="M51" s="294"/>
    </row>
    <row r="52" spans="1:13">
      <c r="A52" s="294"/>
      <c r="B52" s="294"/>
      <c r="C52" s="294"/>
      <c r="D52" s="294"/>
      <c r="E52" s="294"/>
      <c r="F52" s="294"/>
      <c r="G52" s="294"/>
      <c r="H52" s="294"/>
      <c r="I52" s="294"/>
      <c r="J52" s="294"/>
      <c r="K52" s="294"/>
      <c r="L52" s="294"/>
      <c r="M52" s="294"/>
    </row>
    <row r="53" spans="1:13">
      <c r="A53" s="294"/>
      <c r="B53" s="294"/>
      <c r="C53" s="294"/>
      <c r="D53" s="294"/>
      <c r="E53" s="294"/>
      <c r="F53" s="294"/>
      <c r="G53" s="294"/>
      <c r="H53" s="294"/>
      <c r="I53" s="294"/>
      <c r="J53" s="294"/>
      <c r="K53" s="294"/>
      <c r="L53" s="294"/>
      <c r="M53" s="294"/>
    </row>
    <row r="54" spans="1:13">
      <c r="A54" s="294"/>
      <c r="B54" s="294"/>
      <c r="C54" s="294"/>
      <c r="D54" s="294"/>
      <c r="E54" s="294"/>
      <c r="F54" s="294"/>
      <c r="G54" s="294"/>
      <c r="H54" s="294"/>
      <c r="I54" s="294"/>
      <c r="J54" s="294"/>
      <c r="K54" s="294"/>
      <c r="L54" s="294"/>
      <c r="M54" s="294"/>
    </row>
    <row r="55" spans="1:13">
      <c r="A55" s="294"/>
      <c r="B55" s="294"/>
      <c r="C55" s="294"/>
      <c r="D55" s="294"/>
      <c r="E55" s="294"/>
      <c r="F55" s="294"/>
      <c r="G55" s="294"/>
      <c r="H55" s="294"/>
      <c r="I55" s="294"/>
      <c r="J55" s="294"/>
      <c r="K55" s="294"/>
      <c r="L55" s="294"/>
      <c r="M55" s="294"/>
    </row>
    <row r="56" spans="1:13">
      <c r="A56" s="294"/>
      <c r="B56" s="294"/>
      <c r="C56" s="294"/>
      <c r="D56" s="294"/>
      <c r="E56" s="294"/>
      <c r="F56" s="294"/>
      <c r="G56" s="294"/>
      <c r="H56" s="294"/>
      <c r="I56" s="294"/>
      <c r="J56" s="294"/>
      <c r="K56" s="294"/>
      <c r="L56" s="294"/>
      <c r="M56" s="294"/>
    </row>
    <row r="57" spans="1:13">
      <c r="A57" s="294"/>
      <c r="B57" s="294"/>
      <c r="C57" s="294"/>
      <c r="D57" s="294"/>
      <c r="E57" s="294"/>
      <c r="F57" s="294"/>
      <c r="G57" s="294"/>
      <c r="H57" s="294"/>
      <c r="I57" s="294"/>
      <c r="J57" s="294"/>
      <c r="K57" s="294"/>
      <c r="L57" s="294"/>
      <c r="M57" s="294"/>
    </row>
    <row r="58" spans="1:13">
      <c r="A58" s="294"/>
      <c r="B58" s="294"/>
      <c r="C58" s="294"/>
      <c r="D58" s="294"/>
      <c r="E58" s="294"/>
      <c r="F58" s="294"/>
      <c r="G58" s="294"/>
      <c r="H58" s="294"/>
      <c r="I58" s="294"/>
      <c r="J58" s="294"/>
      <c r="K58" s="294"/>
      <c r="L58" s="294"/>
      <c r="M58" s="294"/>
    </row>
    <row r="59" spans="1:13">
      <c r="A59" s="294"/>
      <c r="B59" s="294"/>
      <c r="C59" s="294"/>
      <c r="D59" s="294"/>
      <c r="E59" s="294"/>
      <c r="F59" s="294"/>
      <c r="G59" s="294"/>
      <c r="H59" s="294"/>
      <c r="I59" s="294"/>
      <c r="J59" s="294"/>
      <c r="K59" s="294"/>
      <c r="L59" s="294"/>
      <c r="M59" s="294"/>
    </row>
  </sheetData>
  <sheetProtection algorithmName="SHA-512" hashValue="Kit2ZGszZQEYpepTVqrk8GOCdwO7dU3HzRZUmCH7sylRqyW4kgWbMb7mBeGUAp+ks0QByHmy39df5BeBYqRT+A==" saltValue="GY1rNQskJal2JIH1+n99OA==" spinCount="100000" sheet="1" objects="1"/>
  <mergeCells count="23">
    <mergeCell ref="C24:E24"/>
    <mergeCell ref="C27:E27"/>
    <mergeCell ref="C31:E31"/>
    <mergeCell ref="B42:K42"/>
    <mergeCell ref="D11:E11"/>
    <mergeCell ref="G11:H11"/>
    <mergeCell ref="D12:E12"/>
    <mergeCell ref="D13:E13"/>
    <mergeCell ref="B14:K14"/>
    <mergeCell ref="C15:E15"/>
    <mergeCell ref="D8:E8"/>
    <mergeCell ref="G8:H8"/>
    <mergeCell ref="D9:E9"/>
    <mergeCell ref="G9:H9"/>
    <mergeCell ref="D10:E10"/>
    <mergeCell ref="G10:H10"/>
    <mergeCell ref="D7:E7"/>
    <mergeCell ref="G7:H7"/>
    <mergeCell ref="A1:K1"/>
    <mergeCell ref="K4:K5"/>
    <mergeCell ref="C5:E5"/>
    <mergeCell ref="D6:E6"/>
    <mergeCell ref="G6:H6"/>
  </mergeCells>
  <pageMargins left="0.75" right="0.75" top="1" bottom="1" header="0.5" footer="0.5"/>
  <pageSetup scale="5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4A8D-0D80-4781-B694-EAE11839DA62}">
  <dimension ref="A1:K13"/>
  <sheetViews>
    <sheetView workbookViewId="0">
      <selection activeCell="K2" sqref="K2"/>
    </sheetView>
  </sheetViews>
  <sheetFormatPr defaultRowHeight="15"/>
  <cols>
    <col min="1" max="1" width="18.42578125" customWidth="1"/>
    <col min="2" max="2" width="11.7109375" customWidth="1"/>
  </cols>
  <sheetData>
    <row r="1" spans="1:11">
      <c r="B1" s="139">
        <v>39538</v>
      </c>
      <c r="C1" s="139">
        <v>39903</v>
      </c>
      <c r="D1" s="139">
        <v>40268</v>
      </c>
      <c r="E1" s="139">
        <v>40633</v>
      </c>
      <c r="F1" s="139">
        <v>40999</v>
      </c>
      <c r="G1" s="139">
        <v>41364</v>
      </c>
      <c r="H1" s="139">
        <v>41729</v>
      </c>
      <c r="I1" s="139">
        <v>42094</v>
      </c>
      <c r="J1" s="139">
        <v>42460</v>
      </c>
      <c r="K1" s="139">
        <v>42825</v>
      </c>
    </row>
    <row r="2" spans="1:11" s="628" customFormat="1">
      <c r="A2" s="437" t="s">
        <v>462</v>
      </c>
      <c r="B2" s="630">
        <f>'Data Sheet'!B30/'Data Sheet'!B17</f>
        <v>-0.93300351396338077</v>
      </c>
      <c r="C2" s="630">
        <f>'Data Sheet'!C30/'Data Sheet'!C17</f>
        <v>-0.20722438494743256</v>
      </c>
      <c r="D2" s="630">
        <f>'Data Sheet'!D30/'Data Sheet'!D17</f>
        <v>0.21136220581236473</v>
      </c>
      <c r="E2" s="630">
        <f>'Data Sheet'!E30/'Data Sheet'!E17</f>
        <v>0.16964746883983492</v>
      </c>
      <c r="F2" s="630">
        <f>'Data Sheet'!F30/'Data Sheet'!F17</f>
        <v>2.2980739164656958E-2</v>
      </c>
      <c r="G2" s="630">
        <f>'Data Sheet'!G30/'Data Sheet'!G17</f>
        <v>8.5552880122741523E-2</v>
      </c>
      <c r="H2" s="630">
        <f>'Data Sheet'!H30/'Data Sheet'!H17</f>
        <v>4.2678593596231933E-2</v>
      </c>
      <c r="I2" s="630">
        <f>'Data Sheet'!I30/'Data Sheet'!I17</f>
        <v>9.3654445780138942E-2</v>
      </c>
      <c r="J2" s="630">
        <f>'Data Sheet'!J30/'Data Sheet'!J17</f>
        <v>0.12305892659872329</v>
      </c>
      <c r="K2" s="630">
        <f>'Data Sheet'!K30/'Data Sheet'!K17</f>
        <v>8.9297381663572026E-2</v>
      </c>
    </row>
    <row r="3" spans="1:11" s="406" customFormat="1" ht="30">
      <c r="A3" s="623" t="s">
        <v>542</v>
      </c>
      <c r="B3" s="631">
        <f>'Data Sheet'!B17/'Data Sheet'!B61</f>
        <v>0.56678634136114681</v>
      </c>
      <c r="C3" s="631">
        <f>'Data Sheet'!C17/'Data Sheet'!C61</f>
        <v>2.1026226404588226</v>
      </c>
      <c r="D3" s="631">
        <f>'Data Sheet'!D17/'Data Sheet'!D61</f>
        <v>1.1620920046742729</v>
      </c>
      <c r="E3" s="631">
        <f>'Data Sheet'!E17/'Data Sheet'!E61</f>
        <v>1.3130623918888833</v>
      </c>
      <c r="F3" s="631">
        <f>'Data Sheet'!F17/'Data Sheet'!F61</f>
        <v>1.459177251701822</v>
      </c>
      <c r="G3" s="631">
        <f>'Data Sheet'!G17/'Data Sheet'!G61</f>
        <v>1.5283725456656077</v>
      </c>
      <c r="H3" s="631">
        <f>'Data Sheet'!H17/'Data Sheet'!H61</f>
        <v>1.1969941036364498</v>
      </c>
      <c r="I3" s="631">
        <f>'Data Sheet'!I17/'Data Sheet'!I61</f>
        <v>1.285161340337484</v>
      </c>
      <c r="J3" s="631">
        <f>'Data Sheet'!J17/'Data Sheet'!J61</f>
        <v>1.2271614775593189</v>
      </c>
      <c r="K3" s="631">
        <f>'Data Sheet'!K17/'Data Sheet'!K61</f>
        <v>1.1735699948081348</v>
      </c>
    </row>
    <row r="4" spans="1:11" ht="30">
      <c r="A4" s="629" t="s">
        <v>543</v>
      </c>
      <c r="B4" s="438">
        <f>'Data Sheet'!B66/('Data Sheet'!B57+'Data Sheet'!B58)</f>
        <v>-2.0618684821959259</v>
      </c>
      <c r="C4" s="438">
        <f>'Data Sheet'!C66/('Data Sheet'!C57+'Data Sheet'!C58)</f>
        <v>-1.2892627246404555</v>
      </c>
      <c r="D4" s="438">
        <f>'Data Sheet'!D66/('Data Sheet'!D57+'Data Sheet'!D58)</f>
        <v>17.36953827083979</v>
      </c>
      <c r="E4" s="438">
        <f>'Data Sheet'!E66/('Data Sheet'!E57+'Data Sheet'!E58)</f>
        <v>29.468557585545568</v>
      </c>
      <c r="F4" s="438">
        <f>'Data Sheet'!F66/('Data Sheet'!F57+'Data Sheet'!F58)</f>
        <v>10.061898102952428</v>
      </c>
      <c r="G4" s="438">
        <f>'Data Sheet'!G66/('Data Sheet'!G57+'Data Sheet'!G58)</f>
        <v>11.388806929944014</v>
      </c>
      <c r="H4" s="438">
        <f>'Data Sheet'!H66/('Data Sheet'!H57+'Data Sheet'!H58)</f>
        <v>22.990098029507873</v>
      </c>
      <c r="I4" s="438">
        <f>'Data Sheet'!I66/('Data Sheet'!I57+'Data Sheet'!I58)</f>
        <v>25.983118315668314</v>
      </c>
      <c r="J4" s="438">
        <f>'Data Sheet'!J66/('Data Sheet'!J57+'Data Sheet'!J58)</f>
        <v>4.8297144158138066</v>
      </c>
      <c r="K4" s="438">
        <f>'Data Sheet'!K66/('Data Sheet'!K57+'Data Sheet'!K58)</f>
        <v>4.1893459496933225</v>
      </c>
    </row>
    <row r="5" spans="1:11">
      <c r="A5" s="422" t="s">
        <v>386</v>
      </c>
      <c r="B5" s="626">
        <f>B2*B3</f>
        <v>-0.5288136481563982</v>
      </c>
      <c r="C5" s="626">
        <f t="shared" ref="C5:K5" si="0">C2*C3</f>
        <v>-0.43571468344562614</v>
      </c>
      <c r="D5" s="626">
        <f t="shared" si="0"/>
        <v>0.24562232946486717</v>
      </c>
      <c r="E5" s="626">
        <f t="shared" si="0"/>
        <v>0.22275771121272844</v>
      </c>
      <c r="F5" s="626">
        <f t="shared" si="0"/>
        <v>3.3532971816360564E-2</v>
      </c>
      <c r="G5" s="626">
        <f t="shared" si="0"/>
        <v>0.13075667318221904</v>
      </c>
      <c r="H5" s="626">
        <f t="shared" si="0"/>
        <v>5.1086024886185966E-2</v>
      </c>
      <c r="I5" s="626">
        <f t="shared" si="0"/>
        <v>0.12036107306736758</v>
      </c>
      <c r="J5" s="626">
        <f t="shared" si="0"/>
        <v>0.15101317419175306</v>
      </c>
      <c r="K5" s="626">
        <f t="shared" si="0"/>
        <v>0.10479672773529826</v>
      </c>
    </row>
    <row r="6" spans="1:11" s="406" customFormat="1">
      <c r="A6" s="632" t="s">
        <v>384</v>
      </c>
      <c r="B6" s="627">
        <f t="shared" ref="B6:K6" si="1">B2*B3*B4</f>
        <v>1.0903441940887231</v>
      </c>
      <c r="C6" s="627">
        <f t="shared" si="1"/>
        <v>0.56175069994496152</v>
      </c>
      <c r="D6" s="627">
        <f t="shared" si="1"/>
        <v>4.2663464518128302</v>
      </c>
      <c r="E6" s="627">
        <f t="shared" si="1"/>
        <v>6.5643484404966177</v>
      </c>
      <c r="F6" s="627">
        <f t="shared" si="1"/>
        <v>0.33740534550539558</v>
      </c>
      <c r="G6" s="627">
        <f t="shared" si="1"/>
        <v>1.4891625056740807</v>
      </c>
      <c r="H6" s="627">
        <f t="shared" si="1"/>
        <v>1.1744727200712941</v>
      </c>
      <c r="I6" s="627">
        <f t="shared" si="1"/>
        <v>3.1273560021102109</v>
      </c>
      <c r="J6" s="627">
        <f t="shared" si="1"/>
        <v>0.72935050437171123</v>
      </c>
      <c r="K6" s="627">
        <f t="shared" si="1"/>
        <v>0.43902974687898566</v>
      </c>
    </row>
    <row r="12" spans="1:11">
      <c r="A12" s="625"/>
      <c r="B12" s="624"/>
      <c r="C12" s="624"/>
      <c r="D12" s="624"/>
      <c r="E12" s="624"/>
      <c r="F12" s="624"/>
      <c r="G12" s="624"/>
      <c r="H12" s="624"/>
      <c r="I12" s="624"/>
      <c r="J12" s="624"/>
      <c r="K12" s="624"/>
    </row>
    <row r="13" spans="1:11">
      <c r="A13" s="625"/>
      <c r="B13" s="624"/>
      <c r="C13" s="624"/>
      <c r="D13" s="624"/>
      <c r="E13" s="624"/>
      <c r="F13" s="624"/>
      <c r="G13" s="624"/>
      <c r="H13" s="624"/>
      <c r="I13" s="624"/>
      <c r="J13" s="624"/>
      <c r="K13" s="624"/>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CFDF3-13FA-4D4B-9E56-32A4D599152A}">
  <dimension ref="A1:I17"/>
  <sheetViews>
    <sheetView workbookViewId="0">
      <selection activeCell="B10" sqref="B10"/>
    </sheetView>
  </sheetViews>
  <sheetFormatPr defaultColWidth="8.7109375" defaultRowHeight="12.75"/>
  <cols>
    <col min="1" max="1" width="17.42578125" style="212" bestFit="1" customWidth="1"/>
    <col min="2" max="2" width="8" style="212" bestFit="1" customWidth="1"/>
    <col min="3" max="3" width="7.42578125" style="212" bestFit="1" customWidth="1"/>
    <col min="4" max="8" width="8.7109375" style="212"/>
    <col min="9" max="9" width="31.42578125" style="212" customWidth="1"/>
    <col min="10" max="16384" width="8.7109375" style="212"/>
  </cols>
  <sheetData>
    <row r="1" spans="1:9" ht="19.5">
      <c r="A1" s="855" t="s">
        <v>272</v>
      </c>
      <c r="B1" s="856"/>
      <c r="C1" s="857"/>
      <c r="F1" s="863" t="s">
        <v>280</v>
      </c>
      <c r="G1" s="864"/>
      <c r="H1" s="864"/>
      <c r="I1" s="865"/>
    </row>
    <row r="2" spans="1:9">
      <c r="A2" s="858" t="str">
        <f>'Data Sheet'!B1</f>
        <v>INTERGLOBE AVIATION LTD</v>
      </c>
      <c r="B2" s="859"/>
      <c r="C2" s="860"/>
      <c r="F2" s="866"/>
      <c r="G2" s="867"/>
      <c r="H2" s="867"/>
      <c r="I2" s="868"/>
    </row>
    <row r="3" spans="1:9">
      <c r="A3" s="213"/>
      <c r="B3" s="214" t="s">
        <v>195</v>
      </c>
      <c r="C3" s="215" t="s">
        <v>196</v>
      </c>
      <c r="F3" s="866"/>
      <c r="G3" s="867"/>
      <c r="H3" s="867"/>
      <c r="I3" s="868"/>
    </row>
    <row r="4" spans="1:9">
      <c r="A4" s="216" t="s">
        <v>90</v>
      </c>
      <c r="B4" s="217">
        <f>'EPV Valuation'!K12</f>
        <v>34201.474513211753</v>
      </c>
      <c r="C4" s="217"/>
      <c r="F4" s="866"/>
      <c r="G4" s="867"/>
      <c r="H4" s="867"/>
      <c r="I4" s="868"/>
    </row>
    <row r="5" spans="1:9">
      <c r="A5" s="216" t="s">
        <v>150</v>
      </c>
      <c r="B5" s="217">
        <f>'Dhandho IV'!D19</f>
        <v>44695.419615453655</v>
      </c>
      <c r="C5" s="217">
        <f>'Dhandho IV'!K19</f>
        <v>69256.704177733773</v>
      </c>
      <c r="F5" s="866"/>
      <c r="G5" s="867"/>
      <c r="H5" s="867"/>
      <c r="I5" s="868"/>
    </row>
    <row r="6" spans="1:9">
      <c r="A6" s="216" t="s">
        <v>151</v>
      </c>
      <c r="B6" s="217">
        <f>'Ben Graham Formula'!B10</f>
        <v>39099.177770115486</v>
      </c>
      <c r="C6" s="217">
        <f>'Ben Graham Formula'!E10</f>
        <v>73415.654540230971</v>
      </c>
      <c r="F6" s="866"/>
      <c r="G6" s="867"/>
      <c r="H6" s="867"/>
      <c r="I6" s="868"/>
    </row>
    <row r="7" spans="1:9">
      <c r="A7" s="216" t="s">
        <v>180</v>
      </c>
      <c r="B7" s="217">
        <f>DCF!B29</f>
        <v>55769.902052691992</v>
      </c>
      <c r="C7" s="217"/>
      <c r="F7" s="866"/>
      <c r="G7" s="867"/>
      <c r="H7" s="867"/>
      <c r="I7" s="868"/>
    </row>
    <row r="8" spans="1:9">
      <c r="A8" s="216" t="s">
        <v>183</v>
      </c>
      <c r="B8" s="217">
        <f>'Expected Returns'!B15</f>
        <v>33183.800000000003</v>
      </c>
      <c r="C8" s="217"/>
      <c r="F8" s="866"/>
      <c r="G8" s="867"/>
      <c r="H8" s="867"/>
      <c r="I8" s="868"/>
    </row>
    <row r="9" spans="1:9">
      <c r="A9" s="8" t="s">
        <v>331</v>
      </c>
      <c r="B9" s="212">
        <f>NNWC!C7</f>
        <v>2236.9599999999996</v>
      </c>
      <c r="F9" s="866"/>
      <c r="G9" s="867"/>
      <c r="H9" s="867"/>
      <c r="I9" s="868"/>
    </row>
    <row r="10" spans="1:9">
      <c r="A10" s="8" t="s">
        <v>332</v>
      </c>
      <c r="B10" s="212">
        <f>'Profit &amp; Loss'!B35</f>
        <v>7.5524818214932701</v>
      </c>
      <c r="F10" s="866"/>
      <c r="G10" s="867"/>
      <c r="H10" s="867"/>
      <c r="I10" s="868"/>
    </row>
    <row r="11" spans="1:9">
      <c r="A11" s="8" t="s">
        <v>333</v>
      </c>
      <c r="B11" s="212">
        <f>VALUATION!C10</f>
        <v>5000</v>
      </c>
      <c r="F11" s="866"/>
      <c r="G11" s="867"/>
      <c r="H11" s="867"/>
      <c r="I11" s="868"/>
    </row>
    <row r="12" spans="1:9">
      <c r="A12" s="279" t="s">
        <v>314</v>
      </c>
      <c r="B12" s="861">
        <f>'Data Sheet'!B9</f>
        <v>46360.56</v>
      </c>
      <c r="C12" s="862"/>
      <c r="F12" s="866"/>
      <c r="G12" s="867"/>
      <c r="H12" s="867"/>
      <c r="I12" s="868"/>
    </row>
    <row r="13" spans="1:9">
      <c r="F13" s="866"/>
      <c r="G13" s="867"/>
      <c r="H13" s="867"/>
      <c r="I13" s="868"/>
    </row>
    <row r="14" spans="1:9">
      <c r="F14" s="866"/>
      <c r="G14" s="867"/>
      <c r="H14" s="867"/>
      <c r="I14" s="868"/>
    </row>
    <row r="15" spans="1:9">
      <c r="F15" s="866"/>
      <c r="G15" s="867"/>
      <c r="H15" s="867"/>
      <c r="I15" s="868"/>
    </row>
    <row r="16" spans="1:9">
      <c r="F16" s="866"/>
      <c r="G16" s="867"/>
      <c r="H16" s="867"/>
      <c r="I16" s="868"/>
    </row>
    <row r="17" spans="6:9" ht="13.5" thickBot="1">
      <c r="F17" s="869"/>
      <c r="G17" s="870"/>
      <c r="H17" s="870"/>
      <c r="I17" s="871"/>
    </row>
  </sheetData>
  <mergeCells count="4">
    <mergeCell ref="A1:C1"/>
    <mergeCell ref="A2:C2"/>
    <mergeCell ref="B12:C12"/>
    <mergeCell ref="F1:I17"/>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25"/>
  <sheetViews>
    <sheetView workbookViewId="0">
      <pane xSplit="1" ySplit="3" topLeftCell="B4" activePane="bottomRight" state="frozen"/>
      <selection pane="topRight" activeCell="B1" sqref="B1"/>
      <selection pane="bottomLeft" activeCell="A4" sqref="A4"/>
      <selection pane="bottomRight" activeCell="M1" sqref="M1"/>
    </sheetView>
  </sheetViews>
  <sheetFormatPr defaultColWidth="9.140625" defaultRowHeight="12.75"/>
  <cols>
    <col min="1" max="1" width="21.7109375" style="13" bestFit="1" customWidth="1"/>
    <col min="2" max="2" width="6.7109375" style="13" bestFit="1" customWidth="1"/>
    <col min="3" max="3" width="6.5703125" style="13" bestFit="1" customWidth="1"/>
    <col min="4" max="6" width="6.7109375" style="13" bestFit="1" customWidth="1"/>
    <col min="7" max="7" width="6.5703125" style="13" bestFit="1" customWidth="1"/>
    <col min="8" max="10" width="6.7109375" style="13" bestFit="1" customWidth="1"/>
    <col min="11" max="11" width="6.5703125" style="13" bestFit="1" customWidth="1"/>
    <col min="12" max="16384" width="9.140625" style="13"/>
  </cols>
  <sheetData>
    <row r="1" spans="1:11" s="7" customFormat="1">
      <c r="A1" s="7" t="str">
        <f>'Profit &amp; Loss'!A2</f>
        <v>INTERGLOBE AVIATION LTD</v>
      </c>
      <c r="E1" s="8" t="str">
        <f>UPDATE</f>
        <v/>
      </c>
      <c r="K1" s="26"/>
    </row>
    <row r="2" spans="1:11">
      <c r="A2" s="26" t="s">
        <v>1</v>
      </c>
    </row>
    <row r="3" spans="1:11" s="10" customFormat="1">
      <c r="A3" s="150" t="s">
        <v>2</v>
      </c>
      <c r="B3" s="151">
        <f>'Data Sheet'!B41</f>
        <v>42369</v>
      </c>
      <c r="C3" s="151">
        <f>'Data Sheet'!C41</f>
        <v>42460</v>
      </c>
      <c r="D3" s="151">
        <f>'Data Sheet'!D41</f>
        <v>42551</v>
      </c>
      <c r="E3" s="151">
        <f>'Data Sheet'!E41</f>
        <v>42643</v>
      </c>
      <c r="F3" s="151">
        <f>'Data Sheet'!F41</f>
        <v>42735</v>
      </c>
      <c r="G3" s="151">
        <f>'Data Sheet'!G41</f>
        <v>42825</v>
      </c>
      <c r="H3" s="151">
        <f>'Data Sheet'!H41</f>
        <v>42916</v>
      </c>
      <c r="I3" s="151">
        <f>'Data Sheet'!I41</f>
        <v>43008</v>
      </c>
      <c r="J3" s="151">
        <f>'Data Sheet'!J41</f>
        <v>43100</v>
      </c>
      <c r="K3" s="152">
        <f>'Data Sheet'!K41</f>
        <v>43190</v>
      </c>
    </row>
    <row r="4" spans="1:11" s="7" customFormat="1">
      <c r="A4" s="153" t="s">
        <v>4</v>
      </c>
      <c r="B4" s="144">
        <f>'Data Sheet'!B42</f>
        <v>4297.76</v>
      </c>
      <c r="C4" s="144">
        <f>'Data Sheet'!C42</f>
        <v>4090.68</v>
      </c>
      <c r="D4" s="144">
        <f>'Data Sheet'!D42</f>
        <v>4578.8500000000004</v>
      </c>
      <c r="E4" s="144">
        <f>'Data Sheet'!E42</f>
        <v>4166.93</v>
      </c>
      <c r="F4" s="144">
        <f>'Data Sheet'!F42</f>
        <v>4986.5</v>
      </c>
      <c r="G4" s="144">
        <f>'Data Sheet'!G42</f>
        <v>4848.22</v>
      </c>
      <c r="H4" s="144">
        <f>'Data Sheet'!H42</f>
        <v>5752.91</v>
      </c>
      <c r="I4" s="144">
        <f>'Data Sheet'!I42</f>
        <v>5290.98</v>
      </c>
      <c r="J4" s="144">
        <f>'Data Sheet'!J42</f>
        <v>6177.88</v>
      </c>
      <c r="K4" s="154">
        <f>'Data Sheet'!K42</f>
        <v>5799.11</v>
      </c>
    </row>
    <row r="5" spans="1:11" s="12" customFormat="1">
      <c r="A5" s="155" t="s">
        <v>96</v>
      </c>
      <c r="B5" s="156"/>
      <c r="C5" s="156"/>
      <c r="D5" s="156"/>
      <c r="E5" s="156"/>
      <c r="F5" s="143">
        <f t="shared" ref="F5:K5" si="0">F4/B4-1</f>
        <v>0.16025557499720788</v>
      </c>
      <c r="G5" s="143">
        <f t="shared" si="0"/>
        <v>0.18518681490607936</v>
      </c>
      <c r="H5" s="143">
        <f t="shared" si="0"/>
        <v>0.25640936042892859</v>
      </c>
      <c r="I5" s="143">
        <f t="shared" si="0"/>
        <v>0.26975495148706585</v>
      </c>
      <c r="J5" s="143">
        <f t="shared" si="0"/>
        <v>0.2389210869347238</v>
      </c>
      <c r="K5" s="157">
        <f t="shared" si="0"/>
        <v>0.1961317761982746</v>
      </c>
    </row>
    <row r="6" spans="1:11">
      <c r="A6" s="158" t="s">
        <v>5</v>
      </c>
      <c r="B6" s="33">
        <f>'Data Sheet'!B43</f>
        <v>3284.11</v>
      </c>
      <c r="C6" s="33">
        <f>'Data Sheet'!C43</f>
        <v>3261.03</v>
      </c>
      <c r="D6" s="33">
        <f>'Data Sheet'!D43</f>
        <v>3763.63</v>
      </c>
      <c r="E6" s="33">
        <f>'Data Sheet'!E43</f>
        <v>3971.31</v>
      </c>
      <c r="F6" s="33">
        <f>'Data Sheet'!F43</f>
        <v>4362.04</v>
      </c>
      <c r="G6" s="33">
        <f>'Data Sheet'!G43</f>
        <v>4340.22</v>
      </c>
      <c r="H6" s="33">
        <f>'Data Sheet'!H43</f>
        <v>4655.8999999999996</v>
      </c>
      <c r="I6" s="33">
        <f>'Data Sheet'!I43</f>
        <v>4552.83</v>
      </c>
      <c r="J6" s="33">
        <f>'Data Sheet'!J43</f>
        <v>5186.38</v>
      </c>
      <c r="K6" s="159">
        <f>'Data Sheet'!K43</f>
        <v>5669.27</v>
      </c>
    </row>
    <row r="7" spans="1:11" s="7" customFormat="1">
      <c r="A7" s="153" t="s">
        <v>6</v>
      </c>
      <c r="B7" s="144">
        <f>'Data Sheet'!B50</f>
        <v>1013.65</v>
      </c>
      <c r="C7" s="144">
        <f>'Data Sheet'!C50</f>
        <v>829.65</v>
      </c>
      <c r="D7" s="144">
        <f>'Data Sheet'!D50</f>
        <v>815.22</v>
      </c>
      <c r="E7" s="144">
        <f>'Data Sheet'!E50</f>
        <v>195.62</v>
      </c>
      <c r="F7" s="144">
        <f>'Data Sheet'!F50</f>
        <v>624.46</v>
      </c>
      <c r="G7" s="144">
        <f>'Data Sheet'!G50</f>
        <v>508</v>
      </c>
      <c r="H7" s="144">
        <f>'Data Sheet'!H50</f>
        <v>1097.01</v>
      </c>
      <c r="I7" s="144">
        <f>'Data Sheet'!I50</f>
        <v>738.15</v>
      </c>
      <c r="J7" s="144">
        <f>'Data Sheet'!J50</f>
        <v>991.5</v>
      </c>
      <c r="K7" s="154">
        <f>'Data Sheet'!K50</f>
        <v>129.84</v>
      </c>
    </row>
    <row r="8" spans="1:11">
      <c r="A8" s="158" t="s">
        <v>7</v>
      </c>
      <c r="B8" s="33">
        <f>'Data Sheet'!B44</f>
        <v>120.36</v>
      </c>
      <c r="C8" s="33">
        <f>'Data Sheet'!C44</f>
        <v>185.2</v>
      </c>
      <c r="D8" s="33">
        <f>'Data Sheet'!D44</f>
        <v>162.61000000000001</v>
      </c>
      <c r="E8" s="33">
        <f>'Data Sheet'!E44</f>
        <v>160.76</v>
      </c>
      <c r="F8" s="33">
        <f>'Data Sheet'!F44</f>
        <v>171.93</v>
      </c>
      <c r="G8" s="33">
        <f>'Data Sheet'!G44</f>
        <v>293.77</v>
      </c>
      <c r="H8" s="33">
        <f>'Data Sheet'!H44</f>
        <v>202.64</v>
      </c>
      <c r="I8" s="33">
        <f>'Data Sheet'!I44</f>
        <v>214.58</v>
      </c>
      <c r="J8" s="33">
        <f>'Data Sheet'!J44</f>
        <v>271.91000000000003</v>
      </c>
      <c r="K8" s="159">
        <f>'Data Sheet'!K44</f>
        <v>257.73</v>
      </c>
    </row>
    <row r="9" spans="1:11">
      <c r="A9" s="158" t="s">
        <v>8</v>
      </c>
      <c r="B9" s="33">
        <f>'Data Sheet'!B45</f>
        <v>131.56</v>
      </c>
      <c r="C9" s="33">
        <f>'Data Sheet'!C45</f>
        <v>124.9</v>
      </c>
      <c r="D9" s="33">
        <f>'Data Sheet'!D45</f>
        <v>114.82</v>
      </c>
      <c r="E9" s="33">
        <f>'Data Sheet'!E45</f>
        <v>118.87</v>
      </c>
      <c r="F9" s="33">
        <f>'Data Sheet'!F45</f>
        <v>118.39</v>
      </c>
      <c r="G9" s="33">
        <f>'Data Sheet'!G45</f>
        <v>105.17</v>
      </c>
      <c r="H9" s="33">
        <f>'Data Sheet'!H45</f>
        <v>98.34</v>
      </c>
      <c r="I9" s="33">
        <f>'Data Sheet'!I45</f>
        <v>102.53</v>
      </c>
      <c r="J9" s="33">
        <f>'Data Sheet'!J45</f>
        <v>107.38</v>
      </c>
      <c r="K9" s="159">
        <f>'Data Sheet'!K45</f>
        <v>128.63999999999999</v>
      </c>
    </row>
    <row r="10" spans="1:11">
      <c r="A10" s="158" t="s">
        <v>9</v>
      </c>
      <c r="B10" s="33">
        <f>'Data Sheet'!B46</f>
        <v>80.17</v>
      </c>
      <c r="C10" s="33">
        <f>'Data Sheet'!C46</f>
        <v>72.27</v>
      </c>
      <c r="D10" s="33">
        <f>'Data Sheet'!D46</f>
        <v>116.31</v>
      </c>
      <c r="E10" s="33">
        <f>'Data Sheet'!E46</f>
        <v>60.96</v>
      </c>
      <c r="F10" s="33">
        <f>'Data Sheet'!F46</f>
        <v>75.86</v>
      </c>
      <c r="G10" s="33">
        <f>'Data Sheet'!G46</f>
        <v>77.650000000000006</v>
      </c>
      <c r="H10" s="33">
        <f>'Data Sheet'!H46</f>
        <v>76.98</v>
      </c>
      <c r="I10" s="33">
        <f>'Data Sheet'!I46</f>
        <v>85.67</v>
      </c>
      <c r="J10" s="33">
        <f>'Data Sheet'!J46</f>
        <v>84.44</v>
      </c>
      <c r="K10" s="159">
        <f>'Data Sheet'!K46</f>
        <v>92.73</v>
      </c>
    </row>
    <row r="11" spans="1:11">
      <c r="A11" s="158" t="s">
        <v>10</v>
      </c>
      <c r="B11" s="33">
        <f>'Data Sheet'!B47</f>
        <v>922.28</v>
      </c>
      <c r="C11" s="33">
        <f>'Data Sheet'!C47</f>
        <v>817.68</v>
      </c>
      <c r="D11" s="33">
        <f>'Data Sheet'!D47</f>
        <v>746.7</v>
      </c>
      <c r="E11" s="33">
        <f>'Data Sheet'!E47</f>
        <v>176.55</v>
      </c>
      <c r="F11" s="33">
        <f>'Data Sheet'!F47</f>
        <v>602.14</v>
      </c>
      <c r="G11" s="33">
        <f>'Data Sheet'!G47</f>
        <v>618.95000000000005</v>
      </c>
      <c r="H11" s="33">
        <f>'Data Sheet'!H47</f>
        <v>1124.3399999999999</v>
      </c>
      <c r="I11" s="33">
        <f>'Data Sheet'!I47</f>
        <v>764.53</v>
      </c>
      <c r="J11" s="33">
        <f>'Data Sheet'!J47</f>
        <v>1071.5899999999999</v>
      </c>
      <c r="K11" s="159">
        <f>'Data Sheet'!K47</f>
        <v>166.2</v>
      </c>
    </row>
    <row r="12" spans="1:11">
      <c r="A12" s="155" t="s">
        <v>104</v>
      </c>
      <c r="B12" s="143">
        <f>B11/B4</f>
        <v>0.214595510219277</v>
      </c>
      <c r="C12" s="143">
        <f t="shared" ref="C12:K12" si="1">C11/C4</f>
        <v>0.19988852709085042</v>
      </c>
      <c r="D12" s="143">
        <f t="shared" si="1"/>
        <v>0.16307588149862956</v>
      </c>
      <c r="E12" s="143">
        <f t="shared" si="1"/>
        <v>4.236932225883324E-2</v>
      </c>
      <c r="F12" s="143">
        <f t="shared" si="1"/>
        <v>0.12075403589692169</v>
      </c>
      <c r="G12" s="143">
        <f t="shared" si="1"/>
        <v>0.12766541122308805</v>
      </c>
      <c r="H12" s="143">
        <f t="shared" si="1"/>
        <v>0.19543848243758374</v>
      </c>
      <c r="I12" s="143">
        <f t="shared" si="1"/>
        <v>0.14449686069499412</v>
      </c>
      <c r="J12" s="143">
        <f t="shared" si="1"/>
        <v>0.17345594281533469</v>
      </c>
      <c r="K12" s="157">
        <f t="shared" si="1"/>
        <v>2.865957017542347E-2</v>
      </c>
    </row>
    <row r="13" spans="1:11" s="12" customFormat="1">
      <c r="A13" s="155" t="s">
        <v>96</v>
      </c>
      <c r="B13" s="156"/>
      <c r="C13" s="156"/>
      <c r="D13" s="156"/>
      <c r="E13" s="156"/>
      <c r="F13" s="143">
        <f t="shared" ref="F13:K13" si="2">F11/B11-1</f>
        <v>-0.34711801188359281</v>
      </c>
      <c r="G13" s="143">
        <f t="shared" si="2"/>
        <v>-0.2430412875452499</v>
      </c>
      <c r="H13" s="143">
        <f t="shared" si="2"/>
        <v>0.50574527922860568</v>
      </c>
      <c r="I13" s="143">
        <f t="shared" si="2"/>
        <v>3.3303879920702348</v>
      </c>
      <c r="J13" s="143">
        <f t="shared" si="2"/>
        <v>0.77963596505795985</v>
      </c>
      <c r="K13" s="157">
        <f t="shared" si="2"/>
        <v>-0.73148073350028275</v>
      </c>
    </row>
    <row r="14" spans="1:11">
      <c r="A14" s="158" t="s">
        <v>11</v>
      </c>
      <c r="B14" s="33">
        <f>'Data Sheet'!B48</f>
        <v>271.94</v>
      </c>
      <c r="C14" s="33">
        <f>'Data Sheet'!C48</f>
        <v>233.9</v>
      </c>
      <c r="D14" s="33">
        <f>'Data Sheet'!D48</f>
        <v>154.91999999999999</v>
      </c>
      <c r="E14" s="33">
        <f>'Data Sheet'!E48</f>
        <v>36.71</v>
      </c>
      <c r="F14" s="33">
        <f>'Data Sheet'!F48</f>
        <v>114.88</v>
      </c>
      <c r="G14" s="33">
        <f>'Data Sheet'!G48</f>
        <v>178.65</v>
      </c>
      <c r="H14" s="33">
        <f>'Data Sheet'!H48</f>
        <v>313.19</v>
      </c>
      <c r="I14" s="33">
        <f>'Data Sheet'!I48</f>
        <v>212.98</v>
      </c>
      <c r="J14" s="33">
        <f>'Data Sheet'!J48</f>
        <v>309.57</v>
      </c>
      <c r="K14" s="159">
        <f>'Data Sheet'!K48</f>
        <v>48.56</v>
      </c>
    </row>
    <row r="15" spans="1:11" s="7" customFormat="1">
      <c r="A15" s="153" t="s">
        <v>12</v>
      </c>
      <c r="B15" s="144">
        <f>'Data Sheet'!B49</f>
        <v>650.34</v>
      </c>
      <c r="C15" s="144">
        <f>'Data Sheet'!C49</f>
        <v>583.78</v>
      </c>
      <c r="D15" s="144">
        <f>'Data Sheet'!D49</f>
        <v>591.77</v>
      </c>
      <c r="E15" s="144">
        <f>'Data Sheet'!E49</f>
        <v>139.85</v>
      </c>
      <c r="F15" s="144">
        <f>'Data Sheet'!F49</f>
        <v>487.26</v>
      </c>
      <c r="G15" s="144">
        <f>'Data Sheet'!G49</f>
        <v>440.31</v>
      </c>
      <c r="H15" s="144">
        <f>'Data Sheet'!H49</f>
        <v>811.15</v>
      </c>
      <c r="I15" s="144">
        <f>'Data Sheet'!I49</f>
        <v>551.55999999999995</v>
      </c>
      <c r="J15" s="144">
        <f>'Data Sheet'!J49</f>
        <v>762.03</v>
      </c>
      <c r="K15" s="154">
        <f>'Data Sheet'!K49</f>
        <v>117.64</v>
      </c>
    </row>
    <row r="16" spans="1:11" s="12" customFormat="1">
      <c r="A16" s="155" t="s">
        <v>96</v>
      </c>
      <c r="B16" s="156"/>
      <c r="C16" s="156"/>
      <c r="D16" s="156"/>
      <c r="E16" s="156"/>
      <c r="F16" s="143">
        <f t="shared" ref="F16:K16" si="3">F15/B15-1</f>
        <v>-0.25076114032659846</v>
      </c>
      <c r="G16" s="143">
        <f t="shared" si="3"/>
        <v>-0.24576038918770771</v>
      </c>
      <c r="H16" s="143">
        <f t="shared" si="3"/>
        <v>0.37071835341433323</v>
      </c>
      <c r="I16" s="143">
        <f t="shared" si="3"/>
        <v>2.943939935645334</v>
      </c>
      <c r="J16" s="143">
        <f t="shared" si="3"/>
        <v>0.56390838566678969</v>
      </c>
      <c r="K16" s="157">
        <f t="shared" si="3"/>
        <v>-0.73282460084940149</v>
      </c>
    </row>
    <row r="17" spans="1:12" s="7" customFormat="1">
      <c r="A17" s="160" t="s">
        <v>15</v>
      </c>
      <c r="B17" s="161">
        <f t="shared" ref="B17:K17" si="4">IF(B4&gt;0,B7/B4,"")</f>
        <v>0.23585542235955473</v>
      </c>
      <c r="C17" s="161">
        <f t="shared" si="4"/>
        <v>0.20281469095602686</v>
      </c>
      <c r="D17" s="161">
        <f t="shared" si="4"/>
        <v>0.17804033763936358</v>
      </c>
      <c r="E17" s="161">
        <f t="shared" si="4"/>
        <v>4.6945833023352923E-2</v>
      </c>
      <c r="F17" s="161">
        <f t="shared" si="4"/>
        <v>0.12523012132758449</v>
      </c>
      <c r="G17" s="161">
        <f t="shared" si="4"/>
        <v>0.10478072364702921</v>
      </c>
      <c r="H17" s="161">
        <f t="shared" si="4"/>
        <v>0.19068784319587825</v>
      </c>
      <c r="I17" s="161">
        <f t="shared" si="4"/>
        <v>0.1395110168626606</v>
      </c>
      <c r="J17" s="161">
        <f t="shared" si="4"/>
        <v>0.16049194869437411</v>
      </c>
      <c r="K17" s="162">
        <f t="shared" si="4"/>
        <v>2.2389642548597977E-2</v>
      </c>
      <c r="L17" s="12"/>
    </row>
    <row r="25" spans="1:12" s="28" customFormat="1"/>
  </sheetData>
  <hyperlinks>
    <hyperlink ref="A2" r:id="rId1" xr:uid="{00000000-0004-0000-0100-000000000000}"/>
  </hyperlinks>
  <printOptions gridLines="1"/>
  <pageMargins left="0.7" right="0.7" top="0.75" bottom="0.75" header="0.3" footer="0.3"/>
  <pageSetup paperSize="9" scale="83" orientation="landscape" horizontalDpi="300" verticalDpi="300"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4"/>
  <sheetViews>
    <sheetView workbookViewId="0">
      <pane xSplit="1" ySplit="1" topLeftCell="B2" activePane="bottomRight" state="frozen"/>
      <selection activeCell="C4" sqref="C4"/>
      <selection pane="topRight" activeCell="C4" sqref="C4"/>
      <selection pane="bottomLeft" activeCell="C4" sqref="C4"/>
      <selection pane="bottomRight" activeCell="C9" sqref="C9"/>
    </sheetView>
  </sheetViews>
  <sheetFormatPr defaultColWidth="9.140625" defaultRowHeight="12.75"/>
  <cols>
    <col min="1" max="1" width="25.140625" style="14" bestFit="1" customWidth="1"/>
    <col min="2" max="2" width="13.85546875" style="14" bestFit="1" customWidth="1"/>
    <col min="3" max="3" width="14.5703125" style="14" bestFit="1" customWidth="1"/>
    <col min="4" max="8" width="9.85546875" style="14" bestFit="1" customWidth="1"/>
    <col min="9" max="11" width="10.85546875" style="14" bestFit="1" customWidth="1"/>
    <col min="12" max="12" width="9.85546875" style="14" bestFit="1" customWidth="1"/>
    <col min="13" max="16384" width="9.140625" style="14"/>
  </cols>
  <sheetData>
    <row r="1" spans="1:16" s="11" customFormat="1">
      <c r="A1" s="11" t="s">
        <v>0</v>
      </c>
      <c r="B1" s="11" t="s">
        <v>58</v>
      </c>
      <c r="E1" s="872" t="str">
        <f>IF(B2&lt;&gt;B3, "A NEW VERSION OF THE WORKSHEET IS AVAILABLE", "")</f>
        <v/>
      </c>
      <c r="F1" s="872"/>
      <c r="G1" s="872"/>
      <c r="H1" s="872"/>
      <c r="I1" s="872"/>
      <c r="J1" s="872"/>
      <c r="K1" s="872"/>
    </row>
    <row r="2" spans="1:16">
      <c r="A2" s="11" t="s">
        <v>56</v>
      </c>
      <c r="B2" s="14">
        <v>2.1</v>
      </c>
      <c r="E2" s="873" t="s">
        <v>31</v>
      </c>
      <c r="F2" s="873"/>
      <c r="G2" s="873"/>
      <c r="H2" s="873"/>
      <c r="I2" s="873"/>
      <c r="J2" s="873"/>
      <c r="K2" s="873"/>
    </row>
    <row r="3" spans="1:16">
      <c r="A3" s="11" t="s">
        <v>57</v>
      </c>
      <c r="B3" s="14">
        <v>2.1</v>
      </c>
    </row>
    <row r="4" spans="1:16">
      <c r="A4" s="11"/>
    </row>
    <row r="5" spans="1:16">
      <c r="A5" s="11" t="s">
        <v>59</v>
      </c>
    </row>
    <row r="6" spans="1:16">
      <c r="A6" s="14" t="s">
        <v>37</v>
      </c>
      <c r="B6" s="14">
        <f>IF(B9&gt;0, B9/B8, 0)</f>
        <v>38.439998341693958</v>
      </c>
    </row>
    <row r="7" spans="1:16">
      <c r="A7" s="14" t="s">
        <v>26</v>
      </c>
      <c r="B7" s="8">
        <v>10</v>
      </c>
    </row>
    <row r="8" spans="1:16">
      <c r="A8" s="14" t="s">
        <v>38</v>
      </c>
      <c r="B8" s="8">
        <v>1206.05</v>
      </c>
    </row>
    <row r="9" spans="1:16">
      <c r="A9" s="14" t="s">
        <v>73</v>
      </c>
      <c r="B9" s="8">
        <v>46360.56</v>
      </c>
    </row>
    <row r="14" spans="1:16" ht="13.5" thickBot="1">
      <c r="P14" s="14">
        <v>90</v>
      </c>
    </row>
    <row r="15" spans="1:16" ht="15.75" thickBot="1">
      <c r="A15" s="11" t="s">
        <v>32</v>
      </c>
      <c r="O15"/>
      <c r="P15" s="384">
        <v>3021.2</v>
      </c>
    </row>
    <row r="16" spans="1:16" s="30" customFormat="1" ht="15.75" thickBot="1">
      <c r="A16" s="29" t="s">
        <v>33</v>
      </c>
      <c r="B16" s="9">
        <v>39172</v>
      </c>
      <c r="C16" s="9">
        <v>39538</v>
      </c>
      <c r="D16" s="9">
        <v>40268</v>
      </c>
      <c r="E16" s="9">
        <v>40633</v>
      </c>
      <c r="F16" s="9">
        <v>40999</v>
      </c>
      <c r="G16" s="9">
        <v>41364</v>
      </c>
      <c r="H16" s="9">
        <v>41729</v>
      </c>
      <c r="I16" s="9">
        <v>42094</v>
      </c>
      <c r="J16" s="9">
        <v>42460</v>
      </c>
      <c r="K16" s="9">
        <v>42825</v>
      </c>
      <c r="O16"/>
      <c r="P16" s="383">
        <v>596.13</v>
      </c>
    </row>
    <row r="17" spans="1:16" ht="15" thickBot="1">
      <c r="A17" s="14" t="s">
        <v>4</v>
      </c>
      <c r="B17" s="8">
        <v>216.28</v>
      </c>
      <c r="C17" s="8">
        <v>1132.83</v>
      </c>
      <c r="D17" s="8">
        <v>2605.48</v>
      </c>
      <c r="E17" s="8">
        <v>3833.42</v>
      </c>
      <c r="F17" s="8">
        <v>5564.66</v>
      </c>
      <c r="G17" s="8">
        <v>9203.08</v>
      </c>
      <c r="H17" s="8">
        <v>11116.58</v>
      </c>
      <c r="I17" s="8">
        <v>13925.34</v>
      </c>
      <c r="J17" s="8">
        <v>16139.91</v>
      </c>
      <c r="K17" s="8">
        <v>18580.5</v>
      </c>
      <c r="O17" s="8"/>
      <c r="P17" s="383">
        <v>478.85</v>
      </c>
    </row>
    <row r="18" spans="1:16" ht="15.75" thickBot="1">
      <c r="A18" s="14" t="s">
        <v>74</v>
      </c>
      <c r="D18">
        <v>12.67</v>
      </c>
      <c r="E18">
        <v>19.09</v>
      </c>
      <c r="F18">
        <v>34.659999999999997</v>
      </c>
      <c r="G18">
        <v>55.99</v>
      </c>
      <c r="H18">
        <v>58.4</v>
      </c>
      <c r="I18">
        <v>81.709999999999994</v>
      </c>
      <c r="J18">
        <v>114.78</v>
      </c>
      <c r="K18">
        <v>123.83</v>
      </c>
      <c r="O18" s="8"/>
      <c r="P18" s="383">
        <v>513.23</v>
      </c>
    </row>
    <row r="19" spans="1:16" ht="15.75" thickBot="1">
      <c r="A19" s="14" t="s">
        <v>75</v>
      </c>
      <c r="D19">
        <v>0.92</v>
      </c>
      <c r="E19">
        <v>0.11</v>
      </c>
      <c r="F19">
        <v>0.68</v>
      </c>
      <c r="G19">
        <v>1.87</v>
      </c>
      <c r="H19">
        <v>-0.71</v>
      </c>
      <c r="I19">
        <v>3.17</v>
      </c>
      <c r="J19">
        <v>1.1299999999999999</v>
      </c>
      <c r="K19">
        <v>0.28999999999999998</v>
      </c>
      <c r="O19" s="8"/>
      <c r="P19" s="383">
        <v>14.68</v>
      </c>
    </row>
    <row r="20" spans="1:16" ht="15.75" thickBot="1">
      <c r="A20" s="14" t="s">
        <v>76</v>
      </c>
      <c r="F20">
        <v>2876.28</v>
      </c>
      <c r="G20">
        <v>4316.55</v>
      </c>
      <c r="H20">
        <v>5518.5</v>
      </c>
      <c r="I20">
        <v>5754.77</v>
      </c>
      <c r="J20">
        <v>4779.32</v>
      </c>
      <c r="K20">
        <v>6341.51</v>
      </c>
      <c r="O20" s="8"/>
      <c r="P20" s="383">
        <v>155.34</v>
      </c>
    </row>
    <row r="21" spans="1:16" ht="15" thickBot="1">
      <c r="A21" s="14" t="s">
        <v>77</v>
      </c>
      <c r="F21" s="8">
        <v>171.31</v>
      </c>
      <c r="G21" s="8">
        <v>265.45</v>
      </c>
      <c r="H21" s="8">
        <v>317.12</v>
      </c>
      <c r="I21" s="8">
        <v>2078.27</v>
      </c>
      <c r="J21" s="8">
        <v>3068.19</v>
      </c>
      <c r="K21" s="8">
        <v>4007.19</v>
      </c>
      <c r="O21" s="8"/>
      <c r="P21" s="383">
        <v>119.76</v>
      </c>
    </row>
    <row r="22" spans="1:16">
      <c r="A22" s="14" t="s">
        <v>78</v>
      </c>
      <c r="F22" s="8">
        <v>521.80999999999995</v>
      </c>
      <c r="G22" s="8">
        <v>697.23</v>
      </c>
      <c r="H22" s="8">
        <v>928.94</v>
      </c>
      <c r="I22" s="8">
        <v>1188.69</v>
      </c>
      <c r="J22" s="8">
        <v>1787.98</v>
      </c>
      <c r="K22" s="8">
        <v>2048.19</v>
      </c>
      <c r="O22" s="14">
        <f>SUM(O15:O21)</f>
        <v>0</v>
      </c>
    </row>
    <row r="23" spans="1:16">
      <c r="A23" s="14" t="s">
        <v>79</v>
      </c>
      <c r="F23" s="8">
        <v>1895.06</v>
      </c>
      <c r="G23" s="8">
        <v>2078.6999999999998</v>
      </c>
      <c r="H23" s="8">
        <v>2557.63</v>
      </c>
      <c r="I23" s="8">
        <v>2553.8200000000002</v>
      </c>
      <c r="J23" s="8">
        <v>3105.18</v>
      </c>
      <c r="K23" s="8">
        <v>3803.62</v>
      </c>
    </row>
    <row r="24" spans="1:16">
      <c r="A24" s="14" t="s">
        <v>80</v>
      </c>
      <c r="D24" s="8">
        <v>2025.71</v>
      </c>
      <c r="E24" s="8">
        <v>3302.27</v>
      </c>
      <c r="F24" s="8">
        <v>29.73</v>
      </c>
      <c r="G24" s="8">
        <v>894.83</v>
      </c>
      <c r="H24" s="8">
        <v>1226.95</v>
      </c>
      <c r="I24" s="8">
        <v>367.45</v>
      </c>
      <c r="J24" s="8">
        <v>121.47</v>
      </c>
      <c r="K24" s="8">
        <v>37.770000000000003</v>
      </c>
    </row>
    <row r="25" spans="1:16">
      <c r="A25" s="14" t="s">
        <v>7</v>
      </c>
      <c r="B25" s="8">
        <v>3.37</v>
      </c>
      <c r="C25" s="8">
        <v>15.37</v>
      </c>
      <c r="D25" s="8">
        <v>62.19</v>
      </c>
      <c r="E25" s="8">
        <v>110.74</v>
      </c>
      <c r="F25" s="8">
        <v>153.41</v>
      </c>
      <c r="G25" s="8">
        <v>255.23</v>
      </c>
      <c r="H25" s="8">
        <v>315.52999999999997</v>
      </c>
      <c r="I25" s="8">
        <v>394.58</v>
      </c>
      <c r="J25" s="8">
        <v>515.12</v>
      </c>
      <c r="K25" s="8">
        <v>789.07</v>
      </c>
    </row>
    <row r="26" spans="1:16">
      <c r="A26" s="14" t="s">
        <v>8</v>
      </c>
      <c r="B26" s="8">
        <v>7.65</v>
      </c>
      <c r="C26" s="8">
        <v>14.82</v>
      </c>
      <c r="D26" s="8">
        <v>46</v>
      </c>
      <c r="E26" s="8">
        <v>62.87</v>
      </c>
      <c r="F26" s="8">
        <v>66.52</v>
      </c>
      <c r="G26" s="8">
        <v>85.62</v>
      </c>
      <c r="H26" s="8">
        <v>226.01</v>
      </c>
      <c r="I26" s="8">
        <v>302.20999999999998</v>
      </c>
      <c r="J26" s="8">
        <v>505.47</v>
      </c>
      <c r="K26" s="8">
        <v>457.25</v>
      </c>
    </row>
    <row r="27" spans="1:16" ht="15">
      <c r="A27" s="14" t="s">
        <v>9</v>
      </c>
      <c r="B27" s="8">
        <v>30.58</v>
      </c>
      <c r="C27" s="8">
        <v>36.28</v>
      </c>
      <c r="D27" s="8">
        <v>50.59</v>
      </c>
      <c r="E27" s="8">
        <v>44.99</v>
      </c>
      <c r="F27" s="8">
        <v>59.49</v>
      </c>
      <c r="G27" s="8">
        <v>72.58</v>
      </c>
      <c r="H27" s="8">
        <v>122.58</v>
      </c>
      <c r="I27" s="8">
        <v>149.65</v>
      </c>
      <c r="J27">
        <v>350.26</v>
      </c>
      <c r="K27">
        <v>406.15</v>
      </c>
    </row>
    <row r="28" spans="1:16">
      <c r="A28" s="14" t="s">
        <v>10</v>
      </c>
      <c r="B28" s="8">
        <v>-201.21</v>
      </c>
      <c r="C28" s="8">
        <v>-233.2</v>
      </c>
      <c r="D28" s="8">
        <v>533.62</v>
      </c>
      <c r="E28" s="8">
        <v>515.04</v>
      </c>
      <c r="F28" s="8">
        <v>63.91</v>
      </c>
      <c r="G28" s="8">
        <v>993.22</v>
      </c>
      <c r="H28" s="8">
        <v>475.3</v>
      </c>
      <c r="I28" s="8">
        <v>1846.53</v>
      </c>
      <c r="J28" s="8">
        <v>2823.51</v>
      </c>
      <c r="K28" s="8">
        <v>2144.34</v>
      </c>
    </row>
    <row r="29" spans="1:16">
      <c r="A29" s="14" t="s">
        <v>11</v>
      </c>
      <c r="B29" s="8">
        <v>0.57999999999999996</v>
      </c>
      <c r="C29" s="8">
        <v>1.55</v>
      </c>
      <c r="D29" s="8">
        <v>-17.07</v>
      </c>
      <c r="E29" s="8">
        <v>-135.29</v>
      </c>
      <c r="F29" s="8">
        <v>-63.97</v>
      </c>
      <c r="G29" s="8">
        <v>205.88</v>
      </c>
      <c r="H29" s="8">
        <v>0.86</v>
      </c>
      <c r="I29" s="8">
        <v>542.35</v>
      </c>
      <c r="J29" s="8">
        <v>837.34</v>
      </c>
      <c r="K29" s="8">
        <v>485.15</v>
      </c>
    </row>
    <row r="30" spans="1:16">
      <c r="A30" s="14" t="s">
        <v>12</v>
      </c>
      <c r="B30" s="8">
        <v>-201.79</v>
      </c>
      <c r="C30" s="8">
        <v>-234.75</v>
      </c>
      <c r="D30" s="8">
        <v>550.70000000000005</v>
      </c>
      <c r="E30" s="8">
        <v>650.33000000000004</v>
      </c>
      <c r="F30" s="8">
        <v>127.88</v>
      </c>
      <c r="G30" s="8">
        <v>787.35</v>
      </c>
      <c r="H30" s="8">
        <v>474.44</v>
      </c>
      <c r="I30" s="8">
        <v>1304.17</v>
      </c>
      <c r="J30" s="8">
        <v>1986.16</v>
      </c>
      <c r="K30" s="8">
        <v>1659.19</v>
      </c>
    </row>
    <row r="31" spans="1:16" ht="15">
      <c r="A31" s="14" t="s">
        <v>64</v>
      </c>
      <c r="E31">
        <v>490.43</v>
      </c>
      <c r="G31">
        <v>548.64</v>
      </c>
      <c r="H31">
        <v>377.58</v>
      </c>
      <c r="I31" s="8">
        <v>1079.69</v>
      </c>
      <c r="J31">
        <v>1102.6500000000001</v>
      </c>
    </row>
    <row r="40" spans="1:11">
      <c r="A40" s="11" t="s">
        <v>34</v>
      </c>
    </row>
    <row r="41" spans="1:11" s="30" customFormat="1">
      <c r="A41" s="29" t="s">
        <v>33</v>
      </c>
      <c r="B41" s="9">
        <v>42369</v>
      </c>
      <c r="C41" s="9">
        <v>42460</v>
      </c>
      <c r="D41" s="9">
        <v>42551</v>
      </c>
      <c r="E41" s="9">
        <v>42643</v>
      </c>
      <c r="F41" s="9">
        <v>42735</v>
      </c>
      <c r="G41" s="9">
        <v>42825</v>
      </c>
      <c r="H41" s="9">
        <v>42916</v>
      </c>
      <c r="I41" s="9">
        <v>43008</v>
      </c>
      <c r="J41" s="9">
        <v>43100</v>
      </c>
      <c r="K41" s="9">
        <v>43190</v>
      </c>
    </row>
    <row r="42" spans="1:11">
      <c r="A42" s="14" t="s">
        <v>4</v>
      </c>
      <c r="B42" s="8">
        <v>4297.76</v>
      </c>
      <c r="C42" s="8">
        <v>4090.68</v>
      </c>
      <c r="D42" s="8">
        <v>4578.8500000000004</v>
      </c>
      <c r="E42" s="8">
        <v>4166.93</v>
      </c>
      <c r="F42" s="8">
        <v>4986.5</v>
      </c>
      <c r="G42" s="8">
        <v>4848.22</v>
      </c>
      <c r="H42" s="8">
        <v>5752.91</v>
      </c>
      <c r="I42" s="8">
        <v>5290.98</v>
      </c>
      <c r="J42" s="8">
        <v>6177.88</v>
      </c>
      <c r="K42" s="8">
        <v>5799.11</v>
      </c>
    </row>
    <row r="43" spans="1:11">
      <c r="A43" s="14" t="s">
        <v>5</v>
      </c>
      <c r="B43" s="8">
        <v>3284.11</v>
      </c>
      <c r="C43" s="8">
        <v>3261.03</v>
      </c>
      <c r="D43" s="8">
        <v>3763.63</v>
      </c>
      <c r="E43" s="8">
        <v>3971.31</v>
      </c>
      <c r="F43" s="8">
        <v>4362.04</v>
      </c>
      <c r="G43" s="8">
        <v>4340.22</v>
      </c>
      <c r="H43" s="8">
        <v>4655.8999999999996</v>
      </c>
      <c r="I43" s="8">
        <v>4552.83</v>
      </c>
      <c r="J43" s="8">
        <v>5186.38</v>
      </c>
      <c r="K43" s="8">
        <v>5669.27</v>
      </c>
    </row>
    <row r="44" spans="1:11" ht="15">
      <c r="A44" s="14" t="s">
        <v>7</v>
      </c>
      <c r="B44">
        <v>120.36</v>
      </c>
      <c r="C44">
        <v>185.2</v>
      </c>
      <c r="D44">
        <v>162.61000000000001</v>
      </c>
      <c r="E44">
        <v>160.76</v>
      </c>
      <c r="F44">
        <v>171.93</v>
      </c>
      <c r="G44">
        <v>293.77</v>
      </c>
      <c r="H44">
        <v>202.64</v>
      </c>
      <c r="I44">
        <v>214.58</v>
      </c>
      <c r="J44">
        <v>271.91000000000003</v>
      </c>
      <c r="K44">
        <v>257.73</v>
      </c>
    </row>
    <row r="45" spans="1:11">
      <c r="A45" s="14" t="s">
        <v>8</v>
      </c>
      <c r="B45" s="8">
        <v>131.56</v>
      </c>
      <c r="C45" s="8">
        <v>124.9</v>
      </c>
      <c r="D45" s="8">
        <v>114.82</v>
      </c>
      <c r="E45" s="8">
        <v>118.87</v>
      </c>
      <c r="F45" s="8">
        <v>118.39</v>
      </c>
      <c r="G45" s="8">
        <v>105.17</v>
      </c>
      <c r="H45" s="8">
        <v>98.34</v>
      </c>
      <c r="I45" s="8">
        <v>102.53</v>
      </c>
      <c r="J45" s="8">
        <v>107.38</v>
      </c>
      <c r="K45" s="8">
        <v>128.63999999999999</v>
      </c>
    </row>
    <row r="46" spans="1:11" ht="15">
      <c r="A46" s="14" t="s">
        <v>9</v>
      </c>
      <c r="B46">
        <v>80.17</v>
      </c>
      <c r="C46">
        <v>72.27</v>
      </c>
      <c r="D46">
        <v>116.31</v>
      </c>
      <c r="E46">
        <v>60.96</v>
      </c>
      <c r="F46">
        <v>75.86</v>
      </c>
      <c r="G46">
        <v>77.650000000000006</v>
      </c>
      <c r="H46">
        <v>76.98</v>
      </c>
      <c r="I46">
        <v>85.67</v>
      </c>
      <c r="J46">
        <v>84.44</v>
      </c>
      <c r="K46">
        <v>92.73</v>
      </c>
    </row>
    <row r="47" spans="1:11">
      <c r="A47" s="14" t="s">
        <v>10</v>
      </c>
      <c r="B47" s="8">
        <v>922.28</v>
      </c>
      <c r="C47" s="8">
        <v>817.68</v>
      </c>
      <c r="D47" s="8">
        <v>746.7</v>
      </c>
      <c r="E47" s="8">
        <v>176.55</v>
      </c>
      <c r="F47" s="8">
        <v>602.14</v>
      </c>
      <c r="G47" s="8">
        <v>618.95000000000005</v>
      </c>
      <c r="H47" s="8">
        <v>1124.3399999999999</v>
      </c>
      <c r="I47" s="8">
        <v>764.53</v>
      </c>
      <c r="J47" s="8">
        <v>1071.5899999999999</v>
      </c>
      <c r="K47" s="8">
        <v>166.2</v>
      </c>
    </row>
    <row r="48" spans="1:11">
      <c r="A48" s="14" t="s">
        <v>11</v>
      </c>
      <c r="B48" s="8">
        <v>271.94</v>
      </c>
      <c r="C48" s="8">
        <v>233.9</v>
      </c>
      <c r="D48" s="8">
        <v>154.91999999999999</v>
      </c>
      <c r="E48" s="8">
        <v>36.71</v>
      </c>
      <c r="F48" s="8">
        <v>114.88</v>
      </c>
      <c r="G48" s="8">
        <v>178.65</v>
      </c>
      <c r="H48" s="8">
        <v>313.19</v>
      </c>
      <c r="I48" s="8">
        <v>212.98</v>
      </c>
      <c r="J48" s="8">
        <v>309.57</v>
      </c>
      <c r="K48" s="8">
        <v>48.56</v>
      </c>
    </row>
    <row r="49" spans="1:11">
      <c r="A49" s="14" t="s">
        <v>12</v>
      </c>
      <c r="B49" s="8">
        <v>650.34</v>
      </c>
      <c r="C49" s="8">
        <v>583.78</v>
      </c>
      <c r="D49" s="8">
        <v>591.77</v>
      </c>
      <c r="E49" s="8">
        <v>139.85</v>
      </c>
      <c r="F49" s="8">
        <v>487.26</v>
      </c>
      <c r="G49" s="8">
        <v>440.31</v>
      </c>
      <c r="H49" s="8">
        <v>811.15</v>
      </c>
      <c r="I49" s="8">
        <v>551.55999999999995</v>
      </c>
      <c r="J49" s="8">
        <v>762.03</v>
      </c>
      <c r="K49" s="8">
        <v>117.64</v>
      </c>
    </row>
    <row r="50" spans="1:11">
      <c r="A50" s="14" t="s">
        <v>6</v>
      </c>
      <c r="B50" s="8">
        <v>1013.65</v>
      </c>
      <c r="C50" s="8">
        <v>829.65</v>
      </c>
      <c r="D50" s="8">
        <v>815.22</v>
      </c>
      <c r="E50" s="8">
        <v>195.62</v>
      </c>
      <c r="F50" s="8">
        <v>624.46</v>
      </c>
      <c r="G50" s="8">
        <v>508</v>
      </c>
      <c r="H50" s="8">
        <v>1097.01</v>
      </c>
      <c r="I50" s="8">
        <v>738.15</v>
      </c>
      <c r="J50" s="8">
        <v>991.5</v>
      </c>
      <c r="K50" s="8">
        <v>129.84</v>
      </c>
    </row>
    <row r="55" spans="1:11">
      <c r="A55" s="11" t="s">
        <v>35</v>
      </c>
    </row>
    <row r="56" spans="1:11" s="30" customFormat="1">
      <c r="A56" s="29" t="s">
        <v>33</v>
      </c>
      <c r="B56" s="9">
        <v>39172</v>
      </c>
      <c r="C56" s="9">
        <v>39538</v>
      </c>
      <c r="D56" s="9">
        <v>40268</v>
      </c>
      <c r="E56" s="9">
        <v>40633</v>
      </c>
      <c r="F56" s="9">
        <v>40999</v>
      </c>
      <c r="G56" s="9">
        <v>41364</v>
      </c>
      <c r="H56" s="9">
        <v>41729</v>
      </c>
      <c r="I56" s="9">
        <v>42094</v>
      </c>
      <c r="J56" s="9">
        <v>42460</v>
      </c>
      <c r="K56" s="9">
        <v>42825</v>
      </c>
    </row>
    <row r="57" spans="1:11">
      <c r="A57" s="14" t="s">
        <v>19</v>
      </c>
      <c r="B57" s="8">
        <v>30</v>
      </c>
      <c r="C57" s="8">
        <v>30.7</v>
      </c>
      <c r="D57" s="8">
        <v>30.7</v>
      </c>
      <c r="E57" s="8">
        <v>30.7</v>
      </c>
      <c r="F57" s="8">
        <v>30.7</v>
      </c>
      <c r="G57" s="8">
        <v>30.7</v>
      </c>
      <c r="H57" s="8">
        <v>30.7</v>
      </c>
      <c r="I57" s="8">
        <v>30.7</v>
      </c>
      <c r="J57" s="8">
        <v>360.36</v>
      </c>
      <c r="K57" s="8">
        <v>361.47</v>
      </c>
    </row>
    <row r="58" spans="1:11">
      <c r="A58" s="14" t="s">
        <v>20</v>
      </c>
      <c r="B58" s="8">
        <v>-215.07</v>
      </c>
      <c r="C58" s="8">
        <v>-448.59</v>
      </c>
      <c r="D58" s="8">
        <v>98.38</v>
      </c>
      <c r="E58" s="8">
        <v>68.37</v>
      </c>
      <c r="F58" s="8">
        <v>348.31</v>
      </c>
      <c r="G58" s="8">
        <v>498.02</v>
      </c>
      <c r="H58" s="8">
        <v>373.26</v>
      </c>
      <c r="I58" s="8">
        <v>386.32</v>
      </c>
      <c r="J58" s="8">
        <v>2362.83</v>
      </c>
      <c r="K58" s="8">
        <v>3417.75</v>
      </c>
    </row>
    <row r="59" spans="1:11" ht="15">
      <c r="A59" s="14" t="s">
        <v>65</v>
      </c>
      <c r="B59">
        <v>188.37</v>
      </c>
      <c r="C59">
        <v>165</v>
      </c>
      <c r="D59">
        <v>968.79</v>
      </c>
      <c r="E59">
        <v>931.37</v>
      </c>
      <c r="F59">
        <v>1015.57</v>
      </c>
      <c r="G59">
        <v>1800.42</v>
      </c>
      <c r="H59">
        <v>3346.24</v>
      </c>
      <c r="I59">
        <v>3926.16</v>
      </c>
      <c r="J59">
        <v>3244.63</v>
      </c>
      <c r="K59">
        <v>2596.1799999999998</v>
      </c>
    </row>
    <row r="60" spans="1:11">
      <c r="A60" s="14" t="s">
        <v>66</v>
      </c>
      <c r="B60" s="8">
        <v>378.29</v>
      </c>
      <c r="C60" s="8">
        <v>791.66</v>
      </c>
      <c r="D60" s="8">
        <v>1144.19</v>
      </c>
      <c r="E60" s="8">
        <v>1889.01</v>
      </c>
      <c r="F60" s="8">
        <v>2418.98</v>
      </c>
      <c r="G60" s="8">
        <v>3692.35</v>
      </c>
      <c r="H60" s="8">
        <v>5536.88</v>
      </c>
      <c r="I60" s="8">
        <v>6492.3</v>
      </c>
      <c r="J60" s="8">
        <v>7184.41</v>
      </c>
      <c r="K60" s="8">
        <v>9457.06</v>
      </c>
    </row>
    <row r="61" spans="1:11" s="11" customFormat="1">
      <c r="A61" s="11" t="s">
        <v>21</v>
      </c>
      <c r="B61" s="8">
        <v>381.59</v>
      </c>
      <c r="C61" s="8">
        <v>538.77</v>
      </c>
      <c r="D61" s="8">
        <v>2242.06</v>
      </c>
      <c r="E61" s="8">
        <v>2919.45</v>
      </c>
      <c r="F61" s="8">
        <v>3813.56</v>
      </c>
      <c r="G61" s="8">
        <v>6021.49</v>
      </c>
      <c r="H61" s="8">
        <v>9287.08</v>
      </c>
      <c r="I61" s="8">
        <v>10835.48</v>
      </c>
      <c r="J61" s="8">
        <v>13152.23</v>
      </c>
      <c r="K61" s="8">
        <v>15832.46</v>
      </c>
    </row>
    <row r="62" spans="1:11">
      <c r="A62" s="14" t="s">
        <v>22</v>
      </c>
      <c r="B62" s="8">
        <v>40.58</v>
      </c>
      <c r="C62" s="8">
        <v>46.47</v>
      </c>
      <c r="D62" s="8">
        <v>836.3</v>
      </c>
      <c r="E62" s="8">
        <v>831.14</v>
      </c>
      <c r="F62" s="8">
        <v>886.01</v>
      </c>
      <c r="G62" s="8">
        <v>1764.46</v>
      </c>
      <c r="H62" s="8">
        <v>3955.97</v>
      </c>
      <c r="I62" s="8">
        <v>4876.04</v>
      </c>
      <c r="J62" s="8">
        <v>4747.41</v>
      </c>
      <c r="K62" s="8">
        <v>3793.84</v>
      </c>
    </row>
    <row r="63" spans="1:11" ht="15">
      <c r="A63" s="14" t="s">
        <v>23</v>
      </c>
      <c r="B63" s="8">
        <v>0.2</v>
      </c>
      <c r="C63">
        <v>3.22</v>
      </c>
      <c r="G63">
        <v>6.85</v>
      </c>
      <c r="I63">
        <v>0.45</v>
      </c>
      <c r="J63">
        <v>31.97</v>
      </c>
      <c r="K63">
        <v>25.19</v>
      </c>
    </row>
    <row r="64" spans="1:11" ht="15">
      <c r="A64" s="14" t="s">
        <v>24</v>
      </c>
      <c r="B64" s="8">
        <v>10.43</v>
      </c>
      <c r="D64" s="8">
        <v>657.09</v>
      </c>
      <c r="E64">
        <v>802.24</v>
      </c>
      <c r="F64">
        <v>523.41999999999996</v>
      </c>
      <c r="G64">
        <v>1138.3800000000001</v>
      </c>
      <c r="H64" s="8">
        <v>1271.53</v>
      </c>
      <c r="I64" s="8">
        <v>516.79999999999995</v>
      </c>
      <c r="J64" s="8">
        <v>986.16</v>
      </c>
      <c r="K64">
        <v>3713.44</v>
      </c>
    </row>
    <row r="65" spans="1:11">
      <c r="A65" s="14" t="s">
        <v>67</v>
      </c>
      <c r="B65" s="8">
        <v>330.38</v>
      </c>
      <c r="C65" s="8">
        <v>489.08</v>
      </c>
      <c r="D65" s="8">
        <v>748.67</v>
      </c>
      <c r="E65" s="8">
        <v>1286.07</v>
      </c>
      <c r="F65" s="8">
        <v>2404.13</v>
      </c>
      <c r="G65" s="8">
        <v>3111.8</v>
      </c>
      <c r="H65" s="8">
        <v>4059.58</v>
      </c>
      <c r="I65" s="8">
        <v>5442.19</v>
      </c>
      <c r="J65" s="8">
        <v>7386.69</v>
      </c>
      <c r="K65" s="8">
        <v>8299.99</v>
      </c>
    </row>
    <row r="66" spans="1:11" s="11" customFormat="1">
      <c r="A66" s="11" t="s">
        <v>21</v>
      </c>
      <c r="B66" s="8">
        <v>381.59</v>
      </c>
      <c r="C66" s="8">
        <v>538.77</v>
      </c>
      <c r="D66" s="8">
        <v>2242.06</v>
      </c>
      <c r="E66" s="8">
        <v>2919.45</v>
      </c>
      <c r="F66" s="8">
        <v>3813.56</v>
      </c>
      <c r="G66" s="8">
        <v>6021.49</v>
      </c>
      <c r="H66" s="8">
        <v>9287.08</v>
      </c>
      <c r="I66" s="8">
        <v>10835.48</v>
      </c>
      <c r="J66" s="8">
        <v>13152.23</v>
      </c>
      <c r="K66" s="8">
        <v>15832.46</v>
      </c>
    </row>
    <row r="67" spans="1:11">
      <c r="A67" s="14" t="s">
        <v>72</v>
      </c>
      <c r="B67" s="8">
        <v>3.11</v>
      </c>
      <c r="C67" s="8">
        <v>5.78</v>
      </c>
      <c r="D67" s="8">
        <v>18.05</v>
      </c>
      <c r="E67" s="8">
        <v>16.66</v>
      </c>
      <c r="F67" s="8">
        <v>38.92</v>
      </c>
      <c r="G67" s="8">
        <v>68.52</v>
      </c>
      <c r="H67" s="8">
        <v>89.12</v>
      </c>
      <c r="I67" s="8">
        <v>104.55</v>
      </c>
      <c r="J67" s="8">
        <v>157.11000000000001</v>
      </c>
      <c r="K67" s="8">
        <v>158.69999999999999</v>
      </c>
    </row>
    <row r="68" spans="1:11" ht="15">
      <c r="A68" s="14" t="s">
        <v>40</v>
      </c>
      <c r="B68">
        <v>7.67</v>
      </c>
      <c r="C68">
        <v>26.56</v>
      </c>
      <c r="D68">
        <v>34.03</v>
      </c>
      <c r="E68">
        <v>44.67</v>
      </c>
      <c r="F68">
        <v>47.01</v>
      </c>
      <c r="G68">
        <v>52.28</v>
      </c>
      <c r="H68">
        <v>67.290000000000006</v>
      </c>
      <c r="I68">
        <v>151.75</v>
      </c>
      <c r="J68">
        <v>87.11</v>
      </c>
      <c r="K68">
        <v>163.15</v>
      </c>
    </row>
    <row r="69" spans="1:11">
      <c r="A69" s="14" t="s">
        <v>81</v>
      </c>
      <c r="B69" s="8">
        <v>93.83</v>
      </c>
      <c r="C69" s="8">
        <v>193.5</v>
      </c>
      <c r="D69" s="8">
        <v>300.60000000000002</v>
      </c>
      <c r="E69" s="8">
        <v>775.69</v>
      </c>
      <c r="F69" s="8">
        <v>1308.83</v>
      </c>
      <c r="G69" s="8">
        <v>1340.59</v>
      </c>
      <c r="H69" s="8">
        <v>1101.53</v>
      </c>
      <c r="I69" s="8">
        <v>1999.38</v>
      </c>
      <c r="J69" s="8">
        <v>3718.67</v>
      </c>
      <c r="K69" s="8">
        <v>4632.54</v>
      </c>
    </row>
    <row r="70" spans="1:11">
      <c r="A70" s="14" t="s">
        <v>68</v>
      </c>
      <c r="B70" s="8">
        <v>300000</v>
      </c>
      <c r="C70" s="8">
        <v>307000</v>
      </c>
      <c r="D70" s="8">
        <v>307020</v>
      </c>
      <c r="E70" s="8">
        <v>307020</v>
      </c>
      <c r="F70" s="8">
        <v>307000</v>
      </c>
      <c r="G70" s="8">
        <v>307000</v>
      </c>
      <c r="H70" s="8">
        <v>307000</v>
      </c>
      <c r="I70" s="8">
        <v>307000</v>
      </c>
      <c r="J70" s="8">
        <v>360356544</v>
      </c>
      <c r="K70" s="8">
        <v>361468363</v>
      </c>
    </row>
    <row r="71" spans="1:11">
      <c r="A71" s="14" t="s">
        <v>69</v>
      </c>
    </row>
    <row r="72" spans="1:11">
      <c r="A72" s="14" t="s">
        <v>82</v>
      </c>
      <c r="B72" s="8">
        <v>1000</v>
      </c>
      <c r="C72" s="8">
        <v>1000</v>
      </c>
      <c r="D72" s="8">
        <v>1000</v>
      </c>
      <c r="E72" s="8">
        <v>1000</v>
      </c>
      <c r="F72" s="8">
        <v>1000</v>
      </c>
      <c r="G72" s="8">
        <v>1000</v>
      </c>
      <c r="H72" s="8">
        <v>1000</v>
      </c>
      <c r="I72" s="8">
        <v>1000</v>
      </c>
      <c r="J72" s="8">
        <v>10</v>
      </c>
      <c r="K72" s="8">
        <v>10</v>
      </c>
    </row>
    <row r="74" spans="1:11" s="660" customFormat="1">
      <c r="A74" s="660" t="s">
        <v>565</v>
      </c>
      <c r="I74" s="660">
        <v>1334</v>
      </c>
      <c r="J74" s="660">
        <v>1039</v>
      </c>
      <c r="K74" s="660">
        <v>742</v>
      </c>
    </row>
    <row r="80" spans="1:11">
      <c r="A80" s="11" t="s">
        <v>36</v>
      </c>
    </row>
    <row r="81" spans="1:12" s="30" customFormat="1">
      <c r="A81" s="29" t="s">
        <v>33</v>
      </c>
      <c r="B81" s="9">
        <v>39172</v>
      </c>
      <c r="C81" s="9">
        <v>39538</v>
      </c>
      <c r="D81" s="9">
        <v>40268</v>
      </c>
      <c r="E81" s="9">
        <v>40633</v>
      </c>
      <c r="F81" s="9">
        <v>40999</v>
      </c>
      <c r="G81" s="9">
        <v>41364</v>
      </c>
      <c r="H81" s="9">
        <v>41729</v>
      </c>
      <c r="I81" s="9">
        <v>42094</v>
      </c>
      <c r="J81" s="9">
        <v>42460</v>
      </c>
      <c r="K81" s="9">
        <v>42825</v>
      </c>
    </row>
    <row r="82" spans="1:12" s="11" customFormat="1" ht="15">
      <c r="A82" s="448" t="s">
        <v>27</v>
      </c>
      <c r="D82" s="449">
        <v>652.34</v>
      </c>
      <c r="E82">
        <v>871.98</v>
      </c>
      <c r="F82" s="449">
        <v>896.11</v>
      </c>
      <c r="G82" s="449">
        <v>1740.69</v>
      </c>
      <c r="H82" s="449">
        <v>1595.03</v>
      </c>
      <c r="I82" s="449">
        <v>2383.88</v>
      </c>
      <c r="J82" s="449">
        <v>3115.72</v>
      </c>
      <c r="K82" s="449">
        <v>3782.07</v>
      </c>
      <c r="L82" s="450">
        <f>SUM(B82:K82)</f>
        <v>15037.82</v>
      </c>
    </row>
    <row r="83" spans="1:12" ht="15">
      <c r="A83" s="448" t="s">
        <v>28</v>
      </c>
      <c r="D83" s="449">
        <v>-1266.31</v>
      </c>
      <c r="E83">
        <v>-608.34</v>
      </c>
      <c r="F83" s="449">
        <v>-46.65</v>
      </c>
      <c r="G83" s="449">
        <v>-1889.69</v>
      </c>
      <c r="H83" s="449">
        <v>-2913.78</v>
      </c>
      <c r="I83" s="449">
        <v>-939.67</v>
      </c>
      <c r="J83" s="449">
        <v>-1337.14</v>
      </c>
      <c r="K83" s="449">
        <v>-3033.12</v>
      </c>
      <c r="L83" s="450">
        <f>SUM(B83:K83)</f>
        <v>-12034.7</v>
      </c>
    </row>
    <row r="84" spans="1:12" ht="15">
      <c r="A84" s="448" t="s">
        <v>29</v>
      </c>
      <c r="D84" s="449">
        <v>594.64</v>
      </c>
      <c r="E84">
        <v>-272.07</v>
      </c>
      <c r="F84" s="449">
        <v>-637.6</v>
      </c>
      <c r="G84" s="449">
        <v>36.08</v>
      </c>
      <c r="H84" s="449">
        <v>1284.8399999999999</v>
      </c>
      <c r="I84" s="449">
        <v>-1308.1099999999999</v>
      </c>
      <c r="J84" s="449">
        <v>-1219.96</v>
      </c>
      <c r="K84" s="449">
        <v>-1401.21</v>
      </c>
      <c r="L84" s="450">
        <f>SUM(B84:K84)</f>
        <v>-2923.3900000000003</v>
      </c>
    </row>
    <row r="85" spans="1:12" s="11" customFormat="1" ht="15">
      <c r="A85" s="448" t="s">
        <v>30</v>
      </c>
      <c r="D85" s="449">
        <v>-19.329999999999998</v>
      </c>
      <c r="E85">
        <v>-8.43</v>
      </c>
      <c r="F85" s="449">
        <v>211.86</v>
      </c>
      <c r="G85" s="449">
        <v>-112.92</v>
      </c>
      <c r="H85" s="449">
        <v>-33.909999999999997</v>
      </c>
      <c r="I85" s="449">
        <v>136.11000000000001</v>
      </c>
      <c r="J85" s="449">
        <v>558.62</v>
      </c>
      <c r="K85" s="449">
        <v>-652.26</v>
      </c>
      <c r="L85" s="450">
        <f>SUM(B85:K85)</f>
        <v>79.740000000000009</v>
      </c>
    </row>
    <row r="86" spans="1:12">
      <c r="A86" s="448" t="s">
        <v>470</v>
      </c>
      <c r="B86" s="448">
        <f>B30</f>
        <v>-201.79</v>
      </c>
      <c r="C86" s="448">
        <f t="shared" ref="C86:K86" si="0">C30</f>
        <v>-234.75</v>
      </c>
      <c r="D86" s="448">
        <f t="shared" si="0"/>
        <v>550.70000000000005</v>
      </c>
      <c r="E86" s="448">
        <f t="shared" si="0"/>
        <v>650.33000000000004</v>
      </c>
      <c r="F86" s="448">
        <f t="shared" si="0"/>
        <v>127.88</v>
      </c>
      <c r="G86" s="448">
        <f t="shared" si="0"/>
        <v>787.35</v>
      </c>
      <c r="H86" s="448">
        <f t="shared" si="0"/>
        <v>474.44</v>
      </c>
      <c r="I86" s="448">
        <f t="shared" si="0"/>
        <v>1304.17</v>
      </c>
      <c r="J86" s="448">
        <f t="shared" si="0"/>
        <v>1986.16</v>
      </c>
      <c r="K86" s="448">
        <f t="shared" si="0"/>
        <v>1659.19</v>
      </c>
      <c r="L86" s="450">
        <f>SUM(B86:K86)</f>
        <v>7103.68</v>
      </c>
    </row>
    <row r="90" spans="1:12" s="11" customFormat="1" ht="15">
      <c r="A90" s="11" t="s">
        <v>71</v>
      </c>
      <c r="J90">
        <v>1005.72</v>
      </c>
      <c r="K90" s="8">
        <v>1090.1600000000001</v>
      </c>
    </row>
    <row r="92" spans="1:12" s="11" customFormat="1">
      <c r="A92" s="11" t="s">
        <v>70</v>
      </c>
    </row>
    <row r="93" spans="1:12">
      <c r="A93" s="14" t="s">
        <v>83</v>
      </c>
      <c r="B93" s="31">
        <f>IF($B7&gt;0,(B70*B72/$B7)+SUM(C71:$K71),0)/10000000</f>
        <v>3</v>
      </c>
      <c r="C93" s="31">
        <f>IF($B7&gt;0,(C70*C72/$B7)+SUM(D71:$K71),0)/10000000</f>
        <v>3.07</v>
      </c>
      <c r="D93" s="31">
        <f>IF($B7&gt;0,(D70*D72/$B7)+SUM(E71:$K71),0)/10000000</f>
        <v>3.0701999999999998</v>
      </c>
      <c r="E93" s="31">
        <f>IF($B7&gt;0,(E70*E72/$B7)+SUM(F71:$K71),0)/10000000</f>
        <v>3.0701999999999998</v>
      </c>
      <c r="F93" s="31">
        <f>IF($B7&gt;0,(F70*F72/$B7)+SUM(G71:$K71),0)/10000000</f>
        <v>3.07</v>
      </c>
      <c r="G93" s="31">
        <f>IF($B7&gt;0,(G70*G72/$B7)+SUM(H71:$K71),0)/10000000</f>
        <v>3.07</v>
      </c>
      <c r="H93" s="31">
        <f>IF($B7&gt;0,(H70*H72/$B7)+SUM(I71:$K71),0)/10000000</f>
        <v>3.07</v>
      </c>
      <c r="I93" s="31">
        <f>IF($B7&gt;0,(I70*I72/$B7)+SUM(J71:$K71),0)/10000000</f>
        <v>3.07</v>
      </c>
      <c r="J93" s="31">
        <f>IF($B7&gt;0,(J70*J72/$B7)+SUM(K71:$K71),0)/10000000</f>
        <v>36.035654399999999</v>
      </c>
      <c r="K93" s="31">
        <f>IF($B7&gt;0,(K70*K72/$B7),0)/10000000</f>
        <v>36.146836299999997</v>
      </c>
    </row>
    <row r="94" spans="1:12">
      <c r="A94" s="14" t="s">
        <v>568</v>
      </c>
      <c r="C94" s="566">
        <f>(C93-B93)/B93</f>
        <v>2.3333333333333279E-2</v>
      </c>
      <c r="D94" s="566">
        <f t="shared" ref="D94:K94" si="1">(D93-C93)/C93</f>
        <v>6.5146579804553086E-5</v>
      </c>
      <c r="E94" s="566">
        <f t="shared" si="1"/>
        <v>0</v>
      </c>
      <c r="F94" s="566">
        <f t="shared" si="1"/>
        <v>-6.5142336004161934E-5</v>
      </c>
      <c r="G94" s="566">
        <f t="shared" si="1"/>
        <v>0</v>
      </c>
      <c r="H94" s="566">
        <f t="shared" si="1"/>
        <v>0</v>
      </c>
      <c r="I94" s="566">
        <f t="shared" si="1"/>
        <v>0</v>
      </c>
      <c r="J94" s="566">
        <f t="shared" si="1"/>
        <v>10.737998175895765</v>
      </c>
      <c r="K94" s="566">
        <f t="shared" si="1"/>
        <v>3.0853303998830193E-3</v>
      </c>
    </row>
  </sheetData>
  <mergeCells count="2">
    <mergeCell ref="E1:K1"/>
    <mergeCell ref="E2:K2"/>
  </mergeCells>
  <conditionalFormatting sqref="E1:K1">
    <cfRule type="cellIs" dxfId="0" priority="1" operator="notEqual">
      <formula>""</formula>
    </cfRule>
  </conditionalFormatting>
  <hyperlinks>
    <hyperlink ref="E1:K1" r:id="rId1" display="https://www.screener.in/excel/" xr:uid="{00000000-0004-0000-0500-0000000000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6"/>
  <sheetViews>
    <sheetView workbookViewId="0">
      <selection activeCell="E8" sqref="C8:E8"/>
    </sheetView>
  </sheetViews>
  <sheetFormatPr defaultColWidth="9.140625" defaultRowHeight="15"/>
  <cols>
    <col min="1" max="1" width="9.140625" style="1"/>
    <col min="2" max="2" width="10.5703125" style="2" customWidth="1"/>
    <col min="3" max="3" width="13.28515625" style="4" customWidth="1"/>
    <col min="4" max="5" width="9.140625" style="2"/>
    <col min="6" max="6" width="6.85546875" style="2" customWidth="1"/>
    <col min="7" max="16384" width="9.140625" style="2"/>
  </cols>
  <sheetData>
    <row r="1" spans="1:7" ht="21">
      <c r="A1" s="3" t="s">
        <v>52</v>
      </c>
    </row>
    <row r="3" spans="1:7">
      <c r="A3" s="1" t="s">
        <v>43</v>
      </c>
    </row>
    <row r="4" spans="1:7">
      <c r="B4" s="2" t="s">
        <v>84</v>
      </c>
    </row>
    <row r="5" spans="1:7">
      <c r="B5" s="2" t="s">
        <v>44</v>
      </c>
    </row>
    <row r="7" spans="1:7">
      <c r="A7" s="1" t="s">
        <v>45</v>
      </c>
    </row>
    <row r="8" spans="1:7">
      <c r="B8" s="2" t="s">
        <v>46</v>
      </c>
      <c r="C8" s="5" t="s">
        <v>85</v>
      </c>
    </row>
    <row r="10" spans="1:7">
      <c r="A10" s="1" t="s">
        <v>47</v>
      </c>
    </row>
    <row r="11" spans="1:7">
      <c r="B11" s="2" t="s">
        <v>48</v>
      </c>
    </row>
    <row r="14" spans="1:7">
      <c r="A14" s="1" t="s">
        <v>49</v>
      </c>
    </row>
    <row r="15" spans="1:7">
      <c r="B15" s="2" t="s">
        <v>50</v>
      </c>
    </row>
    <row r="16" spans="1:7">
      <c r="B16" s="2" t="s">
        <v>51</v>
      </c>
      <c r="G16" s="6" t="s">
        <v>86</v>
      </c>
    </row>
  </sheetData>
  <hyperlinks>
    <hyperlink ref="C8" r:id="rId1" display=" http://www.screener.in/excel" xr:uid="{00000000-0004-0000-04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0"/>
  <sheetViews>
    <sheetView workbookViewId="0">
      <pane xSplit="1" ySplit="3" topLeftCell="B7" activePane="bottomRight" state="frozen"/>
      <selection pane="topRight" activeCell="B1" sqref="B1"/>
      <selection pane="bottomLeft" activeCell="A4" sqref="A4"/>
      <selection pane="bottomRight" activeCell="B12" sqref="B12:K12"/>
    </sheetView>
  </sheetViews>
  <sheetFormatPr defaultColWidth="13.140625" defaultRowHeight="12.75"/>
  <cols>
    <col min="1" max="1" width="31.85546875" style="13" bestFit="1" customWidth="1"/>
    <col min="2" max="2" width="6.7109375" style="13" bestFit="1" customWidth="1"/>
    <col min="3" max="3" width="7.7109375" style="13" bestFit="1" customWidth="1"/>
    <col min="4" max="8" width="7.140625" style="13" bestFit="1" customWidth="1"/>
    <col min="9" max="9" width="7.85546875" style="13" bestFit="1" customWidth="1"/>
    <col min="10" max="11" width="8.28515625" style="13" bestFit="1" customWidth="1"/>
    <col min="12" max="12" width="8.140625" style="13" bestFit="1" customWidth="1"/>
    <col min="13" max="16384" width="13.140625" style="13"/>
  </cols>
  <sheetData>
    <row r="1" spans="1:13" ht="19.5">
      <c r="A1" s="749" t="s">
        <v>310</v>
      </c>
      <c r="B1" s="750"/>
      <c r="C1" s="750"/>
      <c r="D1" s="750"/>
      <c r="E1" s="750"/>
      <c r="F1" s="750"/>
      <c r="G1" s="750"/>
      <c r="H1" s="750"/>
      <c r="I1" s="750"/>
      <c r="J1" s="750"/>
      <c r="K1" s="750"/>
      <c r="L1" s="751"/>
    </row>
    <row r="2" spans="1:13" s="7" customFormat="1">
      <c r="A2" s="877" t="str">
        <f>'Balance Sheet'!A2</f>
        <v>INTERGLOBE AVIATION LTD</v>
      </c>
      <c r="B2" s="878"/>
      <c r="C2" s="878"/>
      <c r="D2" s="878"/>
      <c r="E2" s="878"/>
      <c r="F2" s="878"/>
      <c r="G2" s="878"/>
      <c r="H2" s="878"/>
      <c r="I2" s="878"/>
      <c r="J2" s="878"/>
      <c r="K2" s="878"/>
      <c r="L2" s="879"/>
    </row>
    <row r="3" spans="1:13" s="10" customFormat="1">
      <c r="A3" s="267" t="s">
        <v>198</v>
      </c>
      <c r="B3" s="139">
        <f>'Data Sheet'!B81</f>
        <v>39172</v>
      </c>
      <c r="C3" s="139">
        <f>'Data Sheet'!C81</f>
        <v>39538</v>
      </c>
      <c r="D3" s="139">
        <f>'Data Sheet'!D81</f>
        <v>40268</v>
      </c>
      <c r="E3" s="139">
        <f>'Data Sheet'!E81</f>
        <v>40633</v>
      </c>
      <c r="F3" s="139">
        <f>'Data Sheet'!F81</f>
        <v>40999</v>
      </c>
      <c r="G3" s="139">
        <f>'Data Sheet'!G81</f>
        <v>41364</v>
      </c>
      <c r="H3" s="139">
        <f>'Data Sheet'!H81</f>
        <v>41729</v>
      </c>
      <c r="I3" s="139">
        <f>'Data Sheet'!I81</f>
        <v>42094</v>
      </c>
      <c r="J3" s="139">
        <f>'Data Sheet'!J81</f>
        <v>42460</v>
      </c>
      <c r="K3" s="139">
        <f>'Data Sheet'!K81</f>
        <v>42825</v>
      </c>
      <c r="L3" s="231" t="s">
        <v>21</v>
      </c>
    </row>
    <row r="4" spans="1:13" s="7" customFormat="1">
      <c r="A4" s="268" t="s">
        <v>97</v>
      </c>
      <c r="B4" s="144">
        <f>'Data Sheet'!B82</f>
        <v>0</v>
      </c>
      <c r="C4" s="144">
        <f>'Data Sheet'!C82</f>
        <v>0</v>
      </c>
      <c r="D4" s="144">
        <f>'Data Sheet'!D82</f>
        <v>652.34</v>
      </c>
      <c r="E4" s="144">
        <f>'Data Sheet'!E82</f>
        <v>871.98</v>
      </c>
      <c r="F4" s="144">
        <f>'Data Sheet'!F82</f>
        <v>896.11</v>
      </c>
      <c r="G4" s="144">
        <f>'Data Sheet'!G82</f>
        <v>1740.69</v>
      </c>
      <c r="H4" s="144">
        <f>'Data Sheet'!H82</f>
        <v>1595.03</v>
      </c>
      <c r="I4" s="144">
        <f>'Data Sheet'!I82</f>
        <v>2383.88</v>
      </c>
      <c r="J4" s="144">
        <f>'Data Sheet'!J82</f>
        <v>3115.72</v>
      </c>
      <c r="K4" s="144">
        <f>'Data Sheet'!K82</f>
        <v>3782.07</v>
      </c>
      <c r="L4" s="269">
        <f>SUM(B4:K4)</f>
        <v>15037.82</v>
      </c>
      <c r="M4" s="13"/>
    </row>
    <row r="5" spans="1:13">
      <c r="A5" s="116" t="s">
        <v>28</v>
      </c>
      <c r="B5" s="33">
        <f>'Data Sheet'!B83</f>
        <v>0</v>
      </c>
      <c r="C5" s="33">
        <f>'Data Sheet'!C83</f>
        <v>0</v>
      </c>
      <c r="D5" s="33">
        <f>'Data Sheet'!D83</f>
        <v>-1266.31</v>
      </c>
      <c r="E5" s="33">
        <f>'Data Sheet'!E83</f>
        <v>-608.34</v>
      </c>
      <c r="F5" s="33">
        <f>'Data Sheet'!F83</f>
        <v>-46.65</v>
      </c>
      <c r="G5" s="33">
        <f>'Data Sheet'!G83</f>
        <v>-1889.69</v>
      </c>
      <c r="H5" s="33">
        <f>'Data Sheet'!H83</f>
        <v>-2913.78</v>
      </c>
      <c r="I5" s="33">
        <f>'Data Sheet'!I83</f>
        <v>-939.67</v>
      </c>
      <c r="J5" s="33">
        <f>'Data Sheet'!J83</f>
        <v>-1337.14</v>
      </c>
      <c r="K5" s="33">
        <f>'Data Sheet'!K83</f>
        <v>-3033.12</v>
      </c>
      <c r="L5" s="269">
        <f>SUM(B5:K5)</f>
        <v>-12034.7</v>
      </c>
    </row>
    <row r="6" spans="1:13">
      <c r="A6" s="116" t="s">
        <v>29</v>
      </c>
      <c r="B6" s="33">
        <f>'Data Sheet'!B84</f>
        <v>0</v>
      </c>
      <c r="C6" s="33">
        <f>'Data Sheet'!C84</f>
        <v>0</v>
      </c>
      <c r="D6" s="33">
        <f>'Data Sheet'!D84</f>
        <v>594.64</v>
      </c>
      <c r="E6" s="33">
        <f>'Data Sheet'!E84</f>
        <v>-272.07</v>
      </c>
      <c r="F6" s="33">
        <f>'Data Sheet'!F84</f>
        <v>-637.6</v>
      </c>
      <c r="G6" s="33">
        <f>'Data Sheet'!G84</f>
        <v>36.08</v>
      </c>
      <c r="H6" s="33">
        <f>'Data Sheet'!H84</f>
        <v>1284.8399999999999</v>
      </c>
      <c r="I6" s="33">
        <f>'Data Sheet'!I84</f>
        <v>-1308.1099999999999</v>
      </c>
      <c r="J6" s="33">
        <f>'Data Sheet'!J84</f>
        <v>-1219.96</v>
      </c>
      <c r="K6" s="33">
        <f>'Data Sheet'!K84</f>
        <v>-1401.21</v>
      </c>
      <c r="L6" s="269">
        <f>SUM(B6:K6)</f>
        <v>-2923.3900000000003</v>
      </c>
    </row>
    <row r="7" spans="1:13" s="7" customFormat="1">
      <c r="A7" s="268" t="s">
        <v>30</v>
      </c>
      <c r="B7" s="144">
        <f>'Data Sheet'!B85</f>
        <v>0</v>
      </c>
      <c r="C7" s="144">
        <f>'Data Sheet'!C85</f>
        <v>0</v>
      </c>
      <c r="D7" s="144">
        <f>'Data Sheet'!D85</f>
        <v>-19.329999999999998</v>
      </c>
      <c r="E7" s="144">
        <f>'Data Sheet'!E85</f>
        <v>-8.43</v>
      </c>
      <c r="F7" s="144">
        <f>'Data Sheet'!F85</f>
        <v>211.86</v>
      </c>
      <c r="G7" s="144">
        <f>'Data Sheet'!G85</f>
        <v>-112.92</v>
      </c>
      <c r="H7" s="144">
        <f>'Data Sheet'!H85</f>
        <v>-33.909999999999997</v>
      </c>
      <c r="I7" s="144">
        <f>'Data Sheet'!I85</f>
        <v>136.11000000000001</v>
      </c>
      <c r="J7" s="144">
        <f>'Data Sheet'!J85</f>
        <v>558.62</v>
      </c>
      <c r="K7" s="144">
        <f>'Data Sheet'!K85</f>
        <v>-652.26</v>
      </c>
      <c r="L7" s="269">
        <f>SUM(B7:K7)</f>
        <v>79.740000000000009</v>
      </c>
    </row>
    <row r="8" spans="1:13" s="12" customFormat="1">
      <c r="A8" s="270" t="s">
        <v>98</v>
      </c>
      <c r="B8" s="143">
        <f>B4/'Profit &amp; Loss'!B4</f>
        <v>0</v>
      </c>
      <c r="C8" s="143">
        <f>C4/'Profit &amp; Loss'!C4</f>
        <v>0</v>
      </c>
      <c r="D8" s="143">
        <f>D4/'Profit &amp; Loss'!D4</f>
        <v>0.25037229224557472</v>
      </c>
      <c r="E8" s="143">
        <f>E4/'Profit &amp; Loss'!E4</f>
        <v>0.22746790072572273</v>
      </c>
      <c r="F8" s="143">
        <f>F4/'Profit &amp; Loss'!F4</f>
        <v>0.16103589437629615</v>
      </c>
      <c r="G8" s="143">
        <f>G4/'Profit &amp; Loss'!G4</f>
        <v>0.18914211329250644</v>
      </c>
      <c r="H8" s="143">
        <f>H4/'Profit &amp; Loss'!H4</f>
        <v>0.14348207812114877</v>
      </c>
      <c r="I8" s="143">
        <f>I4/'Profit &amp; Loss'!I4</f>
        <v>0.17119007507177564</v>
      </c>
      <c r="J8" s="143">
        <f>J4/'Profit &amp; Loss'!J4</f>
        <v>0.19304444696407846</v>
      </c>
      <c r="K8" s="143">
        <f>K4/'Profit &amp; Loss'!K4</f>
        <v>0.20355049648825382</v>
      </c>
      <c r="L8" s="271"/>
    </row>
    <row r="9" spans="1:13" s="12" customFormat="1">
      <c r="A9" s="270" t="s">
        <v>99</v>
      </c>
      <c r="B9" s="143">
        <f>B4/'Profit &amp; Loss'!B23</f>
        <v>0</v>
      </c>
      <c r="C9" s="143">
        <f>C4/'Profit &amp; Loss'!C23</f>
        <v>0</v>
      </c>
      <c r="D9" s="143">
        <f>D4/'Profit &amp; Loss'!D23</f>
        <v>1.1845866095262307</v>
      </c>
      <c r="E9" s="143">
        <f>E4/'Profit &amp; Loss'!E23</f>
        <v>1.3408063474490266</v>
      </c>
      <c r="F9" s="143">
        <f>F4/'Profit &amp; Loss'!F23</f>
        <v>7.0085249491631094</v>
      </c>
      <c r="G9" s="143">
        <f>G4/'Profit &amp; Loss'!G23</f>
        <v>2.2108211087826231</v>
      </c>
      <c r="H9" s="143">
        <f>H4/'Profit &amp; Loss'!H23</f>
        <v>3.3621340190974056</v>
      </c>
      <c r="I9" s="143">
        <f>I4/'Profit &amp; Loss'!I23</f>
        <v>1.8278905357430408</v>
      </c>
      <c r="J9" s="143">
        <f>J4/'Profit &amp; Loss'!J23</f>
        <v>1.5687076131448967</v>
      </c>
      <c r="K9" s="143">
        <f>K4/'Profit &amp; Loss'!K23</f>
        <v>2.2794539537126322</v>
      </c>
      <c r="L9" s="271"/>
    </row>
    <row r="10" spans="1:13">
      <c r="A10" s="272" t="s">
        <v>255</v>
      </c>
      <c r="B10" s="145"/>
      <c r="C10" s="145">
        <f>(-0.1*C20)</f>
        <v>0</v>
      </c>
      <c r="D10" s="145">
        <f t="shared" ref="D10:K10" si="0">(-0.1*D20)</f>
        <v>0</v>
      </c>
      <c r="E10" s="145">
        <f t="shared" si="0"/>
        <v>0</v>
      </c>
      <c r="F10" s="145">
        <f t="shared" si="0"/>
        <v>0</v>
      </c>
      <c r="G10" s="145">
        <f t="shared" si="0"/>
        <v>0</v>
      </c>
      <c r="H10" s="145">
        <f t="shared" si="0"/>
        <v>0</v>
      </c>
      <c r="I10" s="145">
        <f>(-0.1*I20)</f>
        <v>1017.1</v>
      </c>
      <c r="J10" s="145">
        <f t="shared" si="0"/>
        <v>232</v>
      </c>
      <c r="K10" s="145">
        <f t="shared" si="0"/>
        <v>237.20000000000002</v>
      </c>
      <c r="L10" s="273">
        <f>SUM(B10:K10)</f>
        <v>1486.3</v>
      </c>
    </row>
    <row r="11" spans="1:13">
      <c r="A11" s="116" t="s">
        <v>146</v>
      </c>
      <c r="B11" s="146">
        <f t="shared" ref="B11:K11" si="1">B4-B10</f>
        <v>0</v>
      </c>
      <c r="C11" s="146">
        <f t="shared" si="1"/>
        <v>0</v>
      </c>
      <c r="D11" s="146">
        <f t="shared" si="1"/>
        <v>652.34</v>
      </c>
      <c r="E11" s="146">
        <f t="shared" si="1"/>
        <v>871.98</v>
      </c>
      <c r="F11" s="146">
        <f t="shared" si="1"/>
        <v>896.11</v>
      </c>
      <c r="G11" s="146">
        <f t="shared" si="1"/>
        <v>1740.69</v>
      </c>
      <c r="H11" s="146">
        <f t="shared" si="1"/>
        <v>1595.03</v>
      </c>
      <c r="I11" s="146">
        <f t="shared" si="1"/>
        <v>1366.7800000000002</v>
      </c>
      <c r="J11" s="146">
        <f t="shared" si="1"/>
        <v>2883.72</v>
      </c>
      <c r="K11" s="146">
        <f t="shared" si="1"/>
        <v>3544.8700000000003</v>
      </c>
      <c r="L11" s="273">
        <f>SUM(B11:K11)</f>
        <v>13551.52</v>
      </c>
      <c r="M11" s="7"/>
    </row>
    <row r="12" spans="1:13" ht="14.45" customHeight="1">
      <c r="A12" s="274" t="s">
        <v>147</v>
      </c>
      <c r="B12" s="874">
        <f>AVERAGE(I11:K11)</f>
        <v>2598.4566666666669</v>
      </c>
      <c r="C12" s="875"/>
      <c r="D12" s="875"/>
      <c r="E12" s="875"/>
      <c r="F12" s="875"/>
      <c r="G12" s="875"/>
      <c r="H12" s="875"/>
      <c r="I12" s="875"/>
      <c r="J12" s="875"/>
      <c r="K12" s="876"/>
      <c r="L12" s="275"/>
    </row>
    <row r="13" spans="1:13">
      <c r="A13" s="274" t="s">
        <v>190</v>
      </c>
      <c r="B13" s="143">
        <f>B11/'Data Sheet'!B17</f>
        <v>0</v>
      </c>
      <c r="C13" s="143">
        <f>C11/'Data Sheet'!C17</f>
        <v>0</v>
      </c>
      <c r="D13" s="143">
        <f>D11/'Data Sheet'!D17</f>
        <v>0.25037229224557472</v>
      </c>
      <c r="E13" s="143">
        <f>E11/'Data Sheet'!E17</f>
        <v>0.22746790072572273</v>
      </c>
      <c r="F13" s="143">
        <f>F11/'Data Sheet'!F17</f>
        <v>0.16103589437629615</v>
      </c>
      <c r="G13" s="143">
        <f>G11/'Data Sheet'!G17</f>
        <v>0.18914211329250644</v>
      </c>
      <c r="H13" s="143">
        <f>H11/'Data Sheet'!H17</f>
        <v>0.14348207812114877</v>
      </c>
      <c r="I13" s="143">
        <f>I11/'Data Sheet'!I17</f>
        <v>9.8150565803061196E-2</v>
      </c>
      <c r="J13" s="143">
        <f>J11/'Data Sheet'!J17</f>
        <v>0.17867014128331571</v>
      </c>
      <c r="K13" s="143">
        <f>K11/'Data Sheet'!K17</f>
        <v>0.19078442453109445</v>
      </c>
      <c r="L13" s="275"/>
    </row>
    <row r="14" spans="1:13" ht="13.5" thickBot="1">
      <c r="A14" s="276" t="s">
        <v>191</v>
      </c>
      <c r="B14" s="277">
        <f>B11/'Data Sheet'!B30</f>
        <v>0</v>
      </c>
      <c r="C14" s="277">
        <f>C11/'Data Sheet'!C30</f>
        <v>0</v>
      </c>
      <c r="D14" s="277">
        <f>D11/'Data Sheet'!D30</f>
        <v>1.1845650989649537</v>
      </c>
      <c r="E14" s="277">
        <f>E11/'Data Sheet'!E30</f>
        <v>1.3408269647717312</v>
      </c>
      <c r="F14" s="277">
        <f>F11/'Data Sheet'!F30</f>
        <v>7.0074288395370665</v>
      </c>
      <c r="G14" s="277">
        <f>G11/'Data Sheet'!G30</f>
        <v>2.2108211087826253</v>
      </c>
      <c r="H14" s="277">
        <f>H11/'Data Sheet'!H30</f>
        <v>3.3619214231515051</v>
      </c>
      <c r="I14" s="277">
        <f>I11/'Data Sheet'!I30</f>
        <v>1.048007545028639</v>
      </c>
      <c r="J14" s="277">
        <f>J11/'Data Sheet'!J30</f>
        <v>1.4519071978088369</v>
      </c>
      <c r="K14" s="277">
        <f>K11/'Data Sheet'!K30</f>
        <v>2.1365063675648961</v>
      </c>
      <c r="L14" s="278"/>
    </row>
    <row r="15" spans="1:13">
      <c r="A15" s="13" t="s">
        <v>521</v>
      </c>
      <c r="B15" s="13">
        <f>(B11/5.74)</f>
        <v>0</v>
      </c>
      <c r="C15" s="13">
        <f t="shared" ref="C15:K15" si="2">(C11/5.74)</f>
        <v>0</v>
      </c>
      <c r="D15" s="13">
        <f t="shared" si="2"/>
        <v>113.64808362369338</v>
      </c>
      <c r="E15" s="13">
        <f t="shared" si="2"/>
        <v>151.9128919860627</v>
      </c>
      <c r="F15" s="13">
        <f t="shared" si="2"/>
        <v>156.11672473867594</v>
      </c>
      <c r="G15" s="13">
        <f t="shared" si="2"/>
        <v>303.2560975609756</v>
      </c>
      <c r="H15" s="13">
        <f t="shared" si="2"/>
        <v>277.87979094076655</v>
      </c>
      <c r="I15" s="13">
        <f t="shared" si="2"/>
        <v>238.11498257839725</v>
      </c>
      <c r="J15" s="13">
        <f t="shared" si="2"/>
        <v>502.39024390243895</v>
      </c>
      <c r="K15" s="13">
        <f t="shared" si="2"/>
        <v>617.57317073170736</v>
      </c>
      <c r="L15" s="13">
        <f>AVERAGE(I15:K15)</f>
        <v>452.69279907084791</v>
      </c>
      <c r="M15" s="566">
        <f>L15/'Data Sheet'!B8</f>
        <v>0.37535160156780228</v>
      </c>
    </row>
    <row r="16" spans="1:13" ht="114.75">
      <c r="A16" s="243" t="s">
        <v>288</v>
      </c>
    </row>
    <row r="18" spans="1:12" s="564" customFormat="1" ht="13.5" thickBot="1">
      <c r="A18" s="564" t="s">
        <v>520</v>
      </c>
      <c r="B18" s="565">
        <f>(B10/'Data Sheet'!B17)</f>
        <v>0</v>
      </c>
      <c r="C18" s="565">
        <f>(C10/'Data Sheet'!C17)</f>
        <v>0</v>
      </c>
      <c r="D18" s="565">
        <f>(D10/'Data Sheet'!D17)</f>
        <v>0</v>
      </c>
      <c r="E18" s="565">
        <f>(E10/'Data Sheet'!E17)</f>
        <v>0</v>
      </c>
      <c r="F18" s="565">
        <f>(F10/'Data Sheet'!F17)</f>
        <v>0</v>
      </c>
      <c r="G18" s="565">
        <f>(G10/'Data Sheet'!G17)</f>
        <v>0</v>
      </c>
      <c r="H18" s="565">
        <f>(H10/'Data Sheet'!H17)</f>
        <v>0</v>
      </c>
      <c r="I18" s="565">
        <f>(I10/'Data Sheet'!I17)</f>
        <v>7.3039509268714442E-2</v>
      </c>
      <c r="J18" s="565">
        <f>(J10/'Data Sheet'!J17)</f>
        <v>1.437430568076278E-2</v>
      </c>
      <c r="K18" s="565">
        <f>(K10/'Data Sheet'!K17)</f>
        <v>1.2766071957159389E-2</v>
      </c>
      <c r="L18" s="565">
        <f>AVERAGE(B18:K18)</f>
        <v>1.001798869066366E-2</v>
      </c>
    </row>
    <row r="19" spans="1:12" ht="13.5" thickBot="1">
      <c r="B19" s="485"/>
      <c r="C19" s="485"/>
      <c r="D19" s="485"/>
      <c r="E19" s="485"/>
      <c r="F19" s="485"/>
      <c r="G19" s="485"/>
      <c r="H19" s="485"/>
      <c r="I19" s="485"/>
      <c r="J19" s="485"/>
      <c r="K19" s="485"/>
    </row>
    <row r="20" spans="1:12" s="27" customFormat="1">
      <c r="B20" s="663"/>
      <c r="C20" s="663"/>
      <c r="D20" s="663"/>
      <c r="E20" s="663"/>
      <c r="F20" s="663"/>
      <c r="G20" s="663"/>
      <c r="H20" s="663"/>
      <c r="I20" s="641">
        <v>-10171</v>
      </c>
      <c r="J20" s="641">
        <v>-2320</v>
      </c>
      <c r="K20" s="641">
        <v>-2372</v>
      </c>
    </row>
  </sheetData>
  <mergeCells count="3">
    <mergeCell ref="B12:K12"/>
    <mergeCell ref="A1:L1"/>
    <mergeCell ref="A2:L2"/>
  </mergeCells>
  <printOptions gridLines="1"/>
  <pageMargins left="0.7" right="0.7" top="0.75" bottom="0.75" header="0.3" footer="0.3"/>
  <pageSetup paperSize="9" orientation="landscape" r:id="rId1"/>
  <extLst>
    <ext xmlns:x14="http://schemas.microsoft.com/office/spreadsheetml/2009/9/main" uri="{05C60535-1F16-4fd2-B633-F4F36F0B64E0}">
      <x14:sparklineGroups xmlns:xm="http://schemas.microsoft.com/office/excel/2006/main">
        <x14:sparklineGroup manualMax="0" manualMin="0" type="column" displayEmptyCellsAs="gap" xr2:uid="{31B158BE-32FD-443C-9A7A-34A49A256DB6}">
          <x14:colorSeries rgb="FFC00000"/>
          <x14:colorNegative rgb="FFD00000"/>
          <x14:colorAxis rgb="FF000000"/>
          <x14:colorMarkers rgb="FFD00000"/>
          <x14:colorFirst rgb="FFD00000"/>
          <x14:colorLast rgb="FFD00000"/>
          <x14:colorHigh rgb="FFD00000"/>
          <x14:colorLow rgb="FFD00000"/>
          <x14:sparklines>
            <x14:sparkline>
              <xm:f>'Cash Flow'!G11:K11</xm:f>
              <xm:sqref>M11</xm:sqref>
            </x14:sparkline>
          </x14:sparklines>
        </x14:sparklineGroup>
      </x14:sparklineGroup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28BA0-6C5B-4901-8946-FE9A961BBDA1}">
  <dimension ref="A2:N36"/>
  <sheetViews>
    <sheetView workbookViewId="0">
      <selection activeCell="J6" sqref="J6"/>
    </sheetView>
  </sheetViews>
  <sheetFormatPr defaultRowHeight="15"/>
  <cols>
    <col min="2" max="2" width="67.42578125" customWidth="1"/>
    <col min="10" max="10" width="29" customWidth="1"/>
  </cols>
  <sheetData>
    <row r="2" spans="1:14" ht="63">
      <c r="A2" s="393" t="s">
        <v>424</v>
      </c>
      <c r="B2" s="393"/>
      <c r="C2" s="393"/>
      <c r="D2" s="388"/>
      <c r="E2" s="388"/>
      <c r="F2" s="388"/>
      <c r="G2" s="388"/>
      <c r="H2" s="388"/>
      <c r="J2" s="637" t="s">
        <v>545</v>
      </c>
      <c r="K2" s="638"/>
      <c r="L2" s="638"/>
      <c r="M2" s="638"/>
      <c r="N2" s="638"/>
    </row>
    <row r="3" spans="1:14">
      <c r="A3" s="388"/>
      <c r="B3" s="388"/>
      <c r="C3" s="388"/>
      <c r="D3" s="388"/>
      <c r="E3" s="388"/>
      <c r="F3" s="388"/>
      <c r="G3" s="388"/>
      <c r="H3" s="388"/>
    </row>
    <row r="4" spans="1:14" ht="18.75">
      <c r="A4" s="424" t="s">
        <v>413</v>
      </c>
      <c r="B4" s="424"/>
      <c r="C4" s="388"/>
      <c r="D4" s="388"/>
      <c r="E4" s="388"/>
      <c r="F4" s="388"/>
      <c r="G4" s="388"/>
      <c r="H4" s="388"/>
    </row>
    <row r="5" spans="1:14" ht="18.75">
      <c r="A5" s="424" t="s">
        <v>414</v>
      </c>
      <c r="B5" s="424"/>
      <c r="C5" s="388"/>
      <c r="D5" s="388"/>
      <c r="E5" s="388"/>
      <c r="F5" s="388"/>
      <c r="G5" s="388"/>
      <c r="H5" s="388"/>
    </row>
    <row r="6" spans="1:14" ht="18.75">
      <c r="A6" s="424" t="s">
        <v>415</v>
      </c>
      <c r="B6" s="424"/>
      <c r="C6" s="388"/>
      <c r="D6" s="388"/>
      <c r="E6" s="388"/>
      <c r="F6" s="388"/>
      <c r="G6" s="388"/>
      <c r="H6" s="388"/>
    </row>
    <row r="7" spans="1:14" ht="18.75">
      <c r="A7" s="424" t="s">
        <v>416</v>
      </c>
      <c r="B7" s="424"/>
      <c r="C7" s="388"/>
      <c r="D7" s="388"/>
      <c r="E7" s="388"/>
      <c r="F7" s="388"/>
      <c r="G7" s="388"/>
      <c r="H7" s="388"/>
    </row>
    <row r="8" spans="1:14" ht="18.75">
      <c r="A8" s="424" t="s">
        <v>417</v>
      </c>
      <c r="B8" s="424"/>
      <c r="C8" s="388"/>
      <c r="D8" s="388"/>
      <c r="E8" s="388"/>
      <c r="F8" s="388"/>
      <c r="G8" s="388"/>
      <c r="H8" s="388"/>
    </row>
    <row r="9" spans="1:14" ht="18.75">
      <c r="A9" s="424" t="s">
        <v>418</v>
      </c>
      <c r="B9" s="424"/>
      <c r="C9" s="388"/>
      <c r="D9" s="388"/>
      <c r="E9" s="388"/>
      <c r="F9" s="388"/>
      <c r="G9" s="388"/>
      <c r="H9" s="388"/>
    </row>
    <row r="10" spans="1:14" ht="18.75">
      <c r="A10" s="424" t="s">
        <v>419</v>
      </c>
      <c r="B10" s="424"/>
      <c r="C10" s="388"/>
      <c r="D10" s="388"/>
      <c r="E10" s="388"/>
      <c r="F10" s="388"/>
      <c r="G10" s="388"/>
      <c r="H10" s="388"/>
    </row>
    <row r="11" spans="1:14" ht="18.75">
      <c r="A11" s="424" t="s">
        <v>420</v>
      </c>
      <c r="B11" s="424"/>
      <c r="C11" s="388"/>
      <c r="D11" s="388"/>
      <c r="E11" s="388"/>
      <c r="F11" s="388"/>
      <c r="G11" s="388"/>
      <c r="H11" s="388"/>
    </row>
    <row r="12" spans="1:14" ht="18.75">
      <c r="A12" s="424" t="s">
        <v>421</v>
      </c>
      <c r="B12" s="424"/>
      <c r="C12" s="388"/>
      <c r="D12" s="388"/>
      <c r="E12" s="388"/>
      <c r="F12" s="388"/>
      <c r="G12" s="388"/>
      <c r="H12" s="388"/>
    </row>
    <row r="13" spans="1:14" ht="18.75">
      <c r="A13" s="424" t="s">
        <v>422</v>
      </c>
      <c r="B13" s="424"/>
      <c r="C13" s="388"/>
      <c r="D13" s="388"/>
      <c r="E13" s="388"/>
      <c r="F13" s="388"/>
      <c r="G13" s="388"/>
      <c r="H13" s="388"/>
    </row>
    <row r="14" spans="1:14" ht="18.75">
      <c r="A14" s="424" t="s">
        <v>423</v>
      </c>
      <c r="B14" s="424"/>
      <c r="C14" s="388"/>
      <c r="D14" s="388"/>
      <c r="E14" s="388"/>
      <c r="F14" s="388"/>
      <c r="G14" s="388"/>
      <c r="H14" s="388"/>
    </row>
    <row r="15" spans="1:14" ht="18.75">
      <c r="A15" s="424"/>
      <c r="B15" s="424"/>
      <c r="C15" s="388"/>
      <c r="D15" s="388"/>
      <c r="E15" s="388"/>
      <c r="F15" s="388"/>
      <c r="G15" s="388"/>
      <c r="H15" s="388"/>
    </row>
    <row r="19" spans="1:13" ht="26.25">
      <c r="A19" s="395" t="s">
        <v>425</v>
      </c>
      <c r="B19" s="395"/>
      <c r="C19" s="395"/>
      <c r="D19" s="395"/>
      <c r="E19" s="394"/>
      <c r="I19" s="398" t="s">
        <v>440</v>
      </c>
      <c r="J19" s="398"/>
      <c r="K19" s="399"/>
      <c r="L19" s="399"/>
      <c r="M19" s="399"/>
    </row>
    <row r="20" spans="1:13" ht="18.75">
      <c r="A20" s="396" t="s">
        <v>426</v>
      </c>
      <c r="B20" s="396"/>
      <c r="C20" s="396"/>
      <c r="D20" s="396"/>
      <c r="E20" s="394"/>
      <c r="I20" s="400" t="s">
        <v>441</v>
      </c>
      <c r="J20" s="400"/>
      <c r="K20" s="400"/>
      <c r="L20" s="400"/>
      <c r="M20" s="399"/>
    </row>
    <row r="21" spans="1:13" ht="18.75">
      <c r="A21" s="396" t="s">
        <v>427</v>
      </c>
      <c r="B21" s="396"/>
      <c r="C21" s="396"/>
      <c r="D21" s="396"/>
      <c r="E21" s="394"/>
      <c r="I21" s="400" t="s">
        <v>442</v>
      </c>
      <c r="J21" s="400"/>
      <c r="K21" s="400"/>
      <c r="L21" s="400"/>
      <c r="M21" s="399"/>
    </row>
    <row r="22" spans="1:13" ht="18.75">
      <c r="A22" s="396" t="s">
        <v>428</v>
      </c>
      <c r="B22" s="396"/>
      <c r="C22" s="396"/>
      <c r="D22" s="396"/>
      <c r="E22" s="394"/>
      <c r="I22" s="400" t="s">
        <v>443</v>
      </c>
      <c r="J22" s="400"/>
      <c r="K22" s="400"/>
      <c r="L22" s="400"/>
      <c r="M22" s="399"/>
    </row>
    <row r="23" spans="1:13" ht="18.75">
      <c r="A23" s="396" t="s">
        <v>429</v>
      </c>
      <c r="B23" s="396"/>
      <c r="C23" s="396"/>
      <c r="D23" s="396"/>
      <c r="E23" s="394"/>
      <c r="I23" s="400" t="s">
        <v>444</v>
      </c>
      <c r="J23" s="400"/>
      <c r="K23" s="400"/>
      <c r="L23" s="400"/>
      <c r="M23" s="399"/>
    </row>
    <row r="24" spans="1:13" ht="18.75">
      <c r="A24" s="396" t="s">
        <v>430</v>
      </c>
      <c r="B24" s="396"/>
      <c r="C24" s="396"/>
      <c r="D24" s="396"/>
      <c r="E24" s="394"/>
      <c r="I24" s="400" t="s">
        <v>445</v>
      </c>
      <c r="J24" s="400"/>
      <c r="K24" s="400"/>
      <c r="L24" s="400"/>
      <c r="M24" s="399"/>
    </row>
    <row r="25" spans="1:13" ht="18.75">
      <c r="A25" s="396" t="s">
        <v>431</v>
      </c>
      <c r="B25" s="396"/>
      <c r="C25" s="396"/>
      <c r="D25" s="396"/>
      <c r="E25" s="394"/>
      <c r="I25" s="400" t="s">
        <v>446</v>
      </c>
      <c r="J25" s="400"/>
      <c r="K25" s="400"/>
      <c r="L25" s="400"/>
      <c r="M25" s="399"/>
    </row>
    <row r="26" spans="1:13" ht="18.75">
      <c r="A26" s="396" t="s">
        <v>432</v>
      </c>
      <c r="B26" s="396"/>
      <c r="C26" s="396"/>
      <c r="D26" s="396"/>
      <c r="E26" s="394"/>
      <c r="I26" s="400" t="s">
        <v>447</v>
      </c>
      <c r="J26" s="400"/>
      <c r="K26" s="400"/>
      <c r="L26" s="400"/>
      <c r="M26" s="399"/>
    </row>
    <row r="27" spans="1:13" ht="18.75">
      <c r="A27" s="396" t="s">
        <v>433</v>
      </c>
      <c r="B27" s="396"/>
      <c r="C27" s="396"/>
      <c r="D27" s="396"/>
      <c r="E27" s="394"/>
      <c r="I27" s="400" t="s">
        <v>448</v>
      </c>
      <c r="J27" s="400"/>
      <c r="K27" s="400"/>
      <c r="L27" s="400"/>
      <c r="M27" s="399"/>
    </row>
    <row r="28" spans="1:13" ht="18.75">
      <c r="A28" s="396" t="s">
        <v>434</v>
      </c>
      <c r="B28" s="396"/>
      <c r="C28" s="396"/>
      <c r="D28" s="396"/>
      <c r="E28" s="394"/>
      <c r="I28" s="400" t="s">
        <v>449</v>
      </c>
      <c r="J28" s="400"/>
      <c r="K28" s="400"/>
      <c r="L28" s="400"/>
      <c r="M28" s="399"/>
    </row>
    <row r="29" spans="1:13" ht="18.75">
      <c r="A29" s="396" t="s">
        <v>435</v>
      </c>
      <c r="B29" s="396"/>
      <c r="C29" s="396"/>
      <c r="D29" s="396"/>
      <c r="E29" s="394"/>
      <c r="I29" s="400" t="s">
        <v>450</v>
      </c>
      <c r="J29" s="400"/>
      <c r="K29" s="400"/>
      <c r="L29" s="400"/>
      <c r="M29" s="399"/>
    </row>
    <row r="30" spans="1:13" ht="18.75">
      <c r="A30" s="396" t="s">
        <v>436</v>
      </c>
      <c r="B30" s="396"/>
      <c r="C30" s="396"/>
      <c r="D30" s="396"/>
      <c r="E30" s="394"/>
      <c r="I30" s="400" t="s">
        <v>451</v>
      </c>
      <c r="J30" s="400"/>
      <c r="K30" s="400"/>
      <c r="L30" s="400"/>
      <c r="M30" s="399"/>
    </row>
    <row r="31" spans="1:13" ht="18.75">
      <c r="A31" s="396" t="s">
        <v>437</v>
      </c>
      <c r="B31" s="396"/>
      <c r="C31" s="396"/>
      <c r="D31" s="396"/>
      <c r="E31" s="394"/>
      <c r="I31" s="400" t="s">
        <v>452</v>
      </c>
      <c r="J31" s="400"/>
      <c r="K31" s="400"/>
      <c r="L31" s="400"/>
      <c r="M31" s="399"/>
    </row>
    <row r="32" spans="1:13" ht="18.75">
      <c r="A32" s="396" t="s">
        <v>438</v>
      </c>
      <c r="B32" s="396"/>
      <c r="C32" s="396"/>
      <c r="D32" s="396"/>
      <c r="E32" s="394"/>
      <c r="I32" s="400" t="s">
        <v>453</v>
      </c>
      <c r="J32" s="400"/>
      <c r="K32" s="400"/>
      <c r="L32" s="400"/>
      <c r="M32" s="399"/>
    </row>
    <row r="33" spans="1:5" ht="18.75">
      <c r="A33" s="396" t="s">
        <v>439</v>
      </c>
      <c r="B33" s="396"/>
      <c r="C33" s="396"/>
      <c r="D33" s="396"/>
      <c r="E33" s="394"/>
    </row>
    <row r="35" spans="1:5" ht="15.75" thickBot="1"/>
    <row r="36" spans="1:5" ht="151.5" thickBot="1">
      <c r="A36" s="425" t="s">
        <v>211</v>
      </c>
      <c r="B36" s="426"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E002-3D03-4067-BC1A-37D3AC939960}">
  <dimension ref="A1:B26"/>
  <sheetViews>
    <sheetView workbookViewId="0">
      <selection activeCell="A22" sqref="A22:B22"/>
    </sheetView>
  </sheetViews>
  <sheetFormatPr defaultColWidth="9.140625" defaultRowHeight="12.75"/>
  <cols>
    <col min="1" max="1" width="36.42578125" style="8" bestFit="1" customWidth="1"/>
    <col min="2" max="2" width="96.28515625" style="8" customWidth="1"/>
    <col min="3" max="3" width="92.5703125" style="8" bestFit="1" customWidth="1"/>
    <col min="4" max="16384" width="9.140625" style="8"/>
  </cols>
  <sheetData>
    <row r="1" spans="1:2" ht="20.25" thickBot="1">
      <c r="A1" s="746" t="s">
        <v>205</v>
      </c>
      <c r="B1" s="747"/>
    </row>
    <row r="2" spans="1:2" ht="13.5" thickBot="1">
      <c r="A2" s="748" t="s">
        <v>206</v>
      </c>
      <c r="B2" s="748"/>
    </row>
    <row r="3" spans="1:2">
      <c r="A3" s="164" t="s">
        <v>207</v>
      </c>
      <c r="B3" s="165" t="s">
        <v>208</v>
      </c>
    </row>
    <row r="4" spans="1:2" ht="77.25" thickBot="1">
      <c r="A4" s="166" t="s">
        <v>209</v>
      </c>
      <c r="B4" s="167" t="s">
        <v>210</v>
      </c>
    </row>
    <row r="5" spans="1:2" ht="13.5" thickBot="1">
      <c r="A5" s="168"/>
      <c r="B5" s="169"/>
    </row>
    <row r="6" spans="1:2" ht="77.25" thickBot="1">
      <c r="A6" s="170" t="s">
        <v>211</v>
      </c>
      <c r="B6" s="171" t="s">
        <v>212</v>
      </c>
    </row>
    <row r="7" spans="1:2" ht="13.5" thickBot="1">
      <c r="A7" s="172"/>
      <c r="B7" s="168"/>
    </row>
    <row r="8" spans="1:2" ht="39" thickBot="1">
      <c r="A8" s="170" t="s">
        <v>213</v>
      </c>
      <c r="B8" s="171" t="s">
        <v>214</v>
      </c>
    </row>
    <row r="9" spans="1:2" ht="13.5" thickBot="1">
      <c r="A9" s="172"/>
      <c r="B9" s="168"/>
    </row>
    <row r="10" spans="1:2" ht="77.25" thickBot="1">
      <c r="A10" s="170" t="s">
        <v>215</v>
      </c>
      <c r="B10" s="171" t="s">
        <v>312</v>
      </c>
    </row>
    <row r="11" spans="1:2">
      <c r="A11" s="172"/>
      <c r="B11" s="168"/>
    </row>
    <row r="12" spans="1:2" ht="63.75">
      <c r="A12" s="173" t="s">
        <v>216</v>
      </c>
      <c r="B12" s="174" t="s">
        <v>217</v>
      </c>
    </row>
    <row r="13" spans="1:2" ht="13.5" thickBot="1">
      <c r="A13" s="172"/>
      <c r="B13" s="168"/>
    </row>
    <row r="14" spans="1:2" ht="51.75" thickBot="1">
      <c r="A14" s="170" t="s">
        <v>218</v>
      </c>
      <c r="B14" s="171" t="s">
        <v>219</v>
      </c>
    </row>
    <row r="15" spans="1:2" ht="13.5" thickBot="1">
      <c r="A15" s="172"/>
      <c r="B15" s="168"/>
    </row>
    <row r="16" spans="1:2" ht="39" thickBot="1">
      <c r="A16" s="170" t="s">
        <v>220</v>
      </c>
      <c r="B16" s="171" t="s">
        <v>221</v>
      </c>
    </row>
    <row r="17" spans="1:2" ht="13.5" thickBot="1">
      <c r="A17" s="172"/>
      <c r="B17" s="168"/>
    </row>
    <row r="18" spans="1:2" ht="51.75" thickBot="1">
      <c r="A18" s="170" t="s">
        <v>222</v>
      </c>
      <c r="B18" s="171" t="s">
        <v>313</v>
      </c>
    </row>
    <row r="19" spans="1:2" ht="13.5" thickBot="1">
      <c r="A19" s="172"/>
      <c r="B19" s="168"/>
    </row>
    <row r="20" spans="1:2" ht="39" thickBot="1">
      <c r="A20" s="170" t="s">
        <v>223</v>
      </c>
      <c r="B20" s="171" t="s">
        <v>224</v>
      </c>
    </row>
    <row r="21" spans="1:2" ht="13.5" thickBot="1">
      <c r="A21" s="172"/>
      <c r="B21" s="168"/>
    </row>
    <row r="22" spans="1:2" ht="77.25" thickBot="1">
      <c r="A22" s="170" t="s">
        <v>225</v>
      </c>
      <c r="B22" s="171" t="s">
        <v>226</v>
      </c>
    </row>
    <row r="23" spans="1:2" ht="13.5" thickBot="1">
      <c r="A23" s="175"/>
      <c r="B23" s="175"/>
    </row>
    <row r="24" spans="1:2" ht="51.75" thickBot="1">
      <c r="A24" s="170" t="s">
        <v>227</v>
      </c>
      <c r="B24" s="171" t="s">
        <v>228</v>
      </c>
    </row>
    <row r="25" spans="1:2" ht="13.5" thickBot="1">
      <c r="A25" s="169"/>
      <c r="B25" s="169"/>
    </row>
    <row r="26" spans="1:2" ht="13.5" thickBot="1">
      <c r="A26" s="170" t="s">
        <v>229</v>
      </c>
      <c r="B26" s="171" t="s">
        <v>230</v>
      </c>
    </row>
  </sheetData>
  <mergeCells count="2">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30"/>
  <sheetViews>
    <sheetView topLeftCell="A10" workbookViewId="0">
      <selection activeCell="N18" sqref="N18"/>
    </sheetView>
  </sheetViews>
  <sheetFormatPr defaultColWidth="9.140625" defaultRowHeight="12.75"/>
  <cols>
    <col min="1" max="1" width="24.42578125" style="233" bestFit="1" customWidth="1"/>
    <col min="2" max="4" width="7.140625" style="233" bestFit="1" customWidth="1"/>
    <col min="5" max="5" width="7.42578125" style="233" bestFit="1" customWidth="1"/>
    <col min="6" max="7" width="7.140625" style="233" bestFit="1" customWidth="1"/>
    <col min="8" max="11" width="7.42578125" style="233" bestFit="1" customWidth="1"/>
    <col min="12" max="16384" width="9.140625" style="233"/>
  </cols>
  <sheetData>
    <row r="1" spans="1:12" ht="19.5">
      <c r="A1" s="749" t="s">
        <v>309</v>
      </c>
      <c r="B1" s="750"/>
      <c r="C1" s="750"/>
      <c r="D1" s="750"/>
      <c r="E1" s="750"/>
      <c r="F1" s="750"/>
      <c r="G1" s="750"/>
      <c r="H1" s="750"/>
      <c r="I1" s="750"/>
      <c r="J1" s="750"/>
      <c r="K1" s="751"/>
    </row>
    <row r="2" spans="1:12" s="232" customFormat="1" ht="13.5" thickBot="1">
      <c r="A2" s="752" t="str">
        <f>'Profit &amp; Loss'!A2</f>
        <v>INTERGLOBE AVIATION LTD</v>
      </c>
      <c r="B2" s="753"/>
      <c r="C2" s="753"/>
      <c r="D2" s="753"/>
      <c r="E2" s="753"/>
      <c r="F2" s="753"/>
      <c r="G2" s="753"/>
      <c r="H2" s="753"/>
      <c r="I2" s="753"/>
      <c r="J2" s="753"/>
      <c r="K2" s="754"/>
    </row>
    <row r="3" spans="1:12" s="234" customFormat="1">
      <c r="A3" s="247" t="s">
        <v>198</v>
      </c>
      <c r="B3" s="246">
        <f>'Data Sheet'!B56</f>
        <v>39172</v>
      </c>
      <c r="C3" s="246">
        <f>'Data Sheet'!C56</f>
        <v>39538</v>
      </c>
      <c r="D3" s="246">
        <f>'Data Sheet'!D56</f>
        <v>40268</v>
      </c>
      <c r="E3" s="246">
        <f>'Data Sheet'!E56</f>
        <v>40633</v>
      </c>
      <c r="F3" s="246">
        <f>'Data Sheet'!F56</f>
        <v>40999</v>
      </c>
      <c r="G3" s="246">
        <f>'Data Sheet'!G56</f>
        <v>41364</v>
      </c>
      <c r="H3" s="246">
        <f>'Data Sheet'!H56</f>
        <v>41729</v>
      </c>
      <c r="I3" s="246">
        <f>'Data Sheet'!I56</f>
        <v>42094</v>
      </c>
      <c r="J3" s="246">
        <f>'Data Sheet'!J56</f>
        <v>42460</v>
      </c>
      <c r="K3" s="248">
        <f>'Data Sheet'!K56</f>
        <v>42825</v>
      </c>
    </row>
    <row r="4" spans="1:12">
      <c r="A4" s="249" t="s">
        <v>19</v>
      </c>
      <c r="B4" s="235">
        <f>'Data Sheet'!B57</f>
        <v>30</v>
      </c>
      <c r="C4" s="235">
        <f>'Data Sheet'!C57</f>
        <v>30.7</v>
      </c>
      <c r="D4" s="235">
        <f>'Data Sheet'!D57</f>
        <v>30.7</v>
      </c>
      <c r="E4" s="235">
        <f>'Data Sheet'!E57</f>
        <v>30.7</v>
      </c>
      <c r="F4" s="235">
        <f>'Data Sheet'!F57</f>
        <v>30.7</v>
      </c>
      <c r="G4" s="235">
        <f>'Data Sheet'!G57</f>
        <v>30.7</v>
      </c>
      <c r="H4" s="235">
        <f>'Data Sheet'!H57</f>
        <v>30.7</v>
      </c>
      <c r="I4" s="235">
        <f>'Data Sheet'!I57</f>
        <v>30.7</v>
      </c>
      <c r="J4" s="235">
        <f>'Data Sheet'!J57</f>
        <v>360.36</v>
      </c>
      <c r="K4" s="250">
        <f>'Data Sheet'!K57</f>
        <v>361.47</v>
      </c>
    </row>
    <row r="5" spans="1:12">
      <c r="A5" s="249" t="s">
        <v>20</v>
      </c>
      <c r="B5" s="235">
        <f>'Data Sheet'!B58</f>
        <v>-215.07</v>
      </c>
      <c r="C5" s="235">
        <f>'Data Sheet'!C58</f>
        <v>-448.59</v>
      </c>
      <c r="D5" s="235">
        <f>'Data Sheet'!D58</f>
        <v>98.38</v>
      </c>
      <c r="E5" s="235">
        <f>'Data Sheet'!E58</f>
        <v>68.37</v>
      </c>
      <c r="F5" s="235">
        <f>'Data Sheet'!F58</f>
        <v>348.31</v>
      </c>
      <c r="G5" s="235">
        <f>'Data Sheet'!G58</f>
        <v>498.02</v>
      </c>
      <c r="H5" s="235">
        <f>'Data Sheet'!H58</f>
        <v>373.26</v>
      </c>
      <c r="I5" s="235">
        <f>'Data Sheet'!I58</f>
        <v>386.32</v>
      </c>
      <c r="J5" s="235">
        <f>'Data Sheet'!J58</f>
        <v>2362.83</v>
      </c>
      <c r="K5" s="250">
        <f>'Data Sheet'!K58</f>
        <v>3417.75</v>
      </c>
    </row>
    <row r="6" spans="1:12">
      <c r="A6" s="249" t="s">
        <v>65</v>
      </c>
      <c r="B6" s="235">
        <f>'Data Sheet'!B59</f>
        <v>188.37</v>
      </c>
      <c r="C6" s="235">
        <f>'Data Sheet'!C59</f>
        <v>165</v>
      </c>
      <c r="D6" s="235">
        <f>'Data Sheet'!D59</f>
        <v>968.79</v>
      </c>
      <c r="E6" s="235">
        <f>'Data Sheet'!E59</f>
        <v>931.37</v>
      </c>
      <c r="F6" s="235">
        <f>'Data Sheet'!F59</f>
        <v>1015.57</v>
      </c>
      <c r="G6" s="235">
        <f>'Data Sheet'!G59</f>
        <v>1800.42</v>
      </c>
      <c r="H6" s="235">
        <f>'Data Sheet'!H59</f>
        <v>3346.24</v>
      </c>
      <c r="I6" s="235">
        <f>'Data Sheet'!I59</f>
        <v>3926.16</v>
      </c>
      <c r="J6" s="235">
        <f>'Data Sheet'!J59</f>
        <v>3244.63</v>
      </c>
      <c r="K6" s="250">
        <f>'Data Sheet'!K59</f>
        <v>2596.1799999999998</v>
      </c>
    </row>
    <row r="7" spans="1:12">
      <c r="A7" s="249" t="s">
        <v>66</v>
      </c>
      <c r="B7" s="235">
        <f>'Data Sheet'!B60</f>
        <v>378.29</v>
      </c>
      <c r="C7" s="235">
        <f>'Data Sheet'!C60</f>
        <v>791.66</v>
      </c>
      <c r="D7" s="235">
        <f>'Data Sheet'!D60</f>
        <v>1144.19</v>
      </c>
      <c r="E7" s="235">
        <f>'Data Sheet'!E60</f>
        <v>1889.01</v>
      </c>
      <c r="F7" s="235">
        <f>'Data Sheet'!F60</f>
        <v>2418.98</v>
      </c>
      <c r="G7" s="235">
        <f>'Data Sheet'!G60</f>
        <v>3692.35</v>
      </c>
      <c r="H7" s="235">
        <f>'Data Sheet'!H60</f>
        <v>5536.88</v>
      </c>
      <c r="I7" s="235">
        <f>'Data Sheet'!I60</f>
        <v>6492.3</v>
      </c>
      <c r="J7" s="235">
        <f>'Data Sheet'!J60</f>
        <v>7184.41</v>
      </c>
      <c r="K7" s="250">
        <f>'Data Sheet'!K60</f>
        <v>9457.06</v>
      </c>
    </row>
    <row r="8" spans="1:12" s="232" customFormat="1">
      <c r="A8" s="251" t="s">
        <v>21</v>
      </c>
      <c r="B8" s="236">
        <f>'Data Sheet'!B61</f>
        <v>381.59</v>
      </c>
      <c r="C8" s="236">
        <f>'Data Sheet'!C61</f>
        <v>538.77</v>
      </c>
      <c r="D8" s="236">
        <f>'Data Sheet'!D61</f>
        <v>2242.06</v>
      </c>
      <c r="E8" s="236">
        <f>'Data Sheet'!E61</f>
        <v>2919.45</v>
      </c>
      <c r="F8" s="236">
        <f>'Data Sheet'!F61</f>
        <v>3813.56</v>
      </c>
      <c r="G8" s="236">
        <f>'Data Sheet'!G61</f>
        <v>6021.49</v>
      </c>
      <c r="H8" s="236">
        <f>'Data Sheet'!H61</f>
        <v>9287.08</v>
      </c>
      <c r="I8" s="236">
        <f>'Data Sheet'!I61</f>
        <v>10835.48</v>
      </c>
      <c r="J8" s="236">
        <f>'Data Sheet'!J61</f>
        <v>13152.23</v>
      </c>
      <c r="K8" s="252">
        <f>'Data Sheet'!K61</f>
        <v>15832.46</v>
      </c>
    </row>
    <row r="9" spans="1:12" s="232" customFormat="1">
      <c r="A9" s="251"/>
      <c r="B9" s="236"/>
      <c r="C9" s="236"/>
      <c r="D9" s="236"/>
      <c r="E9" s="236"/>
      <c r="F9" s="236"/>
      <c r="G9" s="236"/>
      <c r="H9" s="236"/>
      <c r="I9" s="236"/>
      <c r="J9" s="236"/>
      <c r="K9" s="252"/>
    </row>
    <row r="10" spans="1:12" ht="15.75">
      <c r="A10" s="249" t="s">
        <v>22</v>
      </c>
      <c r="B10" s="235">
        <f>'Data Sheet'!B62</f>
        <v>40.58</v>
      </c>
      <c r="C10" s="235">
        <f>'Data Sheet'!C62</f>
        <v>46.47</v>
      </c>
      <c r="D10" s="235">
        <f>'Data Sheet'!D62</f>
        <v>836.3</v>
      </c>
      <c r="E10" s="235">
        <f>'Data Sheet'!E62</f>
        <v>831.14</v>
      </c>
      <c r="F10" s="235">
        <f>'Data Sheet'!F62</f>
        <v>886.01</v>
      </c>
      <c r="G10" s="235">
        <f>'Data Sheet'!G62</f>
        <v>1764.46</v>
      </c>
      <c r="H10" s="235">
        <f>'Data Sheet'!H62</f>
        <v>3955.97</v>
      </c>
      <c r="I10" s="235">
        <f>'Data Sheet'!I62</f>
        <v>4876.04</v>
      </c>
      <c r="J10" s="235">
        <f>'Data Sheet'!J62</f>
        <v>4747.41</v>
      </c>
      <c r="K10" s="250">
        <f>'Data Sheet'!K62</f>
        <v>3793.84</v>
      </c>
      <c r="L10" s="489">
        <f>K10-J10</f>
        <v>-953.56999999999971</v>
      </c>
    </row>
    <row r="11" spans="1:12">
      <c r="A11" s="249" t="s">
        <v>23</v>
      </c>
      <c r="B11" s="235">
        <f>'Data Sheet'!B63</f>
        <v>0.2</v>
      </c>
      <c r="C11" s="235">
        <f>'Data Sheet'!C63</f>
        <v>3.22</v>
      </c>
      <c r="D11" s="235">
        <f>'Data Sheet'!D63</f>
        <v>0</v>
      </c>
      <c r="E11" s="235">
        <f>'Data Sheet'!E63</f>
        <v>0</v>
      </c>
      <c r="F11" s="235">
        <f>'Data Sheet'!F63</f>
        <v>0</v>
      </c>
      <c r="G11" s="235">
        <f>'Data Sheet'!G63</f>
        <v>6.85</v>
      </c>
      <c r="H11" s="235">
        <f>'Data Sheet'!H63</f>
        <v>0</v>
      </c>
      <c r="I11" s="235">
        <f>'Data Sheet'!I63</f>
        <v>0.45</v>
      </c>
      <c r="J11" s="235">
        <f>'Data Sheet'!J63</f>
        <v>31.97</v>
      </c>
      <c r="K11" s="250">
        <f>'Data Sheet'!K63</f>
        <v>25.19</v>
      </c>
    </row>
    <row r="12" spans="1:12">
      <c r="A12" s="249" t="s">
        <v>24</v>
      </c>
      <c r="B12" s="235">
        <f>'Data Sheet'!B64</f>
        <v>10.43</v>
      </c>
      <c r="C12" s="235">
        <f>'Data Sheet'!C64</f>
        <v>0</v>
      </c>
      <c r="D12" s="235">
        <f>'Data Sheet'!D64</f>
        <v>657.09</v>
      </c>
      <c r="E12" s="235">
        <f>'Data Sheet'!E64</f>
        <v>802.24</v>
      </c>
      <c r="F12" s="235">
        <f>'Data Sheet'!F64</f>
        <v>523.41999999999996</v>
      </c>
      <c r="G12" s="235">
        <f>'Data Sheet'!G64</f>
        <v>1138.3800000000001</v>
      </c>
      <c r="H12" s="235">
        <f>'Data Sheet'!H64</f>
        <v>1271.53</v>
      </c>
      <c r="I12" s="235">
        <f>'Data Sheet'!I64</f>
        <v>516.79999999999995</v>
      </c>
      <c r="J12" s="235">
        <f>'Data Sheet'!J64</f>
        <v>986.16</v>
      </c>
      <c r="K12" s="250">
        <f>'Data Sheet'!K64</f>
        <v>3713.44</v>
      </c>
    </row>
    <row r="13" spans="1:12">
      <c r="A13" s="249" t="s">
        <v>67</v>
      </c>
      <c r="B13" s="235">
        <f>'Data Sheet'!B65</f>
        <v>330.38</v>
      </c>
      <c r="C13" s="235">
        <f>'Data Sheet'!C65</f>
        <v>489.08</v>
      </c>
      <c r="D13" s="235">
        <f>'Data Sheet'!D65</f>
        <v>748.67</v>
      </c>
      <c r="E13" s="235">
        <f>'Data Sheet'!E65</f>
        <v>1286.07</v>
      </c>
      <c r="F13" s="235">
        <f>'Data Sheet'!F65</f>
        <v>2404.13</v>
      </c>
      <c r="G13" s="235">
        <f>'Data Sheet'!G65</f>
        <v>3111.8</v>
      </c>
      <c r="H13" s="235">
        <f>'Data Sheet'!H65</f>
        <v>4059.58</v>
      </c>
      <c r="I13" s="235">
        <f>'Data Sheet'!I65</f>
        <v>5442.19</v>
      </c>
      <c r="J13" s="235">
        <f>'Data Sheet'!J65</f>
        <v>7386.69</v>
      </c>
      <c r="K13" s="250">
        <f>'Data Sheet'!K65</f>
        <v>8299.99</v>
      </c>
    </row>
    <row r="14" spans="1:12" s="232" customFormat="1">
      <c r="A14" s="251" t="s">
        <v>21</v>
      </c>
      <c r="B14" s="236">
        <f>'Data Sheet'!B66</f>
        <v>381.59</v>
      </c>
      <c r="C14" s="236">
        <f>'Data Sheet'!C66</f>
        <v>538.77</v>
      </c>
      <c r="D14" s="236">
        <f>'Data Sheet'!D66</f>
        <v>2242.06</v>
      </c>
      <c r="E14" s="236">
        <f>'Data Sheet'!E66</f>
        <v>2919.45</v>
      </c>
      <c r="F14" s="236">
        <f>'Data Sheet'!F66</f>
        <v>3813.56</v>
      </c>
      <c r="G14" s="236">
        <f>'Data Sheet'!G66</f>
        <v>6021.49</v>
      </c>
      <c r="H14" s="236">
        <f>'Data Sheet'!H66</f>
        <v>9287.08</v>
      </c>
      <c r="I14" s="236">
        <f>'Data Sheet'!I66</f>
        <v>10835.48</v>
      </c>
      <c r="J14" s="236">
        <f>'Data Sheet'!J66</f>
        <v>13152.23</v>
      </c>
      <c r="K14" s="252">
        <f>'Data Sheet'!K66</f>
        <v>15832.46</v>
      </c>
    </row>
    <row r="15" spans="1:12">
      <c r="A15" s="249"/>
      <c r="B15" s="237"/>
      <c r="C15" s="237"/>
      <c r="D15" s="237"/>
      <c r="E15" s="237"/>
      <c r="F15" s="237"/>
      <c r="G15" s="237"/>
      <c r="H15" s="237"/>
      <c r="I15" s="237"/>
      <c r="J15" s="237"/>
      <c r="K15" s="253"/>
    </row>
    <row r="16" spans="1:12" ht="15.75">
      <c r="A16" s="254" t="s">
        <v>25</v>
      </c>
      <c r="B16" s="237">
        <f>B13-B7</f>
        <v>-47.910000000000025</v>
      </c>
      <c r="C16" s="237">
        <f t="shared" ref="C16:K16" si="0">C13-C7</f>
        <v>-302.58</v>
      </c>
      <c r="D16" s="237">
        <f t="shared" si="0"/>
        <v>-395.5200000000001</v>
      </c>
      <c r="E16" s="237">
        <f t="shared" si="0"/>
        <v>-602.94000000000005</v>
      </c>
      <c r="F16" s="237">
        <f t="shared" si="0"/>
        <v>-14.849999999999909</v>
      </c>
      <c r="G16" s="237">
        <f t="shared" si="0"/>
        <v>-580.54999999999973</v>
      </c>
      <c r="H16" s="237">
        <f t="shared" si="0"/>
        <v>-1477.3000000000002</v>
      </c>
      <c r="I16" s="237">
        <f t="shared" si="0"/>
        <v>-1050.1100000000006</v>
      </c>
      <c r="J16" s="237">
        <f t="shared" si="0"/>
        <v>202.27999999999975</v>
      </c>
      <c r="K16" s="253">
        <f t="shared" si="0"/>
        <v>-1157.0699999999997</v>
      </c>
      <c r="L16" s="489">
        <f>K16-J16</f>
        <v>-1359.3499999999995</v>
      </c>
    </row>
    <row r="17" spans="1:12">
      <c r="A17" s="249" t="s">
        <v>39</v>
      </c>
      <c r="B17" s="237">
        <f>'Data Sheet'!B67</f>
        <v>3.11</v>
      </c>
      <c r="C17" s="237">
        <f>'Data Sheet'!C67</f>
        <v>5.78</v>
      </c>
      <c r="D17" s="237">
        <f>'Data Sheet'!D67</f>
        <v>18.05</v>
      </c>
      <c r="E17" s="237">
        <f>'Data Sheet'!E67</f>
        <v>16.66</v>
      </c>
      <c r="F17" s="237">
        <f>'Data Sheet'!F67</f>
        <v>38.92</v>
      </c>
      <c r="G17" s="237">
        <f>'Data Sheet'!G67</f>
        <v>68.52</v>
      </c>
      <c r="H17" s="237">
        <f>'Data Sheet'!H67</f>
        <v>89.12</v>
      </c>
      <c r="I17" s="237">
        <f>'Data Sheet'!I67</f>
        <v>104.55</v>
      </c>
      <c r="J17" s="237">
        <f>'Data Sheet'!J67</f>
        <v>157.11000000000001</v>
      </c>
      <c r="K17" s="253">
        <f>'Data Sheet'!K67</f>
        <v>158.69999999999999</v>
      </c>
    </row>
    <row r="18" spans="1:12" ht="13.5" thickBot="1">
      <c r="A18" s="249" t="s">
        <v>40</v>
      </c>
      <c r="B18" s="237">
        <f>'Data Sheet'!B68</f>
        <v>7.67</v>
      </c>
      <c r="C18" s="237">
        <f>'Data Sheet'!C68</f>
        <v>26.56</v>
      </c>
      <c r="D18" s="237">
        <f>'Data Sheet'!D68</f>
        <v>34.03</v>
      </c>
      <c r="E18" s="237">
        <f>'Data Sheet'!E68</f>
        <v>44.67</v>
      </c>
      <c r="F18" s="237">
        <f>'Data Sheet'!F68</f>
        <v>47.01</v>
      </c>
      <c r="G18" s="237">
        <f>'Data Sheet'!G68</f>
        <v>52.28</v>
      </c>
      <c r="H18" s="237">
        <f>'Data Sheet'!H68</f>
        <v>67.290000000000006</v>
      </c>
      <c r="I18" s="237">
        <f>'Data Sheet'!I68</f>
        <v>151.75</v>
      </c>
      <c r="J18" s="237">
        <f>'Data Sheet'!J68</f>
        <v>87.11</v>
      </c>
      <c r="K18" s="253">
        <f>'Data Sheet'!K68</f>
        <v>163.15</v>
      </c>
    </row>
    <row r="19" spans="1:12" ht="15" thickBot="1">
      <c r="A19" s="255" t="s">
        <v>248</v>
      </c>
      <c r="B19" s="256"/>
      <c r="C19" s="256"/>
      <c r="D19" s="256"/>
      <c r="E19" s="256"/>
      <c r="F19" s="383">
        <f>'Data Sheet'!F69</f>
        <v>1308.83</v>
      </c>
      <c r="G19" s="383">
        <f>'Data Sheet'!G69</f>
        <v>1340.59</v>
      </c>
      <c r="H19" s="383">
        <f>'Data Sheet'!H69</f>
        <v>1101.53</v>
      </c>
      <c r="I19" s="383">
        <f>'Data Sheet'!I69</f>
        <v>1999.38</v>
      </c>
      <c r="J19" s="383">
        <f>'Data Sheet'!J69</f>
        <v>3718.67</v>
      </c>
      <c r="K19" s="383">
        <v>12922</v>
      </c>
    </row>
    <row r="20" spans="1:12">
      <c r="A20" s="242" t="s">
        <v>287</v>
      </c>
      <c r="B20" s="238"/>
      <c r="C20" s="238"/>
      <c r="D20" s="238"/>
      <c r="E20" s="238"/>
      <c r="F20" s="238"/>
      <c r="G20" s="238"/>
      <c r="H20" s="238"/>
      <c r="I20" s="238"/>
      <c r="J20" s="238"/>
      <c r="K20" s="238"/>
    </row>
    <row r="21" spans="1:12" ht="13.5" thickBot="1">
      <c r="B21" s="238"/>
      <c r="C21" s="238"/>
      <c r="D21" s="238"/>
      <c r="E21" s="238"/>
      <c r="F21" s="238"/>
      <c r="G21" s="238"/>
      <c r="H21" s="238"/>
      <c r="I21" s="238"/>
      <c r="J21" s="238"/>
      <c r="K21" s="238"/>
    </row>
    <row r="22" spans="1:12">
      <c r="A22" s="257" t="s">
        <v>41</v>
      </c>
      <c r="B22" s="258">
        <f>IF('Profit &amp; Loss'!B4&gt;0,'Balance Sheet'!B17/('Profit &amp; Loss'!B4/365),0)</f>
        <v>5.2485204364712406</v>
      </c>
      <c r="C22" s="258">
        <f>IF('Profit &amp; Loss'!C4&gt;0,'Balance Sheet'!C17/('Profit &amp; Loss'!C4/365),0)</f>
        <v>1.862327092326298</v>
      </c>
      <c r="D22" s="258">
        <f>IF('Profit &amp; Loss'!D4&gt;0,'Balance Sheet'!D17/('Profit &amp; Loss'!D4/365),0)</f>
        <v>2.5286127700078298</v>
      </c>
      <c r="E22" s="258">
        <f>IF('Profit &amp; Loss'!E4&gt;0,'Balance Sheet'!E17/('Profit &amp; Loss'!E4/365),0)</f>
        <v>1.5862858752758633</v>
      </c>
      <c r="F22" s="258">
        <f>IF('Profit &amp; Loss'!F4&gt;0,'Balance Sheet'!F17/('Profit &amp; Loss'!F4/365),0)</f>
        <v>2.5528603724216756</v>
      </c>
      <c r="G22" s="258">
        <f>IF('Profit &amp; Loss'!G4&gt;0,'Balance Sheet'!G17/('Profit &amp; Loss'!G4/365),0)</f>
        <v>2.7175467343541508</v>
      </c>
      <c r="H22" s="258">
        <f>IF('Profit &amp; Loss'!H4&gt;0,'Balance Sheet'!H17/('Profit &amp; Loss'!H4/365),0)</f>
        <v>2.9261517481095805</v>
      </c>
      <c r="I22" s="258">
        <f>IF('Profit &amp; Loss'!I4&gt;0,'Balance Sheet'!I17/('Profit &amp; Loss'!I4/365),0)</f>
        <v>2.7403819224521628</v>
      </c>
      <c r="J22" s="258">
        <f>IF('Profit &amp; Loss'!J4&gt;0,'Balance Sheet'!J17/('Profit &amp; Loss'!J4/365),0)</f>
        <v>3.5530030836603181</v>
      </c>
      <c r="K22" s="259">
        <f>IF('Profit &amp; Loss'!K4&gt;0,'Balance Sheet'!K17/('Profit &amp; Loss'!K4/365),0)</f>
        <v>3.1175425849681115</v>
      </c>
    </row>
    <row r="23" spans="1:12">
      <c r="A23" s="260" t="s">
        <v>42</v>
      </c>
      <c r="B23" s="239">
        <f>IF('Balance Sheet'!B18&gt;0,'Profit &amp; Loss'!B4/'Balance Sheet'!B18,0)</f>
        <v>28.198174706649283</v>
      </c>
      <c r="C23" s="239">
        <f>IF('Balance Sheet'!C18&gt;0,'Profit &amp; Loss'!C4/'Balance Sheet'!C18,0)</f>
        <v>42.651731927710841</v>
      </c>
      <c r="D23" s="239">
        <f>IF('Balance Sheet'!D18&gt;0,'Profit &amp; Loss'!D4/'Balance Sheet'!D18,0)</f>
        <v>76.564208051719064</v>
      </c>
      <c r="E23" s="239">
        <f>IF('Balance Sheet'!E18&gt;0,'Profit &amp; Loss'!E4/'Balance Sheet'!E18,0)</f>
        <v>85.816431609581372</v>
      </c>
      <c r="F23" s="239">
        <f>IF('Balance Sheet'!F18&gt;0,'Profit &amp; Loss'!F4/'Balance Sheet'!F18,0)</f>
        <v>118.37183577962136</v>
      </c>
      <c r="G23" s="239">
        <f>IF('Balance Sheet'!G18&gt;0,'Profit &amp; Loss'!G4/'Balance Sheet'!G18,0)</f>
        <v>176.03442999234889</v>
      </c>
      <c r="H23" s="239">
        <f>IF('Balance Sheet'!H18&gt;0,'Profit &amp; Loss'!H4/'Balance Sheet'!H18,0)</f>
        <v>165.20404220537969</v>
      </c>
      <c r="I23" s="239">
        <f>IF('Balance Sheet'!I18&gt;0,'Profit &amp; Loss'!I4/'Balance Sheet'!I18,0)</f>
        <v>91.765008237232294</v>
      </c>
      <c r="J23" s="239">
        <f>IF('Balance Sheet'!J18&gt;0,'Profit &amp; Loss'!J4/'Balance Sheet'!J18,0)</f>
        <v>185.28194237171394</v>
      </c>
      <c r="K23" s="261">
        <f>IF('Balance Sheet'!K18&gt;0,'Profit &amp; Loss'!K4/'Balance Sheet'!K18,0)</f>
        <v>113.88599448360404</v>
      </c>
    </row>
    <row r="24" spans="1:12">
      <c r="A24" s="260" t="s">
        <v>101</v>
      </c>
      <c r="B24" s="240">
        <f>'Profit &amp; Loss'!B4/'Balance Sheet'!B10</f>
        <v>5.3297190734351902</v>
      </c>
      <c r="C24" s="240">
        <f>'Profit &amp; Loss'!C4/'Balance Sheet'!C10</f>
        <v>24.37766300839251</v>
      </c>
      <c r="D24" s="240">
        <f>'Profit &amp; Loss'!D4/'Balance Sheet'!D10</f>
        <v>3.1154848738490974</v>
      </c>
      <c r="E24" s="240">
        <f>'Profit &amp; Loss'!E4/'Balance Sheet'!E10</f>
        <v>4.6122434246937942</v>
      </c>
      <c r="F24" s="240">
        <f>'Profit &amp; Loss'!F4/'Balance Sheet'!F10</f>
        <v>6.2805837405898348</v>
      </c>
      <c r="G24" s="240">
        <f>'Profit &amp; Loss'!G4/'Balance Sheet'!G10</f>
        <v>5.2158054022193756</v>
      </c>
      <c r="H24" s="240">
        <f>'Profit &amp; Loss'!H4/'Balance Sheet'!H10</f>
        <v>2.8100769217157868</v>
      </c>
      <c r="I24" s="240">
        <f>'Profit &amp; Loss'!I4/'Balance Sheet'!I10</f>
        <v>2.8558707475738512</v>
      </c>
      <c r="J24" s="240">
        <f>'Profit &amp; Loss'!J4/'Balance Sheet'!J10</f>
        <v>3.3997295367368734</v>
      </c>
      <c r="K24" s="262">
        <f>'Profit &amp; Loss'!K4/'Balance Sheet'!K10</f>
        <v>4.8975444404613793</v>
      </c>
    </row>
    <row r="25" spans="1:12">
      <c r="A25" s="444" t="s">
        <v>102</v>
      </c>
      <c r="B25" s="445">
        <f>B6/(B4+B5)</f>
        <v>-1.0178310909385639</v>
      </c>
      <c r="C25" s="445">
        <f t="shared" ref="C25:K25" si="1">C6/(C4+C5)</f>
        <v>-0.39484074756514875</v>
      </c>
      <c r="D25" s="445">
        <f t="shared" si="1"/>
        <v>7.5053455221568024</v>
      </c>
      <c r="E25" s="445">
        <f t="shared" si="1"/>
        <v>9.4011305137781367</v>
      </c>
      <c r="F25" s="445">
        <f t="shared" si="1"/>
        <v>2.6795335215429672</v>
      </c>
      <c r="G25" s="445">
        <f t="shared" si="1"/>
        <v>3.4052428506581935</v>
      </c>
      <c r="H25" s="445">
        <f t="shared" si="1"/>
        <v>8.283592434894544</v>
      </c>
      <c r="I25" s="445">
        <f t="shared" si="1"/>
        <v>9.4148002493885183</v>
      </c>
      <c r="J25" s="445">
        <f t="shared" si="1"/>
        <v>1.191481314194015</v>
      </c>
      <c r="K25" s="446">
        <f t="shared" si="1"/>
        <v>0.68696185985467895</v>
      </c>
    </row>
    <row r="26" spans="1:12" s="232" customFormat="1">
      <c r="A26" s="260" t="s">
        <v>55</v>
      </c>
      <c r="B26" s="241" t="str">
        <f>IF(SUM('Balance Sheet'!B4:B5)&gt;0,'Profit &amp; Loss'!B23/SUM('Balance Sheet'!B4:B5),"")</f>
        <v/>
      </c>
      <c r="C26" s="241" t="str">
        <f>IF(SUM('Balance Sheet'!C4:C5)&gt;0,'Profit &amp; Loss'!C23/SUM('Balance Sheet'!C4:C5),"")</f>
        <v/>
      </c>
      <c r="D26" s="241">
        <f>IF(SUM('Balance Sheet'!D4:D5)&gt;0,'Profit &amp; Loss'!D23/SUM('Balance Sheet'!D4:D5),"")</f>
        <v>4.266268980477224</v>
      </c>
      <c r="E26" s="241">
        <f>IF(SUM('Balance Sheet'!E4:E5)&gt;0,'Profit &amp; Loss'!E23/SUM('Balance Sheet'!E4:E5),"")</f>
        <v>6.5644493792268088</v>
      </c>
      <c r="F26" s="241">
        <f>IF(SUM('Balance Sheet'!F4:F5)&gt;0,'Profit &amp; Loss'!F23/SUM('Balance Sheet'!F4:F5),"")</f>
        <v>0.33735257644917205</v>
      </c>
      <c r="G26" s="241">
        <f>IF(SUM('Balance Sheet'!G4:G5)&gt;0,'Profit &amp; Loss'!G23/SUM('Balance Sheet'!G4:G5),"")</f>
        <v>1.4891625056740823</v>
      </c>
      <c r="H26" s="241">
        <f>IF(SUM('Balance Sheet'!H4:H5)&gt;0,'Profit &amp; Loss'!H23/SUM('Balance Sheet'!H4:H5),"")</f>
        <v>1.174398455292603</v>
      </c>
      <c r="I26" s="241">
        <f>IF(SUM('Balance Sheet'!I4:I5)&gt;0,'Profit &amp; Loss'!I23/SUM('Balance Sheet'!I4:I5),"")</f>
        <v>3.1273560021102087</v>
      </c>
      <c r="J26" s="241">
        <f>IF(SUM('Balance Sheet'!J4:J5)&gt;0,'Profit &amp; Loss'!J23/SUM('Balance Sheet'!J4:J5),"")</f>
        <v>0.72935417653560719</v>
      </c>
      <c r="K26" s="263">
        <f>IF(SUM('Balance Sheet'!K4:K5)&gt;0,'Profit &amp; Loss'!K23/SUM('Balance Sheet'!K4:K5),"")</f>
        <v>0.43903239292764118</v>
      </c>
      <c r="L26" s="233"/>
    </row>
    <row r="27" spans="1:12" s="232" customFormat="1" ht="13.5" thickBot="1">
      <c r="A27" s="264" t="s">
        <v>100</v>
      </c>
      <c r="B27" s="265" t="str">
        <f>IF(('Balance Sheet'!B10+'Balance Sheet'!B16)&gt;0,('Profit &amp; Loss'!B12-'Profit &amp; Loss'!B16-'Profit &amp; Loss'!B22)/('Balance Sheet'!B10+'Balance Sheet'!B16),"")</f>
        <v/>
      </c>
      <c r="C27" s="265" t="str">
        <f>IF(('Balance Sheet'!C10+'Balance Sheet'!C16)&gt;0,('Profit &amp; Loss'!C12-'Profit &amp; Loss'!C16-'Profit &amp; Loss'!C22)/('Balance Sheet'!C10+'Balance Sheet'!C16),"")</f>
        <v/>
      </c>
      <c r="D27" s="265">
        <f>IF(('Balance Sheet'!D10+'Balance Sheet'!D16)&gt;0,('Profit &amp; Loss'!D12-'Profit &amp; Loss'!D16-'Profit &amp; Loss'!D22)/('Balance Sheet'!D10+'Balance Sheet'!D16),"")</f>
        <v>1.2230364354099554</v>
      </c>
      <c r="E27" s="265">
        <f>IF(('Balance Sheet'!E10+'Balance Sheet'!E16)&gt;0,('Profit &amp; Loss'!E12-'Profit &amp; Loss'!E16-'Profit &amp; Loss'!E22)/('Balance Sheet'!E10+'Balance Sheet'!E16),"")</f>
        <v>2.5617440841367229</v>
      </c>
      <c r="F27" s="265">
        <f>IF(('Balance Sheet'!F10+'Balance Sheet'!F16)&gt;0,('Profit &amp; Loss'!F12-'Profit &amp; Loss'!F16-'Profit &amp; Loss'!F22)/('Balance Sheet'!F10+'Balance Sheet'!F16),"")</f>
        <v>3.8959548188622857E-2</v>
      </c>
      <c r="G27" s="265">
        <f>IF(('Balance Sheet'!G10+'Balance Sheet'!G16)&gt;0,('Profit &amp; Loss'!G12-'Profit &amp; Loss'!G16-'Profit &amp; Loss'!G22)/('Balance Sheet'!G10+'Balance Sheet'!G16),"")</f>
        <v>0.51076517640699093</v>
      </c>
      <c r="H27" s="265">
        <f>IF(('Balance Sheet'!H10+'Balance Sheet'!H16)&gt;0,('Profit &amp; Loss'!H12-'Profit &amp; Loss'!H16-'Profit &amp; Loss'!H22)/('Balance Sheet'!H10+'Balance Sheet'!H16),"")</f>
        <v>0.11355283276918669</v>
      </c>
      <c r="I27" s="265">
        <f>IF(('Balance Sheet'!I10+'Balance Sheet'!I16)&gt;0,('Profit &amp; Loss'!I12-'Profit &amp; Loss'!I16-'Profit &amp; Loss'!I22)/('Balance Sheet'!I10+'Balance Sheet'!I16),"")</f>
        <v>0.27685817565925136</v>
      </c>
      <c r="J27" s="265">
        <f>IF(('Balance Sheet'!J10+'Balance Sheet'!J16)&gt;0,('Profit &amp; Loss'!J12-'Profit &amp; Loss'!J16-'Profit &amp; Loss'!J22)/('Balance Sheet'!J10+'Balance Sheet'!J16),"")</f>
        <v>0.3679644583802219</v>
      </c>
      <c r="K27" s="266">
        <f>IF(('Balance Sheet'!K10+'Balance Sheet'!K16)&gt;0,('Profit &amp; Loss'!K12-'Profit &amp; Loss'!K16-'Profit &amp; Loss'!K22)/('Balance Sheet'!K10+'Balance Sheet'!K16),"")</f>
        <v>0.48403159926728534</v>
      </c>
      <c r="L27" s="233"/>
    </row>
    <row r="28" spans="1:12" s="636" customFormat="1">
      <c r="A28" s="634" t="s">
        <v>544</v>
      </c>
      <c r="B28" s="635">
        <f>('Profit &amp; Loss'!B12-'Profit &amp; Loss'!B16-'Profit &amp; Loss'!B22)/('Balance Sheet'!B10+'Balance Sheet'!B16-'Balance Sheet'!B19-B12)</f>
        <v>-11.714527027027009</v>
      </c>
      <c r="C28" s="635">
        <f>('Profit &amp; Loss'!C12-'Profit &amp; Loss'!C16-'Profit &amp; Loss'!C22)/('Balance Sheet'!C10+'Balance Sheet'!C16-'Balance Sheet'!C19-C12)</f>
        <v>-4.3592987388231617</v>
      </c>
      <c r="D28" s="635">
        <f>('Profit &amp; Loss'!D12-'Profit &amp; Loss'!D16-'Profit &amp; Loss'!D22)/('Balance Sheet'!D10+'Balance Sheet'!D16-'Balance Sheet'!D19-D12)</f>
        <v>-2.4922102538024116</v>
      </c>
      <c r="E28" s="635">
        <f>('Profit &amp; Loss'!E12-'Profit &amp; Loss'!E16-'Profit &amp; Loss'!E22)/('Balance Sheet'!E10+'Balance Sheet'!E16-'Balance Sheet'!E19-E12)</f>
        <v>-1.0183785102083478</v>
      </c>
      <c r="F28" s="635">
        <f>('Profit &amp; Loss'!F12-'Profit &amp; Loss'!F16-'Profit &amp; Loss'!F22)/('Balance Sheet'!F10+'Balance Sheet'!F16-'Balance Sheet'!F19-F12)</f>
        <v>-3.5314070482473751E-2</v>
      </c>
      <c r="G28" s="635">
        <f>('Profit &amp; Loss'!G12-'Profit &amp; Loss'!G16-'Profit &amp; Loss'!G22)/('Balance Sheet'!G10+'Balance Sheet'!G16-'Balance Sheet'!G19-G12)</f>
        <v>-0.4669281732120526</v>
      </c>
      <c r="H28" s="635">
        <f>('Profit &amp; Loss'!H12-'Profit &amp; Loss'!H16-'Profit &amp; Loss'!H22)/('Balance Sheet'!H10+'Balance Sheet'!H16-'Balance Sheet'!H19-H12)</f>
        <v>2.6650885332828405</v>
      </c>
      <c r="I28" s="635">
        <f>('Profit &amp; Loss'!I12-'Profit &amp; Loss'!I16-'Profit &amp; Loss'!I22)/('Balance Sheet'!I10+'Balance Sheet'!I16-'Balance Sheet'!I19-I12)</f>
        <v>0.80873449131513642</v>
      </c>
      <c r="J28" s="635">
        <f>('Profit &amp; Loss'!J12-'Profit &amp; Loss'!J16-'Profit &amp; Loss'!J22)/('Balance Sheet'!J10+'Balance Sheet'!J16-'Balance Sheet'!J19-J12)</f>
        <v>7.4381687494895194</v>
      </c>
      <c r="K28" s="635">
        <f>('Profit &amp; Loss'!K12-'Profit &amp; Loss'!K16-'Profit &amp; Loss'!K22)/('Balance Sheet'!K10+'Balance Sheet'!K16-'Balance Sheet'!K19-K12)</f>
        <v>-9.1171518437108676E-2</v>
      </c>
    </row>
    <row r="29" spans="1:12" s="603" customFormat="1" ht="13.5" thickBot="1">
      <c r="A29" s="603" t="s">
        <v>536</v>
      </c>
      <c r="B29" s="604">
        <f>B10/'Profit &amp; Loss'!B4</f>
        <v>0.18762714999075272</v>
      </c>
      <c r="C29" s="604">
        <f>C10/'Profit &amp; Loss'!C4</f>
        <v>4.1021159397261725E-2</v>
      </c>
      <c r="D29" s="604">
        <f>D10/'Profit &amp; Loss'!D4</f>
        <v>0.32097732471559942</v>
      </c>
      <c r="E29" s="604">
        <f>E10/'Profit &amp; Loss'!E4</f>
        <v>0.2168142285478763</v>
      </c>
      <c r="F29" s="604">
        <f>F10/'Profit &amp; Loss'!F4</f>
        <v>0.15922086884014477</v>
      </c>
      <c r="G29" s="604">
        <f>G10/'Profit &amp; Loss'!G4</f>
        <v>0.19172494425779196</v>
      </c>
      <c r="H29" s="604">
        <f>H10/'Profit &amp; Loss'!H4</f>
        <v>0.35586214465240207</v>
      </c>
      <c r="I29" s="604">
        <f>I10/'Profit &amp; Loss'!I4</f>
        <v>0.35015590283612463</v>
      </c>
      <c r="J29" s="604">
        <f>J10/'Profit &amp; Loss'!J4</f>
        <v>0.29414104539616392</v>
      </c>
      <c r="K29" s="604">
        <f>K10/'Profit &amp; Loss'!K4</f>
        <v>0.20418395629826969</v>
      </c>
      <c r="L29" s="605">
        <f>AVERAGE(B29:K29)</f>
        <v>0.23217287249323873</v>
      </c>
    </row>
    <row r="30" spans="1:12" ht="15" thickBot="1">
      <c r="C30" s="383"/>
      <c r="D30" s="383"/>
      <c r="E30" s="383"/>
      <c r="F30" s="383"/>
      <c r="G30" s="383"/>
    </row>
  </sheetData>
  <mergeCells count="2">
    <mergeCell ref="A1:K1"/>
    <mergeCell ref="A2:K2"/>
  </mergeCells>
  <printOptions gridLines="1"/>
  <pageMargins left="0.7" right="0.7" top="0.75" bottom="0.75" header="0.3" footer="0.3"/>
  <pageSetup paperSize="9" orientation="landscape" r:id="rId1"/>
  <extLst>
    <ext xmlns:x14="http://schemas.microsoft.com/office/spreadsheetml/2009/9/main" uri="{05C60535-1F16-4fd2-B633-F4F36F0B64E0}">
      <x14:sparklineGroups xmlns:xm="http://schemas.microsoft.com/office/excel/2006/main">
        <x14:sparklineGroup manualMax="0" manualMin="0" type="column" displayEmptyCellsAs="gap" xr2:uid="{B062919B-1B9E-4F85-9F98-EEBE56C8C994}">
          <x14:colorSeries rgb="FFC00000"/>
          <x14:colorNegative rgb="FFD00000"/>
          <x14:colorAxis rgb="FF000000"/>
          <x14:colorMarkers rgb="FFD00000"/>
          <x14:colorFirst rgb="FFD00000"/>
          <x14:colorLast rgb="FFD00000"/>
          <x14:colorHigh rgb="FFD00000"/>
          <x14:colorLow rgb="FFD00000"/>
          <x14:sparklines>
            <x14:sparkline>
              <xm:f>'Balance Sheet'!G22:K22</xm:f>
              <xm:sqref>L22</xm:sqref>
            </x14:sparkline>
            <x14:sparkline>
              <xm:f>'Balance Sheet'!G23:K23</xm:f>
              <xm:sqref>L23</xm:sqref>
            </x14:sparkline>
            <x14:sparkline>
              <xm:f>'Balance Sheet'!G24:K24</xm:f>
              <xm:sqref>L24</xm:sqref>
            </x14:sparkline>
          </x14:sparklines>
        </x14:sparklineGroup>
        <x14:sparklineGroup manualMax="0" manualMin="0" type="column" displayEmptyCellsAs="gap" xr2:uid="{0A035670-A727-405C-899E-AD0948A76599}">
          <x14:colorSeries rgb="FFC00000"/>
          <x14:colorNegative rgb="FFD00000"/>
          <x14:colorAxis rgb="FF000000"/>
          <x14:colorMarkers rgb="FFD00000"/>
          <x14:colorFirst rgb="FFD00000"/>
          <x14:colorLast rgb="FFD00000"/>
          <x14:colorHigh rgb="FFD00000"/>
          <x14:colorLow rgb="FFD00000"/>
          <x14:sparklines>
            <x14:sparkline>
              <xm:f>'Balance Sheet'!G26:K26</xm:f>
              <xm:sqref>L26</xm:sqref>
            </x14:sparkline>
            <x14:sparkline>
              <xm:f>'Balance Sheet'!G27:K27</xm:f>
              <xm:sqref>L27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22A4-AFBB-4235-B814-C909989EB6B4}">
  <dimension ref="A1:N19"/>
  <sheetViews>
    <sheetView workbookViewId="0">
      <selection activeCell="B4" sqref="B4"/>
    </sheetView>
  </sheetViews>
  <sheetFormatPr defaultRowHeight="15"/>
  <cols>
    <col min="1" max="1" width="29.5703125" customWidth="1"/>
    <col min="2" max="2" width="24.7109375" customWidth="1"/>
    <col min="3" max="4" width="12.85546875" bestFit="1" customWidth="1"/>
    <col min="5" max="5" width="10.140625" bestFit="1" customWidth="1"/>
    <col min="6" max="6" width="23" customWidth="1"/>
    <col min="8" max="8" width="18.28515625" customWidth="1"/>
    <col min="13" max="14" width="10.7109375" bestFit="1" customWidth="1"/>
  </cols>
  <sheetData>
    <row r="1" spans="1:14">
      <c r="B1" s="139" t="s">
        <v>63</v>
      </c>
      <c r="C1" s="139" t="s">
        <v>467</v>
      </c>
      <c r="D1" s="139" t="s">
        <v>60</v>
      </c>
      <c r="E1" s="528"/>
      <c r="F1" s="528"/>
      <c r="G1" s="528"/>
      <c r="H1" s="528"/>
      <c r="I1" s="528"/>
      <c r="J1" s="528"/>
      <c r="K1" s="528"/>
    </row>
    <row r="2" spans="1:14" ht="18.75">
      <c r="A2" s="612" t="s">
        <v>463</v>
      </c>
      <c r="B2" s="527">
        <f>('Profit &amp; Loss'!K4/'Profit &amp; Loss'!H4)^(1/3)-1</f>
        <v>0.18675772211685304</v>
      </c>
      <c r="C2" s="527">
        <f>('Profit &amp; Loss'!K4/'Profit &amp; Loss'!F4)^(1/5)-1</f>
        <v>0.27269328445743923</v>
      </c>
      <c r="D2" s="527">
        <f>('Profit &amp; Loss'!K4/'Profit &amp; Loss'!B4)^(1/9)-1</f>
        <v>0.64018731356988368</v>
      </c>
    </row>
    <row r="3" spans="1:14" ht="18.75">
      <c r="A3" s="614" t="s">
        <v>468</v>
      </c>
      <c r="B3" s="527">
        <f>('Profit &amp; Loss'!K12/'Profit &amp; Loss'!H12)^(1/3)-1</f>
        <v>0.6342417797013935</v>
      </c>
      <c r="C3" s="527">
        <f>('Profit &amp; Loss'!K12/'Profit &amp; Loss'!F12)^(1/5)-1</f>
        <v>1.2739670164787165</v>
      </c>
      <c r="D3" s="527">
        <f>('Profit &amp; Loss'!K12/'Profit &amp; Loss'!B12)^(1/9)-1</f>
        <v>0.29521550341874137</v>
      </c>
    </row>
    <row r="4" spans="1:14" ht="18.75">
      <c r="A4" s="612" t="s">
        <v>464</v>
      </c>
      <c r="B4" s="527">
        <f>('Profit &amp; Loss'!K59/'Profit &amp; Loss'!H59)^(1/3)-1</f>
        <v>0.76267253273265023</v>
      </c>
      <c r="C4" s="527">
        <f>('Profit &amp; Loss'!K59/'Profit &amp; Loss'!F59)^(1/5)-1</f>
        <v>-3.0250635075598651</v>
      </c>
      <c r="D4" s="527">
        <f>('Profit &amp; Loss'!K59/'Profit &amp; Loss'!B59)^(1/9)-1</f>
        <v>0.19321220812923356</v>
      </c>
    </row>
    <row r="5" spans="1:14" ht="18.75">
      <c r="A5" s="613" t="s">
        <v>465</v>
      </c>
      <c r="B5" s="527">
        <f>('Cash Flow'!K4/'Cash Flow'!H4)^(1/3)-1</f>
        <v>0.33348121557713961</v>
      </c>
      <c r="C5" s="527">
        <f>('Cash Flow'!K4/'Cash Flow'!F4)^(1/5)-1</f>
        <v>0.33374759026451928</v>
      </c>
      <c r="D5" s="527" t="e">
        <f>('Cash Flow'!K4/'Cash Flow'!B4)^(1/9)-1</f>
        <v>#DIV/0!</v>
      </c>
    </row>
    <row r="6" spans="1:14" ht="18.75">
      <c r="A6" s="504" t="s">
        <v>466</v>
      </c>
      <c r="B6" s="527"/>
      <c r="C6" s="527"/>
      <c r="D6" s="527">
        <f>(N8/M8)^(1/7)-1</f>
        <v>8.3201665358808574E-2</v>
      </c>
    </row>
    <row r="7" spans="1:14" ht="37.5">
      <c r="A7" s="504" t="s">
        <v>498</v>
      </c>
      <c r="B7" s="527">
        <f>('Profit &amp; Loss'!K73/'Profit &amp; Loss'!H73)^(1/3)-1</f>
        <v>-1</v>
      </c>
      <c r="C7" s="527" t="e">
        <f>('Profit &amp; Loss'!K73/'Profit &amp; Loss'!F73)^(1/5)-1</f>
        <v>#DIV/0!</v>
      </c>
      <c r="D7" s="527" t="e">
        <f>('Profit &amp; Loss'!K73/'Profit &amp; Loss'!B73)^(1/9)-1</f>
        <v>#DIV/0!</v>
      </c>
    </row>
    <row r="8" spans="1:14" ht="37.5">
      <c r="A8" s="597" t="s">
        <v>532</v>
      </c>
      <c r="B8" s="596">
        <f>('Balance Sheet'!K18/'Balance Sheet'!H18)^(1/3)-1</f>
        <v>0.34342115615840196</v>
      </c>
      <c r="C8" s="596">
        <f>('Balance Sheet'!K18/'Balance Sheet'!F18)^(1/5)-1</f>
        <v>0.28256494428661449</v>
      </c>
      <c r="D8" s="596">
        <f>('Balance Sheet'!K18/'Balance Sheet'!B18)^(1/9)-1</f>
        <v>0.40453450424484694</v>
      </c>
      <c r="M8" s="535">
        <v>115888</v>
      </c>
      <c r="N8" s="535">
        <v>202770</v>
      </c>
    </row>
    <row r="9" spans="1:14" ht="21">
      <c r="A9" s="534" t="s">
        <v>509</v>
      </c>
      <c r="B9" s="533"/>
    </row>
    <row r="11" spans="1:14">
      <c r="A11" s="757"/>
      <c r="B11" s="757"/>
      <c r="C11" s="539"/>
      <c r="D11" s="755"/>
      <c r="E11" s="539"/>
      <c r="F11" s="755"/>
      <c r="G11" s="755"/>
      <c r="H11" s="755"/>
      <c r="I11" s="755"/>
      <c r="J11" s="755"/>
      <c r="K11" s="539"/>
      <c r="L11" s="539"/>
      <c r="M11" s="539"/>
    </row>
    <row r="12" spans="1:14" ht="15.75" thickBot="1">
      <c r="A12" s="758"/>
      <c r="B12" s="758"/>
      <c r="C12" s="540"/>
      <c r="D12" s="756"/>
      <c r="E12" s="540"/>
      <c r="F12" s="756"/>
      <c r="G12" s="756"/>
      <c r="H12" s="756"/>
      <c r="I12" s="756"/>
      <c r="J12" s="756"/>
      <c r="K12" s="540"/>
      <c r="L12" s="540"/>
      <c r="M12" s="540"/>
    </row>
    <row r="13" spans="1:14" ht="20.25" thickTop="1" thickBot="1">
      <c r="A13" s="590" t="s">
        <v>527</v>
      </c>
      <c r="B13" s="591" t="s">
        <v>528</v>
      </c>
      <c r="C13" s="543"/>
      <c r="D13" s="544"/>
      <c r="E13" s="543"/>
      <c r="F13" s="544"/>
      <c r="G13" s="544"/>
      <c r="H13" s="544"/>
      <c r="I13" s="544"/>
      <c r="J13" s="544"/>
      <c r="K13" s="544"/>
      <c r="L13" s="544"/>
      <c r="M13" s="544"/>
    </row>
    <row r="14" spans="1:14" s="608" customFormat="1" ht="38.25" thickBot="1">
      <c r="A14" s="611" t="s">
        <v>537</v>
      </c>
      <c r="B14" s="610" t="s">
        <v>538</v>
      </c>
      <c r="C14" s="606"/>
      <c r="D14" s="609" t="s">
        <v>539</v>
      </c>
      <c r="E14" s="606"/>
      <c r="F14" s="609" t="s">
        <v>540</v>
      </c>
      <c r="G14" s="607"/>
      <c r="H14" s="609" t="s">
        <v>541</v>
      </c>
      <c r="I14" s="607"/>
      <c r="J14" s="607"/>
      <c r="K14" s="607"/>
      <c r="L14" s="607"/>
      <c r="M14" s="607"/>
    </row>
    <row r="15" spans="1:14" ht="15.75" thickBot="1">
      <c r="A15" s="541"/>
      <c r="B15" s="542"/>
      <c r="C15" s="544"/>
      <c r="D15" s="544"/>
      <c r="E15" s="543"/>
      <c r="F15" s="544"/>
      <c r="G15" s="544"/>
      <c r="H15" s="544"/>
      <c r="I15" s="544"/>
      <c r="J15" s="544"/>
      <c r="K15" s="544"/>
      <c r="L15" s="544"/>
      <c r="M15" s="544"/>
    </row>
    <row r="16" spans="1:14" ht="15.75" thickBot="1">
      <c r="A16" s="549"/>
      <c r="B16" s="550"/>
      <c r="C16" s="551"/>
      <c r="D16" s="551"/>
      <c r="E16" s="552"/>
      <c r="F16" s="551"/>
      <c r="G16" s="551"/>
      <c r="H16" s="551"/>
      <c r="I16" s="551"/>
      <c r="J16" s="551"/>
      <c r="K16" s="551"/>
      <c r="L16" s="551"/>
      <c r="M16" s="551"/>
    </row>
    <row r="17" spans="1:13" ht="15.75" thickBot="1">
      <c r="A17" s="553"/>
      <c r="B17" s="542"/>
      <c r="C17" s="554"/>
      <c r="D17" s="554"/>
      <c r="E17" s="555"/>
      <c r="F17" s="554"/>
      <c r="G17" s="554"/>
      <c r="H17" s="554"/>
      <c r="I17" s="554"/>
      <c r="J17" s="554"/>
      <c r="K17" s="554"/>
      <c r="L17" s="554"/>
      <c r="M17" s="554"/>
    </row>
    <row r="18" spans="1:13" ht="15.75" thickBot="1">
      <c r="A18" s="545"/>
      <c r="B18" s="546"/>
      <c r="C18" s="548"/>
      <c r="D18" s="548"/>
      <c r="E18" s="547"/>
      <c r="F18" s="548"/>
      <c r="G18" s="548"/>
      <c r="H18" s="548"/>
      <c r="I18" s="548"/>
      <c r="J18" s="548"/>
      <c r="K18" s="548"/>
      <c r="L18" s="548"/>
      <c r="M18" s="548"/>
    </row>
    <row r="19" spans="1:13">
      <c r="A19" s="541"/>
      <c r="B19" s="542"/>
      <c r="C19" s="544"/>
      <c r="D19" s="544"/>
      <c r="E19" s="543"/>
      <c r="F19" s="544"/>
      <c r="G19" s="544"/>
      <c r="H19" s="544"/>
      <c r="I19" s="544"/>
      <c r="J19" s="544"/>
      <c r="K19" s="544"/>
      <c r="L19" s="544"/>
      <c r="M19" s="544"/>
    </row>
  </sheetData>
  <mergeCells count="8">
    <mergeCell ref="I11:I12"/>
    <mergeCell ref="J11:J12"/>
    <mergeCell ref="A11:A12"/>
    <mergeCell ref="B11:B12"/>
    <mergeCell ref="D11:D12"/>
    <mergeCell ref="F11:F12"/>
    <mergeCell ref="G11:G12"/>
    <mergeCell ref="H11:H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6"/>
  <sheetViews>
    <sheetView topLeftCell="A53" zoomScaleSheetLayoutView="100" workbookViewId="0">
      <selection activeCell="M75" sqref="M75"/>
    </sheetView>
  </sheetViews>
  <sheetFormatPr defaultColWidth="9.42578125" defaultRowHeight="12.75"/>
  <cols>
    <col min="1" max="1" width="25.5703125" style="180" bestFit="1" customWidth="1"/>
    <col min="2" max="2" width="9.42578125" style="180" bestFit="1" customWidth="1"/>
    <col min="3" max="7" width="9.28515625" style="180" bestFit="1" customWidth="1"/>
    <col min="8" max="8" width="9.28515625" style="567" bestFit="1" customWidth="1"/>
    <col min="9" max="12" width="9.28515625" style="180" bestFit="1" customWidth="1"/>
    <col min="13" max="13" width="13" style="180" bestFit="1" customWidth="1"/>
    <col min="14" max="14" width="9.42578125" style="180"/>
    <col min="15" max="15" width="10.5703125" style="180" customWidth="1"/>
    <col min="16" max="16384" width="9.42578125" style="180"/>
  </cols>
  <sheetData>
    <row r="1" spans="1:15" ht="19.5">
      <c r="A1" s="749" t="s">
        <v>274</v>
      </c>
      <c r="B1" s="750"/>
      <c r="C1" s="750"/>
      <c r="D1" s="750"/>
      <c r="E1" s="750"/>
      <c r="F1" s="750"/>
      <c r="G1" s="750"/>
      <c r="H1" s="750"/>
      <c r="I1" s="750"/>
      <c r="J1" s="750"/>
      <c r="K1" s="750"/>
      <c r="L1" s="751"/>
    </row>
    <row r="2" spans="1:15" s="181" customFormat="1" ht="13.5" thickBot="1">
      <c r="A2" s="761" t="str">
        <f>'Data Sheet'!B1</f>
        <v>INTERGLOBE AVIATION LTD</v>
      </c>
      <c r="B2" s="762"/>
      <c r="C2" s="762"/>
      <c r="D2" s="762"/>
      <c r="E2" s="762"/>
      <c r="F2" s="762"/>
      <c r="G2" s="762"/>
      <c r="H2" s="762"/>
      <c r="I2" s="762"/>
      <c r="J2" s="762"/>
      <c r="K2" s="762"/>
      <c r="L2" s="763"/>
    </row>
    <row r="3" spans="1:15" s="185" customFormat="1">
      <c r="A3" s="182" t="s">
        <v>198</v>
      </c>
      <c r="B3" s="183">
        <f>'Data Sheet'!B16</f>
        <v>39172</v>
      </c>
      <c r="C3" s="183">
        <f>'Data Sheet'!C16</f>
        <v>39538</v>
      </c>
      <c r="D3" s="183">
        <f>'Data Sheet'!D16</f>
        <v>40268</v>
      </c>
      <c r="E3" s="183">
        <f>'Data Sheet'!E16</f>
        <v>40633</v>
      </c>
      <c r="F3" s="183">
        <f>'Data Sheet'!F16</f>
        <v>40999</v>
      </c>
      <c r="G3" s="183">
        <f>'Data Sheet'!G16</f>
        <v>41364</v>
      </c>
      <c r="H3" s="571">
        <f>'Data Sheet'!H16</f>
        <v>41729</v>
      </c>
      <c r="I3" s="183">
        <f>'Data Sheet'!I16</f>
        <v>42094</v>
      </c>
      <c r="J3" s="183">
        <f>'Data Sheet'!J16</f>
        <v>42460</v>
      </c>
      <c r="K3" s="183">
        <f>'Data Sheet'!K16</f>
        <v>42825</v>
      </c>
      <c r="L3" s="184" t="s">
        <v>3</v>
      </c>
    </row>
    <row r="4" spans="1:15" s="181" customFormat="1">
      <c r="A4" s="186" t="s">
        <v>4</v>
      </c>
      <c r="B4" s="187">
        <f>'Data Sheet'!B17</f>
        <v>216.28</v>
      </c>
      <c r="C4" s="187">
        <f>'Data Sheet'!C17</f>
        <v>1132.83</v>
      </c>
      <c r="D4" s="187">
        <f>'Data Sheet'!D17</f>
        <v>2605.48</v>
      </c>
      <c r="E4" s="187">
        <f>'Data Sheet'!E17</f>
        <v>3833.42</v>
      </c>
      <c r="F4" s="187">
        <f>'Data Sheet'!F17</f>
        <v>5564.66</v>
      </c>
      <c r="G4" s="187">
        <f>'Data Sheet'!G17</f>
        <v>9203.08</v>
      </c>
      <c r="H4" s="572">
        <f>'Data Sheet'!H17</f>
        <v>11116.58</v>
      </c>
      <c r="I4" s="187">
        <f>'Data Sheet'!I17</f>
        <v>13925.34</v>
      </c>
      <c r="J4" s="187">
        <f>'Data Sheet'!J17</f>
        <v>16139.91</v>
      </c>
      <c r="K4" s="187">
        <f>'Data Sheet'!K17</f>
        <v>18580.5</v>
      </c>
      <c r="L4" s="188">
        <f>SUM(Quarters!H4:K4)</f>
        <v>23020.880000000001</v>
      </c>
    </row>
    <row r="5" spans="1:15" s="181" customFormat="1">
      <c r="A5" s="189" t="s">
        <v>96</v>
      </c>
      <c r="B5" s="190"/>
      <c r="C5" s="191">
        <f>C4/B4-1</f>
        <v>4.2377936008877377</v>
      </c>
      <c r="D5" s="191">
        <f t="shared" ref="D5:K5" si="0">D4/C4-1</f>
        <v>1.2999744003954699</v>
      </c>
      <c r="E5" s="191">
        <f t="shared" si="0"/>
        <v>0.47129127838248608</v>
      </c>
      <c r="F5" s="191">
        <f t="shared" si="0"/>
        <v>0.45161761560173419</v>
      </c>
      <c r="G5" s="191">
        <f t="shared" si="0"/>
        <v>0.65384408032116981</v>
      </c>
      <c r="H5" s="573">
        <f t="shared" si="0"/>
        <v>0.20791952259460955</v>
      </c>
      <c r="I5" s="191">
        <f t="shared" si="0"/>
        <v>0.25266403876012222</v>
      </c>
      <c r="J5" s="191">
        <f t="shared" si="0"/>
        <v>0.15903166457695117</v>
      </c>
      <c r="K5" s="191">
        <f t="shared" si="0"/>
        <v>0.1512145978509174</v>
      </c>
      <c r="L5" s="192"/>
    </row>
    <row r="6" spans="1:15">
      <c r="A6" s="193" t="s">
        <v>5</v>
      </c>
      <c r="B6" s="194">
        <f>SUM('Data Sheet'!B18,'Data Sheet'!B20:B24, -1*'Data Sheet'!B19)</f>
        <v>0</v>
      </c>
      <c r="C6" s="194">
        <f>SUM('Data Sheet'!C18,'Data Sheet'!C20:C24, -1*'Data Sheet'!C19)</f>
        <v>0</v>
      </c>
      <c r="D6" s="194">
        <f>SUM('Data Sheet'!D18,'Data Sheet'!D20:D24, -1*'Data Sheet'!D19)</f>
        <v>2037.46</v>
      </c>
      <c r="E6" s="194">
        <f>SUM('Data Sheet'!E18,'Data Sheet'!E20:E24, -1*'Data Sheet'!E19)</f>
        <v>3321.25</v>
      </c>
      <c r="F6" s="194">
        <f>SUM('Data Sheet'!F18,'Data Sheet'!F20:F24, -1*'Data Sheet'!F19)</f>
        <v>5528.1699999999992</v>
      </c>
      <c r="G6" s="194">
        <f>SUM('Data Sheet'!G18,'Data Sheet'!G20:G24, -1*'Data Sheet'!G19)</f>
        <v>8306.8799999999992</v>
      </c>
      <c r="H6" s="569">
        <f>SUM('Data Sheet'!H18,'Data Sheet'!H20:H24, -1*'Data Sheet'!H19)</f>
        <v>10608.25</v>
      </c>
      <c r="I6" s="194">
        <f>SUM('Data Sheet'!I18,'Data Sheet'!I20:I24, -1*'Data Sheet'!I19)</f>
        <v>12021.54</v>
      </c>
      <c r="J6" s="194">
        <f>SUM('Data Sheet'!J18,'Data Sheet'!J20:J24, -1*'Data Sheet'!J19)</f>
        <v>12975.789999999999</v>
      </c>
      <c r="K6" s="194">
        <f>SUM('Data Sheet'!K18,'Data Sheet'!K20:K24, -1*'Data Sheet'!K19)</f>
        <v>16361.82</v>
      </c>
      <c r="L6" s="195">
        <f>SUM(Quarters!H6:K6)</f>
        <v>20064.38</v>
      </c>
      <c r="M6" s="759" t="s">
        <v>108</v>
      </c>
      <c r="N6" s="759"/>
      <c r="O6" s="759"/>
    </row>
    <row r="7" spans="1:15">
      <c r="A7" s="196" t="s">
        <v>106</v>
      </c>
      <c r="B7" s="197">
        <f>'Data Sheet'!B18/'Data Sheet'!B17</f>
        <v>0</v>
      </c>
      <c r="C7" s="197">
        <f>'Data Sheet'!C18/'Data Sheet'!C17</f>
        <v>0</v>
      </c>
      <c r="D7" s="197">
        <f>'Data Sheet'!D18/'Data Sheet'!D17</f>
        <v>4.8628275787954622E-3</v>
      </c>
      <c r="E7" s="197">
        <f>'Data Sheet'!E18/'Data Sheet'!E17</f>
        <v>4.9798874112411372E-3</v>
      </c>
      <c r="F7" s="197">
        <f>'Data Sheet'!F18/'Data Sheet'!F17</f>
        <v>6.2285925824758382E-3</v>
      </c>
      <c r="G7" s="197">
        <f>'Data Sheet'!G18/'Data Sheet'!G17</f>
        <v>6.0838328038004671E-3</v>
      </c>
      <c r="H7" s="573">
        <f>'Data Sheet'!H18/'Data Sheet'!H17</f>
        <v>5.2534142694965541E-3</v>
      </c>
      <c r="I7" s="197">
        <f>'Data Sheet'!I18/'Data Sheet'!I17</f>
        <v>5.8677202854652017E-3</v>
      </c>
      <c r="J7" s="197">
        <f>'Data Sheet'!J18/'Data Sheet'!J17</f>
        <v>7.1115638191291027E-3</v>
      </c>
      <c r="K7" s="197">
        <f>'Data Sheet'!K18/'Data Sheet'!K17</f>
        <v>6.6645138720701812E-3</v>
      </c>
      <c r="L7" s="198"/>
      <c r="M7" s="759"/>
      <c r="N7" s="759"/>
      <c r="O7" s="759"/>
    </row>
    <row r="8" spans="1:15">
      <c r="A8" s="196" t="s">
        <v>76</v>
      </c>
      <c r="B8" s="197">
        <f>'Data Sheet'!B20/'Data Sheet'!B17</f>
        <v>0</v>
      </c>
      <c r="C8" s="197">
        <f>'Data Sheet'!C20/'Data Sheet'!C17</f>
        <v>0</v>
      </c>
      <c r="D8" s="197">
        <f>'Data Sheet'!D20/'Data Sheet'!D17</f>
        <v>0</v>
      </c>
      <c r="E8" s="197">
        <f>'Data Sheet'!E20/'Data Sheet'!E17</f>
        <v>0</v>
      </c>
      <c r="F8" s="197">
        <f>'Data Sheet'!F20/'Data Sheet'!F17</f>
        <v>0.51688333159618027</v>
      </c>
      <c r="G8" s="197">
        <f>'Data Sheet'!G20/'Data Sheet'!G17</f>
        <v>0.46903319323530818</v>
      </c>
      <c r="H8" s="573">
        <f>'Data Sheet'!H20/'Data Sheet'!H17</f>
        <v>0.49642066175028648</v>
      </c>
      <c r="I8" s="197">
        <f>'Data Sheet'!I20/'Data Sheet'!I17</f>
        <v>0.41325885041227001</v>
      </c>
      <c r="J8" s="197">
        <f>'Data Sheet'!J20/'Data Sheet'!J17</f>
        <v>0.29611813200941017</v>
      </c>
      <c r="K8" s="197">
        <f>'Data Sheet'!K20/'Data Sheet'!K17</f>
        <v>0.34129921153897907</v>
      </c>
      <c r="L8" s="198"/>
      <c r="M8" s="759"/>
      <c r="N8" s="759"/>
      <c r="O8" s="759"/>
    </row>
    <row r="9" spans="1:15">
      <c r="A9" s="196" t="s">
        <v>77</v>
      </c>
      <c r="B9" s="197">
        <f>'Data Sheet'!B21/'Data Sheet'!B17</f>
        <v>0</v>
      </c>
      <c r="C9" s="197">
        <f>'Data Sheet'!C21/'Data Sheet'!C17</f>
        <v>0</v>
      </c>
      <c r="D9" s="197">
        <f>'Data Sheet'!D21/'Data Sheet'!D17</f>
        <v>0</v>
      </c>
      <c r="E9" s="197">
        <f>'Data Sheet'!E21/'Data Sheet'!E17</f>
        <v>0</v>
      </c>
      <c r="F9" s="197">
        <f>'Data Sheet'!F21/'Data Sheet'!F17</f>
        <v>3.078534897010779E-2</v>
      </c>
      <c r="G9" s="197">
        <f>'Data Sheet'!G21/'Data Sheet'!G17</f>
        <v>2.8843604532395675E-2</v>
      </c>
      <c r="H9" s="573">
        <f>'Data Sheet'!H21/'Data Sheet'!H17</f>
        <v>2.8526759129156629E-2</v>
      </c>
      <c r="I9" s="197">
        <f>'Data Sheet'!I21/'Data Sheet'!I17</f>
        <v>0.14924375275576754</v>
      </c>
      <c r="J9" s="197">
        <f>'Data Sheet'!J21/'Data Sheet'!J17</f>
        <v>0.19009957304594635</v>
      </c>
      <c r="K9" s="197">
        <f>'Data Sheet'!K21/'Data Sheet'!K17</f>
        <v>0.21566642447727458</v>
      </c>
      <c r="L9" s="198"/>
      <c r="M9" s="759"/>
      <c r="N9" s="759"/>
      <c r="O9" s="759"/>
    </row>
    <row r="10" spans="1:15">
      <c r="A10" s="196" t="s">
        <v>78</v>
      </c>
      <c r="B10" s="197">
        <f>'Data Sheet'!B22/'Data Sheet'!B17</f>
        <v>0</v>
      </c>
      <c r="C10" s="197">
        <f>'Data Sheet'!C22/'Data Sheet'!C17</f>
        <v>0</v>
      </c>
      <c r="D10" s="197">
        <f>'Data Sheet'!D22/'Data Sheet'!D17</f>
        <v>0</v>
      </c>
      <c r="E10" s="197">
        <f>'Data Sheet'!E22/'Data Sheet'!E17</f>
        <v>0</v>
      </c>
      <c r="F10" s="197">
        <f>'Data Sheet'!F22/'Data Sheet'!F17</f>
        <v>9.3772126239518666E-2</v>
      </c>
      <c r="G10" s="197">
        <f>'Data Sheet'!G22/'Data Sheet'!G17</f>
        <v>7.5760506265293792E-2</v>
      </c>
      <c r="H10" s="573">
        <f>'Data Sheet'!H22/'Data Sheet'!H17</f>
        <v>8.3563470060036449E-2</v>
      </c>
      <c r="I10" s="197">
        <f>'Data Sheet'!I22/'Data Sheet'!I17</f>
        <v>8.53616500566593E-2</v>
      </c>
      <c r="J10" s="197">
        <f>'Data Sheet'!J22/'Data Sheet'!J17</f>
        <v>0.11078004772021653</v>
      </c>
      <c r="K10" s="197">
        <f>'Data Sheet'!K22/'Data Sheet'!K17</f>
        <v>0.11023330911439412</v>
      </c>
      <c r="L10" s="198"/>
      <c r="M10" s="759"/>
      <c r="N10" s="759"/>
      <c r="O10" s="759"/>
    </row>
    <row r="11" spans="1:15">
      <c r="A11" s="196" t="s">
        <v>105</v>
      </c>
      <c r="B11" s="197">
        <f>'Data Sheet'!B23/'Data Sheet'!B17</f>
        <v>0</v>
      </c>
      <c r="C11" s="197">
        <f>'Data Sheet'!C23/'Data Sheet'!C17</f>
        <v>0</v>
      </c>
      <c r="D11" s="197">
        <f>'Data Sheet'!D23/'Data Sheet'!D17</f>
        <v>0</v>
      </c>
      <c r="E11" s="197">
        <f>'Data Sheet'!E23/'Data Sheet'!E17</f>
        <v>0</v>
      </c>
      <c r="F11" s="197">
        <f>'Data Sheet'!F23/'Data Sheet'!F17</f>
        <v>0.3405527022315829</v>
      </c>
      <c r="G11" s="197">
        <f>'Data Sheet'!G23/'Data Sheet'!G17</f>
        <v>0.22587003481443169</v>
      </c>
      <c r="H11" s="573">
        <f>'Data Sheet'!H23/'Data Sheet'!H17</f>
        <v>0.23007345784404917</v>
      </c>
      <c r="I11" s="197">
        <f>'Data Sheet'!I23/'Data Sheet'!I17</f>
        <v>0.18339372683180447</v>
      </c>
      <c r="J11" s="197">
        <f>'Data Sheet'!J23/'Data Sheet'!J17</f>
        <v>0.19239140738703003</v>
      </c>
      <c r="K11" s="197">
        <f>'Data Sheet'!K23/'Data Sheet'!K17</f>
        <v>0.20471031457711042</v>
      </c>
      <c r="L11" s="198"/>
      <c r="M11" s="759"/>
      <c r="N11" s="759"/>
      <c r="O11" s="759"/>
    </row>
    <row r="12" spans="1:15" s="181" customFormat="1">
      <c r="A12" s="186" t="s">
        <v>6</v>
      </c>
      <c r="B12" s="187">
        <f>B4-B6</f>
        <v>216.28</v>
      </c>
      <c r="C12" s="187">
        <f t="shared" ref="C12:L12" si="1">C4-C6</f>
        <v>1132.83</v>
      </c>
      <c r="D12" s="187">
        <f t="shared" si="1"/>
        <v>568.02</v>
      </c>
      <c r="E12" s="187">
        <f t="shared" si="1"/>
        <v>512.17000000000007</v>
      </c>
      <c r="F12" s="187">
        <f t="shared" si="1"/>
        <v>36.490000000000691</v>
      </c>
      <c r="G12" s="187">
        <f t="shared" si="1"/>
        <v>896.20000000000073</v>
      </c>
      <c r="H12" s="572">
        <f t="shared" si="1"/>
        <v>508.32999999999993</v>
      </c>
      <c r="I12" s="187">
        <f t="shared" si="1"/>
        <v>1903.7999999999993</v>
      </c>
      <c r="J12" s="187">
        <f t="shared" si="1"/>
        <v>3164.1200000000008</v>
      </c>
      <c r="K12" s="187">
        <f t="shared" si="1"/>
        <v>2218.6800000000003</v>
      </c>
      <c r="L12" s="188">
        <f t="shared" si="1"/>
        <v>2956.5</v>
      </c>
    </row>
    <row r="13" spans="1:15" s="181" customFormat="1">
      <c r="A13" s="189" t="s">
        <v>94</v>
      </c>
      <c r="B13" s="191">
        <f t="shared" ref="B13:L13" si="2">B12/B4</f>
        <v>1</v>
      </c>
      <c r="C13" s="191">
        <f t="shared" si="2"/>
        <v>1</v>
      </c>
      <c r="D13" s="191">
        <f t="shared" si="2"/>
        <v>0.21800973333128637</v>
      </c>
      <c r="E13" s="191">
        <f t="shared" si="2"/>
        <v>0.1336065445476885</v>
      </c>
      <c r="F13" s="191">
        <f t="shared" si="2"/>
        <v>6.5574536449667532E-3</v>
      </c>
      <c r="G13" s="191">
        <f t="shared" si="2"/>
        <v>9.7380442199785366E-2</v>
      </c>
      <c r="H13" s="573">
        <f t="shared" si="2"/>
        <v>4.5727193075568197E-2</v>
      </c>
      <c r="I13" s="191">
        <f t="shared" si="2"/>
        <v>0.13671479475546014</v>
      </c>
      <c r="J13" s="191">
        <f t="shared" si="2"/>
        <v>0.19604322452851353</v>
      </c>
      <c r="K13" s="191">
        <f t="shared" si="2"/>
        <v>0.11940905788326472</v>
      </c>
      <c r="L13" s="192">
        <f t="shared" si="2"/>
        <v>0.12842688898078614</v>
      </c>
    </row>
    <row r="14" spans="1:15" s="567" customFormat="1">
      <c r="A14" s="568" t="s">
        <v>7</v>
      </c>
      <c r="B14" s="569">
        <f>'Data Sheet'!B25</f>
        <v>3.37</v>
      </c>
      <c r="C14" s="569">
        <f>'Data Sheet'!C25</f>
        <v>15.37</v>
      </c>
      <c r="D14" s="569">
        <f>'Data Sheet'!D25</f>
        <v>62.19</v>
      </c>
      <c r="E14" s="569">
        <f>'Data Sheet'!E25</f>
        <v>110.74</v>
      </c>
      <c r="F14" s="569">
        <f>'Data Sheet'!F25</f>
        <v>153.41</v>
      </c>
      <c r="G14" s="569">
        <f>'Data Sheet'!G25</f>
        <v>255.23</v>
      </c>
      <c r="H14" s="569">
        <f>'Data Sheet'!H25</f>
        <v>315.52999999999997</v>
      </c>
      <c r="I14" s="569">
        <f>'Data Sheet'!I25</f>
        <v>394.58</v>
      </c>
      <c r="J14" s="569">
        <f>'Data Sheet'!J25</f>
        <v>515.12</v>
      </c>
      <c r="K14" s="569">
        <f>'Data Sheet'!K25</f>
        <v>789.07</v>
      </c>
      <c r="L14" s="570">
        <f>SUM(Quarters!H8:K8)</f>
        <v>946.86000000000013</v>
      </c>
    </row>
    <row r="15" spans="1:15" s="589" customFormat="1">
      <c r="A15" s="586" t="s">
        <v>203</v>
      </c>
      <c r="B15" s="587">
        <f>B14/B4</f>
        <v>1.5581653412243388E-2</v>
      </c>
      <c r="C15" s="587">
        <f t="shared" ref="C15:L15" si="3">C14/C4</f>
        <v>1.3567790401031047E-2</v>
      </c>
      <c r="D15" s="587">
        <f t="shared" si="3"/>
        <v>2.3868922425042603E-2</v>
      </c>
      <c r="E15" s="587">
        <f t="shared" si="3"/>
        <v>2.8888042531212337E-2</v>
      </c>
      <c r="F15" s="587">
        <f t="shared" si="3"/>
        <v>2.7568620544651427E-2</v>
      </c>
      <c r="G15" s="587">
        <f t="shared" si="3"/>
        <v>2.7733106742525326E-2</v>
      </c>
      <c r="H15" s="587">
        <f t="shared" si="3"/>
        <v>2.8383729528326157E-2</v>
      </c>
      <c r="I15" s="587">
        <f t="shared" si="3"/>
        <v>2.833539432430375E-2</v>
      </c>
      <c r="J15" s="587">
        <f t="shared" si="3"/>
        <v>3.1915915268424667E-2</v>
      </c>
      <c r="K15" s="587">
        <f t="shared" si="3"/>
        <v>4.2467640806221577E-2</v>
      </c>
      <c r="L15" s="588">
        <f t="shared" si="3"/>
        <v>4.1130486758108292E-2</v>
      </c>
    </row>
    <row r="16" spans="1:15">
      <c r="A16" s="193" t="s">
        <v>8</v>
      </c>
      <c r="B16" s="194">
        <f>'Data Sheet'!B26</f>
        <v>7.65</v>
      </c>
      <c r="C16" s="194">
        <f>'Data Sheet'!C26</f>
        <v>14.82</v>
      </c>
      <c r="D16" s="194">
        <f>'Data Sheet'!D26</f>
        <v>46</v>
      </c>
      <c r="E16" s="194">
        <f>'Data Sheet'!E26</f>
        <v>62.87</v>
      </c>
      <c r="F16" s="194">
        <f>'Data Sheet'!F26</f>
        <v>66.52</v>
      </c>
      <c r="G16" s="194">
        <f>'Data Sheet'!G26</f>
        <v>85.62</v>
      </c>
      <c r="H16" s="569">
        <f>'Data Sheet'!H26</f>
        <v>226.01</v>
      </c>
      <c r="I16" s="194">
        <f>'Data Sheet'!I26</f>
        <v>302.20999999999998</v>
      </c>
      <c r="J16" s="194">
        <f>'Data Sheet'!J26</f>
        <v>505.47</v>
      </c>
      <c r="K16" s="194">
        <f>'Data Sheet'!K26</f>
        <v>457.25</v>
      </c>
      <c r="L16" s="195">
        <f>SUM(Quarters!H9:K9)</f>
        <v>436.89</v>
      </c>
    </row>
    <row r="17" spans="1:13">
      <c r="A17" s="193" t="s">
        <v>9</v>
      </c>
      <c r="B17" s="194">
        <f>'Data Sheet'!B27</f>
        <v>30.58</v>
      </c>
      <c r="C17" s="194">
        <f>'Data Sheet'!C27</f>
        <v>36.28</v>
      </c>
      <c r="D17" s="194">
        <f>'Data Sheet'!D27</f>
        <v>50.59</v>
      </c>
      <c r="E17" s="194">
        <f>'Data Sheet'!E27</f>
        <v>44.99</v>
      </c>
      <c r="F17" s="194">
        <f>'Data Sheet'!F27</f>
        <v>59.49</v>
      </c>
      <c r="G17" s="194">
        <f>'Data Sheet'!G27</f>
        <v>72.58</v>
      </c>
      <c r="H17" s="569">
        <f>'Data Sheet'!H27</f>
        <v>122.58</v>
      </c>
      <c r="I17" s="194">
        <f>'Data Sheet'!I27</f>
        <v>149.65</v>
      </c>
      <c r="J17" s="194">
        <f>'Data Sheet'!J27</f>
        <v>350.26</v>
      </c>
      <c r="K17" s="194">
        <f>'Data Sheet'!K27</f>
        <v>406.15</v>
      </c>
      <c r="L17" s="195">
        <f>SUM(Quarters!H10:K10)</f>
        <v>339.82</v>
      </c>
    </row>
    <row r="18" spans="1:13">
      <c r="A18" s="189" t="s">
        <v>103</v>
      </c>
      <c r="B18" s="199">
        <f>(B19+B17)/B17</f>
        <v>6.9326357096141269</v>
      </c>
      <c r="C18" s="199">
        <f t="shared" ref="C18:L18" si="4">(C19+C17)/C17</f>
        <v>31.239801543550161</v>
      </c>
      <c r="D18" s="199">
        <f t="shared" si="4"/>
        <v>11.547934374382288</v>
      </c>
      <c r="E18" s="199">
        <f t="shared" si="4"/>
        <v>12.44809957768393</v>
      </c>
      <c r="F18" s="199">
        <f t="shared" si="4"/>
        <v>2.0739620104219312</v>
      </c>
      <c r="G18" s="199">
        <f t="shared" si="4"/>
        <v>14.684623863323242</v>
      </c>
      <c r="H18" s="574">
        <f t="shared" si="4"/>
        <v>4.8772230380159884</v>
      </c>
      <c r="I18" s="199">
        <f t="shared" si="4"/>
        <v>13.338924156364845</v>
      </c>
      <c r="J18" s="199">
        <f t="shared" si="4"/>
        <v>9.0611831211100338</v>
      </c>
      <c r="K18" s="199">
        <f t="shared" si="4"/>
        <v>6.2796996183675997</v>
      </c>
      <c r="L18" s="200">
        <f t="shared" si="4"/>
        <v>10.200900476722971</v>
      </c>
    </row>
    <row r="19" spans="1:13">
      <c r="A19" s="193" t="s">
        <v>107</v>
      </c>
      <c r="B19" s="194">
        <f>B12+B14-B16-B17</f>
        <v>181.42000000000002</v>
      </c>
      <c r="C19" s="194">
        <f t="shared" ref="C19:L19" si="5">C12+C14-C16-C17</f>
        <v>1097.0999999999999</v>
      </c>
      <c r="D19" s="194">
        <f t="shared" si="5"/>
        <v>533.62</v>
      </c>
      <c r="E19" s="194">
        <f t="shared" si="5"/>
        <v>515.05000000000007</v>
      </c>
      <c r="F19" s="194">
        <f t="shared" si="5"/>
        <v>63.89000000000069</v>
      </c>
      <c r="G19" s="194">
        <f t="shared" si="5"/>
        <v>993.23000000000081</v>
      </c>
      <c r="H19" s="569">
        <f t="shared" si="5"/>
        <v>475.26999999999992</v>
      </c>
      <c r="I19" s="194">
        <f t="shared" si="5"/>
        <v>1846.5199999999991</v>
      </c>
      <c r="J19" s="194">
        <f t="shared" si="5"/>
        <v>2823.51</v>
      </c>
      <c r="K19" s="194">
        <f t="shared" si="5"/>
        <v>2144.3500000000004</v>
      </c>
      <c r="L19" s="195">
        <f t="shared" si="5"/>
        <v>3126.65</v>
      </c>
      <c r="M19" s="181"/>
    </row>
    <row r="20" spans="1:13" s="181" customFormat="1">
      <c r="A20" s="189" t="s">
        <v>96</v>
      </c>
      <c r="B20" s="190"/>
      <c r="C20" s="191">
        <f t="shared" ref="C20:K20" si="6">C19/B19-1</f>
        <v>5.0472935729247039</v>
      </c>
      <c r="D20" s="191">
        <f t="shared" si="6"/>
        <v>-0.51360860450278001</v>
      </c>
      <c r="E20" s="191">
        <f t="shared" si="6"/>
        <v>-3.4800044975825339E-2</v>
      </c>
      <c r="F20" s="191">
        <f t="shared" si="6"/>
        <v>-0.87595379089408665</v>
      </c>
      <c r="G20" s="191">
        <f t="shared" si="6"/>
        <v>14.545938331507124</v>
      </c>
      <c r="H20" s="573">
        <f t="shared" si="6"/>
        <v>-0.5214904906215081</v>
      </c>
      <c r="I20" s="191">
        <f t="shared" si="6"/>
        <v>2.8852020956508917</v>
      </c>
      <c r="J20" s="191">
        <f t="shared" si="6"/>
        <v>0.52909797890085231</v>
      </c>
      <c r="K20" s="191">
        <f t="shared" si="6"/>
        <v>-0.2405374870285566</v>
      </c>
      <c r="L20" s="192"/>
    </row>
    <row r="21" spans="1:13">
      <c r="A21" s="189" t="s">
        <v>104</v>
      </c>
      <c r="B21" s="191">
        <f t="shared" ref="B21:L21" si="7">B19/B4</f>
        <v>0.83882004808581478</v>
      </c>
      <c r="C21" s="191">
        <f t="shared" si="7"/>
        <v>0.9684595217287677</v>
      </c>
      <c r="D21" s="191">
        <f t="shared" si="7"/>
        <v>0.2048067918387399</v>
      </c>
      <c r="E21" s="191">
        <f t="shared" si="7"/>
        <v>0.13435783190988726</v>
      </c>
      <c r="F21" s="191">
        <f t="shared" si="7"/>
        <v>1.1481384307397162E-2</v>
      </c>
      <c r="G21" s="191">
        <f t="shared" si="7"/>
        <v>0.10792365164705738</v>
      </c>
      <c r="H21" s="573">
        <f t="shared" si="7"/>
        <v>4.2753256846979913E-2</v>
      </c>
      <c r="I21" s="191">
        <f t="shared" si="7"/>
        <v>0.13260143019847265</v>
      </c>
      <c r="J21" s="191">
        <f t="shared" si="7"/>
        <v>0.17493963720987293</v>
      </c>
      <c r="K21" s="191">
        <f t="shared" si="7"/>
        <v>0.11540862732434544</v>
      </c>
      <c r="L21" s="192">
        <f t="shared" si="7"/>
        <v>0.13581800521960932</v>
      </c>
    </row>
    <row r="22" spans="1:13">
      <c r="A22" s="193" t="s">
        <v>11</v>
      </c>
      <c r="B22" s="194">
        <f>'Data Sheet'!B29</f>
        <v>0.57999999999999996</v>
      </c>
      <c r="C22" s="194">
        <f>'Data Sheet'!C29</f>
        <v>1.55</v>
      </c>
      <c r="D22" s="194">
        <f>'Data Sheet'!D29</f>
        <v>-17.07</v>
      </c>
      <c r="E22" s="194">
        <f>'Data Sheet'!E29</f>
        <v>-135.29</v>
      </c>
      <c r="F22" s="194">
        <f>'Data Sheet'!F29</f>
        <v>-63.97</v>
      </c>
      <c r="G22" s="194">
        <f>'Data Sheet'!G29</f>
        <v>205.88</v>
      </c>
      <c r="H22" s="569">
        <f>'Data Sheet'!H29</f>
        <v>0.86</v>
      </c>
      <c r="I22" s="194">
        <f>'Data Sheet'!I29</f>
        <v>542.35</v>
      </c>
      <c r="J22" s="194">
        <f>'Data Sheet'!J29</f>
        <v>837.34</v>
      </c>
      <c r="K22" s="194">
        <f>'Data Sheet'!K29</f>
        <v>485.15</v>
      </c>
      <c r="L22" s="195">
        <f>SUM(Quarters!H14:K14)</f>
        <v>884.3</v>
      </c>
    </row>
    <row r="23" spans="1:13" s="618" customFormat="1">
      <c r="A23" s="615" t="s">
        <v>12</v>
      </c>
      <c r="B23" s="616">
        <f>B19-B22</f>
        <v>180.84</v>
      </c>
      <c r="C23" s="616">
        <f t="shared" ref="C23:L23" si="8">C19-C22</f>
        <v>1095.55</v>
      </c>
      <c r="D23" s="616">
        <f t="shared" si="8"/>
        <v>550.69000000000005</v>
      </c>
      <c r="E23" s="616">
        <f t="shared" si="8"/>
        <v>650.34</v>
      </c>
      <c r="F23" s="616">
        <f t="shared" si="8"/>
        <v>127.8600000000007</v>
      </c>
      <c r="G23" s="616">
        <f t="shared" si="8"/>
        <v>787.35000000000082</v>
      </c>
      <c r="H23" s="616">
        <f t="shared" si="8"/>
        <v>474.40999999999991</v>
      </c>
      <c r="I23" s="616">
        <f t="shared" si="8"/>
        <v>1304.1699999999992</v>
      </c>
      <c r="J23" s="616">
        <f t="shared" si="8"/>
        <v>1986.17</v>
      </c>
      <c r="K23" s="616">
        <f t="shared" si="8"/>
        <v>1659.2000000000003</v>
      </c>
      <c r="L23" s="617">
        <f t="shared" si="8"/>
        <v>2242.3500000000004</v>
      </c>
    </row>
    <row r="24" spans="1:13" s="622" customFormat="1">
      <c r="A24" s="586" t="s">
        <v>96</v>
      </c>
      <c r="B24" s="619"/>
      <c r="C24" s="620">
        <f t="shared" ref="C24:K24" si="9">C23/B23-1</f>
        <v>5.0581176730811768</v>
      </c>
      <c r="D24" s="620">
        <f t="shared" si="9"/>
        <v>-0.49733923600018248</v>
      </c>
      <c r="E24" s="620">
        <f t="shared" si="9"/>
        <v>0.18095480215729354</v>
      </c>
      <c r="F24" s="620">
        <f t="shared" si="9"/>
        <v>-0.80339514715379545</v>
      </c>
      <c r="G24" s="620">
        <f t="shared" si="9"/>
        <v>5.1579070858751486</v>
      </c>
      <c r="H24" s="620">
        <f t="shared" si="9"/>
        <v>-0.39745983361910275</v>
      </c>
      <c r="I24" s="620">
        <f t="shared" si="9"/>
        <v>1.7490356442739392</v>
      </c>
      <c r="J24" s="620">
        <f t="shared" si="9"/>
        <v>0.52293796054195485</v>
      </c>
      <c r="K24" s="620">
        <f t="shared" si="9"/>
        <v>-0.16462337060775245</v>
      </c>
      <c r="L24" s="621"/>
    </row>
    <row r="25" spans="1:13">
      <c r="A25" s="189" t="s">
        <v>95</v>
      </c>
      <c r="B25" s="191">
        <f t="shared" ref="B25:L25" si="10">B23/B4</f>
        <v>0.83613833918993896</v>
      </c>
      <c r="C25" s="191">
        <f t="shared" si="10"/>
        <v>0.96709126700387527</v>
      </c>
      <c r="D25" s="191">
        <f t="shared" si="10"/>
        <v>0.21135836774797737</v>
      </c>
      <c r="E25" s="191">
        <f t="shared" si="10"/>
        <v>0.16965007747650923</v>
      </c>
      <c r="F25" s="191">
        <f t="shared" si="10"/>
        <v>2.2977145054684508E-2</v>
      </c>
      <c r="G25" s="191">
        <f t="shared" si="10"/>
        <v>8.5552880122741606E-2</v>
      </c>
      <c r="H25" s="573">
        <f t="shared" si="10"/>
        <v>4.2675894924518142E-2</v>
      </c>
      <c r="I25" s="191">
        <f t="shared" si="10"/>
        <v>9.3654445780138873E-2</v>
      </c>
      <c r="J25" s="191">
        <f t="shared" si="10"/>
        <v>0.1230595461808647</v>
      </c>
      <c r="K25" s="191">
        <f t="shared" si="10"/>
        <v>8.9297919862221159E-2</v>
      </c>
      <c r="L25" s="192">
        <f t="shared" si="10"/>
        <v>9.7405051414194435E-2</v>
      </c>
      <c r="M25" s="181"/>
    </row>
    <row r="26" spans="1:13">
      <c r="A26" s="193" t="s">
        <v>53</v>
      </c>
      <c r="B26" s="201">
        <f>IF('Data Sheet'!B93&gt;0,B23/'Data Sheet'!B93,0)</f>
        <v>60.28</v>
      </c>
      <c r="C26" s="201">
        <f>IF('Data Sheet'!C93&gt;0,C23/'Data Sheet'!C93,0)</f>
        <v>356.85667752442998</v>
      </c>
      <c r="D26" s="201">
        <f>IF('Data Sheet'!D93&gt;0,D23/'Data Sheet'!D93,0)</f>
        <v>179.36616507067947</v>
      </c>
      <c r="E26" s="201">
        <f>IF('Data Sheet'!E93&gt;0,E23/'Data Sheet'!E93,0)</f>
        <v>211.82333398475672</v>
      </c>
      <c r="F26" s="201">
        <f>IF('Data Sheet'!F93&gt;0,F23/'Data Sheet'!F93,0)</f>
        <v>41.648208469055604</v>
      </c>
      <c r="G26" s="201">
        <f>IF('Data Sheet'!G93&gt;0,G23/'Data Sheet'!G93,0)</f>
        <v>256.46579804560287</v>
      </c>
      <c r="H26" s="575">
        <f>IF('Data Sheet'!H93&gt;0,H23/'Data Sheet'!H93,0)</f>
        <v>154.53094462540716</v>
      </c>
      <c r="I26" s="201">
        <f>IF('Data Sheet'!I93&gt;0,I23/'Data Sheet'!I93,0)</f>
        <v>424.81107491856653</v>
      </c>
      <c r="J26" s="201">
        <f>IF('Data Sheet'!J93&gt;0,J23/'Data Sheet'!J93,0)</f>
        <v>55.11680120897153</v>
      </c>
      <c r="K26" s="201">
        <f>IF('Data Sheet'!K93&gt;0,K23/'Data Sheet'!K93,0)</f>
        <v>45.901665811898468</v>
      </c>
      <c r="L26" s="202">
        <f>IF('Data Sheet'!$B6&gt;0,'Profit &amp; Loss'!L23/'Data Sheet'!$B6,0)</f>
        <v>58.333769425994866</v>
      </c>
    </row>
    <row r="27" spans="1:13" s="181" customFormat="1">
      <c r="A27" s="189" t="s">
        <v>96</v>
      </c>
      <c r="B27" s="190"/>
      <c r="C27" s="191">
        <f t="shared" ref="C27:K27" si="11">C26/B26-1</f>
        <v>4.9199846968219969</v>
      </c>
      <c r="D27" s="191">
        <f t="shared" si="11"/>
        <v>-0.49737198049656706</v>
      </c>
      <c r="E27" s="191">
        <f t="shared" si="11"/>
        <v>0.18095480215729354</v>
      </c>
      <c r="F27" s="191">
        <f t="shared" si="11"/>
        <v>-0.80338233902005951</v>
      </c>
      <c r="G27" s="191">
        <f t="shared" si="11"/>
        <v>5.1579070858751486</v>
      </c>
      <c r="H27" s="573">
        <f t="shared" si="11"/>
        <v>-0.39745983361910264</v>
      </c>
      <c r="I27" s="191">
        <f t="shared" si="11"/>
        <v>1.7490356442739388</v>
      </c>
      <c r="J27" s="191">
        <f t="shared" si="11"/>
        <v>-0.87025573375285226</v>
      </c>
      <c r="K27" s="191">
        <f t="shared" si="11"/>
        <v>-0.16719285580697096</v>
      </c>
      <c r="L27" s="192"/>
    </row>
    <row r="28" spans="1:13" s="603" customFormat="1">
      <c r="A28" s="650" t="s">
        <v>13</v>
      </c>
      <c r="B28" s="651" t="str">
        <f t="shared" ref="B28:K28" si="12">IF(B31&gt;0,B31/B26,"")</f>
        <v/>
      </c>
      <c r="C28" s="651" t="str">
        <f t="shared" si="12"/>
        <v/>
      </c>
      <c r="D28" s="651" t="str">
        <f t="shared" si="12"/>
        <v/>
      </c>
      <c r="E28" s="651" t="str">
        <f t="shared" si="12"/>
        <v/>
      </c>
      <c r="F28" s="651" t="str">
        <f t="shared" si="12"/>
        <v/>
      </c>
      <c r="G28" s="651" t="str">
        <f t="shared" si="12"/>
        <v/>
      </c>
      <c r="H28" s="651" t="str">
        <f t="shared" si="12"/>
        <v/>
      </c>
      <c r="I28" s="651" t="str">
        <f t="shared" si="12"/>
        <v/>
      </c>
      <c r="J28" s="651">
        <f t="shared" si="12"/>
        <v>18.247067644344643</v>
      </c>
      <c r="K28" s="651">
        <f t="shared" si="12"/>
        <v>23.74990059113307</v>
      </c>
      <c r="L28" s="652">
        <f>IF(L26&gt;0,L31/L26,0)</f>
        <v>20.674988293531335</v>
      </c>
    </row>
    <row r="29" spans="1:13" s="10" customFormat="1">
      <c r="A29" s="653" t="s">
        <v>561</v>
      </c>
      <c r="B29" s="654">
        <f>B4/'Data Sheet'!B93</f>
        <v>72.093333333333334</v>
      </c>
      <c r="C29" s="654">
        <f>C4/'Data Sheet'!C93</f>
        <v>369</v>
      </c>
      <c r="D29" s="654">
        <f>D4/'Data Sheet'!D93</f>
        <v>848.63526806071275</v>
      </c>
      <c r="E29" s="654">
        <f>E4/'Data Sheet'!E93</f>
        <v>1248.5896684255099</v>
      </c>
      <c r="F29" s="654">
        <f>F4/'Data Sheet'!F93</f>
        <v>1812.5928338762214</v>
      </c>
      <c r="G29" s="654">
        <f>G4/'Data Sheet'!G93</f>
        <v>2997.7459283387625</v>
      </c>
      <c r="H29" s="654">
        <f>H4/'Data Sheet'!H93</f>
        <v>3621.0358306188928</v>
      </c>
      <c r="I29" s="654">
        <f>I4/'Data Sheet'!I93</f>
        <v>4535.9413680781763</v>
      </c>
      <c r="J29" s="654">
        <f>J4/'Data Sheet'!J93</f>
        <v>447.88724580508801</v>
      </c>
      <c r="K29" s="654">
        <f>K4/'Data Sheet'!K93</f>
        <v>514.02838814969823</v>
      </c>
      <c r="L29" s="654"/>
    </row>
    <row r="30" spans="1:13" s="181" customFormat="1">
      <c r="A30" s="650" t="s">
        <v>560</v>
      </c>
      <c r="B30" s="651">
        <f>B31/B29</f>
        <v>0</v>
      </c>
      <c r="C30" s="651">
        <f t="shared" ref="C30:K30" si="13">C31/C29</f>
        <v>0</v>
      </c>
      <c r="D30" s="651">
        <f t="shared" si="13"/>
        <v>0</v>
      </c>
      <c r="E30" s="651">
        <f t="shared" si="13"/>
        <v>0</v>
      </c>
      <c r="F30" s="651">
        <f t="shared" si="13"/>
        <v>0</v>
      </c>
      <c r="G30" s="651">
        <f t="shared" si="13"/>
        <v>0</v>
      </c>
      <c r="H30" s="651">
        <f t="shared" si="13"/>
        <v>0</v>
      </c>
      <c r="I30" s="651">
        <f t="shared" si="13"/>
        <v>0</v>
      </c>
      <c r="J30" s="651">
        <f t="shared" si="13"/>
        <v>2.2454758634445917</v>
      </c>
      <c r="K30" s="651">
        <f t="shared" si="13"/>
        <v>2.1208167197227201</v>
      </c>
      <c r="L30" s="652"/>
    </row>
    <row r="31" spans="1:13">
      <c r="A31" s="186" t="s">
        <v>54</v>
      </c>
      <c r="B31" s="187">
        <f>'Data Sheet'!B90</f>
        <v>0</v>
      </c>
      <c r="C31" s="187">
        <f>'Data Sheet'!C90</f>
        <v>0</v>
      </c>
      <c r="D31" s="187">
        <f>'Data Sheet'!D90</f>
        <v>0</v>
      </c>
      <c r="E31" s="187">
        <f>'Data Sheet'!E90</f>
        <v>0</v>
      </c>
      <c r="F31" s="187">
        <f>'Data Sheet'!F90</f>
        <v>0</v>
      </c>
      <c r="G31" s="187">
        <f>'Data Sheet'!G90</f>
        <v>0</v>
      </c>
      <c r="H31" s="572">
        <f>'Data Sheet'!H90</f>
        <v>0</v>
      </c>
      <c r="I31" s="187">
        <f>'Data Sheet'!I90</f>
        <v>0</v>
      </c>
      <c r="J31" s="187">
        <f>'Data Sheet'!J90</f>
        <v>1005.72</v>
      </c>
      <c r="K31" s="187">
        <f>'Data Sheet'!K90</f>
        <v>1090.1600000000001</v>
      </c>
      <c r="L31" s="188">
        <f>'Data Sheet'!B8</f>
        <v>1206.05</v>
      </c>
    </row>
    <row r="32" spans="1:13">
      <c r="A32" s="193" t="s">
        <v>14</v>
      </c>
      <c r="B32" s="204">
        <f>IF('Data Sheet'!B30&gt;0, 'Data Sheet'!B31/'Data Sheet'!B30, 0)</f>
        <v>0</v>
      </c>
      <c r="C32" s="204">
        <f>IF('Data Sheet'!C30&gt;0, 'Data Sheet'!C31/'Data Sheet'!C30, 0)</f>
        <v>0</v>
      </c>
      <c r="D32" s="204">
        <f>IF('Data Sheet'!D30&gt;0, 'Data Sheet'!D31/'Data Sheet'!D30, 0)</f>
        <v>0</v>
      </c>
      <c r="E32" s="204">
        <f>IF('Data Sheet'!E30&gt;0, 'Data Sheet'!E31/'Data Sheet'!E30, 0)</f>
        <v>0.75412482893300326</v>
      </c>
      <c r="F32" s="204">
        <f>IF('Data Sheet'!F30&gt;0, 'Data Sheet'!F31/'Data Sheet'!F30, 0)</f>
        <v>0</v>
      </c>
      <c r="G32" s="204">
        <f>IF('Data Sheet'!G30&gt;0, 'Data Sheet'!G31/'Data Sheet'!G30, 0)</f>
        <v>0.69681844160792528</v>
      </c>
      <c r="H32" s="576">
        <f>IF('Data Sheet'!H30&gt;0, 'Data Sheet'!H31/'Data Sheet'!H30, 0)</f>
        <v>0.79584352078239606</v>
      </c>
      <c r="I32" s="204">
        <f>IF('Data Sheet'!I30&gt;0, 'Data Sheet'!I31/'Data Sheet'!I30, 0)</f>
        <v>0.82787520031897677</v>
      </c>
      <c r="J32" s="204">
        <f>IF('Data Sheet'!J30&gt;0, 'Data Sheet'!J31/'Data Sheet'!J30, 0)</f>
        <v>0.55516675393724579</v>
      </c>
      <c r="K32" s="204">
        <f>'Data Sheet'!K31/'Data Sheet'!K30</f>
        <v>0</v>
      </c>
      <c r="L32" s="205"/>
    </row>
    <row r="33" spans="1:12">
      <c r="A33" s="193" t="s">
        <v>200</v>
      </c>
      <c r="B33" s="194">
        <f>B31*'Data Sheet'!B93</f>
        <v>0</v>
      </c>
      <c r="C33" s="194">
        <f>C31*'Data Sheet'!C93</f>
        <v>0</v>
      </c>
      <c r="D33" s="194">
        <f>D31*'Data Sheet'!D93</f>
        <v>0</v>
      </c>
      <c r="E33" s="194">
        <f>E31*'Data Sheet'!E93</f>
        <v>0</v>
      </c>
      <c r="F33" s="194">
        <f>F31*'Data Sheet'!F93</f>
        <v>0</v>
      </c>
      <c r="G33" s="194">
        <f>G31*'Data Sheet'!G93</f>
        <v>0</v>
      </c>
      <c r="H33" s="569">
        <f>H31*'Data Sheet'!H93</f>
        <v>0</v>
      </c>
      <c r="I33" s="194">
        <f>I31*'Data Sheet'!I93</f>
        <v>0</v>
      </c>
      <c r="J33" s="194">
        <f>J31*'Data Sheet'!J93</f>
        <v>36241.778343168</v>
      </c>
      <c r="K33" s="194">
        <f>K31*'Data Sheet'!K93</f>
        <v>39405.835060808</v>
      </c>
      <c r="L33" s="195"/>
    </row>
    <row r="34" spans="1:12">
      <c r="A34" s="193" t="s">
        <v>201</v>
      </c>
      <c r="B34" s="194">
        <f t="shared" ref="B34:K34" si="14">B23*(1-B32)</f>
        <v>180.84</v>
      </c>
      <c r="C34" s="194">
        <f t="shared" si="14"/>
        <v>1095.55</v>
      </c>
      <c r="D34" s="194">
        <f t="shared" si="14"/>
        <v>550.69000000000005</v>
      </c>
      <c r="E34" s="194">
        <f t="shared" si="14"/>
        <v>159.90245875171067</v>
      </c>
      <c r="F34" s="194">
        <f t="shared" si="14"/>
        <v>127.8600000000007</v>
      </c>
      <c r="G34" s="194">
        <f t="shared" si="14"/>
        <v>238.71000000000029</v>
      </c>
      <c r="H34" s="569">
        <f t="shared" si="14"/>
        <v>96.853875305623461</v>
      </c>
      <c r="I34" s="194">
        <f t="shared" si="14"/>
        <v>224.47999999999993</v>
      </c>
      <c r="J34" s="194">
        <f t="shared" si="14"/>
        <v>883.51444833246057</v>
      </c>
      <c r="K34" s="194">
        <f t="shared" si="14"/>
        <v>1659.2000000000003</v>
      </c>
      <c r="L34" s="205"/>
    </row>
    <row r="35" spans="1:12" ht="13.5" thickBot="1">
      <c r="A35" s="536" t="s">
        <v>202</v>
      </c>
      <c r="B35" s="537">
        <f>(K33-B33)/SUM(B34:K34)</f>
        <v>7.5524818214932701</v>
      </c>
      <c r="C35" s="206"/>
      <c r="D35" s="206"/>
      <c r="E35" s="206"/>
      <c r="F35" s="206"/>
      <c r="G35" s="206"/>
      <c r="H35" s="577"/>
      <c r="I35" s="206"/>
      <c r="J35" s="206"/>
      <c r="K35" s="206"/>
      <c r="L35" s="207"/>
    </row>
    <row r="36" spans="1:12" ht="15">
      <c r="A36" s="13"/>
      <c r="B36" s="439"/>
      <c r="C36" s="439"/>
      <c r="D36" t="s">
        <v>522</v>
      </c>
      <c r="E36"/>
      <c r="F36"/>
      <c r="G36" t="s">
        <v>523</v>
      </c>
      <c r="H36" t="s">
        <v>524</v>
      </c>
      <c r="I36" t="s">
        <v>525</v>
      </c>
      <c r="J36" t="s">
        <v>524</v>
      </c>
      <c r="K36" t="s">
        <v>526</v>
      </c>
      <c r="L36" s="439"/>
    </row>
    <row r="37" spans="1:12" s="185" customFormat="1">
      <c r="A37" s="180"/>
      <c r="B37" s="208"/>
      <c r="C37" s="208"/>
      <c r="D37" s="208"/>
      <c r="E37" s="208"/>
      <c r="F37" s="208"/>
      <c r="G37" s="208"/>
      <c r="H37" s="208"/>
      <c r="I37" s="208"/>
      <c r="J37" s="208"/>
      <c r="K37" s="208"/>
      <c r="L37" s="208"/>
    </row>
    <row r="38" spans="1:12" s="181" customFormat="1">
      <c r="A38" s="209" t="s">
        <v>16</v>
      </c>
      <c r="B38" s="209" t="s">
        <v>60</v>
      </c>
      <c r="C38" s="209" t="s">
        <v>61</v>
      </c>
      <c r="D38" s="209" t="s">
        <v>62</v>
      </c>
      <c r="E38" s="209" t="s">
        <v>63</v>
      </c>
      <c r="F38" s="185"/>
      <c r="G38" s="185"/>
      <c r="H38" s="578"/>
      <c r="I38" s="185"/>
      <c r="J38" s="185"/>
      <c r="K38" s="185"/>
      <c r="L38" s="185"/>
    </row>
    <row r="39" spans="1:12" s="181" customFormat="1">
      <c r="A39" s="210" t="s">
        <v>17</v>
      </c>
      <c r="B39" s="211">
        <f>(K4/B4)^(1/9)-1</f>
        <v>0.64018731356988368</v>
      </c>
      <c r="C39" s="211">
        <f>(K4/D4)^(1/7)-1</f>
        <v>0.32397986056384531</v>
      </c>
      <c r="D39" s="211">
        <f>(K4/F4)^(1/5)-1</f>
        <v>0.27269328445743923</v>
      </c>
      <c r="E39" s="211">
        <f>(K4/H4)^(1/3)-1</f>
        <v>0.18675772211685304</v>
      </c>
      <c r="H39" s="562"/>
    </row>
    <row r="40" spans="1:12">
      <c r="A40" s="210" t="s">
        <v>199</v>
      </c>
      <c r="B40" s="211">
        <f>(K19/B19)^(1/9)-1</f>
        <v>0.31576686549152511</v>
      </c>
      <c r="C40" s="211">
        <f>(K19/D19)^(1/7)-1</f>
        <v>0.21981732194799308</v>
      </c>
      <c r="D40" s="211">
        <f>(K19/F19)^(1/5)-1</f>
        <v>1.0191684739507454</v>
      </c>
      <c r="E40" s="211">
        <f>(K19/H19)^(1/3)-1</f>
        <v>0.65241231699005908</v>
      </c>
      <c r="F40" s="181"/>
      <c r="G40" s="181"/>
      <c r="H40" s="578"/>
      <c r="I40" s="181"/>
      <c r="J40" s="181"/>
      <c r="K40" s="181"/>
      <c r="L40" s="181"/>
    </row>
    <row r="41" spans="1:12">
      <c r="A41" s="210" t="s">
        <v>104</v>
      </c>
      <c r="B41" s="211">
        <f>AVERAGE(B21:K21)</f>
        <v>0.27315521810973353</v>
      </c>
      <c r="C41" s="211">
        <f>AVERAGE(E21:K21)</f>
        <v>0.10278083134914469</v>
      </c>
      <c r="D41" s="211">
        <f>AVERAGE(G21:K21)</f>
        <v>0.11472532064534566</v>
      </c>
      <c r="E41" s="211">
        <f>AVERAGE(I21:K21)</f>
        <v>0.14098323157756368</v>
      </c>
      <c r="F41" s="181"/>
    </row>
    <row r="42" spans="1:12">
      <c r="A42" s="210" t="s">
        <v>18</v>
      </c>
      <c r="B42" s="203">
        <f>AVERAGE(B28:K28)</f>
        <v>20.998484117738855</v>
      </c>
      <c r="C42" s="203">
        <f>AVERAGE(E28:K28)</f>
        <v>20.998484117738855</v>
      </c>
      <c r="D42" s="203">
        <f>AVERAGE(G28:K28)</f>
        <v>20.998484117738855</v>
      </c>
      <c r="E42" s="203">
        <f>AVERAGE(I28:K28)</f>
        <v>20.998484117738855</v>
      </c>
      <c r="F42" s="181"/>
    </row>
    <row r="43" spans="1:12">
      <c r="A43" s="760" t="s">
        <v>275</v>
      </c>
      <c r="B43" s="760"/>
      <c r="C43" s="760"/>
      <c r="D43" s="760"/>
      <c r="E43" s="760"/>
    </row>
    <row r="44" spans="1:12">
      <c r="A44" s="760"/>
      <c r="B44" s="760"/>
      <c r="C44" s="760"/>
      <c r="D44" s="760"/>
      <c r="E44" s="760"/>
    </row>
    <row r="45" spans="1:12">
      <c r="A45" s="760"/>
      <c r="B45" s="760"/>
      <c r="C45" s="760"/>
      <c r="D45" s="760"/>
      <c r="E45" s="760"/>
    </row>
    <row r="46" spans="1:12">
      <c r="A46" s="760"/>
      <c r="B46" s="760"/>
      <c r="C46" s="760"/>
      <c r="D46" s="760"/>
      <c r="E46" s="760"/>
    </row>
    <row r="48" spans="1:12">
      <c r="A48" s="430" t="s">
        <v>4</v>
      </c>
      <c r="B48" s="431">
        <f t="shared" ref="B48:K48" si="15">B4</f>
        <v>216.28</v>
      </c>
      <c r="C48" s="431">
        <f t="shared" si="15"/>
        <v>1132.83</v>
      </c>
      <c r="D48" s="431">
        <f t="shared" si="15"/>
        <v>2605.48</v>
      </c>
      <c r="E48" s="431">
        <f t="shared" si="15"/>
        <v>3833.42</v>
      </c>
      <c r="F48" s="431">
        <f t="shared" si="15"/>
        <v>5564.66</v>
      </c>
      <c r="G48" s="431">
        <f t="shared" si="15"/>
        <v>9203.08</v>
      </c>
      <c r="H48" s="572">
        <f t="shared" si="15"/>
        <v>11116.58</v>
      </c>
      <c r="I48" s="431">
        <f>I4</f>
        <v>13925.34</v>
      </c>
      <c r="J48" s="431">
        <f t="shared" si="15"/>
        <v>16139.91</v>
      </c>
      <c r="K48" s="431">
        <f t="shared" si="15"/>
        <v>18580.5</v>
      </c>
      <c r="L48" s="432"/>
    </row>
    <row r="49" spans="1:13">
      <c r="A49" s="433" t="s">
        <v>96</v>
      </c>
      <c r="B49" s="434"/>
      <c r="C49" s="529">
        <f t="shared" ref="C49:K49" si="16">C5</f>
        <v>4.2377936008877377</v>
      </c>
      <c r="D49" s="529">
        <f t="shared" si="16"/>
        <v>1.2999744003954699</v>
      </c>
      <c r="E49" s="529">
        <f t="shared" si="16"/>
        <v>0.47129127838248608</v>
      </c>
      <c r="F49" s="529">
        <f t="shared" si="16"/>
        <v>0.45161761560173419</v>
      </c>
      <c r="G49" s="529">
        <f t="shared" si="16"/>
        <v>0.65384408032116981</v>
      </c>
      <c r="H49" s="579">
        <f t="shared" si="16"/>
        <v>0.20791952259460955</v>
      </c>
      <c r="I49" s="529">
        <f t="shared" si="16"/>
        <v>0.25266403876012222</v>
      </c>
      <c r="J49" s="529">
        <f t="shared" si="16"/>
        <v>0.15903166457695117</v>
      </c>
      <c r="K49" s="529">
        <f t="shared" si="16"/>
        <v>0.1512145978509174</v>
      </c>
      <c r="L49" s="435"/>
    </row>
    <row r="50" spans="1:13">
      <c r="A50" s="436" t="s">
        <v>458</v>
      </c>
      <c r="B50" s="530">
        <f>B54*B55*B56-B57</f>
        <v>4.2678659438146873</v>
      </c>
      <c r="C50" s="530">
        <f t="shared" ref="C50:J50" si="17">C54*C55*C56-C57</f>
        <v>23.256509576070581</v>
      </c>
      <c r="D50" s="530">
        <f t="shared" si="17"/>
        <v>0.60347961257921812</v>
      </c>
      <c r="E50" s="530">
        <f t="shared" si="17"/>
        <v>0.11674622657038609</v>
      </c>
      <c r="F50" s="530">
        <f t="shared" si="17"/>
        <v>6.9231724246905449E-2</v>
      </c>
      <c r="G50" s="530">
        <f t="shared" si="17"/>
        <v>8.6763088990399487E-2</v>
      </c>
      <c r="H50" s="563">
        <f t="shared" si="17"/>
        <v>-3.2648408530493542E-2</v>
      </c>
      <c r="I50" s="530">
        <f t="shared" si="17"/>
        <v>-1.5941214592169066E-2</v>
      </c>
      <c r="J50" s="530">
        <f t="shared" si="17"/>
        <v>7.9631725158025204E-2</v>
      </c>
      <c r="K50" s="530">
        <f>K54*K55*K56-K57</f>
        <v>0.67287787571431579</v>
      </c>
      <c r="L50" s="436"/>
    </row>
    <row r="54" spans="1:13">
      <c r="A54" s="13" t="s">
        <v>459</v>
      </c>
      <c r="B54" s="427">
        <f>B48/'Balance Sheet'!B10</f>
        <v>5.3297190734351902</v>
      </c>
      <c r="C54" s="427">
        <f>C48/'Balance Sheet'!C10</f>
        <v>24.37766300839251</v>
      </c>
      <c r="D54" s="427">
        <f>D48/'Balance Sheet'!D10</f>
        <v>3.1154848738490974</v>
      </c>
      <c r="E54" s="427">
        <f>E48/'Balance Sheet'!E10</f>
        <v>4.6122434246937942</v>
      </c>
      <c r="F54" s="427">
        <f>F48/'Balance Sheet'!F10</f>
        <v>6.2805837405898348</v>
      </c>
      <c r="G54" s="427">
        <f>G48/'Balance Sheet'!G10</f>
        <v>5.2158054022193756</v>
      </c>
      <c r="H54" s="580">
        <f>H48/'Balance Sheet'!H10</f>
        <v>2.8100769217157868</v>
      </c>
      <c r="I54" s="427">
        <f>I48/'Balance Sheet'!I10</f>
        <v>2.8558707475738512</v>
      </c>
      <c r="J54" s="427">
        <f>J48/'Balance Sheet'!J10</f>
        <v>3.3997295367368734</v>
      </c>
      <c r="K54" s="427">
        <f>K48/'Balance Sheet'!K10</f>
        <v>4.8975444404613793</v>
      </c>
      <c r="L54" s="427"/>
    </row>
    <row r="55" spans="1:13">
      <c r="A55" s="13" t="s">
        <v>460</v>
      </c>
      <c r="B55" s="429">
        <f>1-B32</f>
        <v>1</v>
      </c>
      <c r="C55" s="429">
        <f t="shared" ref="C55:K55" si="18">1-C32</f>
        <v>1</v>
      </c>
      <c r="D55" s="429">
        <f t="shared" si="18"/>
        <v>1</v>
      </c>
      <c r="E55" s="429">
        <f t="shared" si="18"/>
        <v>0.24587517106699674</v>
      </c>
      <c r="F55" s="429">
        <f t="shared" si="18"/>
        <v>1</v>
      </c>
      <c r="G55" s="429">
        <f t="shared" si="18"/>
        <v>0.30318155839207472</v>
      </c>
      <c r="H55" s="581">
        <f t="shared" si="18"/>
        <v>0.20415647921760394</v>
      </c>
      <c r="I55" s="429">
        <f t="shared" si="18"/>
        <v>0.17212479968102323</v>
      </c>
      <c r="J55" s="429">
        <f t="shared" si="18"/>
        <v>0.44483324606275421</v>
      </c>
      <c r="K55" s="429">
        <f t="shared" si="18"/>
        <v>1</v>
      </c>
    </row>
    <row r="56" spans="1:13">
      <c r="A56" s="13" t="s">
        <v>454</v>
      </c>
      <c r="B56" s="428">
        <f t="shared" ref="B56:J56" si="19">B25</f>
        <v>0.83613833918993896</v>
      </c>
      <c r="C56" s="428">
        <f t="shared" si="19"/>
        <v>0.96709126700387527</v>
      </c>
      <c r="D56" s="428">
        <f t="shared" si="19"/>
        <v>0.21135836774797737</v>
      </c>
      <c r="E56" s="428">
        <f t="shared" si="19"/>
        <v>0.16965007747650923</v>
      </c>
      <c r="F56" s="428">
        <f t="shared" si="19"/>
        <v>2.2977145054684508E-2</v>
      </c>
      <c r="G56" s="428">
        <f t="shared" si="19"/>
        <v>8.5552880122741606E-2</v>
      </c>
      <c r="H56" s="582">
        <f t="shared" si="19"/>
        <v>4.2675894924518142E-2</v>
      </c>
      <c r="I56" s="428">
        <f t="shared" si="19"/>
        <v>9.3654445780138873E-2</v>
      </c>
      <c r="J56" s="428">
        <f t="shared" si="19"/>
        <v>0.1230595461808647</v>
      </c>
      <c r="K56" s="428">
        <v>0.16200000000000001</v>
      </c>
    </row>
    <row r="57" spans="1:13">
      <c r="A57" s="13" t="s">
        <v>461</v>
      </c>
      <c r="B57" s="180">
        <f>'Data Sheet'!B26/'Data Sheet'!B62</f>
        <v>0.18851651059635291</v>
      </c>
      <c r="C57" s="180">
        <f>'Data Sheet'!C26/'Data Sheet'!C62</f>
        <v>0.31891542930923178</v>
      </c>
      <c r="D57" s="180">
        <f>'Data Sheet'!D26/'Data Sheet'!D62</f>
        <v>5.5004185101040298E-2</v>
      </c>
      <c r="E57" s="180">
        <f>'Data Sheet'!E26/'Data Sheet'!E62</f>
        <v>7.564309261977524E-2</v>
      </c>
      <c r="F57" s="180">
        <f>'Data Sheet'!F26/'Data Sheet'!F62</f>
        <v>7.5078159388720214E-2</v>
      </c>
      <c r="G57" s="180">
        <f>'Data Sheet'!G26/'Data Sheet'!G62</f>
        <v>4.8524761116715595E-2</v>
      </c>
      <c r="H57" s="567">
        <f>'Data Sheet'!H26/'Data Sheet'!H62</f>
        <v>5.7131373594845263E-2</v>
      </c>
      <c r="I57" s="180">
        <f>'Data Sheet'!I26/'Data Sheet'!I62</f>
        <v>6.1978572776269267E-2</v>
      </c>
      <c r="J57" s="180">
        <f>'Data Sheet'!J26/'Data Sheet'!J62</f>
        <v>0.10647279253319179</v>
      </c>
      <c r="K57" s="180">
        <f>'Data Sheet'!K26/'Data Sheet'!K62</f>
        <v>0.12052432364042763</v>
      </c>
    </row>
    <row r="59" spans="1:13" ht="25.5">
      <c r="A59" s="658" t="s">
        <v>519</v>
      </c>
      <c r="B59" s="440">
        <f t="shared" ref="B59:L59" si="20">B23-B14</f>
        <v>177.47</v>
      </c>
      <c r="C59" s="440">
        <f t="shared" si="20"/>
        <v>1080.18</v>
      </c>
      <c r="D59" s="440">
        <f t="shared" si="20"/>
        <v>488.50000000000006</v>
      </c>
      <c r="E59" s="440">
        <f t="shared" si="20"/>
        <v>539.6</v>
      </c>
      <c r="F59" s="440">
        <f t="shared" si="20"/>
        <v>-25.549999999999301</v>
      </c>
      <c r="G59" s="440">
        <f t="shared" si="20"/>
        <v>532.1200000000008</v>
      </c>
      <c r="H59" s="572">
        <f t="shared" si="20"/>
        <v>158.87999999999994</v>
      </c>
      <c r="I59" s="440">
        <f t="shared" si="20"/>
        <v>909.58999999999924</v>
      </c>
      <c r="J59" s="440">
        <f t="shared" si="20"/>
        <v>1471.0500000000002</v>
      </c>
      <c r="K59" s="440">
        <f t="shared" si="20"/>
        <v>870.13000000000022</v>
      </c>
      <c r="L59" s="440">
        <f t="shared" si="20"/>
        <v>1295.4900000000002</v>
      </c>
    </row>
    <row r="60" spans="1:13">
      <c r="A60" s="657" t="s">
        <v>454</v>
      </c>
      <c r="B60" s="585">
        <f t="shared" ref="B60:L60" si="21">B59/B4</f>
        <v>0.82055668577769558</v>
      </c>
      <c r="C60" s="585">
        <f t="shared" si="21"/>
        <v>0.95352347660284431</v>
      </c>
      <c r="D60" s="585">
        <f t="shared" si="21"/>
        <v>0.18748944532293477</v>
      </c>
      <c r="E60" s="585">
        <f t="shared" si="21"/>
        <v>0.1407620349452969</v>
      </c>
      <c r="F60" s="585">
        <f t="shared" si="21"/>
        <v>-4.5914754899669162E-3</v>
      </c>
      <c r="G60" s="585">
        <f t="shared" si="21"/>
        <v>5.7819773380216273E-2</v>
      </c>
      <c r="H60" s="585">
        <f t="shared" si="21"/>
        <v>1.429216539619199E-2</v>
      </c>
      <c r="I60" s="585">
        <f t="shared" si="21"/>
        <v>6.5319051455835136E-2</v>
      </c>
      <c r="J60" s="585">
        <f t="shared" si="21"/>
        <v>9.1143630912440043E-2</v>
      </c>
      <c r="K60" s="585">
        <f t="shared" si="21"/>
        <v>4.6830279055999582E-2</v>
      </c>
      <c r="L60" s="585">
        <f t="shared" si="21"/>
        <v>5.6274564656086136E-2</v>
      </c>
    </row>
    <row r="61" spans="1:13">
      <c r="A61" s="657" t="s">
        <v>567</v>
      </c>
      <c r="B61" s="585"/>
      <c r="C61" s="585">
        <f>(C59-B59)/B59</f>
        <v>5.0865498394094777</v>
      </c>
      <c r="D61" s="585">
        <f t="shared" ref="D61:L61" si="22">(D59-C59)/C59</f>
        <v>-0.54776055842544769</v>
      </c>
      <c r="E61" s="585">
        <f t="shared" si="22"/>
        <v>0.10460593654042981</v>
      </c>
      <c r="F61" s="585">
        <f t="shared" si="22"/>
        <v>-1.047349888806522</v>
      </c>
      <c r="G61" s="585">
        <f t="shared" si="22"/>
        <v>-21.826614481409603</v>
      </c>
      <c r="H61" s="585">
        <f t="shared" si="22"/>
        <v>-0.70142073216567746</v>
      </c>
      <c r="I61" s="585">
        <f t="shared" si="22"/>
        <v>4.7250125881168152</v>
      </c>
      <c r="J61" s="585">
        <f t="shared" si="22"/>
        <v>0.6172671203509289</v>
      </c>
      <c r="K61" s="585">
        <f t="shared" si="22"/>
        <v>-0.40849733183780285</v>
      </c>
      <c r="L61" s="585">
        <f t="shared" si="22"/>
        <v>0.4888464942020157</v>
      </c>
      <c r="M61" s="662">
        <f>AVERAGE(C61:L61)</f>
        <v>-1.3509361014025383</v>
      </c>
    </row>
    <row r="62" spans="1:13">
      <c r="A62" s="657" t="s">
        <v>562</v>
      </c>
      <c r="B62" s="428">
        <f>B59/'Data Sheet'!B93</f>
        <v>59.156666666666666</v>
      </c>
      <c r="C62" s="428">
        <f>C59/'Data Sheet'!C93</f>
        <v>351.85016286644952</v>
      </c>
      <c r="D62" s="428">
        <f>D59/'Data Sheet'!D93</f>
        <v>159.11015569018309</v>
      </c>
      <c r="E62" s="428">
        <f>E59/'Data Sheet'!E93</f>
        <v>175.75402253924827</v>
      </c>
      <c r="F62" s="428">
        <f>F59/'Data Sheet'!F93</f>
        <v>-8.3224755700323456</v>
      </c>
      <c r="G62" s="428">
        <f>G59/'Data Sheet'!G93</f>
        <v>173.32899022801331</v>
      </c>
      <c r="H62" s="428">
        <f>H59/'Data Sheet'!H93</f>
        <v>51.752442996742651</v>
      </c>
      <c r="I62" s="428">
        <f>I59/'Data Sheet'!I93</f>
        <v>296.28338762214958</v>
      </c>
      <c r="J62" s="428">
        <f>J59/'Data Sheet'!J93</f>
        <v>40.822069822048249</v>
      </c>
      <c r="K62" s="428">
        <f>K59/'Data Sheet'!K93</f>
        <v>24.072092859756037</v>
      </c>
      <c r="L62" s="655">
        <f>L59/'Data Sheet'!K93</f>
        <v>35.839651062353148</v>
      </c>
    </row>
    <row r="63" spans="1:13" s="649" customFormat="1">
      <c r="A63" s="657" t="s">
        <v>563</v>
      </c>
      <c r="B63" s="659">
        <f>B31/B62</f>
        <v>0</v>
      </c>
      <c r="C63" s="659">
        <f t="shared" ref="C63:L63" si="23">C31/C62</f>
        <v>0</v>
      </c>
      <c r="D63" s="659">
        <f t="shared" si="23"/>
        <v>0</v>
      </c>
      <c r="E63" s="659">
        <f t="shared" si="23"/>
        <v>0</v>
      </c>
      <c r="F63" s="659">
        <f t="shared" si="23"/>
        <v>0</v>
      </c>
      <c r="G63" s="659">
        <f t="shared" si="23"/>
        <v>0</v>
      </c>
      <c r="H63" s="659">
        <f t="shared" si="23"/>
        <v>0</v>
      </c>
      <c r="I63" s="659">
        <f t="shared" si="23"/>
        <v>0</v>
      </c>
      <c r="J63" s="659">
        <f t="shared" si="23"/>
        <v>24.63667335791985</v>
      </c>
      <c r="K63" s="659">
        <f t="shared" si="23"/>
        <v>45.287296221033628</v>
      </c>
      <c r="L63" s="659">
        <f t="shared" si="23"/>
        <v>33.651276288983311</v>
      </c>
    </row>
    <row r="64" spans="1:13" s="656" customFormat="1">
      <c r="A64" s="657" t="s">
        <v>564</v>
      </c>
      <c r="B64" s="659">
        <f>B63/B60/100</f>
        <v>0</v>
      </c>
      <c r="C64" s="659">
        <f t="shared" ref="C64:L64" si="24">C63/C60/100</f>
        <v>0</v>
      </c>
      <c r="D64" s="659">
        <f t="shared" si="24"/>
        <v>0</v>
      </c>
      <c r="E64" s="659">
        <f t="shared" si="24"/>
        <v>0</v>
      </c>
      <c r="F64" s="659">
        <f t="shared" si="24"/>
        <v>0</v>
      </c>
      <c r="G64" s="659">
        <f t="shared" si="24"/>
        <v>0</v>
      </c>
      <c r="H64" s="659">
        <f t="shared" si="24"/>
        <v>0</v>
      </c>
      <c r="I64" s="659">
        <f t="shared" si="24"/>
        <v>0</v>
      </c>
      <c r="J64" s="659">
        <f t="shared" si="24"/>
        <v>2.7030603357888863</v>
      </c>
      <c r="K64" s="659">
        <f t="shared" si="24"/>
        <v>9.6705159853690255</v>
      </c>
      <c r="L64" s="659">
        <f t="shared" si="24"/>
        <v>5.9798376930391592</v>
      </c>
    </row>
    <row r="65" spans="1:13">
      <c r="A65" s="657" t="s">
        <v>566</v>
      </c>
      <c r="B65" s="661">
        <f>'Cash Flow'!B11/('Profit &amp; Loss'!B33+'Data Sheet'!B74-'Data Sheet'!B69)</f>
        <v>0</v>
      </c>
      <c r="C65" s="661">
        <f>'Cash Flow'!C11/('Profit &amp; Loss'!C33+'Data Sheet'!C74-'Data Sheet'!C69)</f>
        <v>0</v>
      </c>
      <c r="D65" s="661">
        <f>'Cash Flow'!D11/('Profit &amp; Loss'!D33+'Data Sheet'!D74-'Data Sheet'!D69)</f>
        <v>-2.1701264138389886</v>
      </c>
      <c r="E65" s="661">
        <f>'Cash Flow'!E11/('Profit &amp; Loss'!E33+'Data Sheet'!E74-'Data Sheet'!E69)</f>
        <v>-1.1241346414160296</v>
      </c>
      <c r="F65" s="661">
        <f>'Cash Flow'!F11/('Profit &amp; Loss'!F33+'Data Sheet'!F74-'Data Sheet'!F69)</f>
        <v>-0.6846649297464148</v>
      </c>
      <c r="G65" s="661">
        <f>'Cash Flow'!G11/('Profit &amp; Loss'!G33+'Data Sheet'!G74-'Data Sheet'!G69)</f>
        <v>-1.2984506821623316</v>
      </c>
      <c r="H65" s="661">
        <f>'Cash Flow'!H11/('Profit &amp; Loss'!H33+'Data Sheet'!H74-'Data Sheet'!H69)</f>
        <v>-1.4480132179786298</v>
      </c>
      <c r="I65" s="661">
        <f>'Cash Flow'!I11/('Profit &amp; Loss'!I33+'Data Sheet'!I74-'Data Sheet'!I69)</f>
        <v>-2.0541344795455228</v>
      </c>
      <c r="J65" s="661">
        <f>'Cash Flow'!J11/('Profit &amp; Loss'!J33+'Data Sheet'!J74-'Data Sheet'!J69)</f>
        <v>8.5921896518369886E-2</v>
      </c>
      <c r="K65" s="661">
        <f>'Cash Flow'!K11/('Profit &amp; Loss'!K33+'Data Sheet'!K74-'Data Sheet'!K69)</f>
        <v>9.9812489067896026E-2</v>
      </c>
      <c r="L65" s="655"/>
    </row>
    <row r="66" spans="1:13">
      <c r="A66" s="13"/>
      <c r="B66" s="428"/>
      <c r="C66" s="428"/>
      <c r="D66" s="428"/>
      <c r="E66" s="428"/>
      <c r="F66" s="428"/>
      <c r="G66" s="428"/>
      <c r="H66" s="428"/>
      <c r="I66" s="428"/>
      <c r="J66" s="428"/>
      <c r="K66" s="428"/>
      <c r="L66" s="655"/>
    </row>
    <row r="67" spans="1:13">
      <c r="A67" s="441" t="s">
        <v>469</v>
      </c>
      <c r="B67" s="442">
        <f t="shared" ref="B67:L67" si="25">B22/B19</f>
        <v>3.1970014331385728E-3</v>
      </c>
      <c r="C67" s="442">
        <f t="shared" si="25"/>
        <v>1.4128156047762284E-3</v>
      </c>
      <c r="D67" s="442">
        <f t="shared" si="25"/>
        <v>-3.1989055882463174E-2</v>
      </c>
      <c r="E67" s="442">
        <f t="shared" si="25"/>
        <v>-0.26267352684205414</v>
      </c>
      <c r="F67" s="442">
        <f t="shared" si="25"/>
        <v>-1.0012521521364737</v>
      </c>
      <c r="G67" s="442">
        <f t="shared" si="25"/>
        <v>0.20728330799512684</v>
      </c>
      <c r="H67" s="583">
        <f t="shared" si="25"/>
        <v>1.8094977591684728E-3</v>
      </c>
      <c r="I67" s="442">
        <f t="shared" si="25"/>
        <v>0.29371466325845391</v>
      </c>
      <c r="J67" s="442">
        <f t="shared" si="25"/>
        <v>0.29655995551636083</v>
      </c>
      <c r="K67" s="442">
        <f t="shared" si="25"/>
        <v>0.22624571548487882</v>
      </c>
      <c r="L67" s="442">
        <f t="shared" si="25"/>
        <v>0.28282666751954966</v>
      </c>
    </row>
    <row r="69" spans="1:13">
      <c r="A69" s="443" t="s">
        <v>395</v>
      </c>
      <c r="B69" s="443">
        <f t="shared" ref="B69:L69" si="26">B12/B17</f>
        <v>7.0725964682799223</v>
      </c>
      <c r="C69" s="443">
        <f t="shared" si="26"/>
        <v>31.224641675854464</v>
      </c>
      <c r="D69" s="443">
        <f t="shared" si="26"/>
        <v>11.227910654279501</v>
      </c>
      <c r="E69" s="443">
        <f t="shared" si="26"/>
        <v>11.384085352300513</v>
      </c>
      <c r="F69" s="443">
        <f t="shared" si="26"/>
        <v>0.61338040006724981</v>
      </c>
      <c r="G69" s="443">
        <f t="shared" si="26"/>
        <v>12.347754202259585</v>
      </c>
      <c r="H69" s="564">
        <f t="shared" si="26"/>
        <v>4.1469244574971444</v>
      </c>
      <c r="I69" s="443">
        <f t="shared" si="26"/>
        <v>12.721683929168053</v>
      </c>
      <c r="J69" s="443">
        <f t="shared" si="26"/>
        <v>9.0336321589676274</v>
      </c>
      <c r="K69" s="443">
        <f t="shared" si="26"/>
        <v>5.4627108211252011</v>
      </c>
      <c r="L69" s="443">
        <f t="shared" si="26"/>
        <v>8.7001942204696601</v>
      </c>
    </row>
    <row r="70" spans="1:13">
      <c r="M70" s="461">
        <f>AVERAGE(B71:L71)</f>
        <v>20.890652176336349</v>
      </c>
    </row>
    <row r="71" spans="1:13">
      <c r="A71" s="459" t="s">
        <v>472</v>
      </c>
      <c r="B71" s="460" t="str">
        <f t="shared" ref="B71:L71" si="27">B28</f>
        <v/>
      </c>
      <c r="C71" s="460" t="str">
        <f t="shared" si="27"/>
        <v/>
      </c>
      <c r="D71" s="460" t="str">
        <f t="shared" si="27"/>
        <v/>
      </c>
      <c r="E71" s="460" t="str">
        <f t="shared" si="27"/>
        <v/>
      </c>
      <c r="F71" s="460" t="str">
        <f t="shared" si="27"/>
        <v/>
      </c>
      <c r="G71" s="460" t="str">
        <f t="shared" si="27"/>
        <v/>
      </c>
      <c r="H71" s="584" t="str">
        <f t="shared" si="27"/>
        <v/>
      </c>
      <c r="I71" s="460" t="str">
        <f t="shared" si="27"/>
        <v/>
      </c>
      <c r="J71" s="460">
        <f t="shared" si="27"/>
        <v>18.247067644344643</v>
      </c>
      <c r="K71" s="460">
        <f t="shared" si="27"/>
        <v>23.74990059113307</v>
      </c>
      <c r="L71" s="460">
        <f t="shared" si="27"/>
        <v>20.674988293531335</v>
      </c>
    </row>
    <row r="72" spans="1:13">
      <c r="A72" s="441" t="s">
        <v>474</v>
      </c>
      <c r="B72" s="462" t="e">
        <f t="shared" ref="B72:K72" si="28">B71/B24/100</f>
        <v>#VALUE!</v>
      </c>
      <c r="C72" s="462" t="e">
        <f t="shared" si="28"/>
        <v>#VALUE!</v>
      </c>
      <c r="D72" s="462" t="e">
        <f t="shared" si="28"/>
        <v>#VALUE!</v>
      </c>
      <c r="E72" s="462" t="e">
        <f t="shared" si="28"/>
        <v>#VALUE!</v>
      </c>
      <c r="F72" s="462" t="e">
        <f t="shared" si="28"/>
        <v>#VALUE!</v>
      </c>
      <c r="G72" s="462" t="e">
        <f t="shared" si="28"/>
        <v>#VALUE!</v>
      </c>
      <c r="H72" s="567" t="e">
        <f t="shared" si="28"/>
        <v>#VALUE!</v>
      </c>
      <c r="I72" s="462" t="e">
        <f t="shared" si="28"/>
        <v>#VALUE!</v>
      </c>
      <c r="J72" s="462">
        <f t="shared" si="28"/>
        <v>0.34893369808980806</v>
      </c>
      <c r="K72" s="462">
        <f t="shared" si="28"/>
        <v>-1.4426809816524702</v>
      </c>
    </row>
    <row r="73" spans="1:13">
      <c r="A73" s="13" t="s">
        <v>499</v>
      </c>
      <c r="B73" s="427">
        <f t="shared" ref="B73:K73" si="29">B32*B23</f>
        <v>0</v>
      </c>
      <c r="C73" s="427">
        <f t="shared" si="29"/>
        <v>0</v>
      </c>
      <c r="D73" s="427">
        <f t="shared" si="29"/>
        <v>0</v>
      </c>
      <c r="E73" s="427">
        <f t="shared" si="29"/>
        <v>490.43754124828934</v>
      </c>
      <c r="F73" s="427">
        <f t="shared" si="29"/>
        <v>0</v>
      </c>
      <c r="G73" s="427">
        <f t="shared" si="29"/>
        <v>548.64000000000055</v>
      </c>
      <c r="H73" s="580">
        <f t="shared" si="29"/>
        <v>377.55612469437642</v>
      </c>
      <c r="I73" s="427">
        <f t="shared" si="29"/>
        <v>1079.6899999999991</v>
      </c>
      <c r="J73" s="427">
        <f>J32*J23</f>
        <v>1102.6555516675396</v>
      </c>
      <c r="K73" s="427">
        <f t="shared" si="29"/>
        <v>0</v>
      </c>
    </row>
    <row r="76" spans="1:13">
      <c r="A76" s="180" t="s">
        <v>14</v>
      </c>
      <c r="B76" s="429">
        <f>B32</f>
        <v>0</v>
      </c>
      <c r="C76" s="429">
        <f t="shared" ref="C76:K76" si="30">C32</f>
        <v>0</v>
      </c>
      <c r="D76" s="429">
        <f t="shared" si="30"/>
        <v>0</v>
      </c>
      <c r="E76" s="429">
        <f t="shared" si="30"/>
        <v>0.75412482893300326</v>
      </c>
      <c r="F76" s="429">
        <f t="shared" si="30"/>
        <v>0</v>
      </c>
      <c r="G76" s="429">
        <f t="shared" si="30"/>
        <v>0.69681844160792528</v>
      </c>
      <c r="H76" s="429">
        <f t="shared" si="30"/>
        <v>0.79584352078239606</v>
      </c>
      <c r="I76" s="429">
        <f t="shared" si="30"/>
        <v>0.82787520031897677</v>
      </c>
      <c r="J76" s="429">
        <f t="shared" si="30"/>
        <v>0.55516675393724579</v>
      </c>
      <c r="K76" s="429">
        <f t="shared" si="30"/>
        <v>0</v>
      </c>
    </row>
  </sheetData>
  <mergeCells count="4">
    <mergeCell ref="M6:O11"/>
    <mergeCell ref="A43:E46"/>
    <mergeCell ref="A1:L1"/>
    <mergeCell ref="A2:L2"/>
  </mergeCells>
  <printOptions gridLines="1"/>
  <pageMargins left="0.7" right="0.7" top="0.75" bottom="0.75" header="0.3" footer="0.3"/>
  <pageSetup paperSize="9" orientation="landscape" horizontalDpi="300" verticalDpi="300" r:id="rId1"/>
  <legacy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6E7D59D1-1D98-4F28-9EF0-5E0AA5D86DF4}">
          <x14:colorSeries rgb="FFC00000"/>
          <x14:colorNegative rgb="FFD00000"/>
          <x14:colorAxis rgb="FF000000"/>
          <x14:colorMarkers rgb="FFD00000"/>
          <x14:colorFirst rgb="FFD00000"/>
          <x14:colorLast rgb="FFD00000"/>
          <x14:colorHigh rgb="FFD00000"/>
          <x14:colorLow rgb="FFD00000"/>
          <x14:sparklines>
            <x14:sparkline>
              <xm:f>'Profit &amp; Loss'!G28:L28</xm:f>
              <xm:sqref>M28</xm:sqref>
            </x14:sparkline>
            <x14:sparkline>
              <xm:f>'Profit &amp; Loss'!G30:L30</xm:f>
              <xm:sqref>M29</xm:sqref>
            </x14:sparkline>
          </x14:sparklines>
        </x14:sparklineGroup>
        <x14:sparklineGroup manualMax="0" manualMin="0" type="column" displayEmptyCellsAs="gap" xr2:uid="{68CFE33C-4EFA-44F6-908D-C598ED18BC72}">
          <x14:colorSeries rgb="FFC00000"/>
          <x14:colorNegative rgb="FFD00000"/>
          <x14:colorAxis rgb="FF000000"/>
          <x14:colorMarkers rgb="FFD00000"/>
          <x14:colorFirst rgb="FFD00000"/>
          <x14:colorLast rgb="FFD00000"/>
          <x14:colorHigh rgb="FFD00000"/>
          <x14:colorLow rgb="FFD00000"/>
          <x14:sparklines>
            <x14:sparkline>
              <xm:f>'Profit &amp; Loss'!G25:L25</xm:f>
              <xm:sqref>M25</xm:sqref>
            </x14:sparkline>
          </x14:sparklines>
        </x14:sparklineGroup>
        <x14:sparklineGroup manualMax="0" manualMin="0" type="column" displayEmptyCellsAs="gap" xr2:uid="{22DC0198-1B36-4056-95B7-1D2DD1F16073}">
          <x14:colorSeries rgb="FFC00000"/>
          <x14:colorNegative rgb="FFD00000"/>
          <x14:colorAxis rgb="FF000000"/>
          <x14:colorMarkers rgb="FFD00000"/>
          <x14:colorFirst rgb="FFD00000"/>
          <x14:colorLast rgb="FFD00000"/>
          <x14:colorHigh rgb="FFD00000"/>
          <x14:colorLow rgb="FFD00000"/>
          <x14:sparklines>
            <x14:sparkline>
              <xm:f>'Profit &amp; Loss'!B40:E40</xm:f>
              <xm:sqref>F40</xm:sqref>
            </x14:sparkline>
            <x14:sparkline>
              <xm:f>'Profit &amp; Loss'!B41:E41</xm:f>
              <xm:sqref>F41</xm:sqref>
            </x14:sparkline>
            <x14:sparkline>
              <xm:f>'Profit &amp; Loss'!B42:E42</xm:f>
              <xm:sqref>F42</xm:sqref>
            </x14:sparkline>
          </x14:sparklines>
        </x14:sparklineGroup>
        <x14:sparklineGroup manualMax="0" manualMin="0" type="column" displayEmptyCellsAs="gap" xr2:uid="{64E9220B-C344-496E-BFB5-655119B3D7B3}">
          <x14:colorSeries rgb="FFC00000"/>
          <x14:colorNegative rgb="FFD00000"/>
          <x14:colorAxis rgb="FF000000"/>
          <x14:colorMarkers rgb="FFD00000"/>
          <x14:colorFirst rgb="FFD00000"/>
          <x14:colorLast rgb="FFD00000"/>
          <x14:colorHigh rgb="FFD00000"/>
          <x14:colorLow rgb="FFD00000"/>
          <x14:sparklines>
            <x14:sparkline>
              <xm:f>'Profit &amp; Loss'!B39:E39</xm:f>
              <xm:sqref>F39</xm:sqref>
            </x14:sparkline>
          </x14:sparklines>
        </x14:sparklineGroup>
        <x14:sparklineGroup manualMax="0" manualMin="0" type="column" displayEmptyCellsAs="gap" xr2:uid="{5B52F889-DFE6-4521-AAE9-453782F932D5}">
          <x14:colorSeries rgb="FFC00000"/>
          <x14:colorNegative rgb="FFD00000"/>
          <x14:colorAxis rgb="FF000000"/>
          <x14:colorMarkers rgb="FFD00000"/>
          <x14:colorFirst rgb="FFD00000"/>
          <x14:colorLast rgb="FFD00000"/>
          <x14:colorHigh rgb="FFD00000"/>
          <x14:colorLow rgb="FFD00000"/>
          <x14:sparklines>
            <x14:sparkline>
              <xm:f>'Profit &amp; Loss'!G23:L23</xm:f>
              <xm:sqref>M23</xm:sqref>
            </x14:sparkline>
          </x14:sparklines>
        </x14:sparklineGroup>
        <x14:sparklineGroup manualMax="0" manualMin="0" type="column" displayEmptyCellsAs="gap" xr2:uid="{B7A36FED-F0D9-4A2F-ABC9-662E6834AD5F}">
          <x14:colorSeries rgb="FFC00000"/>
          <x14:colorNegative rgb="FFD00000"/>
          <x14:colorAxis rgb="FF000000"/>
          <x14:colorMarkers rgb="FFD00000"/>
          <x14:colorFirst rgb="FFD00000"/>
          <x14:colorLast rgb="FFD00000"/>
          <x14:colorHigh rgb="FFD00000"/>
          <x14:colorLow rgb="FFD00000"/>
          <x14:sparklines>
            <x14:sparkline>
              <xm:f>'Profit &amp; Loss'!G19:L19</xm:f>
              <xm:sqref>M19</xm:sqref>
            </x14:sparkline>
          </x14:sparklines>
        </x14:sparklineGroup>
        <x14:sparklineGroup manualMax="0" manualMin="0" type="column" displayEmptyCellsAs="gap" xr2:uid="{4E4C0FBF-DECA-4A6B-A41B-B74A2693260A}">
          <x14:colorSeries rgb="FFC00000"/>
          <x14:colorNegative rgb="FFD00000"/>
          <x14:colorAxis rgb="FF000000"/>
          <x14:colorMarkers rgb="FFD00000"/>
          <x14:colorFirst rgb="FFD00000"/>
          <x14:colorLast rgb="FFD00000"/>
          <x14:colorHigh rgb="FFD00000"/>
          <x14:colorLow rgb="FFD00000"/>
          <x14:sparklines>
            <x14:sparkline>
              <xm:f>'Profit &amp; Loss'!G12:L12</xm:f>
              <xm:sqref>M12</xm:sqref>
            </x14:sparkline>
          </x14:sparklines>
        </x14:sparklineGroup>
        <x14:sparklineGroup manualMax="0" manualMin="0" type="column" displayEmptyCellsAs="gap" xr2:uid="{94601536-7D7C-4154-B09C-6C817ED3C9E0}">
          <x14:colorSeries rgb="FFC00000"/>
          <x14:colorNegative rgb="FFD00000"/>
          <x14:colorAxis rgb="FF000000"/>
          <x14:colorMarkers rgb="FFD00000"/>
          <x14:colorFirst rgb="FFD00000"/>
          <x14:colorLast rgb="FFD00000"/>
          <x14:colorHigh rgb="FFD00000"/>
          <x14:colorLow rgb="FFD00000"/>
          <x14:sparklines>
            <x14:sparkline>
              <xm:f>'Profit &amp; Loss'!G4:L4</xm:f>
              <xm:sqref>M4</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4FDC-565B-4BE5-A9BF-3EC09296BBC0}">
  <dimension ref="A1:L40"/>
  <sheetViews>
    <sheetView workbookViewId="0">
      <selection activeCell="C8" sqref="C8"/>
    </sheetView>
  </sheetViews>
  <sheetFormatPr defaultRowHeight="15"/>
  <cols>
    <col min="1" max="1" width="19.28515625" customWidth="1"/>
    <col min="2" max="2" width="56.85546875" customWidth="1"/>
    <col min="3" max="3" width="13.85546875" customWidth="1"/>
    <col min="4" max="4" width="24" customWidth="1"/>
    <col min="6" max="6" width="13" customWidth="1"/>
    <col min="7" max="7" width="11" customWidth="1"/>
    <col min="8" max="8" width="18.42578125" customWidth="1"/>
  </cols>
  <sheetData>
    <row r="1" spans="1:11" ht="23.25">
      <c r="A1" s="405" t="s">
        <v>383</v>
      </c>
      <c r="B1" s="406"/>
    </row>
    <row r="3" spans="1:11" ht="30">
      <c r="A3" s="401" t="s">
        <v>323</v>
      </c>
      <c r="B3" s="401" t="s">
        <v>370</v>
      </c>
      <c r="C3" s="401" t="s">
        <v>325</v>
      </c>
      <c r="D3" s="402" t="s">
        <v>371</v>
      </c>
      <c r="E3" s="402" t="s">
        <v>372</v>
      </c>
      <c r="F3" s="402" t="s">
        <v>373</v>
      </c>
      <c r="J3" t="s">
        <v>87</v>
      </c>
      <c r="K3">
        <f>'DuPont Model X 5'!C20+'DuPont Model X 5'!E20</f>
        <v>3007.1699999999987</v>
      </c>
    </row>
    <row r="4" spans="1:11">
      <c r="A4" s="399">
        <v>1</v>
      </c>
      <c r="B4" s="401" t="s">
        <v>384</v>
      </c>
      <c r="C4" s="531">
        <f>'DUPONT X 3'!K6</f>
        <v>0.43902974687898566</v>
      </c>
      <c r="D4" s="399">
        <v>10</v>
      </c>
      <c r="E4" s="399">
        <v>1</v>
      </c>
      <c r="F4" s="399"/>
      <c r="J4" t="s">
        <v>380</v>
      </c>
      <c r="K4" s="388">
        <v>9113</v>
      </c>
    </row>
    <row r="5" spans="1:11">
      <c r="A5" s="399">
        <v>2</v>
      </c>
      <c r="B5" s="401" t="s">
        <v>385</v>
      </c>
      <c r="C5" s="531">
        <f>H12/H13</f>
        <v>-0.39691697471461013</v>
      </c>
      <c r="D5" s="399">
        <v>13</v>
      </c>
      <c r="E5" s="399">
        <v>2</v>
      </c>
      <c r="F5" s="399"/>
    </row>
    <row r="6" spans="1:11">
      <c r="A6" s="399">
        <v>4</v>
      </c>
      <c r="B6" s="401" t="s">
        <v>386</v>
      </c>
      <c r="C6" s="531">
        <f>'DUPONT X 3'!K5</f>
        <v>0.10479672773529826</v>
      </c>
      <c r="D6" s="399">
        <v>7</v>
      </c>
      <c r="E6" s="399">
        <v>1</v>
      </c>
      <c r="F6" s="399"/>
    </row>
    <row r="7" spans="1:11">
      <c r="A7" s="399">
        <v>5</v>
      </c>
      <c r="B7" s="401" t="s">
        <v>387</v>
      </c>
      <c r="C7" s="531">
        <f>H12/'Data Sheet'!K17</f>
        <v>0.13984858678004719</v>
      </c>
      <c r="D7" s="403">
        <v>0.1</v>
      </c>
      <c r="E7" s="399">
        <v>2</v>
      </c>
      <c r="F7" s="399"/>
    </row>
    <row r="8" spans="1:11">
      <c r="A8" s="399">
        <v>6</v>
      </c>
      <c r="B8" s="401" t="s">
        <v>530</v>
      </c>
      <c r="C8" s="594">
        <f>('Data Sheet'!K64+'Data Sheet'!K69-'Data Sheet'!K59)/'Data Sheet'!B6</f>
        <v>149.57857044867447</v>
      </c>
    </row>
    <row r="9" spans="1:11">
      <c r="A9" s="399">
        <v>7</v>
      </c>
      <c r="B9" s="632" t="s">
        <v>535</v>
      </c>
      <c r="C9" s="631">
        <f>'Cash Flow'!K11/(Summary!B13+'Data Sheet'!K74-'Balance Sheet'!K19)</f>
        <v>0.10371012060656702</v>
      </c>
    </row>
    <row r="10" spans="1:11">
      <c r="A10" s="399">
        <v>8</v>
      </c>
      <c r="B10" s="632" t="s">
        <v>544</v>
      </c>
      <c r="C10" s="631">
        <f>('Profit &amp; Loss'!K12-'Profit &amp; Loss'!K16-'Profit &amp; Loss'!K22)/('Balance Sheet'!K10+'Balance Sheet'!K16-'Balance Sheet'!K19)</f>
        <v>-0.12408862028364949</v>
      </c>
    </row>
    <row r="11" spans="1:11" ht="26.25">
      <c r="A11" s="404" t="s">
        <v>412</v>
      </c>
    </row>
    <row r="12" spans="1:11">
      <c r="A12" t="s">
        <v>410</v>
      </c>
      <c r="G12" s="407" t="s">
        <v>146</v>
      </c>
      <c r="H12" s="407">
        <f>'Cash Flow'!B12</f>
        <v>2598.4566666666669</v>
      </c>
    </row>
    <row r="13" spans="1:11" ht="30">
      <c r="B13" s="291"/>
      <c r="C13" s="388"/>
      <c r="G13" s="633" t="s">
        <v>388</v>
      </c>
      <c r="H13" s="407">
        <f>'Balance Sheet'!K14-'Balance Sheet'!K7-'Balance Sheet'!K19</f>
        <v>-6546.6</v>
      </c>
    </row>
    <row r="14" spans="1:11">
      <c r="A14" t="s">
        <v>411</v>
      </c>
    </row>
    <row r="15" spans="1:11">
      <c r="C15" s="388"/>
    </row>
    <row r="16" spans="1:11">
      <c r="B16" s="291"/>
    </row>
    <row r="17" spans="1:12">
      <c r="B17" s="291"/>
      <c r="C17" s="388"/>
    </row>
    <row r="18" spans="1:12" ht="115.5" thickBot="1">
      <c r="A18" s="408" t="s">
        <v>209</v>
      </c>
      <c r="B18" s="409" t="s">
        <v>210</v>
      </c>
      <c r="H18" s="412" t="s">
        <v>455</v>
      </c>
    </row>
    <row r="19" spans="1:12">
      <c r="A19" s="410">
        <v>1</v>
      </c>
      <c r="B19" s="410" t="s">
        <v>15</v>
      </c>
      <c r="C19" s="411">
        <f>'Profit &amp; Loss'!G13</f>
        <v>9.7380442199785366E-2</v>
      </c>
      <c r="D19" s="411">
        <f>'Profit &amp; Loss'!H13</f>
        <v>4.5727193075568197E-2</v>
      </c>
      <c r="E19" s="411">
        <f>'Profit &amp; Loss'!I13</f>
        <v>0.13671479475546014</v>
      </c>
      <c r="F19" s="411">
        <f>'Profit &amp; Loss'!J13</f>
        <v>0.19604322452851353</v>
      </c>
      <c r="G19" s="411">
        <f>'Profit &amp; Loss'!K13</f>
        <v>0.11940905788326472</v>
      </c>
      <c r="H19" s="411">
        <f>'Profit &amp; Loss'!L13</f>
        <v>0.12842688898078614</v>
      </c>
    </row>
    <row r="20" spans="1:12">
      <c r="A20" s="410">
        <v>2</v>
      </c>
      <c r="B20" s="410" t="s">
        <v>454</v>
      </c>
      <c r="C20" s="411">
        <f>'Profit &amp; Loss'!G25</f>
        <v>8.5552880122741606E-2</v>
      </c>
      <c r="D20" s="411">
        <f>'Profit &amp; Loss'!H25</f>
        <v>4.2675894924518142E-2</v>
      </c>
      <c r="E20" s="411">
        <f>'Profit &amp; Loss'!I25</f>
        <v>9.3654445780138873E-2</v>
      </c>
      <c r="F20" s="411">
        <f>'Profit &amp; Loss'!J25</f>
        <v>0.1230595461808647</v>
      </c>
      <c r="G20" s="411">
        <f>'Profit &amp; Loss'!K25</f>
        <v>8.9297919862221159E-2</v>
      </c>
      <c r="H20" s="411">
        <f>'Profit &amp; Loss'!L25</f>
        <v>9.7405051414194435E-2</v>
      </c>
    </row>
    <row r="21" spans="1:12" ht="15.75" thickBot="1"/>
    <row r="22" spans="1:12" ht="129" thickBot="1">
      <c r="A22" s="413" t="s">
        <v>215</v>
      </c>
      <c r="B22" s="414" t="s">
        <v>312</v>
      </c>
      <c r="L22" s="397" t="s">
        <v>456</v>
      </c>
    </row>
    <row r="23" spans="1:12">
      <c r="A23">
        <v>1</v>
      </c>
      <c r="B23" s="415" t="s">
        <v>510</v>
      </c>
      <c r="C23" s="416">
        <f>'Profit &amp; Loss'!C27:K27</f>
        <v>4.9199846968219969</v>
      </c>
      <c r="D23" s="416">
        <f>'Profit &amp; Loss'!D27</f>
        <v>-0.49737198049656706</v>
      </c>
      <c r="E23" s="416">
        <f>'Profit &amp; Loss'!E27</f>
        <v>0.18095480215729354</v>
      </c>
      <c r="F23" s="416">
        <f>'Profit &amp; Loss'!F27</f>
        <v>-0.80338233902005951</v>
      </c>
      <c r="G23" s="416">
        <f>'Profit &amp; Loss'!G27</f>
        <v>5.1579070858751486</v>
      </c>
      <c r="H23" s="416">
        <f>'Profit &amp; Loss'!H27</f>
        <v>-0.39745983361910264</v>
      </c>
      <c r="I23" s="416">
        <f>'Profit &amp; Loss'!I27</f>
        <v>1.7490356442739388</v>
      </c>
      <c r="J23" s="416">
        <f>'Profit &amp; Loss'!J27</f>
        <v>-0.87025573375285226</v>
      </c>
      <c r="K23" s="416">
        <f>'Profit &amp; Loss'!K27</f>
        <v>-0.16719285580697096</v>
      </c>
      <c r="L23" s="417">
        <f>AVERAGE(C23:K23)</f>
        <v>1.0302466096036473</v>
      </c>
    </row>
    <row r="24" spans="1:12" ht="15.75" thickBot="1"/>
    <row r="25" spans="1:12" ht="65.25" thickBot="1">
      <c r="A25" s="419" t="s">
        <v>220</v>
      </c>
      <c r="B25" s="420" t="s">
        <v>221</v>
      </c>
    </row>
    <row r="26" spans="1:12">
      <c r="A26" s="415" t="s">
        <v>457</v>
      </c>
      <c r="B26" s="415">
        <f>'Profit &amp; Loss'!B35</f>
        <v>7.5524818214932701</v>
      </c>
    </row>
    <row r="35" spans="1:6">
      <c r="A35" s="385"/>
      <c r="B35" s="385"/>
      <c r="C35" s="385"/>
      <c r="D35" s="386"/>
      <c r="E35" s="386"/>
      <c r="F35" s="386"/>
    </row>
    <row r="36" spans="1:6">
      <c r="C36" s="388"/>
    </row>
    <row r="37" spans="1:6">
      <c r="B37" s="291"/>
      <c r="C37" s="388"/>
    </row>
    <row r="38" spans="1:6">
      <c r="B38" s="291"/>
    </row>
    <row r="39" spans="1:6">
      <c r="C39" s="388"/>
    </row>
    <row r="40" spans="1:6">
      <c r="B40" s="29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BA7A-D8D3-4D2D-BBCA-5B023C20B5D5}">
  <dimension ref="A1:K40"/>
  <sheetViews>
    <sheetView workbookViewId="0">
      <selection activeCell="I20" sqref="I20"/>
    </sheetView>
  </sheetViews>
  <sheetFormatPr defaultRowHeight="15"/>
  <cols>
    <col min="1" max="1" width="19.28515625" customWidth="1"/>
    <col min="2" max="2" width="18.28515625" customWidth="1"/>
    <col min="3" max="3" width="13.85546875" customWidth="1"/>
    <col min="4" max="4" width="24" customWidth="1"/>
    <col min="5" max="5" width="12.28515625" customWidth="1"/>
    <col min="8" max="8" width="18.42578125" customWidth="1"/>
  </cols>
  <sheetData>
    <row r="1" spans="1:11" ht="26.25">
      <c r="A1" s="391" t="s">
        <v>397</v>
      </c>
    </row>
    <row r="3" spans="1:11" ht="45">
      <c r="A3" s="385" t="s">
        <v>323</v>
      </c>
      <c r="B3" s="385" t="s">
        <v>370</v>
      </c>
      <c r="C3" s="385" t="s">
        <v>325</v>
      </c>
      <c r="D3" s="386" t="s">
        <v>371</v>
      </c>
      <c r="E3" s="386" t="s">
        <v>372</v>
      </c>
      <c r="F3" s="386" t="s">
        <v>373</v>
      </c>
      <c r="J3" t="s">
        <v>87</v>
      </c>
      <c r="K3">
        <f>'DuPont Model X 5'!C20+'DuPont Model X 5'!E20</f>
        <v>3007.1699999999987</v>
      </c>
    </row>
    <row r="4" spans="1:11" ht="30">
      <c r="A4">
        <v>1</v>
      </c>
      <c r="B4" s="291" t="s">
        <v>389</v>
      </c>
      <c r="C4" s="388">
        <f>I19/K5</f>
        <v>2.4368450996573889</v>
      </c>
      <c r="D4" t="s">
        <v>390</v>
      </c>
      <c r="E4">
        <v>3</v>
      </c>
      <c r="J4" t="s">
        <v>380</v>
      </c>
      <c r="K4" s="388">
        <v>9113</v>
      </c>
    </row>
    <row r="5" spans="1:11" ht="30">
      <c r="A5">
        <v>2</v>
      </c>
      <c r="B5" t="s">
        <v>391</v>
      </c>
      <c r="C5" s="390">
        <f>'Balance Sheet'!K25</f>
        <v>0.68696185985467895</v>
      </c>
      <c r="D5" t="s">
        <v>392</v>
      </c>
      <c r="E5">
        <v>2</v>
      </c>
      <c r="J5" s="291" t="s">
        <v>511</v>
      </c>
      <c r="K5" s="388">
        <v>1066.32</v>
      </c>
    </row>
    <row r="6" spans="1:11" ht="30">
      <c r="A6">
        <v>3</v>
      </c>
      <c r="B6" t="s">
        <v>393</v>
      </c>
      <c r="C6" s="388">
        <v>2.39</v>
      </c>
      <c r="D6" t="s">
        <v>394</v>
      </c>
      <c r="E6">
        <v>1</v>
      </c>
      <c r="J6" s="291" t="s">
        <v>512</v>
      </c>
      <c r="K6" s="388">
        <v>0</v>
      </c>
    </row>
    <row r="7" spans="1:11" ht="30">
      <c r="A7">
        <v>4</v>
      </c>
      <c r="B7" s="291" t="s">
        <v>395</v>
      </c>
      <c r="C7">
        <f>K3/'Data Sheet'!K27</f>
        <v>7.4040871599162843</v>
      </c>
      <c r="D7" t="s">
        <v>396</v>
      </c>
      <c r="E7">
        <v>2</v>
      </c>
    </row>
    <row r="8" spans="1:11" ht="30">
      <c r="A8">
        <v>5</v>
      </c>
      <c r="B8" s="291" t="s">
        <v>400</v>
      </c>
      <c r="C8" s="388" t="e">
        <f>'Cash Flow'!B12/K6</f>
        <v>#DIV/0!</v>
      </c>
      <c r="D8" t="s">
        <v>390</v>
      </c>
    </row>
    <row r="11" spans="1:11" ht="18.75">
      <c r="A11" s="447" t="s">
        <v>412</v>
      </c>
      <c r="B11" s="447"/>
      <c r="C11" s="447"/>
    </row>
    <row r="12" spans="1:11" ht="18.75">
      <c r="A12" s="447"/>
      <c r="B12" s="447"/>
      <c r="C12" s="447"/>
      <c r="E12" s="532" t="s">
        <v>513</v>
      </c>
      <c r="F12" s="532">
        <v>778.29</v>
      </c>
    </row>
    <row r="13" spans="1:11" ht="30.75">
      <c r="A13" s="447" t="s">
        <v>407</v>
      </c>
      <c r="B13" s="447"/>
      <c r="C13" s="447"/>
      <c r="E13" s="538" t="s">
        <v>514</v>
      </c>
      <c r="F13" s="532">
        <f>Summary!B12</f>
        <v>38.439998341693958</v>
      </c>
    </row>
    <row r="14" spans="1:11" ht="18.75">
      <c r="A14" s="447"/>
      <c r="B14" s="447"/>
      <c r="C14" s="447"/>
      <c r="E14" s="532" t="s">
        <v>515</v>
      </c>
      <c r="F14" s="532">
        <f>F12*F13</f>
        <v>29917.466309356991</v>
      </c>
    </row>
    <row r="15" spans="1:11" ht="18.75">
      <c r="A15" s="447" t="s">
        <v>408</v>
      </c>
      <c r="B15" s="447"/>
      <c r="C15" s="447"/>
      <c r="E15" s="532" t="s">
        <v>516</v>
      </c>
      <c r="F15" s="532">
        <f>'Data Sheet'!K59</f>
        <v>2596.1799999999998</v>
      </c>
    </row>
    <row r="16" spans="1:11" ht="18.75">
      <c r="A16" s="447"/>
      <c r="B16" s="447"/>
      <c r="C16" s="447"/>
    </row>
    <row r="17" spans="1:9" ht="18.75">
      <c r="A17" s="447" t="s">
        <v>409</v>
      </c>
      <c r="B17" s="447"/>
      <c r="C17" s="447"/>
      <c r="F17" s="386"/>
    </row>
    <row r="19" spans="1:9">
      <c r="A19" s="388" t="s">
        <v>492</v>
      </c>
      <c r="B19" s="388"/>
      <c r="C19" s="388"/>
      <c r="D19" s="394" t="s">
        <v>490</v>
      </c>
      <c r="F19" s="394" t="s">
        <v>491</v>
      </c>
      <c r="H19" t="s">
        <v>146</v>
      </c>
      <c r="I19">
        <f>'Cash Flow'!B12</f>
        <v>2598.4566666666669</v>
      </c>
    </row>
    <row r="20" spans="1:9" ht="56.25">
      <c r="A20" s="597" t="s">
        <v>533</v>
      </c>
      <c r="B20" s="597" t="s">
        <v>534</v>
      </c>
      <c r="C20" s="597"/>
      <c r="H20" t="s">
        <v>388</v>
      </c>
      <c r="I20">
        <f>'Data Sheet'!K57+'Data Sheet'!K59</f>
        <v>2957.6499999999996</v>
      </c>
    </row>
    <row r="21" spans="1:9">
      <c r="D21" s="387"/>
    </row>
    <row r="32" spans="1:9" ht="31.5">
      <c r="A32" s="392"/>
    </row>
    <row r="35" spans="1:6">
      <c r="A35" s="385"/>
      <c r="B35" s="385"/>
      <c r="C35" s="385"/>
      <c r="D35" s="386"/>
      <c r="E35" s="386"/>
      <c r="F35" s="386"/>
    </row>
    <row r="36" spans="1:6">
      <c r="C36" s="388"/>
    </row>
    <row r="37" spans="1:6">
      <c r="B37" s="291"/>
      <c r="C37" s="388"/>
    </row>
    <row r="38" spans="1:6">
      <c r="B38" s="291"/>
    </row>
    <row r="39" spans="1:6">
      <c r="C39" s="388"/>
    </row>
    <row r="40" spans="1:6">
      <c r="B40" s="29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20AB5-3E7B-4D45-A642-C9ADFA7B662C}">
  <dimension ref="A2:K31"/>
  <sheetViews>
    <sheetView workbookViewId="0">
      <selection activeCell="B4" sqref="B4"/>
    </sheetView>
  </sheetViews>
  <sheetFormatPr defaultRowHeight="15"/>
  <cols>
    <col min="1" max="1" width="34.5703125" customWidth="1"/>
    <col min="2" max="2" width="46" style="492" bestFit="1" customWidth="1"/>
  </cols>
  <sheetData>
    <row r="2" spans="1:11">
      <c r="B2" s="491">
        <v>39538</v>
      </c>
      <c r="C2" s="246">
        <v>39903</v>
      </c>
      <c r="D2" s="246">
        <v>40268</v>
      </c>
      <c r="E2" s="246">
        <v>40633</v>
      </c>
      <c r="F2" s="246">
        <v>40999</v>
      </c>
      <c r="G2" s="246">
        <v>41364</v>
      </c>
      <c r="H2" s="246">
        <v>41729</v>
      </c>
      <c r="I2" s="246">
        <v>42094</v>
      </c>
      <c r="J2" s="246">
        <v>42460</v>
      </c>
      <c r="K2" s="248">
        <v>42825</v>
      </c>
    </row>
    <row r="3" spans="1:11" ht="18.75">
      <c r="A3" s="500" t="s">
        <v>399</v>
      </c>
      <c r="B3" s="501">
        <f>'Data Sheet'!B17/'Data Sheet'!B68</f>
        <v>28.198174706649283</v>
      </c>
      <c r="C3" s="500">
        <f>'Data Sheet'!C17/'Data Sheet'!C68</f>
        <v>42.651731927710841</v>
      </c>
      <c r="D3" s="500">
        <f>'Data Sheet'!D17/'Data Sheet'!D68</f>
        <v>76.564208051719064</v>
      </c>
      <c r="E3" s="500">
        <f>'Data Sheet'!E17/'Data Sheet'!E68</f>
        <v>85.816431609581372</v>
      </c>
      <c r="F3" s="500">
        <f>'Data Sheet'!F17/'Data Sheet'!F68</f>
        <v>118.37183577962136</v>
      </c>
      <c r="G3" s="500">
        <f>'Data Sheet'!G17/'Data Sheet'!G68</f>
        <v>176.03442999234889</v>
      </c>
      <c r="H3" s="500">
        <f>'Data Sheet'!H17/'Data Sheet'!H68</f>
        <v>165.20404220537969</v>
      </c>
      <c r="I3" s="500">
        <f>'Data Sheet'!I17/'Data Sheet'!I68</f>
        <v>91.765008237232294</v>
      </c>
      <c r="J3" s="500">
        <f>'Data Sheet'!J17/'Data Sheet'!J68</f>
        <v>185.28194237171394</v>
      </c>
      <c r="K3" s="500">
        <f>'Data Sheet'!K17/'Data Sheet'!K68</f>
        <v>113.88599448360404</v>
      </c>
    </row>
    <row r="4" spans="1:11" ht="18.75">
      <c r="A4" s="500" t="s">
        <v>517</v>
      </c>
      <c r="B4" s="501">
        <f>'Data Sheet'!B67*365/'Data Sheet'!B17</f>
        <v>5.2485204364712406</v>
      </c>
      <c r="C4" s="500">
        <f>'Data Sheet'!C67*365/'Data Sheet'!C17</f>
        <v>1.8623270923262982</v>
      </c>
      <c r="D4" s="500">
        <f>'Data Sheet'!D67*365/'Data Sheet'!D17</f>
        <v>2.5286127700078298</v>
      </c>
      <c r="E4" s="500">
        <f>'Data Sheet'!E67*365/'Data Sheet'!E17</f>
        <v>1.5862858752758633</v>
      </c>
      <c r="F4" s="500">
        <f>'Data Sheet'!F67*365/'Data Sheet'!F17</f>
        <v>2.5528603724216756</v>
      </c>
      <c r="G4" s="500">
        <f>'Data Sheet'!G67*365/'Data Sheet'!G17</f>
        <v>2.7175467343541508</v>
      </c>
      <c r="H4" s="500">
        <f>'Data Sheet'!H67*365/'Data Sheet'!H17</f>
        <v>2.9261517481095809</v>
      </c>
      <c r="I4" s="500">
        <f>'Data Sheet'!I67*365/'Data Sheet'!I17</f>
        <v>2.7403819224521628</v>
      </c>
      <c r="J4" s="500">
        <f>'Data Sheet'!J67*365/'Data Sheet'!J17</f>
        <v>3.5530030836603181</v>
      </c>
      <c r="K4" s="500">
        <f>'Data Sheet'!K67*365/'Data Sheet'!K17</f>
        <v>3.1175425849681115</v>
      </c>
    </row>
    <row r="5" spans="1:11" ht="18.75">
      <c r="A5" s="500" t="s">
        <v>459</v>
      </c>
      <c r="B5" s="502">
        <f>'Profit &amp; Loss'!B54</f>
        <v>5.3297190734351902</v>
      </c>
      <c r="C5" s="503">
        <f>'Profit &amp; Loss'!C54</f>
        <v>24.37766300839251</v>
      </c>
      <c r="D5" s="503">
        <f>'Profit &amp; Loss'!D54</f>
        <v>3.1154848738490974</v>
      </c>
      <c r="E5" s="503">
        <f>'Profit &amp; Loss'!E54</f>
        <v>4.6122434246937942</v>
      </c>
      <c r="F5" s="503">
        <f>'Profit &amp; Loss'!F54</f>
        <v>6.2805837405898348</v>
      </c>
      <c r="G5" s="503">
        <f>'Profit &amp; Loss'!G54</f>
        <v>5.2158054022193756</v>
      </c>
      <c r="H5" s="503">
        <f>'Profit &amp; Loss'!H54</f>
        <v>2.8100769217157868</v>
      </c>
      <c r="I5" s="503">
        <f>'Profit &amp; Loss'!I54</f>
        <v>2.8558707475738512</v>
      </c>
      <c r="J5" s="503">
        <f>'Profit &amp; Loss'!J54</f>
        <v>3.3997295367368734</v>
      </c>
      <c r="K5" s="503">
        <f>'Profit &amp; Loss'!K54</f>
        <v>4.8975444404613793</v>
      </c>
    </row>
    <row r="6" spans="1:11" ht="18.75">
      <c r="A6" s="500" t="s">
        <v>398</v>
      </c>
      <c r="B6" s="501"/>
      <c r="C6" s="500"/>
      <c r="D6" s="500"/>
      <c r="E6" s="500"/>
      <c r="F6" s="500">
        <f t="shared" ref="F6:K6" si="0">F7+F9-F10</f>
        <v>-9.9164962459521337</v>
      </c>
      <c r="G6" s="500">
        <f t="shared" si="0"/>
        <v>-11.926541983770651</v>
      </c>
      <c r="H6" s="500">
        <f t="shared" si="0"/>
        <v>-12.790610961284855</v>
      </c>
      <c r="I6" s="500">
        <f t="shared" si="0"/>
        <v>-16.022449003040499</v>
      </c>
      <c r="J6" s="500">
        <f t="shared" si="0"/>
        <v>-23.030029287647825</v>
      </c>
      <c r="K6" s="500">
        <f t="shared" si="0"/>
        <v>-22.795040499448348</v>
      </c>
    </row>
    <row r="7" spans="1:11" ht="18.75">
      <c r="A7" s="500" t="s">
        <v>399</v>
      </c>
      <c r="B7" s="501">
        <f>'Balance Sheet'!B18/'OP EFFICIENCY'!B8</f>
        <v>12.944100240429073</v>
      </c>
      <c r="C7" s="500">
        <f>'Balance Sheet'!C18/'OP EFFICIENCY'!C8</f>
        <v>8.5576829709665176</v>
      </c>
      <c r="D7" s="500">
        <f>'Balance Sheet'!D18/'OP EFFICIENCY'!D8</f>
        <v>4.7672405852280582</v>
      </c>
      <c r="E7" s="500">
        <f>'Balance Sheet'!E18/'OP EFFICIENCY'!E8</f>
        <v>4.2532647087978876</v>
      </c>
      <c r="F7" s="500">
        <f>'Balance Sheet'!F18/'OP EFFICIENCY'!F8</f>
        <v>3.0835037540478663</v>
      </c>
      <c r="G7" s="500">
        <f>'Balance Sheet'!G18/'OP EFFICIENCY'!G8</f>
        <v>2.0734580162293494</v>
      </c>
      <c r="H7" s="500">
        <f>'Balance Sheet'!H18/'OP EFFICIENCY'!H8</f>
        <v>2.2093890387151447</v>
      </c>
      <c r="I7" s="500">
        <f>'Balance Sheet'!I18/'OP EFFICIENCY'!I8</f>
        <v>3.9775509969594998</v>
      </c>
      <c r="J7" s="500">
        <f>'Balance Sheet'!J18/'OP EFFICIENCY'!J8</f>
        <v>1.9699707123521755</v>
      </c>
      <c r="K7" s="500">
        <f>'Balance Sheet'!K18/'OP EFFICIENCY'!K8</f>
        <v>3.204959500551654</v>
      </c>
    </row>
    <row r="8" spans="1:11" ht="18.75">
      <c r="A8" s="500" t="s">
        <v>505</v>
      </c>
      <c r="B8" s="501">
        <f>'Profit &amp; Loss'!B4/365</f>
        <v>0.59254794520547949</v>
      </c>
      <c r="C8" s="500">
        <f>'Profit &amp; Loss'!C4/365</f>
        <v>3.1036438356164382</v>
      </c>
      <c r="D8" s="500">
        <f>'Profit &amp; Loss'!D4/365</f>
        <v>7.1383013698630133</v>
      </c>
      <c r="E8" s="500">
        <f>'Profit &amp; Loss'!E4/365</f>
        <v>10.502520547945206</v>
      </c>
      <c r="F8" s="500">
        <f>'Profit &amp; Loss'!F4/365</f>
        <v>15.245643835616438</v>
      </c>
      <c r="G8" s="500">
        <f>'Profit &amp; Loss'!G4/365</f>
        <v>25.213917808219179</v>
      </c>
      <c r="H8" s="500">
        <f>'Profit &amp; Loss'!H4/365</f>
        <v>30.456383561643836</v>
      </c>
      <c r="I8" s="500">
        <f>'Profit &amp; Loss'!I4/365</f>
        <v>38.151616438356164</v>
      </c>
      <c r="J8" s="500">
        <f>'Profit &amp; Loss'!J4/365</f>
        <v>44.218931506849316</v>
      </c>
      <c r="K8" s="500">
        <f>'Profit &amp; Loss'!K4/365</f>
        <v>50.905479452054792</v>
      </c>
    </row>
    <row r="9" spans="1:11" ht="18.75">
      <c r="A9" s="500"/>
      <c r="B9" s="501"/>
      <c r="C9" s="500"/>
      <c r="D9" s="500"/>
      <c r="E9" s="500"/>
      <c r="F9" s="500"/>
      <c r="G9" s="500"/>
      <c r="H9" s="500"/>
      <c r="I9" s="500"/>
      <c r="J9" s="500"/>
      <c r="K9" s="500"/>
    </row>
    <row r="10" spans="1:11" ht="18.75">
      <c r="A10" s="500" t="s">
        <v>506</v>
      </c>
      <c r="B10" s="501"/>
      <c r="C10" s="500"/>
      <c r="D10" s="500"/>
      <c r="E10" s="500"/>
      <c r="F10" s="500">
        <v>13</v>
      </c>
      <c r="G10" s="500">
        <v>14</v>
      </c>
      <c r="H10" s="500">
        <v>15</v>
      </c>
      <c r="I10" s="500">
        <v>20</v>
      </c>
      <c r="J10" s="500">
        <v>25</v>
      </c>
      <c r="K10" s="500">
        <v>26</v>
      </c>
    </row>
    <row r="11" spans="1:11" ht="18.75">
      <c r="A11" s="500" t="s">
        <v>507</v>
      </c>
      <c r="B11" s="501">
        <f>'Cash Flow'!B4/'Data Sheet'!B66</f>
        <v>0</v>
      </c>
      <c r="C11" s="500">
        <f>'Cash Flow'!C4/'Data Sheet'!C66</f>
        <v>0</v>
      </c>
      <c r="D11" s="500">
        <f>'Cash Flow'!D4/'Data Sheet'!D66</f>
        <v>0.29095563901055282</v>
      </c>
      <c r="E11" s="500">
        <f>'Cash Flow'!E4/'Data Sheet'!E66</f>
        <v>0.2986795458048605</v>
      </c>
      <c r="F11" s="500">
        <f>'Cash Flow'!F4/'Data Sheet'!F66</f>
        <v>0.23497991378134866</v>
      </c>
      <c r="G11" s="500">
        <f>'Cash Flow'!G4/'Data Sheet'!G66</f>
        <v>0.28907961318544084</v>
      </c>
      <c r="H11" s="500">
        <f>'Cash Flow'!H4/'Data Sheet'!H66</f>
        <v>0.17174720148851955</v>
      </c>
      <c r="I11" s="500">
        <f>'Cash Flow'!I4/'Data Sheet'!I66</f>
        <v>0.22000686633171768</v>
      </c>
      <c r="J11" s="500">
        <f>'Cash Flow'!J4/'Data Sheet'!J66</f>
        <v>0.23689670877106012</v>
      </c>
      <c r="K11" s="500">
        <f>'Cash Flow'!K4/'Data Sheet'!K66</f>
        <v>0.23888075510691328</v>
      </c>
    </row>
    <row r="15" spans="1:11" ht="127.5">
      <c r="A15" s="418" t="s">
        <v>216</v>
      </c>
      <c r="B15" s="493" t="s">
        <v>217</v>
      </c>
    </row>
    <row r="16" spans="1:11" ht="15.75" thickBot="1"/>
    <row r="17" spans="1:2" ht="90" thickBot="1">
      <c r="A17" s="413" t="s">
        <v>218</v>
      </c>
      <c r="B17" s="494" t="s">
        <v>219</v>
      </c>
    </row>
    <row r="18" spans="1:2" ht="15.75" thickBot="1"/>
    <row r="19" spans="1:2" ht="90" thickBot="1">
      <c r="A19" s="421" t="s">
        <v>222</v>
      </c>
      <c r="B19" s="495" t="s">
        <v>313</v>
      </c>
    </row>
    <row r="20" spans="1:2">
      <c r="A20" s="388"/>
      <c r="B20" s="496"/>
    </row>
    <row r="21" spans="1:2">
      <c r="A21" s="422"/>
      <c r="B21" s="497"/>
    </row>
    <row r="23" spans="1:2" ht="15.75" thickBot="1"/>
    <row r="24" spans="1:2" ht="64.5" thickBot="1">
      <c r="A24" s="423" t="s">
        <v>223</v>
      </c>
      <c r="B24" s="498" t="s">
        <v>224</v>
      </c>
    </row>
    <row r="26" spans="1:2">
      <c r="A26" s="470" t="s">
        <v>476</v>
      </c>
      <c r="B26" s="499"/>
    </row>
    <row r="27" spans="1:2">
      <c r="A27" s="468" t="s">
        <v>477</v>
      </c>
      <c r="B27" s="499"/>
    </row>
    <row r="28" spans="1:2" ht="15.75">
      <c r="A28" s="469" t="s">
        <v>478</v>
      </c>
      <c r="B28" s="499"/>
    </row>
    <row r="29" spans="1:2">
      <c r="A29" s="468" t="s">
        <v>479</v>
      </c>
      <c r="B29" s="499"/>
    </row>
    <row r="31" spans="1:2" ht="37.5">
      <c r="A31" s="452" t="s">
        <v>508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Instructions</vt:lpstr>
      <vt:lpstr>Summary</vt:lpstr>
      <vt:lpstr>Checklist</vt:lpstr>
      <vt:lpstr>Balance Sheet</vt:lpstr>
      <vt:lpstr>GROWTH</vt:lpstr>
      <vt:lpstr>Profit &amp; Loss</vt:lpstr>
      <vt:lpstr>PROFITABILITY</vt:lpstr>
      <vt:lpstr>DEBT COVERAGE</vt:lpstr>
      <vt:lpstr>OP EFFICIENCY</vt:lpstr>
      <vt:lpstr>Common Size Analysis</vt:lpstr>
      <vt:lpstr>MANAGEMENT</vt:lpstr>
      <vt:lpstr>VALUATION</vt:lpstr>
      <vt:lpstr>ddm3st.xls</vt:lpstr>
      <vt:lpstr>EPV Valuation</vt:lpstr>
      <vt:lpstr>Dhandho IV</vt:lpstr>
      <vt:lpstr>Ben Graham Formula</vt:lpstr>
      <vt:lpstr>DCF</vt:lpstr>
      <vt:lpstr>Expected Returns</vt:lpstr>
      <vt:lpstr>NNWC</vt:lpstr>
      <vt:lpstr>DuPont Model X 5</vt:lpstr>
      <vt:lpstr>DUPONT X 3</vt:lpstr>
      <vt:lpstr>Intrinsic Values</vt:lpstr>
      <vt:lpstr>Quarters</vt:lpstr>
      <vt:lpstr>Data Sheet</vt:lpstr>
      <vt:lpstr>Customization</vt:lpstr>
      <vt:lpstr>Cash Flow</vt:lpstr>
      <vt:lpstr>FINAL CHECKS</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sumit sharma</cp:lastModifiedBy>
  <cp:lastPrinted>2012-12-06T18:14:13Z</cp:lastPrinted>
  <dcterms:created xsi:type="dcterms:W3CDTF">2012-08-17T09:55:37Z</dcterms:created>
  <dcterms:modified xsi:type="dcterms:W3CDTF">2018-05-03T11:46:31Z</dcterms:modified>
</cp:coreProperties>
</file>