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0" yWindow="0" windowWidth="21840" windowHeight="13740" tabRatio="915"/>
  </bookViews>
  <sheets>
    <sheet name="StandAlone" sheetId="1" r:id="rId1"/>
    <sheet name="StandAlone %" sheetId="4" r:id="rId2"/>
    <sheet name="Consolidated" sheetId="5" r:id="rId3"/>
    <sheet name="Consolidated %" sheetId="6" r:id="rId4"/>
    <sheet name="Evaluation Ratios" sheetId="3" r:id="rId5"/>
    <sheet name="Fund Flow Analysis" sheetId="13" r:id="rId6"/>
    <sheet name="Earnings Projection" sheetId="10" r:id="rId7"/>
    <sheet name="Depreciation" sheetId="8" r:id="rId8"/>
    <sheet name="Pricing Model" sheetId="12" r:id="rId9"/>
    <sheet name="Trendline Projection Calculatio" sheetId="9" r:id="rId10"/>
    <sheet name="Research Report Data" sheetId="14" r:id="rId11"/>
  </sheets>
  <externalReferences>
    <externalReference r:id="rId12"/>
  </externalReference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07" i="1"/>
  <c r="G107"/>
  <c r="H107"/>
  <c r="I107"/>
  <c r="J107"/>
  <c r="K107"/>
  <c r="E107"/>
  <c r="J40" i="14"/>
  <c r="H40"/>
  <c r="G40"/>
  <c r="F40"/>
  <c r="E40"/>
  <c r="D40"/>
  <c r="C40"/>
  <c r="B40"/>
  <c r="J39"/>
  <c r="H39"/>
  <c r="G39"/>
  <c r="F39"/>
  <c r="E39"/>
  <c r="D39"/>
  <c r="C39"/>
  <c r="B39"/>
  <c r="J38"/>
  <c r="H38"/>
  <c r="G38"/>
  <c r="F38"/>
  <c r="E38"/>
  <c r="D38"/>
  <c r="C38"/>
  <c r="B38"/>
  <c r="J37"/>
  <c r="H37"/>
  <c r="G37"/>
  <c r="F37"/>
  <c r="E37"/>
  <c r="D37"/>
  <c r="C37"/>
  <c r="B37"/>
  <c r="H35"/>
  <c r="G35"/>
  <c r="F35"/>
  <c r="E35"/>
  <c r="D35"/>
  <c r="C35"/>
  <c r="B35"/>
  <c r="H34"/>
  <c r="G34"/>
  <c r="F34"/>
  <c r="E34"/>
  <c r="D34"/>
  <c r="C34"/>
  <c r="B34"/>
  <c r="H33"/>
  <c r="G33"/>
  <c r="F33"/>
  <c r="E33"/>
  <c r="D33"/>
  <c r="C33"/>
  <c r="B33"/>
  <c r="H32"/>
  <c r="G32"/>
  <c r="F32"/>
  <c r="E32"/>
  <c r="D32"/>
  <c r="C32"/>
  <c r="B32"/>
  <c r="H30"/>
  <c r="G30"/>
  <c r="F30"/>
  <c r="E30"/>
  <c r="D30"/>
  <c r="C30"/>
  <c r="B30"/>
  <c r="H29"/>
  <c r="G29"/>
  <c r="F29"/>
  <c r="E29"/>
  <c r="D29"/>
  <c r="C29"/>
  <c r="B29"/>
  <c r="H28"/>
  <c r="G28"/>
  <c r="F28"/>
  <c r="E28"/>
  <c r="D28"/>
  <c r="C28"/>
  <c r="B28"/>
  <c r="H26"/>
  <c r="G26"/>
  <c r="F26"/>
  <c r="E26"/>
  <c r="D26"/>
  <c r="C26"/>
  <c r="B26"/>
  <c r="H25"/>
  <c r="G25"/>
  <c r="F25"/>
  <c r="E25"/>
  <c r="D25"/>
  <c r="C25"/>
  <c r="B25"/>
  <c r="H24"/>
  <c r="G24"/>
  <c r="F24"/>
  <c r="E24"/>
  <c r="D24"/>
  <c r="C24"/>
  <c r="B24"/>
  <c r="H23"/>
  <c r="G23"/>
  <c r="F23"/>
  <c r="E23"/>
  <c r="D23"/>
  <c r="C23"/>
  <c r="B23"/>
  <c r="H22"/>
  <c r="G22"/>
  <c r="F22"/>
  <c r="E22"/>
  <c r="D22"/>
  <c r="C22"/>
  <c r="B22"/>
  <c r="G21"/>
  <c r="F21"/>
  <c r="E21"/>
  <c r="D21"/>
  <c r="C21"/>
  <c r="B21"/>
  <c r="G19"/>
  <c r="F19"/>
  <c r="E19"/>
  <c r="D19"/>
  <c r="C19"/>
  <c r="B19"/>
  <c r="H18"/>
  <c r="G18"/>
  <c r="F18"/>
  <c r="E18"/>
  <c r="D18"/>
  <c r="C18"/>
  <c r="B18"/>
  <c r="G17"/>
  <c r="F17"/>
  <c r="E17"/>
  <c r="D17"/>
  <c r="C17"/>
  <c r="B17"/>
  <c r="F16"/>
  <c r="E16"/>
  <c r="D16"/>
  <c r="C16"/>
  <c r="B16"/>
  <c r="J14"/>
  <c r="H13"/>
  <c r="G13"/>
  <c r="F13"/>
  <c r="E13"/>
  <c r="D13"/>
  <c r="C13"/>
  <c r="B13"/>
  <c r="J12"/>
  <c r="H12"/>
  <c r="G12"/>
  <c r="F12"/>
  <c r="E12"/>
  <c r="D12"/>
  <c r="C12"/>
  <c r="B12"/>
  <c r="J11"/>
  <c r="H11"/>
  <c r="G11"/>
  <c r="F11"/>
  <c r="E11"/>
  <c r="D11"/>
  <c r="C11"/>
  <c r="B11"/>
  <c r="H9"/>
  <c r="G9"/>
  <c r="F9"/>
  <c r="E9"/>
  <c r="D9"/>
  <c r="C9"/>
  <c r="B9"/>
  <c r="J8"/>
  <c r="I8"/>
  <c r="H8"/>
  <c r="G8"/>
  <c r="F8"/>
  <c r="E8"/>
  <c r="D8"/>
  <c r="C8"/>
  <c r="B8"/>
  <c r="H7"/>
  <c r="G7"/>
  <c r="F7"/>
  <c r="E7"/>
  <c r="D7"/>
  <c r="C7"/>
  <c r="B7"/>
  <c r="H6"/>
  <c r="G6"/>
  <c r="F6"/>
  <c r="E6"/>
  <c r="D6"/>
  <c r="C6"/>
  <c r="B6"/>
  <c r="I5"/>
  <c r="H5"/>
  <c r="G5"/>
  <c r="F5"/>
  <c r="E5"/>
  <c r="D5"/>
  <c r="C5"/>
  <c r="B5"/>
  <c r="H4"/>
  <c r="G4"/>
  <c r="F4"/>
  <c r="E4"/>
  <c r="D4"/>
  <c r="C4"/>
  <c r="B4"/>
  <c r="I3"/>
  <c r="H3"/>
  <c r="G3"/>
  <c r="F3"/>
  <c r="E3"/>
  <c r="D3"/>
  <c r="C3"/>
  <c r="B3"/>
  <c r="H2"/>
  <c r="G2"/>
  <c r="F2"/>
  <c r="E2"/>
  <c r="D2"/>
  <c r="C2"/>
  <c r="B2"/>
  <c r="K47" i="9"/>
  <c r="I47"/>
  <c r="G47"/>
  <c r="F47"/>
  <c r="E47"/>
  <c r="D47"/>
  <c r="C47"/>
  <c r="B47"/>
  <c r="K45"/>
  <c r="I45"/>
  <c r="G45"/>
  <c r="F45"/>
  <c r="E45"/>
  <c r="D45"/>
  <c r="C45"/>
  <c r="B45"/>
  <c r="K43"/>
  <c r="I43"/>
  <c r="G43"/>
  <c r="F43"/>
  <c r="E43"/>
  <c r="D43"/>
  <c r="C43"/>
  <c r="B43"/>
  <c r="K41"/>
  <c r="I41"/>
  <c r="G41"/>
  <c r="F41"/>
  <c r="E41"/>
  <c r="D41"/>
  <c r="C41"/>
  <c r="B41"/>
  <c r="K40"/>
  <c r="I40"/>
  <c r="G40"/>
  <c r="F40"/>
  <c r="E40"/>
  <c r="D40"/>
  <c r="C40"/>
  <c r="B40"/>
  <c r="K38"/>
  <c r="I38"/>
  <c r="G38"/>
  <c r="F38"/>
  <c r="E38"/>
  <c r="D38"/>
  <c r="C38"/>
  <c r="B38"/>
  <c r="K37"/>
  <c r="I37"/>
  <c r="G37"/>
  <c r="F37"/>
  <c r="E37"/>
  <c r="D37"/>
  <c r="C37"/>
  <c r="B37"/>
  <c r="K36"/>
  <c r="I36"/>
  <c r="G36"/>
  <c r="F36"/>
  <c r="E36"/>
  <c r="D36"/>
  <c r="C36"/>
  <c r="B36"/>
  <c r="K34"/>
  <c r="I34"/>
  <c r="G34"/>
  <c r="F34"/>
  <c r="E34"/>
  <c r="D34"/>
  <c r="C34"/>
  <c r="B34"/>
  <c r="K33"/>
  <c r="I33"/>
  <c r="G33"/>
  <c r="F33"/>
  <c r="E33"/>
  <c r="D33"/>
  <c r="C33"/>
  <c r="B33"/>
  <c r="K32"/>
  <c r="I32"/>
  <c r="G32"/>
  <c r="F32"/>
  <c r="E32"/>
  <c r="D32"/>
  <c r="C32"/>
  <c r="B32"/>
  <c r="K30"/>
  <c r="I30"/>
  <c r="G30"/>
  <c r="F30"/>
  <c r="E30"/>
  <c r="D30"/>
  <c r="C30"/>
  <c r="B30"/>
  <c r="K29"/>
  <c r="I29"/>
  <c r="G29"/>
  <c r="F29"/>
  <c r="E29"/>
  <c r="D29"/>
  <c r="C29"/>
  <c r="B29"/>
  <c r="K28"/>
  <c r="I28"/>
  <c r="G28"/>
  <c r="F28"/>
  <c r="E28"/>
  <c r="D28"/>
  <c r="C28"/>
  <c r="B28"/>
  <c r="K27"/>
  <c r="I27"/>
  <c r="G27"/>
  <c r="F27"/>
  <c r="E27"/>
  <c r="D27"/>
  <c r="C27"/>
  <c r="B27"/>
  <c r="K26"/>
  <c r="I26"/>
  <c r="G26"/>
  <c r="F26"/>
  <c r="E26"/>
  <c r="D26"/>
  <c r="C26"/>
  <c r="B26"/>
  <c r="K22"/>
  <c r="I22"/>
  <c r="G22"/>
  <c r="F22"/>
  <c r="E22"/>
  <c r="D22"/>
  <c r="C22"/>
  <c r="B22"/>
  <c r="K20"/>
  <c r="I20"/>
  <c r="G20"/>
  <c r="F20"/>
  <c r="E20"/>
  <c r="D20"/>
  <c r="C20"/>
  <c r="B20"/>
  <c r="G18"/>
  <c r="F18"/>
  <c r="C18"/>
  <c r="K17"/>
  <c r="I17"/>
  <c r="G17"/>
  <c r="F17"/>
  <c r="E17"/>
  <c r="D17"/>
  <c r="C17"/>
  <c r="B17"/>
  <c r="K15"/>
  <c r="I15"/>
  <c r="G15"/>
  <c r="F15"/>
  <c r="E15"/>
  <c r="D15"/>
  <c r="C15"/>
  <c r="B15"/>
  <c r="K14"/>
  <c r="I14"/>
  <c r="G14"/>
  <c r="F14"/>
  <c r="E14"/>
  <c r="D14"/>
  <c r="C14"/>
  <c r="B14"/>
  <c r="K13"/>
  <c r="I13"/>
  <c r="G13"/>
  <c r="F13"/>
  <c r="E13"/>
  <c r="D13"/>
  <c r="C13"/>
  <c r="B13"/>
  <c r="K11"/>
  <c r="I11"/>
  <c r="G11"/>
  <c r="F11"/>
  <c r="E11"/>
  <c r="D11"/>
  <c r="C11"/>
  <c r="B11"/>
  <c r="K10"/>
  <c r="I10"/>
  <c r="G10"/>
  <c r="F10"/>
  <c r="E10"/>
  <c r="D10"/>
  <c r="C10"/>
  <c r="B10"/>
  <c r="K9"/>
  <c r="I9"/>
  <c r="G9"/>
  <c r="F9"/>
  <c r="E9"/>
  <c r="D9"/>
  <c r="C9"/>
  <c r="B9"/>
  <c r="K7"/>
  <c r="I7"/>
  <c r="G7"/>
  <c r="F7"/>
  <c r="E7"/>
  <c r="D7"/>
  <c r="C7"/>
  <c r="B7"/>
  <c r="K6"/>
  <c r="I6"/>
  <c r="G6"/>
  <c r="F6"/>
  <c r="E6"/>
  <c r="D6"/>
  <c r="C6"/>
  <c r="B6"/>
  <c r="K5"/>
  <c r="I5"/>
  <c r="G5"/>
  <c r="F5"/>
  <c r="E5"/>
  <c r="D5"/>
  <c r="C5"/>
  <c r="B5"/>
  <c r="K4"/>
  <c r="I4"/>
  <c r="G4"/>
  <c r="F4"/>
  <c r="E4"/>
  <c r="D4"/>
  <c r="C4"/>
  <c r="B4"/>
  <c r="K3"/>
  <c r="I3"/>
  <c r="G3"/>
  <c r="F3"/>
  <c r="E3"/>
  <c r="D3"/>
  <c r="C3"/>
  <c r="B3"/>
  <c r="H4" i="12"/>
  <c r="G4"/>
  <c r="E4"/>
  <c r="D4"/>
  <c r="I60" i="8"/>
  <c r="H60"/>
  <c r="G60"/>
  <c r="F60"/>
  <c r="E60"/>
  <c r="D60"/>
  <c r="H59"/>
  <c r="G59"/>
  <c r="F59"/>
  <c r="E59"/>
  <c r="D59"/>
  <c r="I55"/>
  <c r="H55"/>
  <c r="G55"/>
  <c r="F55"/>
  <c r="E55"/>
  <c r="D55"/>
  <c r="I53"/>
  <c r="H53"/>
  <c r="G53"/>
  <c r="F53"/>
  <c r="E53"/>
  <c r="D53"/>
  <c r="H50"/>
  <c r="G50"/>
  <c r="F50"/>
  <c r="E50"/>
  <c r="D50"/>
  <c r="H48"/>
  <c r="G48"/>
  <c r="F48"/>
  <c r="E48"/>
  <c r="D48"/>
  <c r="H44"/>
  <c r="G44"/>
  <c r="F44"/>
  <c r="E44"/>
  <c r="D44"/>
  <c r="I42"/>
  <c r="H42"/>
  <c r="G42"/>
  <c r="F42"/>
  <c r="E42"/>
  <c r="D42"/>
  <c r="H39"/>
  <c r="G39"/>
  <c r="F39"/>
  <c r="E39"/>
  <c r="D39"/>
  <c r="H37"/>
  <c r="G37"/>
  <c r="F37"/>
  <c r="E37"/>
  <c r="D37"/>
  <c r="H33"/>
  <c r="G33"/>
  <c r="F33"/>
  <c r="E33"/>
  <c r="D33"/>
  <c r="I29"/>
  <c r="H29"/>
  <c r="G29"/>
  <c r="F29"/>
  <c r="E29"/>
  <c r="D29"/>
  <c r="H28"/>
  <c r="G28"/>
  <c r="F28"/>
  <c r="E28"/>
  <c r="D28"/>
  <c r="I24"/>
  <c r="H24"/>
  <c r="G24"/>
  <c r="F24"/>
  <c r="E24"/>
  <c r="D24"/>
  <c r="I22"/>
  <c r="H22"/>
  <c r="G22"/>
  <c r="F22"/>
  <c r="E22"/>
  <c r="D22"/>
  <c r="H19"/>
  <c r="G19"/>
  <c r="F19"/>
  <c r="E19"/>
  <c r="D19"/>
  <c r="H17"/>
  <c r="G17"/>
  <c r="F17"/>
  <c r="E17"/>
  <c r="D17"/>
  <c r="H13"/>
  <c r="G13"/>
  <c r="F13"/>
  <c r="E13"/>
  <c r="D13"/>
  <c r="I11"/>
  <c r="H11"/>
  <c r="G11"/>
  <c r="F11"/>
  <c r="E11"/>
  <c r="D11"/>
  <c r="H8"/>
  <c r="G8"/>
  <c r="F8"/>
  <c r="E8"/>
  <c r="D8"/>
  <c r="H6"/>
  <c r="G6"/>
  <c r="F6"/>
  <c r="E6"/>
  <c r="D6"/>
  <c r="H2"/>
  <c r="G2"/>
  <c r="F2"/>
  <c r="E2"/>
  <c r="D2"/>
  <c r="I32" i="10"/>
  <c r="H32"/>
  <c r="G32"/>
  <c r="I30"/>
  <c r="H30"/>
  <c r="G30"/>
  <c r="E30"/>
  <c r="D30"/>
  <c r="C30"/>
  <c r="I28"/>
  <c r="H28"/>
  <c r="G28"/>
  <c r="I26"/>
  <c r="H26"/>
  <c r="G26"/>
  <c r="I25"/>
  <c r="H25"/>
  <c r="G25"/>
  <c r="E25"/>
  <c r="D25"/>
  <c r="C25"/>
  <c r="I23"/>
  <c r="H23"/>
  <c r="G23"/>
  <c r="E23"/>
  <c r="D23"/>
  <c r="C23"/>
  <c r="I21"/>
  <c r="H21"/>
  <c r="G21"/>
  <c r="E21"/>
  <c r="D21"/>
  <c r="C21"/>
  <c r="I20"/>
  <c r="H20"/>
  <c r="G20"/>
  <c r="E20"/>
  <c r="D20"/>
  <c r="C20"/>
  <c r="I18"/>
  <c r="H18"/>
  <c r="G18"/>
  <c r="E18"/>
  <c r="D18"/>
  <c r="C18"/>
  <c r="I16"/>
  <c r="H16"/>
  <c r="G16"/>
  <c r="E16"/>
  <c r="D16"/>
  <c r="C16"/>
  <c r="I14"/>
  <c r="H14"/>
  <c r="G14"/>
  <c r="E14"/>
  <c r="D14"/>
  <c r="C14"/>
  <c r="I13"/>
  <c r="H13"/>
  <c r="G13"/>
  <c r="E13"/>
  <c r="D13"/>
  <c r="C13"/>
  <c r="I12"/>
  <c r="H12"/>
  <c r="G12"/>
  <c r="E12"/>
  <c r="D12"/>
  <c r="C12"/>
  <c r="I11"/>
  <c r="H11"/>
  <c r="G11"/>
  <c r="E11"/>
  <c r="D11"/>
  <c r="C11"/>
  <c r="I10"/>
  <c r="H10"/>
  <c r="G10"/>
  <c r="E10"/>
  <c r="D10"/>
  <c r="C10"/>
  <c r="I3"/>
  <c r="H3"/>
  <c r="E3"/>
  <c r="D3"/>
  <c r="P25" i="13"/>
  <c r="O25"/>
  <c r="N25"/>
  <c r="M25"/>
  <c r="L25"/>
  <c r="K25"/>
  <c r="G25"/>
  <c r="F25"/>
  <c r="E25"/>
  <c r="D25"/>
  <c r="C25"/>
  <c r="B25"/>
  <c r="A25"/>
  <c r="P24"/>
  <c r="O24"/>
  <c r="N24"/>
  <c r="M24"/>
  <c r="L24"/>
  <c r="K24"/>
  <c r="G24"/>
  <c r="F24"/>
  <c r="E24"/>
  <c r="D24"/>
  <c r="C24"/>
  <c r="B24"/>
  <c r="A24"/>
  <c r="P23"/>
  <c r="O23"/>
  <c r="N23"/>
  <c r="M23"/>
  <c r="L23"/>
  <c r="K23"/>
  <c r="G23"/>
  <c r="F23"/>
  <c r="E23"/>
  <c r="D23"/>
  <c r="C23"/>
  <c r="B23"/>
  <c r="A23"/>
  <c r="P22"/>
  <c r="O22"/>
  <c r="N22"/>
  <c r="M22"/>
  <c r="L22"/>
  <c r="K22"/>
  <c r="G22"/>
  <c r="F22"/>
  <c r="E22"/>
  <c r="D22"/>
  <c r="C22"/>
  <c r="B22"/>
  <c r="A22"/>
  <c r="P21"/>
  <c r="O21"/>
  <c r="N21"/>
  <c r="M21"/>
  <c r="L21"/>
  <c r="K21"/>
  <c r="G21"/>
  <c r="F21"/>
  <c r="E21"/>
  <c r="D21"/>
  <c r="C21"/>
  <c r="B21"/>
  <c r="A21"/>
  <c r="P19"/>
  <c r="O19"/>
  <c r="N19"/>
  <c r="M19"/>
  <c r="L19"/>
  <c r="K19"/>
  <c r="G19"/>
  <c r="F19"/>
  <c r="E19"/>
  <c r="D19"/>
  <c r="C19"/>
  <c r="B19"/>
  <c r="A19"/>
  <c r="P18"/>
  <c r="O18"/>
  <c r="N18"/>
  <c r="M18"/>
  <c r="L18"/>
  <c r="K18"/>
  <c r="G18"/>
  <c r="F18"/>
  <c r="E18"/>
  <c r="D18"/>
  <c r="C18"/>
  <c r="B18"/>
  <c r="A18"/>
  <c r="P17"/>
  <c r="O17"/>
  <c r="N17"/>
  <c r="M17"/>
  <c r="L17"/>
  <c r="K17"/>
  <c r="G17"/>
  <c r="F17"/>
  <c r="E17"/>
  <c r="D17"/>
  <c r="C17"/>
  <c r="B17"/>
  <c r="A17"/>
  <c r="P16"/>
  <c r="O16"/>
  <c r="N16"/>
  <c r="M16"/>
  <c r="L16"/>
  <c r="K16"/>
  <c r="G16"/>
  <c r="F16"/>
  <c r="E16"/>
  <c r="D16"/>
  <c r="C16"/>
  <c r="B16"/>
  <c r="A16"/>
  <c r="P15"/>
  <c r="O15"/>
  <c r="N15"/>
  <c r="M15"/>
  <c r="L15"/>
  <c r="K15"/>
  <c r="G15"/>
  <c r="F15"/>
  <c r="E15"/>
  <c r="D15"/>
  <c r="C15"/>
  <c r="B15"/>
  <c r="A15"/>
  <c r="P14"/>
  <c r="O14"/>
  <c r="N14"/>
  <c r="M14"/>
  <c r="L14"/>
  <c r="K14"/>
  <c r="G14"/>
  <c r="F14"/>
  <c r="E14"/>
  <c r="D14"/>
  <c r="C14"/>
  <c r="B14"/>
  <c r="A14"/>
  <c r="P13"/>
  <c r="O13"/>
  <c r="N13"/>
  <c r="M13"/>
  <c r="L13"/>
  <c r="K13"/>
  <c r="G13"/>
  <c r="F13"/>
  <c r="E13"/>
  <c r="D13"/>
  <c r="C13"/>
  <c r="B13"/>
  <c r="A13"/>
  <c r="P12"/>
  <c r="O12"/>
  <c r="N12"/>
  <c r="M12"/>
  <c r="L12"/>
  <c r="K12"/>
  <c r="G12"/>
  <c r="F12"/>
  <c r="E12"/>
  <c r="D12"/>
  <c r="C12"/>
  <c r="B12"/>
  <c r="A12"/>
  <c r="P10"/>
  <c r="O10"/>
  <c r="N10"/>
  <c r="M10"/>
  <c r="L10"/>
  <c r="K10"/>
  <c r="G10"/>
  <c r="F10"/>
  <c r="E10"/>
  <c r="D10"/>
  <c r="C10"/>
  <c r="B10"/>
  <c r="A10"/>
  <c r="P9"/>
  <c r="O9"/>
  <c r="N9"/>
  <c r="M9"/>
  <c r="L9"/>
  <c r="K9"/>
  <c r="G9"/>
  <c r="F9"/>
  <c r="E9"/>
  <c r="D9"/>
  <c r="C9"/>
  <c r="B9"/>
  <c r="A9"/>
  <c r="P8"/>
  <c r="O8"/>
  <c r="N8"/>
  <c r="M8"/>
  <c r="L8"/>
  <c r="K8"/>
  <c r="G8"/>
  <c r="F8"/>
  <c r="E8"/>
  <c r="D8"/>
  <c r="C8"/>
  <c r="B8"/>
  <c r="A8"/>
  <c r="P7"/>
  <c r="O7"/>
  <c r="N7"/>
  <c r="M7"/>
  <c r="L7"/>
  <c r="K7"/>
  <c r="G7"/>
  <c r="F7"/>
  <c r="E7"/>
  <c r="D7"/>
  <c r="C7"/>
  <c r="B7"/>
  <c r="A7"/>
  <c r="P5"/>
  <c r="O5"/>
  <c r="N5"/>
  <c r="M5"/>
  <c r="L5"/>
  <c r="K5"/>
  <c r="G5"/>
  <c r="F5"/>
  <c r="E5"/>
  <c r="D5"/>
  <c r="C5"/>
  <c r="B5"/>
  <c r="A5"/>
  <c r="P4"/>
  <c r="O4"/>
  <c r="N4"/>
  <c r="M4"/>
  <c r="L4"/>
  <c r="K4"/>
  <c r="G4"/>
  <c r="F4"/>
  <c r="E4"/>
  <c r="D4"/>
  <c r="C4"/>
  <c r="B4"/>
  <c r="A4"/>
  <c r="P3"/>
  <c r="O3"/>
  <c r="N3"/>
  <c r="M3"/>
  <c r="L3"/>
  <c r="K3"/>
  <c r="G3"/>
  <c r="F3"/>
  <c r="E3"/>
  <c r="D3"/>
  <c r="C3"/>
  <c r="B3"/>
  <c r="A3"/>
  <c r="P2"/>
  <c r="O2"/>
  <c r="N2"/>
  <c r="M2"/>
  <c r="L2"/>
  <c r="K2"/>
  <c r="G2"/>
  <c r="F2"/>
  <c r="E2"/>
  <c r="D2"/>
  <c r="C2"/>
  <c r="B2"/>
  <c r="A2"/>
  <c r="Q1"/>
  <c r="P1"/>
  <c r="O1"/>
  <c r="N1"/>
  <c r="M1"/>
  <c r="L1"/>
  <c r="H1"/>
  <c r="G1"/>
  <c r="F1"/>
  <c r="E1"/>
  <c r="D1"/>
  <c r="C1"/>
  <c r="Q61" i="3"/>
  <c r="P61"/>
  <c r="O61"/>
  <c r="N61"/>
  <c r="M61"/>
  <c r="L61"/>
  <c r="K61"/>
  <c r="H61"/>
  <c r="G61"/>
  <c r="F61"/>
  <c r="E61"/>
  <c r="D61"/>
  <c r="C61"/>
  <c r="B61"/>
  <c r="O59"/>
  <c r="N59"/>
  <c r="M59"/>
  <c r="L59"/>
  <c r="K59"/>
  <c r="F59"/>
  <c r="E59"/>
  <c r="D59"/>
  <c r="C59"/>
  <c r="B59"/>
  <c r="Q57"/>
  <c r="P57"/>
  <c r="O57"/>
  <c r="N57"/>
  <c r="M57"/>
  <c r="L57"/>
  <c r="K57"/>
  <c r="H57"/>
  <c r="G57"/>
  <c r="F57"/>
  <c r="E57"/>
  <c r="D57"/>
  <c r="C57"/>
  <c r="B57"/>
  <c r="Q56"/>
  <c r="P56"/>
  <c r="O56"/>
  <c r="N56"/>
  <c r="M56"/>
  <c r="L56"/>
  <c r="K56"/>
  <c r="H56"/>
  <c r="G56"/>
  <c r="F56"/>
  <c r="E56"/>
  <c r="D56"/>
  <c r="C56"/>
  <c r="B56"/>
  <c r="Q55"/>
  <c r="P55"/>
  <c r="O55"/>
  <c r="N55"/>
  <c r="M55"/>
  <c r="L55"/>
  <c r="K55"/>
  <c r="H55"/>
  <c r="G55"/>
  <c r="F55"/>
  <c r="E55"/>
  <c r="D55"/>
  <c r="C55"/>
  <c r="B55"/>
  <c r="P53"/>
  <c r="O53"/>
  <c r="N53"/>
  <c r="M53"/>
  <c r="L53"/>
  <c r="K53"/>
  <c r="G53"/>
  <c r="F53"/>
  <c r="E53"/>
  <c r="D53"/>
  <c r="C53"/>
  <c r="B53"/>
  <c r="P52"/>
  <c r="O52"/>
  <c r="N52"/>
  <c r="M52"/>
  <c r="L52"/>
  <c r="K52"/>
  <c r="G52"/>
  <c r="F52"/>
  <c r="E52"/>
  <c r="D52"/>
  <c r="C52"/>
  <c r="B52"/>
  <c r="Q50"/>
  <c r="P50"/>
  <c r="O50"/>
  <c r="N50"/>
  <c r="M50"/>
  <c r="L50"/>
  <c r="K50"/>
  <c r="H50"/>
  <c r="G50"/>
  <c r="F50"/>
  <c r="E50"/>
  <c r="D50"/>
  <c r="C50"/>
  <c r="B50"/>
  <c r="P49"/>
  <c r="O49"/>
  <c r="N49"/>
  <c r="M49"/>
  <c r="L49"/>
  <c r="K49"/>
  <c r="G49"/>
  <c r="F49"/>
  <c r="E49"/>
  <c r="D49"/>
  <c r="C49"/>
  <c r="B49"/>
  <c r="Q48"/>
  <c r="P48"/>
  <c r="O48"/>
  <c r="N48"/>
  <c r="M48"/>
  <c r="L48"/>
  <c r="K48"/>
  <c r="H48"/>
  <c r="G48"/>
  <c r="F48"/>
  <c r="E48"/>
  <c r="D48"/>
  <c r="C48"/>
  <c r="B48"/>
  <c r="Q46"/>
  <c r="P46"/>
  <c r="O46"/>
  <c r="N46"/>
  <c r="M46"/>
  <c r="L46"/>
  <c r="K46"/>
  <c r="H46"/>
  <c r="G46"/>
  <c r="F46"/>
  <c r="E46"/>
  <c r="D46"/>
  <c r="C46"/>
  <c r="B46"/>
  <c r="Q45"/>
  <c r="P45"/>
  <c r="O45"/>
  <c r="N45"/>
  <c r="M45"/>
  <c r="L45"/>
  <c r="K45"/>
  <c r="H45"/>
  <c r="G45"/>
  <c r="F45"/>
  <c r="E45"/>
  <c r="D45"/>
  <c r="C45"/>
  <c r="B45"/>
  <c r="Q44"/>
  <c r="P44"/>
  <c r="O44"/>
  <c r="N44"/>
  <c r="M44"/>
  <c r="L44"/>
  <c r="K44"/>
  <c r="H44"/>
  <c r="G44"/>
  <c r="F44"/>
  <c r="E44"/>
  <c r="D44"/>
  <c r="C44"/>
  <c r="B44"/>
  <c r="Q43"/>
  <c r="P43"/>
  <c r="O43"/>
  <c r="N43"/>
  <c r="M43"/>
  <c r="L43"/>
  <c r="K43"/>
  <c r="H43"/>
  <c r="G43"/>
  <c r="F43"/>
  <c r="E43"/>
  <c r="D43"/>
  <c r="C43"/>
  <c r="B43"/>
  <c r="Q41"/>
  <c r="P41"/>
  <c r="O41"/>
  <c r="N41"/>
  <c r="M41"/>
  <c r="L41"/>
  <c r="K41"/>
  <c r="H41"/>
  <c r="G41"/>
  <c r="F41"/>
  <c r="E41"/>
  <c r="D41"/>
  <c r="C41"/>
  <c r="B41"/>
  <c r="Q39"/>
  <c r="P39"/>
  <c r="O39"/>
  <c r="N39"/>
  <c r="M39"/>
  <c r="L39"/>
  <c r="K39"/>
  <c r="H39"/>
  <c r="G39"/>
  <c r="F39"/>
  <c r="E39"/>
  <c r="D39"/>
  <c r="C39"/>
  <c r="B39"/>
  <c r="Q37"/>
  <c r="P37"/>
  <c r="O37"/>
  <c r="N37"/>
  <c r="M37"/>
  <c r="L37"/>
  <c r="K37"/>
  <c r="H37"/>
  <c r="G37"/>
  <c r="F37"/>
  <c r="E37"/>
  <c r="D37"/>
  <c r="C37"/>
  <c r="B37"/>
  <c r="Q35"/>
  <c r="P35"/>
  <c r="O35"/>
  <c r="N35"/>
  <c r="M35"/>
  <c r="L35"/>
  <c r="K35"/>
  <c r="H35"/>
  <c r="G35"/>
  <c r="F35"/>
  <c r="E35"/>
  <c r="D35"/>
  <c r="C35"/>
  <c r="B35"/>
  <c r="Q34"/>
  <c r="P34"/>
  <c r="O34"/>
  <c r="N34"/>
  <c r="M34"/>
  <c r="L34"/>
  <c r="K34"/>
  <c r="H34"/>
  <c r="G34"/>
  <c r="F34"/>
  <c r="E34"/>
  <c r="D34"/>
  <c r="C34"/>
  <c r="B34"/>
  <c r="Q33"/>
  <c r="P33"/>
  <c r="O33"/>
  <c r="N33"/>
  <c r="M33"/>
  <c r="L33"/>
  <c r="K33"/>
  <c r="H33"/>
  <c r="G33"/>
  <c r="F33"/>
  <c r="E33"/>
  <c r="D33"/>
  <c r="C33"/>
  <c r="B33"/>
  <c r="Q31"/>
  <c r="P31"/>
  <c r="O31"/>
  <c r="N31"/>
  <c r="M31"/>
  <c r="L31"/>
  <c r="K31"/>
  <c r="H31"/>
  <c r="G31"/>
  <c r="F31"/>
  <c r="E31"/>
  <c r="D31"/>
  <c r="C31"/>
  <c r="B31"/>
  <c r="Q30"/>
  <c r="P30"/>
  <c r="O30"/>
  <c r="N30"/>
  <c r="M30"/>
  <c r="L30"/>
  <c r="K30"/>
  <c r="H30"/>
  <c r="G30"/>
  <c r="F30"/>
  <c r="E30"/>
  <c r="D30"/>
  <c r="C30"/>
  <c r="B30"/>
  <c r="Q29"/>
  <c r="P29"/>
  <c r="O29"/>
  <c r="N29"/>
  <c r="M29"/>
  <c r="L29"/>
  <c r="K29"/>
  <c r="H29"/>
  <c r="G29"/>
  <c r="F29"/>
  <c r="E29"/>
  <c r="D29"/>
  <c r="C29"/>
  <c r="B29"/>
  <c r="P27"/>
  <c r="O27"/>
  <c r="N27"/>
  <c r="M27"/>
  <c r="L27"/>
  <c r="K27"/>
  <c r="G27"/>
  <c r="F27"/>
  <c r="E27"/>
  <c r="D27"/>
  <c r="C27"/>
  <c r="B27"/>
  <c r="Q26"/>
  <c r="P26"/>
  <c r="O26"/>
  <c r="N26"/>
  <c r="M26"/>
  <c r="L26"/>
  <c r="K26"/>
  <c r="H26"/>
  <c r="G26"/>
  <c r="F26"/>
  <c r="E26"/>
  <c r="D26"/>
  <c r="C26"/>
  <c r="B26"/>
  <c r="Q25"/>
  <c r="P25"/>
  <c r="O25"/>
  <c r="N25"/>
  <c r="M25"/>
  <c r="L25"/>
  <c r="K25"/>
  <c r="H25"/>
  <c r="G25"/>
  <c r="F25"/>
  <c r="E25"/>
  <c r="D25"/>
  <c r="C25"/>
  <c r="B25"/>
  <c r="Q24"/>
  <c r="P24"/>
  <c r="O24"/>
  <c r="N24"/>
  <c r="M24"/>
  <c r="L24"/>
  <c r="K24"/>
  <c r="H24"/>
  <c r="G24"/>
  <c r="F24"/>
  <c r="E24"/>
  <c r="D24"/>
  <c r="C24"/>
  <c r="B24"/>
  <c r="Q23"/>
  <c r="P23"/>
  <c r="O23"/>
  <c r="N23"/>
  <c r="M23"/>
  <c r="L23"/>
  <c r="K23"/>
  <c r="H23"/>
  <c r="G23"/>
  <c r="F23"/>
  <c r="E23"/>
  <c r="D23"/>
  <c r="C23"/>
  <c r="B23"/>
  <c r="Q21"/>
  <c r="P21"/>
  <c r="O21"/>
  <c r="N21"/>
  <c r="M21"/>
  <c r="L21"/>
  <c r="K21"/>
  <c r="H21"/>
  <c r="G21"/>
  <c r="F21"/>
  <c r="E21"/>
  <c r="D21"/>
  <c r="C21"/>
  <c r="B21"/>
  <c r="Q20"/>
  <c r="P20"/>
  <c r="O20"/>
  <c r="N20"/>
  <c r="M20"/>
  <c r="L20"/>
  <c r="K20"/>
  <c r="H20"/>
  <c r="G20"/>
  <c r="F20"/>
  <c r="E20"/>
  <c r="D20"/>
  <c r="C20"/>
  <c r="B20"/>
  <c r="Q18"/>
  <c r="P18"/>
  <c r="O18"/>
  <c r="N18"/>
  <c r="M18"/>
  <c r="L18"/>
  <c r="K18"/>
  <c r="H18"/>
  <c r="G18"/>
  <c r="F18"/>
  <c r="E18"/>
  <c r="D18"/>
  <c r="C18"/>
  <c r="B18"/>
  <c r="Q17"/>
  <c r="P17"/>
  <c r="O17"/>
  <c r="N17"/>
  <c r="M17"/>
  <c r="L17"/>
  <c r="K17"/>
  <c r="H17"/>
  <c r="G17"/>
  <c r="F17"/>
  <c r="E17"/>
  <c r="D17"/>
  <c r="C17"/>
  <c r="B17"/>
  <c r="Q15"/>
  <c r="P15"/>
  <c r="O15"/>
  <c r="N15"/>
  <c r="M15"/>
  <c r="L15"/>
  <c r="K15"/>
  <c r="H15"/>
  <c r="G15"/>
  <c r="F15"/>
  <c r="E15"/>
  <c r="D15"/>
  <c r="C15"/>
  <c r="B15"/>
  <c r="Q14"/>
  <c r="P14"/>
  <c r="O14"/>
  <c r="N14"/>
  <c r="M14"/>
  <c r="L14"/>
  <c r="K14"/>
  <c r="H14"/>
  <c r="G14"/>
  <c r="F14"/>
  <c r="E14"/>
  <c r="D14"/>
  <c r="C14"/>
  <c r="B14"/>
  <c r="Q12"/>
  <c r="P12"/>
  <c r="O12"/>
  <c r="N12"/>
  <c r="M12"/>
  <c r="L12"/>
  <c r="K12"/>
  <c r="H12"/>
  <c r="G12"/>
  <c r="F12"/>
  <c r="E12"/>
  <c r="D12"/>
  <c r="C12"/>
  <c r="B12"/>
  <c r="Z11"/>
  <c r="Y11"/>
  <c r="X11"/>
  <c r="W11"/>
  <c r="V11"/>
  <c r="U11"/>
  <c r="T11"/>
  <c r="Q11"/>
  <c r="P11"/>
  <c r="O11"/>
  <c r="N11"/>
  <c r="M11"/>
  <c r="L11"/>
  <c r="K11"/>
  <c r="H11"/>
  <c r="G11"/>
  <c r="F11"/>
  <c r="E11"/>
  <c r="D11"/>
  <c r="C11"/>
  <c r="B11"/>
  <c r="Z10"/>
  <c r="Y10"/>
  <c r="X10"/>
  <c r="W10"/>
  <c r="V10"/>
  <c r="U10"/>
  <c r="T10"/>
  <c r="Z9"/>
  <c r="Y9"/>
  <c r="X9"/>
  <c r="W9"/>
  <c r="V9"/>
  <c r="U9"/>
  <c r="T9"/>
  <c r="Q9"/>
  <c r="P9"/>
  <c r="O9"/>
  <c r="N9"/>
  <c r="M9"/>
  <c r="L9"/>
  <c r="K9"/>
  <c r="H9"/>
  <c r="G9"/>
  <c r="F9"/>
  <c r="E9"/>
  <c r="D9"/>
  <c r="C9"/>
  <c r="B9"/>
  <c r="Z8"/>
  <c r="Y8"/>
  <c r="X8"/>
  <c r="W8"/>
  <c r="V8"/>
  <c r="U8"/>
  <c r="T8"/>
  <c r="Q8"/>
  <c r="P8"/>
  <c r="O8"/>
  <c r="N8"/>
  <c r="M8"/>
  <c r="L8"/>
  <c r="K8"/>
  <c r="H8"/>
  <c r="G8"/>
  <c r="F8"/>
  <c r="E8"/>
  <c r="D8"/>
  <c r="C8"/>
  <c r="B8"/>
  <c r="Z7"/>
  <c r="Y7"/>
  <c r="X7"/>
  <c r="W7"/>
  <c r="V7"/>
  <c r="U7"/>
  <c r="T7"/>
  <c r="Z6"/>
  <c r="Y6"/>
  <c r="X6"/>
  <c r="W6"/>
  <c r="V6"/>
  <c r="U6"/>
  <c r="T6"/>
  <c r="P6"/>
  <c r="O6"/>
  <c r="N6"/>
  <c r="M6"/>
  <c r="L6"/>
  <c r="K6"/>
  <c r="G6"/>
  <c r="F6"/>
  <c r="E6"/>
  <c r="D6"/>
  <c r="C6"/>
  <c r="B6"/>
  <c r="Z5"/>
  <c r="Y5"/>
  <c r="X5"/>
  <c r="W5"/>
  <c r="V5"/>
  <c r="U5"/>
  <c r="T5"/>
  <c r="Q5"/>
  <c r="P5"/>
  <c r="O5"/>
  <c r="N5"/>
  <c r="M5"/>
  <c r="L5"/>
  <c r="K5"/>
  <c r="H5"/>
  <c r="G5"/>
  <c r="F5"/>
  <c r="E5"/>
  <c r="D5"/>
  <c r="C5"/>
  <c r="B5"/>
  <c r="Z4"/>
  <c r="Y4"/>
  <c r="X4"/>
  <c r="W4"/>
  <c r="V4"/>
  <c r="U4"/>
  <c r="T4"/>
  <c r="P4"/>
  <c r="O4"/>
  <c r="N4"/>
  <c r="M4"/>
  <c r="L4"/>
  <c r="K4"/>
  <c r="G4"/>
  <c r="F4"/>
  <c r="E4"/>
  <c r="D4"/>
  <c r="C4"/>
  <c r="B4"/>
  <c r="Z3"/>
  <c r="Y3"/>
  <c r="X3"/>
  <c r="W3"/>
  <c r="V3"/>
  <c r="U3"/>
  <c r="T3"/>
  <c r="Q3"/>
  <c r="P3"/>
  <c r="O3"/>
  <c r="N3"/>
  <c r="M3"/>
  <c r="L3"/>
  <c r="K3"/>
  <c r="H3"/>
  <c r="G3"/>
  <c r="F3"/>
  <c r="E3"/>
  <c r="D3"/>
  <c r="C3"/>
  <c r="B3"/>
  <c r="J86" i="6"/>
  <c r="I86"/>
  <c r="H86"/>
  <c r="G86"/>
  <c r="F86"/>
  <c r="E86"/>
  <c r="D86"/>
  <c r="J84"/>
  <c r="I84"/>
  <c r="H84"/>
  <c r="G84"/>
  <c r="F84"/>
  <c r="E84"/>
  <c r="D84"/>
  <c r="J83"/>
  <c r="I83"/>
  <c r="H83"/>
  <c r="G83"/>
  <c r="F83"/>
  <c r="E83"/>
  <c r="D83"/>
  <c r="J82"/>
  <c r="I82"/>
  <c r="H82"/>
  <c r="G82"/>
  <c r="F82"/>
  <c r="E82"/>
  <c r="D82"/>
  <c r="J81"/>
  <c r="I81"/>
  <c r="H81"/>
  <c r="G81"/>
  <c r="F81"/>
  <c r="E81"/>
  <c r="D81"/>
  <c r="J80"/>
  <c r="I80"/>
  <c r="H80"/>
  <c r="G80"/>
  <c r="F80"/>
  <c r="E80"/>
  <c r="D80"/>
  <c r="J79"/>
  <c r="I79"/>
  <c r="H79"/>
  <c r="G79"/>
  <c r="F79"/>
  <c r="E79"/>
  <c r="D79"/>
  <c r="J78"/>
  <c r="I78"/>
  <c r="H78"/>
  <c r="G78"/>
  <c r="F78"/>
  <c r="E78"/>
  <c r="D78"/>
  <c r="J76"/>
  <c r="I76"/>
  <c r="H76"/>
  <c r="G76"/>
  <c r="F76"/>
  <c r="E76"/>
  <c r="D76"/>
  <c r="J75"/>
  <c r="I75"/>
  <c r="H75"/>
  <c r="G75"/>
  <c r="F75"/>
  <c r="E75"/>
  <c r="D75"/>
  <c r="J74"/>
  <c r="I74"/>
  <c r="H74"/>
  <c r="G74"/>
  <c r="F74"/>
  <c r="E74"/>
  <c r="D74"/>
  <c r="J73"/>
  <c r="I73"/>
  <c r="H73"/>
  <c r="G73"/>
  <c r="F73"/>
  <c r="E73"/>
  <c r="D73"/>
  <c r="J72"/>
  <c r="I72"/>
  <c r="H72"/>
  <c r="G72"/>
  <c r="F72"/>
  <c r="E72"/>
  <c r="D72"/>
  <c r="J71"/>
  <c r="I71"/>
  <c r="H71"/>
  <c r="G71"/>
  <c r="F71"/>
  <c r="E71"/>
  <c r="D71"/>
  <c r="J70"/>
  <c r="I70"/>
  <c r="H70"/>
  <c r="G70"/>
  <c r="F70"/>
  <c r="E70"/>
  <c r="D70"/>
  <c r="J69"/>
  <c r="I69"/>
  <c r="H69"/>
  <c r="G69"/>
  <c r="F69"/>
  <c r="E69"/>
  <c r="D69"/>
  <c r="J68"/>
  <c r="I68"/>
  <c r="H68"/>
  <c r="G68"/>
  <c r="F68"/>
  <c r="E68"/>
  <c r="D68"/>
  <c r="J66"/>
  <c r="I66"/>
  <c r="H66"/>
  <c r="G66"/>
  <c r="F66"/>
  <c r="E66"/>
  <c r="D66"/>
  <c r="J64"/>
  <c r="I64"/>
  <c r="H64"/>
  <c r="G64"/>
  <c r="F64"/>
  <c r="E64"/>
  <c r="D64"/>
  <c r="J63"/>
  <c r="I63"/>
  <c r="H63"/>
  <c r="G63"/>
  <c r="F63"/>
  <c r="E63"/>
  <c r="D63"/>
  <c r="J62"/>
  <c r="I62"/>
  <c r="H62"/>
  <c r="G62"/>
  <c r="F62"/>
  <c r="E62"/>
  <c r="D62"/>
  <c r="J61"/>
  <c r="I61"/>
  <c r="H61"/>
  <c r="G61"/>
  <c r="F61"/>
  <c r="E61"/>
  <c r="D61"/>
  <c r="J60"/>
  <c r="I60"/>
  <c r="H60"/>
  <c r="G60"/>
  <c r="F60"/>
  <c r="E60"/>
  <c r="D60"/>
  <c r="J59"/>
  <c r="I59"/>
  <c r="H59"/>
  <c r="G59"/>
  <c r="F59"/>
  <c r="E59"/>
  <c r="D59"/>
  <c r="J57"/>
  <c r="I57"/>
  <c r="H57"/>
  <c r="G57"/>
  <c r="F57"/>
  <c r="E57"/>
  <c r="D57"/>
  <c r="J56"/>
  <c r="I56"/>
  <c r="H56"/>
  <c r="G56"/>
  <c r="F56"/>
  <c r="E56"/>
  <c r="D56"/>
  <c r="J55"/>
  <c r="I55"/>
  <c r="H55"/>
  <c r="G55"/>
  <c r="F55"/>
  <c r="E55"/>
  <c r="D55"/>
  <c r="J54"/>
  <c r="I54"/>
  <c r="H54"/>
  <c r="G54"/>
  <c r="F54"/>
  <c r="E54"/>
  <c r="D54"/>
  <c r="J53"/>
  <c r="I53"/>
  <c r="H53"/>
  <c r="G53"/>
  <c r="F53"/>
  <c r="E53"/>
  <c r="D53"/>
  <c r="J51"/>
  <c r="I51"/>
  <c r="H51"/>
  <c r="G51"/>
  <c r="F51"/>
  <c r="E51"/>
  <c r="D51"/>
  <c r="J50"/>
  <c r="I50"/>
  <c r="H50"/>
  <c r="G50"/>
  <c r="F50"/>
  <c r="E50"/>
  <c r="D50"/>
  <c r="J49"/>
  <c r="I49"/>
  <c r="H49"/>
  <c r="G49"/>
  <c r="F49"/>
  <c r="E49"/>
  <c r="D49"/>
  <c r="J48"/>
  <c r="I48"/>
  <c r="H48"/>
  <c r="G48"/>
  <c r="F48"/>
  <c r="E48"/>
  <c r="D48"/>
  <c r="J43"/>
  <c r="I43"/>
  <c r="H43"/>
  <c r="G43"/>
  <c r="F43"/>
  <c r="E43"/>
  <c r="D43"/>
  <c r="J41"/>
  <c r="I41"/>
  <c r="H41"/>
  <c r="G41"/>
  <c r="F41"/>
  <c r="E41"/>
  <c r="D41"/>
  <c r="J39"/>
  <c r="I39"/>
  <c r="H39"/>
  <c r="G39"/>
  <c r="F39"/>
  <c r="E39"/>
  <c r="D39"/>
  <c r="J37"/>
  <c r="I37"/>
  <c r="H37"/>
  <c r="G37"/>
  <c r="F37"/>
  <c r="E37"/>
  <c r="D37"/>
  <c r="J35"/>
  <c r="I35"/>
  <c r="H35"/>
  <c r="G35"/>
  <c r="F35"/>
  <c r="E35"/>
  <c r="D35"/>
  <c r="J31"/>
  <c r="I31"/>
  <c r="H31"/>
  <c r="G31"/>
  <c r="F31"/>
  <c r="E31"/>
  <c r="D31"/>
  <c r="I30"/>
  <c r="H30"/>
  <c r="G30"/>
  <c r="F30"/>
  <c r="E30"/>
  <c r="D30"/>
  <c r="I28"/>
  <c r="H28"/>
  <c r="G28"/>
  <c r="F28"/>
  <c r="E28"/>
  <c r="D28"/>
  <c r="J26"/>
  <c r="I26"/>
  <c r="H26"/>
  <c r="G26"/>
  <c r="F26"/>
  <c r="E26"/>
  <c r="D26"/>
  <c r="J24"/>
  <c r="I24"/>
  <c r="H24"/>
  <c r="G24"/>
  <c r="F24"/>
  <c r="E24"/>
  <c r="D24"/>
  <c r="J23"/>
  <c r="I23"/>
  <c r="H23"/>
  <c r="G23"/>
  <c r="F23"/>
  <c r="E23"/>
  <c r="D23"/>
  <c r="J22"/>
  <c r="I22"/>
  <c r="H22"/>
  <c r="G22"/>
  <c r="F22"/>
  <c r="E22"/>
  <c r="D22"/>
  <c r="J21"/>
  <c r="I21"/>
  <c r="H21"/>
  <c r="G21"/>
  <c r="F21"/>
  <c r="E21"/>
  <c r="D21"/>
  <c r="J20"/>
  <c r="I20"/>
  <c r="H20"/>
  <c r="G20"/>
  <c r="F20"/>
  <c r="E20"/>
  <c r="D20"/>
  <c r="J18"/>
  <c r="I18"/>
  <c r="H18"/>
  <c r="G18"/>
  <c r="F18"/>
  <c r="E18"/>
  <c r="D18"/>
  <c r="J16"/>
  <c r="I16"/>
  <c r="H16"/>
  <c r="G16"/>
  <c r="F16"/>
  <c r="E16"/>
  <c r="D16"/>
  <c r="J15"/>
  <c r="I15"/>
  <c r="H15"/>
  <c r="G15"/>
  <c r="F15"/>
  <c r="E15"/>
  <c r="D15"/>
  <c r="J14"/>
  <c r="I14"/>
  <c r="H14"/>
  <c r="G14"/>
  <c r="F14"/>
  <c r="E14"/>
  <c r="D14"/>
  <c r="J13"/>
  <c r="I13"/>
  <c r="H13"/>
  <c r="G13"/>
  <c r="F13"/>
  <c r="E13"/>
  <c r="D13"/>
  <c r="J12"/>
  <c r="I12"/>
  <c r="H12"/>
  <c r="G12"/>
  <c r="F12"/>
  <c r="E12"/>
  <c r="D12"/>
  <c r="J11"/>
  <c r="I11"/>
  <c r="H11"/>
  <c r="G11"/>
  <c r="F11"/>
  <c r="E11"/>
  <c r="D11"/>
  <c r="J9"/>
  <c r="I9"/>
  <c r="H9"/>
  <c r="G9"/>
  <c r="F9"/>
  <c r="E9"/>
  <c r="D9"/>
  <c r="J8"/>
  <c r="I8"/>
  <c r="H8"/>
  <c r="G8"/>
  <c r="F8"/>
  <c r="E8"/>
  <c r="D8"/>
  <c r="J7"/>
  <c r="I7"/>
  <c r="H7"/>
  <c r="G7"/>
  <c r="F7"/>
  <c r="E7"/>
  <c r="D7"/>
  <c r="J6"/>
  <c r="I6"/>
  <c r="H6"/>
  <c r="G6"/>
  <c r="F6"/>
  <c r="E6"/>
  <c r="D6"/>
  <c r="J5"/>
  <c r="I5"/>
  <c r="H5"/>
  <c r="G5"/>
  <c r="F5"/>
  <c r="E5"/>
  <c r="D5"/>
  <c r="J4"/>
  <c r="I4"/>
  <c r="H4"/>
  <c r="G4"/>
  <c r="F4"/>
  <c r="E4"/>
  <c r="D4"/>
  <c r="J3"/>
  <c r="I3"/>
  <c r="H3"/>
  <c r="G3"/>
  <c r="F3"/>
  <c r="E3"/>
  <c r="D3"/>
  <c r="L106" i="5"/>
  <c r="K106"/>
  <c r="J106"/>
  <c r="I106"/>
  <c r="H106"/>
  <c r="G106"/>
  <c r="F106"/>
  <c r="E106"/>
  <c r="L102"/>
  <c r="L100"/>
  <c r="K99"/>
  <c r="J99"/>
  <c r="I99"/>
  <c r="H99"/>
  <c r="G99"/>
  <c r="F99"/>
  <c r="E99"/>
  <c r="K94"/>
  <c r="J94"/>
  <c r="I94"/>
  <c r="H94"/>
  <c r="G94"/>
  <c r="F94"/>
  <c r="E94"/>
  <c r="K93"/>
  <c r="J93"/>
  <c r="I93"/>
  <c r="H93"/>
  <c r="G93"/>
  <c r="F93"/>
  <c r="E93"/>
  <c r="K92"/>
  <c r="J92"/>
  <c r="I92"/>
  <c r="H92"/>
  <c r="G92"/>
  <c r="F92"/>
  <c r="E92"/>
  <c r="K91"/>
  <c r="J91"/>
  <c r="I91"/>
  <c r="H91"/>
  <c r="G91"/>
  <c r="F91"/>
  <c r="E91"/>
  <c r="K90"/>
  <c r="J90"/>
  <c r="I90"/>
  <c r="H90"/>
  <c r="G90"/>
  <c r="F90"/>
  <c r="E90"/>
  <c r="K89"/>
  <c r="J89"/>
  <c r="I89"/>
  <c r="H89"/>
  <c r="G89"/>
  <c r="F89"/>
  <c r="E89"/>
  <c r="K81"/>
  <c r="J81"/>
  <c r="I81"/>
  <c r="H81"/>
  <c r="G81"/>
  <c r="F81"/>
  <c r="E81"/>
  <c r="K71"/>
  <c r="J71"/>
  <c r="I71"/>
  <c r="H71"/>
  <c r="G71"/>
  <c r="F71"/>
  <c r="E71"/>
  <c r="K69"/>
  <c r="J69"/>
  <c r="I69"/>
  <c r="H69"/>
  <c r="G69"/>
  <c r="F69"/>
  <c r="E69"/>
  <c r="K62"/>
  <c r="J62"/>
  <c r="I62"/>
  <c r="H62"/>
  <c r="G62"/>
  <c r="F62"/>
  <c r="E62"/>
  <c r="K56"/>
  <c r="J56"/>
  <c r="I56"/>
  <c r="H56"/>
  <c r="G56"/>
  <c r="F56"/>
  <c r="E56"/>
  <c r="K51"/>
  <c r="J51"/>
  <c r="I51"/>
  <c r="H51"/>
  <c r="G51"/>
  <c r="F51"/>
  <c r="E51"/>
  <c r="M46"/>
  <c r="L46"/>
  <c r="M44"/>
  <c r="L44"/>
  <c r="K44"/>
  <c r="J44"/>
  <c r="I44"/>
  <c r="H44"/>
  <c r="G44"/>
  <c r="F44"/>
  <c r="E44"/>
  <c r="M40"/>
  <c r="K40"/>
  <c r="J40"/>
  <c r="I40"/>
  <c r="H40"/>
  <c r="G40"/>
  <c r="F40"/>
  <c r="E40"/>
  <c r="L38"/>
  <c r="M36"/>
  <c r="K36"/>
  <c r="J36"/>
  <c r="I36"/>
  <c r="H36"/>
  <c r="G36"/>
  <c r="F36"/>
  <c r="E36"/>
  <c r="M35"/>
  <c r="K35"/>
  <c r="J35"/>
  <c r="I35"/>
  <c r="H35"/>
  <c r="G35"/>
  <c r="F35"/>
  <c r="E35"/>
  <c r="M26"/>
  <c r="K26"/>
  <c r="J26"/>
  <c r="I26"/>
  <c r="H26"/>
  <c r="G26"/>
  <c r="F26"/>
  <c r="E26"/>
  <c r="M20"/>
  <c r="K20"/>
  <c r="J20"/>
  <c r="I20"/>
  <c r="H20"/>
  <c r="G20"/>
  <c r="F20"/>
  <c r="E20"/>
  <c r="M18"/>
  <c r="K18"/>
  <c r="J18"/>
  <c r="I18"/>
  <c r="H18"/>
  <c r="G18"/>
  <c r="F18"/>
  <c r="E18"/>
  <c r="M11"/>
  <c r="K11"/>
  <c r="J11"/>
  <c r="I11"/>
  <c r="H11"/>
  <c r="G11"/>
  <c r="F11"/>
  <c r="E11"/>
  <c r="M4"/>
  <c r="M3"/>
  <c r="K3"/>
  <c r="J3"/>
  <c r="I3"/>
  <c r="H3"/>
  <c r="G3"/>
  <c r="F3"/>
  <c r="E3"/>
  <c r="J86" i="4"/>
  <c r="I86"/>
  <c r="H86"/>
  <c r="G86"/>
  <c r="F86"/>
  <c r="E86"/>
  <c r="D86"/>
  <c r="J84"/>
  <c r="I84"/>
  <c r="H84"/>
  <c r="G84"/>
  <c r="F84"/>
  <c r="E84"/>
  <c r="D84"/>
  <c r="J83"/>
  <c r="I83"/>
  <c r="H83"/>
  <c r="G83"/>
  <c r="F83"/>
  <c r="E83"/>
  <c r="D83"/>
  <c r="J82"/>
  <c r="I82"/>
  <c r="H82"/>
  <c r="G82"/>
  <c r="F82"/>
  <c r="E82"/>
  <c r="D82"/>
  <c r="J81"/>
  <c r="I81"/>
  <c r="H81"/>
  <c r="G81"/>
  <c r="F81"/>
  <c r="E81"/>
  <c r="D81"/>
  <c r="J80"/>
  <c r="I80"/>
  <c r="H80"/>
  <c r="G80"/>
  <c r="F80"/>
  <c r="E80"/>
  <c r="D80"/>
  <c r="J79"/>
  <c r="I79"/>
  <c r="H79"/>
  <c r="G79"/>
  <c r="F79"/>
  <c r="E79"/>
  <c r="D79"/>
  <c r="J78"/>
  <c r="I78"/>
  <c r="H78"/>
  <c r="G78"/>
  <c r="F78"/>
  <c r="E78"/>
  <c r="D78"/>
  <c r="J76"/>
  <c r="I76"/>
  <c r="H76"/>
  <c r="G76"/>
  <c r="F76"/>
  <c r="E76"/>
  <c r="D76"/>
  <c r="J75"/>
  <c r="I75"/>
  <c r="H75"/>
  <c r="G75"/>
  <c r="F75"/>
  <c r="E75"/>
  <c r="D75"/>
  <c r="J74"/>
  <c r="I74"/>
  <c r="H74"/>
  <c r="G74"/>
  <c r="F74"/>
  <c r="E74"/>
  <c r="D74"/>
  <c r="J73"/>
  <c r="I73"/>
  <c r="H73"/>
  <c r="G73"/>
  <c r="F73"/>
  <c r="E73"/>
  <c r="D73"/>
  <c r="J72"/>
  <c r="I72"/>
  <c r="H72"/>
  <c r="G72"/>
  <c r="F72"/>
  <c r="E72"/>
  <c r="D72"/>
  <c r="J71"/>
  <c r="I71"/>
  <c r="H71"/>
  <c r="G71"/>
  <c r="F71"/>
  <c r="E71"/>
  <c r="D71"/>
  <c r="J70"/>
  <c r="I70"/>
  <c r="H70"/>
  <c r="G70"/>
  <c r="F70"/>
  <c r="E70"/>
  <c r="D70"/>
  <c r="J69"/>
  <c r="I69"/>
  <c r="H69"/>
  <c r="G69"/>
  <c r="F69"/>
  <c r="E69"/>
  <c r="D69"/>
  <c r="J68"/>
  <c r="I68"/>
  <c r="H68"/>
  <c r="G68"/>
  <c r="F68"/>
  <c r="E68"/>
  <c r="D68"/>
  <c r="J66"/>
  <c r="I66"/>
  <c r="H66"/>
  <c r="G66"/>
  <c r="F66"/>
  <c r="E66"/>
  <c r="D66"/>
  <c r="J64"/>
  <c r="I64"/>
  <c r="H64"/>
  <c r="G64"/>
  <c r="F64"/>
  <c r="E64"/>
  <c r="D64"/>
  <c r="J63"/>
  <c r="I63"/>
  <c r="H63"/>
  <c r="G63"/>
  <c r="F63"/>
  <c r="E63"/>
  <c r="D63"/>
  <c r="J62"/>
  <c r="I62"/>
  <c r="H62"/>
  <c r="G62"/>
  <c r="F62"/>
  <c r="E62"/>
  <c r="D62"/>
  <c r="J61"/>
  <c r="I61"/>
  <c r="H61"/>
  <c r="G61"/>
  <c r="F61"/>
  <c r="E61"/>
  <c r="D61"/>
  <c r="J60"/>
  <c r="I60"/>
  <c r="H60"/>
  <c r="G60"/>
  <c r="F60"/>
  <c r="E60"/>
  <c r="D60"/>
  <c r="J59"/>
  <c r="I59"/>
  <c r="H59"/>
  <c r="G59"/>
  <c r="F59"/>
  <c r="E59"/>
  <c r="D59"/>
  <c r="J57"/>
  <c r="I57"/>
  <c r="H57"/>
  <c r="G57"/>
  <c r="F57"/>
  <c r="E57"/>
  <c r="D57"/>
  <c r="J56"/>
  <c r="I56"/>
  <c r="H56"/>
  <c r="G56"/>
  <c r="F56"/>
  <c r="E56"/>
  <c r="D56"/>
  <c r="J55"/>
  <c r="I55"/>
  <c r="H55"/>
  <c r="G55"/>
  <c r="F55"/>
  <c r="E55"/>
  <c r="D55"/>
  <c r="J54"/>
  <c r="I54"/>
  <c r="H54"/>
  <c r="G54"/>
  <c r="F54"/>
  <c r="E54"/>
  <c r="D54"/>
  <c r="J53"/>
  <c r="I53"/>
  <c r="H53"/>
  <c r="G53"/>
  <c r="F53"/>
  <c r="E53"/>
  <c r="D53"/>
  <c r="J51"/>
  <c r="I51"/>
  <c r="H51"/>
  <c r="G51"/>
  <c r="F51"/>
  <c r="E51"/>
  <c r="D51"/>
  <c r="J50"/>
  <c r="I50"/>
  <c r="H50"/>
  <c r="G50"/>
  <c r="F50"/>
  <c r="E50"/>
  <c r="D50"/>
  <c r="J49"/>
  <c r="I49"/>
  <c r="H49"/>
  <c r="G49"/>
  <c r="F49"/>
  <c r="E49"/>
  <c r="D49"/>
  <c r="J48"/>
  <c r="I48"/>
  <c r="H48"/>
  <c r="G48"/>
  <c r="F48"/>
  <c r="E48"/>
  <c r="D48"/>
  <c r="J43"/>
  <c r="I43"/>
  <c r="H43"/>
  <c r="G43"/>
  <c r="F43"/>
  <c r="E43"/>
  <c r="D43"/>
  <c r="J39"/>
  <c r="I39"/>
  <c r="H39"/>
  <c r="G39"/>
  <c r="F39"/>
  <c r="E39"/>
  <c r="D39"/>
  <c r="J37"/>
  <c r="I37"/>
  <c r="H37"/>
  <c r="G37"/>
  <c r="F37"/>
  <c r="E37"/>
  <c r="D37"/>
  <c r="J35"/>
  <c r="I35"/>
  <c r="H35"/>
  <c r="G35"/>
  <c r="F35"/>
  <c r="E35"/>
  <c r="D35"/>
  <c r="J31"/>
  <c r="I31"/>
  <c r="H31"/>
  <c r="G31"/>
  <c r="F31"/>
  <c r="B18" i="9" s="1"/>
  <c r="I18" s="1"/>
  <c r="K18" s="1"/>
  <c r="E31" i="4"/>
  <c r="D18" i="9" s="1"/>
  <c r="D31" i="4"/>
  <c r="I30"/>
  <c r="H30"/>
  <c r="G30"/>
  <c r="F30"/>
  <c r="E30"/>
  <c r="D30"/>
  <c r="I28"/>
  <c r="H28"/>
  <c r="G28"/>
  <c r="F28"/>
  <c r="E28"/>
  <c r="D28"/>
  <c r="J26"/>
  <c r="I26"/>
  <c r="H26"/>
  <c r="G26"/>
  <c r="F26"/>
  <c r="E26"/>
  <c r="D26"/>
  <c r="J24"/>
  <c r="I24"/>
  <c r="H24"/>
  <c r="G24"/>
  <c r="F24"/>
  <c r="E24"/>
  <c r="D24"/>
  <c r="J23"/>
  <c r="I23"/>
  <c r="H23"/>
  <c r="G23"/>
  <c r="F23"/>
  <c r="E23"/>
  <c r="D23"/>
  <c r="J22"/>
  <c r="I22"/>
  <c r="H22"/>
  <c r="G22"/>
  <c r="F22"/>
  <c r="E22"/>
  <c r="D22"/>
  <c r="J21"/>
  <c r="I21"/>
  <c r="H21"/>
  <c r="G21"/>
  <c r="F21"/>
  <c r="E21"/>
  <c r="D21"/>
  <c r="J20"/>
  <c r="I20"/>
  <c r="H20"/>
  <c r="G20"/>
  <c r="F20"/>
  <c r="E20"/>
  <c r="D20"/>
  <c r="J18"/>
  <c r="I18"/>
  <c r="H18"/>
  <c r="G18"/>
  <c r="F18"/>
  <c r="E18"/>
  <c r="D18"/>
  <c r="J16"/>
  <c r="I16"/>
  <c r="H16"/>
  <c r="G16"/>
  <c r="F16"/>
  <c r="E16"/>
  <c r="D16"/>
  <c r="J15"/>
  <c r="I15"/>
  <c r="H15"/>
  <c r="G15"/>
  <c r="F15"/>
  <c r="E15"/>
  <c r="D15"/>
  <c r="J14"/>
  <c r="I14"/>
  <c r="H14"/>
  <c r="G14"/>
  <c r="F14"/>
  <c r="E14"/>
  <c r="D14"/>
  <c r="J13"/>
  <c r="I13"/>
  <c r="H13"/>
  <c r="G13"/>
  <c r="F13"/>
  <c r="E13"/>
  <c r="D13"/>
  <c r="J12"/>
  <c r="I12"/>
  <c r="H12"/>
  <c r="G12"/>
  <c r="F12"/>
  <c r="E12"/>
  <c r="D12"/>
  <c r="J11"/>
  <c r="I11"/>
  <c r="H11"/>
  <c r="G11"/>
  <c r="F11"/>
  <c r="E11"/>
  <c r="D11"/>
  <c r="J9"/>
  <c r="I9"/>
  <c r="H9"/>
  <c r="G9"/>
  <c r="F9"/>
  <c r="E9"/>
  <c r="D9"/>
  <c r="J8"/>
  <c r="I8"/>
  <c r="H8"/>
  <c r="G8"/>
  <c r="F8"/>
  <c r="E8"/>
  <c r="D8"/>
  <c r="J7"/>
  <c r="I7"/>
  <c r="H7"/>
  <c r="G7"/>
  <c r="F7"/>
  <c r="E7"/>
  <c r="D7"/>
  <c r="J6"/>
  <c r="I6"/>
  <c r="H6"/>
  <c r="G6"/>
  <c r="F6"/>
  <c r="E6"/>
  <c r="D6"/>
  <c r="J5"/>
  <c r="I5"/>
  <c r="H5"/>
  <c r="G5"/>
  <c r="F5"/>
  <c r="E5"/>
  <c r="D5"/>
  <c r="J4"/>
  <c r="I4"/>
  <c r="H4"/>
  <c r="G4"/>
  <c r="F4"/>
  <c r="E4"/>
  <c r="D4"/>
  <c r="J3"/>
  <c r="I3"/>
  <c r="H3"/>
  <c r="G3"/>
  <c r="F3"/>
  <c r="E3"/>
  <c r="D3"/>
  <c r="L110" i="1"/>
  <c r="K110"/>
  <c r="J110"/>
  <c r="I110"/>
  <c r="H110"/>
  <c r="G110"/>
  <c r="F110"/>
  <c r="E110"/>
  <c r="L106"/>
  <c r="K106"/>
  <c r="J106"/>
  <c r="I106"/>
  <c r="H106"/>
  <c r="G106"/>
  <c r="F106"/>
  <c r="E106"/>
  <c r="L104"/>
  <c r="L102"/>
  <c r="L100"/>
  <c r="K99"/>
  <c r="J99"/>
  <c r="I99"/>
  <c r="H99"/>
  <c r="G99"/>
  <c r="F99"/>
  <c r="E99"/>
  <c r="L94"/>
  <c r="K94"/>
  <c r="J94"/>
  <c r="I94"/>
  <c r="H94"/>
  <c r="G94"/>
  <c r="F94"/>
  <c r="E94"/>
  <c r="K93"/>
  <c r="J93"/>
  <c r="I93"/>
  <c r="H93"/>
  <c r="G93"/>
  <c r="F93"/>
  <c r="E93"/>
  <c r="K92"/>
  <c r="J92"/>
  <c r="I92"/>
  <c r="H92"/>
  <c r="G92"/>
  <c r="F92"/>
  <c r="E92"/>
  <c r="K91"/>
  <c r="J91"/>
  <c r="I91"/>
  <c r="H91"/>
  <c r="G91"/>
  <c r="F91"/>
  <c r="E91"/>
  <c r="L90"/>
  <c r="K90"/>
  <c r="J90"/>
  <c r="I90"/>
  <c r="H90"/>
  <c r="G90"/>
  <c r="F90"/>
  <c r="E90"/>
  <c r="K89"/>
  <c r="J89"/>
  <c r="I89"/>
  <c r="H89"/>
  <c r="G89"/>
  <c r="F89"/>
  <c r="E89"/>
  <c r="K81"/>
  <c r="J81"/>
  <c r="I81"/>
  <c r="H81"/>
  <c r="G81"/>
  <c r="F81"/>
  <c r="E81"/>
  <c r="K71"/>
  <c r="J71"/>
  <c r="I71"/>
  <c r="H71"/>
  <c r="G71"/>
  <c r="F71"/>
  <c r="E71"/>
  <c r="K69"/>
  <c r="J69"/>
  <c r="I69"/>
  <c r="H69"/>
  <c r="G69"/>
  <c r="F69"/>
  <c r="E69"/>
  <c r="K62"/>
  <c r="J62"/>
  <c r="I62"/>
  <c r="H62"/>
  <c r="G62"/>
  <c r="F62"/>
  <c r="E62"/>
  <c r="K56"/>
  <c r="J56"/>
  <c r="I56"/>
  <c r="H56"/>
  <c r="G56"/>
  <c r="F56"/>
  <c r="E56"/>
  <c r="K51"/>
  <c r="J51"/>
  <c r="I51"/>
  <c r="H51"/>
  <c r="G51"/>
  <c r="F51"/>
  <c r="E51"/>
  <c r="L46"/>
  <c r="L44"/>
  <c r="K44"/>
  <c r="J44"/>
  <c r="I44"/>
  <c r="H44"/>
  <c r="G44"/>
  <c r="F44"/>
  <c r="E44"/>
  <c r="K40"/>
  <c r="J40"/>
  <c r="I40"/>
  <c r="H40"/>
  <c r="G40"/>
  <c r="F40"/>
  <c r="E40"/>
  <c r="L38"/>
  <c r="K36"/>
  <c r="J36"/>
  <c r="I36"/>
  <c r="H36"/>
  <c r="G36"/>
  <c r="F36"/>
  <c r="E36"/>
  <c r="K35"/>
  <c r="J35"/>
  <c r="I35"/>
  <c r="H35"/>
  <c r="G35"/>
  <c r="F35"/>
  <c r="E35"/>
  <c r="L31"/>
  <c r="L29"/>
  <c r="L28"/>
  <c r="K26"/>
  <c r="J26"/>
  <c r="I26"/>
  <c r="H26"/>
  <c r="G26"/>
  <c r="F26"/>
  <c r="E26"/>
  <c r="K20"/>
  <c r="J20"/>
  <c r="I20"/>
  <c r="H20"/>
  <c r="G20"/>
  <c r="F20"/>
  <c r="E20"/>
  <c r="K18"/>
  <c r="J18"/>
  <c r="I18"/>
  <c r="H18"/>
  <c r="G18"/>
  <c r="F18"/>
  <c r="E18"/>
  <c r="K11"/>
  <c r="J11"/>
  <c r="I11"/>
  <c r="H11"/>
  <c r="G11"/>
  <c r="F11"/>
  <c r="E11"/>
  <c r="K3"/>
  <c r="J3"/>
  <c r="I3"/>
  <c r="H3"/>
  <c r="G3"/>
  <c r="F3"/>
  <c r="E3"/>
  <c r="D26" i="10" l="1"/>
  <c r="D28" s="1"/>
  <c r="D32" s="1"/>
  <c r="E26"/>
  <c r="E28" s="1"/>
  <c r="E32" s="1"/>
  <c r="C26"/>
  <c r="C28" s="1"/>
  <c r="C32" s="1"/>
  <c r="E18" i="9"/>
  <c r="C36" i="10" l="1"/>
  <c r="G34"/>
  <c r="G36" s="1"/>
  <c r="H34"/>
  <c r="H36" s="1"/>
  <c r="D36"/>
  <c r="E36"/>
  <c r="I34"/>
  <c r="I36" s="1"/>
</calcChain>
</file>

<file path=xl/sharedStrings.xml><?xml version="1.0" encoding="utf-8"?>
<sst xmlns="http://schemas.openxmlformats.org/spreadsheetml/2006/main" count="534" uniqueCount="242">
  <si>
    <t>Year</t>
  </si>
  <si>
    <t>Total Income</t>
  </si>
  <si>
    <t>Revenue From Sales</t>
  </si>
  <si>
    <t>Excise Duty</t>
  </si>
  <si>
    <t>Other Operating Revenue</t>
  </si>
  <si>
    <t>Other Incme</t>
  </si>
  <si>
    <t>Domestic</t>
  </si>
  <si>
    <t>Exports</t>
  </si>
  <si>
    <t>Operating Expenses</t>
  </si>
  <si>
    <t>Raw Material</t>
  </si>
  <si>
    <t>Stock In trade</t>
  </si>
  <si>
    <t>Change in Inventory</t>
  </si>
  <si>
    <t>Employee</t>
  </si>
  <si>
    <t>Others</t>
  </si>
  <si>
    <t>Fixed</t>
  </si>
  <si>
    <t>Variable</t>
  </si>
  <si>
    <t>COGS</t>
  </si>
  <si>
    <t>Gross Profit</t>
  </si>
  <si>
    <t>Indegineous</t>
  </si>
  <si>
    <t>Imported</t>
  </si>
  <si>
    <t>EBITDA</t>
  </si>
  <si>
    <t>Depreciation</t>
  </si>
  <si>
    <t>Finance Cost</t>
  </si>
  <si>
    <t>Exceptional Item</t>
  </si>
  <si>
    <t>Extraordinary item</t>
  </si>
  <si>
    <t>PBT</t>
  </si>
  <si>
    <t>Tax</t>
  </si>
  <si>
    <t>PAT</t>
  </si>
  <si>
    <t>Minority Interest</t>
  </si>
  <si>
    <t>Net Profit</t>
  </si>
  <si>
    <t>Share Holder Equity</t>
  </si>
  <si>
    <t>Share Capital</t>
  </si>
  <si>
    <t>Reserves</t>
  </si>
  <si>
    <t>Non-Current Liability</t>
  </si>
  <si>
    <t>Deferred tax</t>
  </si>
  <si>
    <t>Other</t>
  </si>
  <si>
    <t>Long term provisions</t>
  </si>
  <si>
    <t>Current Liability</t>
  </si>
  <si>
    <t>Short term borrowings</t>
  </si>
  <si>
    <t>Long term borrowings</t>
  </si>
  <si>
    <t>Trades payable</t>
  </si>
  <si>
    <t>Short term provisions</t>
  </si>
  <si>
    <t>Current maturities</t>
  </si>
  <si>
    <t>Interest on loans</t>
  </si>
  <si>
    <t>Interest on other deposits</t>
  </si>
  <si>
    <t>Total Liability</t>
  </si>
  <si>
    <t>Non-Current Assets</t>
  </si>
  <si>
    <t>Fixed Tabgible</t>
  </si>
  <si>
    <t>Fixed Intangible</t>
  </si>
  <si>
    <t>Capital work in progress</t>
  </si>
  <si>
    <t>Goodwill</t>
  </si>
  <si>
    <t>Non current Investments</t>
  </si>
  <si>
    <t>Deferred tax assets</t>
  </si>
  <si>
    <t>Loans and Advances</t>
  </si>
  <si>
    <t>Current Assets</t>
  </si>
  <si>
    <t>Current Investments</t>
  </si>
  <si>
    <t>Inventories</t>
  </si>
  <si>
    <t>Receivables</t>
  </si>
  <si>
    <t>Cash and Bank Balance</t>
  </si>
  <si>
    <t>Short term Loans and Advances</t>
  </si>
  <si>
    <t>Total Assets</t>
  </si>
  <si>
    <t>Domestic % RFS</t>
  </si>
  <si>
    <t>Exports % RFS</t>
  </si>
  <si>
    <t>Indegineous % RM</t>
  </si>
  <si>
    <t>Imported % RM</t>
  </si>
  <si>
    <t>Tax % PBT</t>
  </si>
  <si>
    <t xml:space="preserve"> </t>
  </si>
  <si>
    <t>Total Income Yearly Growth</t>
  </si>
  <si>
    <t xml:space="preserve">PAT </t>
  </si>
  <si>
    <t>Gross Profit Margin</t>
  </si>
  <si>
    <t>PBT Margin</t>
  </si>
  <si>
    <t>PAT Margin</t>
  </si>
  <si>
    <t>Net Profit Margin</t>
  </si>
  <si>
    <t>Total Income % RFS</t>
  </si>
  <si>
    <t>Excise Duty % RFS</t>
  </si>
  <si>
    <t>Other Operating Revenue % RFS</t>
  </si>
  <si>
    <t>Other Incme % RFS</t>
  </si>
  <si>
    <t>COGS % RFS</t>
  </si>
  <si>
    <t>Raw Material % RFS</t>
  </si>
  <si>
    <t>Stock In trade % RFS</t>
  </si>
  <si>
    <t>Change in Inventory % RFS</t>
  </si>
  <si>
    <t>Gross Profit % TI</t>
  </si>
  <si>
    <t>Operating Expenses % RFS</t>
  </si>
  <si>
    <t>Employee % RFS</t>
  </si>
  <si>
    <t>Others % RFS</t>
  </si>
  <si>
    <t>EBITDA % TI</t>
  </si>
  <si>
    <t>PBT % TI</t>
  </si>
  <si>
    <t>PAT % TI</t>
  </si>
  <si>
    <t>Net Profit % TI</t>
  </si>
  <si>
    <t>Total debt/ Equity Ratio</t>
  </si>
  <si>
    <t>Current Ratio</t>
  </si>
  <si>
    <t>ROCE</t>
  </si>
  <si>
    <t>Minority Interest % (CPAT-SPAT)</t>
  </si>
  <si>
    <t>STANDALONE</t>
  </si>
  <si>
    <t>Tangible Assets</t>
  </si>
  <si>
    <t>Additions</t>
  </si>
  <si>
    <t>Deductions/Adjustments</t>
  </si>
  <si>
    <t>Misc</t>
  </si>
  <si>
    <t>Net Block</t>
  </si>
  <si>
    <t>Intangible Assets</t>
  </si>
  <si>
    <t>Int Asset as % of total asset</t>
  </si>
  <si>
    <t>Impairment</t>
  </si>
  <si>
    <t>Added Dep/Amort for the year</t>
  </si>
  <si>
    <t>Total Fixed Asset</t>
  </si>
  <si>
    <t>% of tangible assets</t>
  </si>
  <si>
    <t>% of intangible assets</t>
  </si>
  <si>
    <t>Rsqr Linear</t>
  </si>
  <si>
    <t>Rsqr Poly</t>
  </si>
  <si>
    <t>Rsqr Expo</t>
  </si>
  <si>
    <t>Prjct Linear</t>
  </si>
  <si>
    <t>Prjct Poly</t>
  </si>
  <si>
    <t>Prjct Expo</t>
  </si>
  <si>
    <t>Max Rsqr</t>
  </si>
  <si>
    <t>Final Value</t>
  </si>
  <si>
    <t>Revenue</t>
  </si>
  <si>
    <t>Yearly Growth</t>
  </si>
  <si>
    <t>Other Income</t>
  </si>
  <si>
    <t>Other Expense</t>
  </si>
  <si>
    <t>Tangible Assets Depreciation</t>
  </si>
  <si>
    <t>Intangible Assets Depreciation</t>
  </si>
  <si>
    <t>Int Assets/Total Asset</t>
  </si>
  <si>
    <t>Fixed % RFS</t>
  </si>
  <si>
    <t>Variable % RFS</t>
  </si>
  <si>
    <t>Interest on Loans</t>
  </si>
  <si>
    <t>Interest on loans % Avg debt</t>
  </si>
  <si>
    <t>Interest on other deposits % RFS</t>
  </si>
  <si>
    <t>Management Commentary</t>
  </si>
  <si>
    <t>Yearly growth</t>
  </si>
  <si>
    <t>Planned Capex</t>
  </si>
  <si>
    <t>Planned Debt</t>
  </si>
  <si>
    <t>Goodwill/Total Fixed Assets</t>
  </si>
  <si>
    <t>Target Debt/Equity Ratio</t>
  </si>
  <si>
    <t>Sales Projection</t>
  </si>
  <si>
    <t>Sales growth projection</t>
  </si>
  <si>
    <t>Other operating Revenue</t>
  </si>
  <si>
    <t>Income</t>
  </si>
  <si>
    <t>Employee Expense</t>
  </si>
  <si>
    <t>StandAlone</t>
  </si>
  <si>
    <t>Consolidated</t>
  </si>
  <si>
    <t>Expected Tangible Assets</t>
  </si>
  <si>
    <t>Expected Intangible Assets</t>
  </si>
  <si>
    <t>CONSOLIDATED</t>
  </si>
  <si>
    <t>RFS Yearly Growth</t>
  </si>
  <si>
    <t>Interest Coverage Ratio % PBT</t>
  </si>
  <si>
    <t>Interest on loans % Avg debts</t>
  </si>
  <si>
    <t>STANDALONE/CONSOLIDATED</t>
  </si>
  <si>
    <t>Long Term Debt</t>
  </si>
  <si>
    <t>Total Debt</t>
  </si>
  <si>
    <t>Interest</t>
  </si>
  <si>
    <t>Cash Flow</t>
  </si>
  <si>
    <t>Cash Flow From Operations</t>
  </si>
  <si>
    <t>Cash Flow From Investing</t>
  </si>
  <si>
    <t>Cash Flow From Financing</t>
  </si>
  <si>
    <t>Cash Flow From Finances</t>
  </si>
  <si>
    <t>CAGR Total Income</t>
  </si>
  <si>
    <t>CAGR EBITDA</t>
  </si>
  <si>
    <t>CAGR PAT</t>
  </si>
  <si>
    <t>Dividend</t>
  </si>
  <si>
    <t>Dividend Payout Ratio</t>
  </si>
  <si>
    <t>CAGR Dividend</t>
  </si>
  <si>
    <t>Dividend Growth</t>
  </si>
  <si>
    <t>Dividend Growth Model</t>
  </si>
  <si>
    <t>Expected rate of return</t>
  </si>
  <si>
    <t>Expected price</t>
  </si>
  <si>
    <t>CAGR</t>
  </si>
  <si>
    <t>Growth Projection</t>
  </si>
  <si>
    <t>Standalone</t>
  </si>
  <si>
    <t>Face Value</t>
  </si>
  <si>
    <t>Cash Ratio</t>
  </si>
  <si>
    <t>FCInv(Fixed Assets)</t>
  </si>
  <si>
    <t>FCFF</t>
  </si>
  <si>
    <t>Interest Coverage Ratio % CFO</t>
  </si>
  <si>
    <t>Cash Conversion Cycle</t>
  </si>
  <si>
    <t>Target Cash Ratio</t>
  </si>
  <si>
    <t>Operating Assets</t>
  </si>
  <si>
    <t>Operating Liabilities</t>
  </si>
  <si>
    <t>Deferred tax liability</t>
  </si>
  <si>
    <t>Asset Accrual</t>
  </si>
  <si>
    <t>Income Accrual</t>
  </si>
  <si>
    <t>Net Operating Asset</t>
  </si>
  <si>
    <t>Net Operating Assets</t>
  </si>
  <si>
    <t>Cash Tax Paid</t>
  </si>
  <si>
    <t>Cash Generated From Operation</t>
  </si>
  <si>
    <t>Tax Ratio</t>
  </si>
  <si>
    <t>Total</t>
  </si>
  <si>
    <t>Total Debts</t>
  </si>
  <si>
    <t>EBITDA/OP</t>
  </si>
  <si>
    <t>EBITDA/OP Margin</t>
  </si>
  <si>
    <t>Depreciation % NFA</t>
  </si>
  <si>
    <t>Net Fixed Asset Turnover Ratio</t>
  </si>
  <si>
    <t>SSGR</t>
  </si>
  <si>
    <t>Tax Payout Ratio</t>
  </si>
  <si>
    <t>Deferred Tax by Revenue</t>
  </si>
  <si>
    <t>Inventory days</t>
  </si>
  <si>
    <t>Trades Receivable Days</t>
  </si>
  <si>
    <t>Trades Payable Days</t>
  </si>
  <si>
    <t>Interest expected outgo % PBT</t>
  </si>
  <si>
    <t>Total income(income from operation)</t>
  </si>
  <si>
    <t>Working Capital</t>
  </si>
  <si>
    <t>Total Income(Income from operation)</t>
  </si>
  <si>
    <t>Working Capital Loan Ratio</t>
  </si>
  <si>
    <t>CAGR Net Profit</t>
  </si>
  <si>
    <t>PBT(excluding other income)</t>
  </si>
  <si>
    <t>Remuneration KMP</t>
  </si>
  <si>
    <t>Remuneration/ Net Profit</t>
  </si>
  <si>
    <t>CAGR(Data)</t>
  </si>
  <si>
    <t>Parameters</t>
  </si>
  <si>
    <t>Total 7 Yrs</t>
  </si>
  <si>
    <t>Sales</t>
  </si>
  <si>
    <t>Expenses</t>
  </si>
  <si>
    <t>Operating Profit</t>
  </si>
  <si>
    <t>OPM%</t>
  </si>
  <si>
    <t>Tax%</t>
  </si>
  <si>
    <t>Net profit (PAT)</t>
  </si>
  <si>
    <t>NPM%</t>
  </si>
  <si>
    <t>Cash From Operating Activity(CFO)</t>
  </si>
  <si>
    <t>Capex(NFA+WIP change+dep) (per year basis)</t>
  </si>
  <si>
    <t>Total Debt (D)</t>
  </si>
  <si>
    <t>FCF</t>
  </si>
  <si>
    <t>ROTC</t>
  </si>
  <si>
    <t>Cost of Capital (WACC)</t>
  </si>
  <si>
    <t>Excess Return</t>
  </si>
  <si>
    <t>Net Fixed Asset Turnover (High is better)</t>
  </si>
  <si>
    <t>Receivables Days (Low is Better)</t>
  </si>
  <si>
    <t>Inventory Days (Low is better)</t>
  </si>
  <si>
    <t>Net Fixed Assets</t>
  </si>
  <si>
    <t>Capital Work in Progress (CWIP)</t>
  </si>
  <si>
    <t>Working Capital Cycle (Rec + Inv Days)</t>
  </si>
  <si>
    <t>Dividend Paid</t>
  </si>
  <si>
    <t>Dividend Payout</t>
  </si>
  <si>
    <t>Depriciation% NFA</t>
  </si>
  <si>
    <t>Total Equity (E)</t>
  </si>
  <si>
    <t>Debt to Equity (D/E)</t>
  </si>
  <si>
    <t>Interest Coverage ratio</t>
  </si>
  <si>
    <t>Cash Flow From Operating Activity (CFO)</t>
  </si>
  <si>
    <t>Cash From Investing Activity (CFI)</t>
  </si>
  <si>
    <t>Cash From Financing Activity (CFF)</t>
  </si>
  <si>
    <t>Net Cash Flow</t>
  </si>
  <si>
    <t>In Million</t>
  </si>
  <si>
    <t>Capex</t>
  </si>
  <si>
    <t>Bank Commission</t>
  </si>
  <si>
    <t>Net cash Flow</t>
  </si>
</sst>
</file>

<file path=xl/styles.xml><?xml version="1.0" encoding="utf-8"?>
<styleSheet xmlns="http://schemas.openxmlformats.org/spreadsheetml/2006/main">
  <numFmts count="2">
    <numFmt numFmtId="164" formatCode="_ * #,##0.00_ ;_ * \-#,##0.00_ ;_ * &quot;-&quot;??_ ;_ @_ "/>
    <numFmt numFmtId="165" formatCode="_-* #,##0.00_-;\-* #,##0.00_-;_-* &quot;-&quot;??_-;_-@_-"/>
  </numFmts>
  <fonts count="9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/>
      <top/>
      <bottom/>
      <diagonal/>
    </border>
  </borders>
  <cellStyleXfs count="19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5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0" borderId="0" xfId="0" applyFont="1"/>
    <xf numFmtId="0" fontId="0" fillId="0" borderId="0" xfId="0" applyFont="1" applyFill="1"/>
    <xf numFmtId="0" fontId="0" fillId="0" borderId="0" xfId="0" applyFont="1"/>
    <xf numFmtId="0" fontId="0" fillId="0" borderId="0" xfId="0" applyFill="1"/>
    <xf numFmtId="0" fontId="0" fillId="0" borderId="1" xfId="0" applyBorder="1"/>
    <xf numFmtId="0" fontId="1" fillId="2" borderId="1" xfId="0" applyFont="1" applyFill="1" applyBorder="1"/>
    <xf numFmtId="0" fontId="0" fillId="2" borderId="1" xfId="0" applyFill="1" applyBorder="1"/>
    <xf numFmtId="0" fontId="1" fillId="0" borderId="0" xfId="0" applyFont="1" applyFill="1"/>
    <xf numFmtId="4" fontId="0" fillId="0" borderId="0" xfId="0" applyNumberFormat="1"/>
    <xf numFmtId="3" fontId="0" fillId="0" borderId="0" xfId="0" applyNumberFormat="1"/>
    <xf numFmtId="0" fontId="1" fillId="3" borderId="0" xfId="0" applyFont="1" applyFill="1"/>
    <xf numFmtId="2" fontId="0" fillId="0" borderId="0" xfId="0" applyNumberFormat="1"/>
    <xf numFmtId="0" fontId="0" fillId="4" borderId="0" xfId="0" applyFill="1"/>
    <xf numFmtId="0" fontId="1" fillId="4" borderId="0" xfId="0" applyFont="1" applyFill="1"/>
    <xf numFmtId="2" fontId="0" fillId="5" borderId="0" xfId="0" applyNumberFormat="1" applyFill="1"/>
    <xf numFmtId="0" fontId="0" fillId="0" borderId="0" xfId="0" applyBorder="1"/>
    <xf numFmtId="0" fontId="5" fillId="0" borderId="0" xfId="0" applyFont="1" applyFill="1" applyBorder="1"/>
    <xf numFmtId="0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/>
    <xf numFmtId="0" fontId="7" fillId="0" borderId="0" xfId="0" applyFont="1" applyBorder="1"/>
    <xf numFmtId="164" fontId="7" fillId="0" borderId="0" xfId="0" applyNumberFormat="1" applyFont="1" applyBorder="1"/>
    <xf numFmtId="10" fontId="7" fillId="0" borderId="0" xfId="0" applyNumberFormat="1" applyFont="1" applyBorder="1" applyAlignment="1">
      <alignment horizontal="center"/>
    </xf>
    <xf numFmtId="0" fontId="8" fillId="0" borderId="0" xfId="0" applyFont="1" applyBorder="1"/>
    <xf numFmtId="164" fontId="8" fillId="0" borderId="0" xfId="0" applyNumberFormat="1" applyFont="1" applyBorder="1"/>
    <xf numFmtId="10" fontId="8" fillId="0" borderId="0" xfId="0" applyNumberFormat="1" applyFont="1" applyBorder="1" applyAlignment="1">
      <alignment horizontal="center"/>
    </xf>
    <xf numFmtId="10" fontId="7" fillId="0" borderId="0" xfId="0" applyNumberFormat="1" applyFont="1" applyBorder="1"/>
    <xf numFmtId="10" fontId="7" fillId="0" borderId="0" xfId="0" applyNumberFormat="1" applyFont="1" applyBorder="1" applyAlignment="1">
      <alignment horizontal="right"/>
    </xf>
    <xf numFmtId="10" fontId="8" fillId="0" borderId="0" xfId="0" applyNumberFormat="1" applyFont="1" applyBorder="1"/>
    <xf numFmtId="10" fontId="8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wrapText="1"/>
    </xf>
    <xf numFmtId="4" fontId="8" fillId="0" borderId="0" xfId="0" applyNumberFormat="1" applyFont="1" applyBorder="1"/>
    <xf numFmtId="0" fontId="8" fillId="0" borderId="0" xfId="0" applyFont="1" applyFill="1" applyBorder="1" applyAlignment="1">
      <alignment horizontal="left" wrapText="1"/>
    </xf>
    <xf numFmtId="0" fontId="8" fillId="0" borderId="0" xfId="0" applyFont="1" applyBorder="1" applyAlignment="1">
      <alignment horizontal="center"/>
    </xf>
    <xf numFmtId="165" fontId="8" fillId="0" borderId="0" xfId="0" applyNumberFormat="1" applyFont="1" applyBorder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vertical="center"/>
    </xf>
    <xf numFmtId="9" fontId="8" fillId="0" borderId="0" xfId="0" applyNumberFormat="1" applyFont="1" applyBorder="1"/>
    <xf numFmtId="10" fontId="0" fillId="0" borderId="0" xfId="0" applyNumberFormat="1"/>
    <xf numFmtId="4" fontId="0" fillId="0" borderId="1" xfId="0" applyNumberFormat="1" applyBorder="1"/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</cellXfs>
  <cellStyles count="19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Normal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Grwth%203%20Aegis%20Che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tandAlone"/>
      <sheetName val="StandAlone %"/>
      <sheetName val="Consolidated"/>
      <sheetName val="Consolidated %"/>
      <sheetName val="Evaluation Ratios"/>
      <sheetName val="Fund Flow Analysis"/>
      <sheetName val="Earnings Projection"/>
      <sheetName val="Depreciation"/>
      <sheetName val="Pricing Model"/>
      <sheetName val="Trendline Projection Calculatio"/>
      <sheetName val="Research Report Data"/>
    </sheetNames>
    <sheetDataSet>
      <sheetData sheetId="0">
        <row r="1">
          <cell r="E1">
            <v>2017</v>
          </cell>
          <cell r="F1">
            <v>2016</v>
          </cell>
          <cell r="G1">
            <v>2015</v>
          </cell>
          <cell r="H1">
            <v>2014</v>
          </cell>
          <cell r="I1">
            <v>2013</v>
          </cell>
          <cell r="J1">
            <v>2012</v>
          </cell>
          <cell r="K1">
            <v>2011</v>
          </cell>
        </row>
      </sheetData>
      <sheetData sheetId="1"/>
      <sheetData sheetId="2">
        <row r="1">
          <cell r="E1">
            <v>2017</v>
          </cell>
        </row>
      </sheetData>
      <sheetData sheetId="3"/>
      <sheetData sheetId="4">
        <row r="23">
          <cell r="K23">
            <v>2.2207195353344726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10"/>
  <sheetViews>
    <sheetView tabSelected="1" workbookViewId="0">
      <pane xSplit="4" ySplit="2" topLeftCell="E93" activePane="bottomRight" state="frozen"/>
      <selection pane="topRight" activeCell="E1" sqref="E1"/>
      <selection pane="bottomLeft" activeCell="A3" sqref="A3"/>
      <selection pane="bottomRight" activeCell="K107" sqref="K107"/>
    </sheetView>
  </sheetViews>
  <sheetFormatPr defaultColWidth="11" defaultRowHeight="15.75"/>
  <cols>
    <col min="1" max="1" width="13.125" customWidth="1"/>
    <col min="2" max="2" width="27" customWidth="1"/>
    <col min="3" max="3" width="24.125" customWidth="1"/>
    <col min="4" max="4" width="24.125" hidden="1" customWidth="1"/>
    <col min="5" max="5" width="12.375" customWidth="1"/>
    <col min="12" max="12" width="10.875" style="7"/>
  </cols>
  <sheetData>
    <row r="1" spans="1:12">
      <c r="A1" t="s">
        <v>0</v>
      </c>
      <c r="B1" t="s">
        <v>238</v>
      </c>
      <c r="E1">
        <v>2017</v>
      </c>
      <c r="F1">
        <v>2016</v>
      </c>
      <c r="G1">
        <v>2015</v>
      </c>
      <c r="H1">
        <v>2014</v>
      </c>
      <c r="I1">
        <v>2013</v>
      </c>
      <c r="J1">
        <v>2012</v>
      </c>
      <c r="K1">
        <v>2011</v>
      </c>
      <c r="L1" s="7" t="s">
        <v>184</v>
      </c>
    </row>
    <row r="2" spans="1:12">
      <c r="E2">
        <v>1</v>
      </c>
      <c r="F2">
        <v>2</v>
      </c>
      <c r="G2">
        <v>3</v>
      </c>
      <c r="H2">
        <v>4</v>
      </c>
      <c r="I2">
        <v>5</v>
      </c>
      <c r="J2">
        <v>6</v>
      </c>
      <c r="K2">
        <v>7</v>
      </c>
    </row>
    <row r="3" spans="1:12" s="2" customFormat="1">
      <c r="A3" s="2" t="s">
        <v>197</v>
      </c>
      <c r="E3" s="2">
        <f>E4-E7+E8+E9</f>
        <v>17060.89</v>
      </c>
      <c r="F3" s="2">
        <f t="shared" ref="F3:K3" si="0">F4-F7+F8+F9</f>
        <v>15113.89</v>
      </c>
      <c r="G3" s="2">
        <f t="shared" si="0"/>
        <v>13144.529999999999</v>
      </c>
      <c r="H3" s="2">
        <f t="shared" si="0"/>
        <v>10436.330000000002</v>
      </c>
      <c r="I3" s="2">
        <f t="shared" si="0"/>
        <v>9017.67</v>
      </c>
      <c r="J3" s="2">
        <f t="shared" si="0"/>
        <v>7421.99</v>
      </c>
      <c r="K3" s="2">
        <f t="shared" si="0"/>
        <v>5069.21</v>
      </c>
      <c r="L3" s="8"/>
    </row>
    <row r="4" spans="1:12">
      <c r="B4" t="s">
        <v>2</v>
      </c>
      <c r="E4" s="11">
        <v>18355.310000000001</v>
      </c>
      <c r="F4" s="11">
        <v>16067.17</v>
      </c>
      <c r="G4" s="11">
        <v>14247.9</v>
      </c>
      <c r="H4" s="11">
        <v>11651.62</v>
      </c>
      <c r="I4" s="11">
        <v>10137.35</v>
      </c>
      <c r="J4" s="11">
        <v>7403.37</v>
      </c>
      <c r="K4" s="11">
        <v>5024.7</v>
      </c>
    </row>
    <row r="5" spans="1:12">
      <c r="C5" t="s">
        <v>6</v>
      </c>
    </row>
    <row r="6" spans="1:12">
      <c r="C6" t="s">
        <v>7</v>
      </c>
    </row>
    <row r="7" spans="1:12">
      <c r="B7" t="s">
        <v>3</v>
      </c>
      <c r="E7" s="11">
        <v>1325.67</v>
      </c>
      <c r="F7" s="11">
        <v>1004.94</v>
      </c>
      <c r="G7" s="11">
        <v>1119.93</v>
      </c>
      <c r="H7" s="11">
        <v>1236.55</v>
      </c>
      <c r="I7" s="11">
        <v>1133.8499999999999</v>
      </c>
      <c r="J7" s="11">
        <v>0</v>
      </c>
      <c r="K7" s="11">
        <v>0</v>
      </c>
    </row>
    <row r="8" spans="1:12">
      <c r="B8" t="s">
        <v>4</v>
      </c>
      <c r="E8">
        <v>0</v>
      </c>
      <c r="F8">
        <v>0</v>
      </c>
      <c r="G8">
        <v>0</v>
      </c>
      <c r="H8" s="12">
        <v>0</v>
      </c>
      <c r="I8">
        <v>0</v>
      </c>
      <c r="J8">
        <v>0</v>
      </c>
      <c r="K8">
        <v>0</v>
      </c>
    </row>
    <row r="9" spans="1:12">
      <c r="B9" t="s">
        <v>5</v>
      </c>
      <c r="E9">
        <v>31.25</v>
      </c>
      <c r="F9">
        <v>51.66</v>
      </c>
      <c r="G9">
        <v>16.559999999999999</v>
      </c>
      <c r="H9">
        <v>21.26</v>
      </c>
      <c r="I9">
        <v>14.17</v>
      </c>
      <c r="J9">
        <v>18.62</v>
      </c>
      <c r="K9">
        <v>44.51</v>
      </c>
    </row>
    <row r="11" spans="1:12" s="2" customFormat="1">
      <c r="A11" s="2" t="s">
        <v>16</v>
      </c>
      <c r="E11" s="2">
        <f t="shared" ref="E11:K11" si="1">E12+E15+E16</f>
        <v>10908.02</v>
      </c>
      <c r="F11" s="2">
        <f t="shared" si="1"/>
        <v>9484.9399999999987</v>
      </c>
      <c r="G11" s="2">
        <f t="shared" si="1"/>
        <v>8797.33</v>
      </c>
      <c r="H11" s="2">
        <f t="shared" si="1"/>
        <v>7600.5</v>
      </c>
      <c r="I11" s="2">
        <f t="shared" si="1"/>
        <v>6828.5999999999995</v>
      </c>
      <c r="J11" s="2">
        <f t="shared" si="1"/>
        <v>5582.18</v>
      </c>
      <c r="K11" s="2">
        <f t="shared" si="1"/>
        <v>3933.13</v>
      </c>
      <c r="L11" s="8"/>
    </row>
    <row r="12" spans="1:12">
      <c r="B12" t="s">
        <v>9</v>
      </c>
      <c r="E12" s="11">
        <v>11729.5</v>
      </c>
      <c r="F12" s="11">
        <v>9538.0499999999993</v>
      </c>
      <c r="G12" s="11">
        <v>8550.8700000000008</v>
      </c>
      <c r="H12" s="11">
        <v>7869.86</v>
      </c>
      <c r="I12" s="11">
        <v>7193.86</v>
      </c>
      <c r="J12" s="11">
        <v>5361.18</v>
      </c>
      <c r="K12" s="11">
        <v>4411.62</v>
      </c>
    </row>
    <row r="13" spans="1:12">
      <c r="C13" t="s">
        <v>18</v>
      </c>
    </row>
    <row r="14" spans="1:12">
      <c r="C14" t="s">
        <v>19</v>
      </c>
    </row>
    <row r="15" spans="1:12">
      <c r="B15" t="s">
        <v>10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</row>
    <row r="16" spans="1:12">
      <c r="B16" t="s">
        <v>11</v>
      </c>
      <c r="E16">
        <v>-821.48</v>
      </c>
      <c r="F16">
        <v>-53.11</v>
      </c>
      <c r="G16">
        <v>246.46</v>
      </c>
      <c r="H16">
        <v>-269.36</v>
      </c>
      <c r="I16">
        <v>-365.26</v>
      </c>
      <c r="J16">
        <v>221</v>
      </c>
      <c r="K16">
        <v>-478.49</v>
      </c>
    </row>
    <row r="18" spans="1:12" s="1" customFormat="1">
      <c r="A18" s="2" t="s">
        <v>17</v>
      </c>
      <c r="E18" s="1">
        <f t="shared" ref="E18:K18" si="2">E3-E11</f>
        <v>6152.869999999999</v>
      </c>
      <c r="F18" s="1">
        <f t="shared" si="2"/>
        <v>5628.9500000000007</v>
      </c>
      <c r="G18" s="1">
        <f t="shared" si="2"/>
        <v>4347.1999999999989</v>
      </c>
      <c r="H18" s="1">
        <f t="shared" si="2"/>
        <v>2835.8300000000017</v>
      </c>
      <c r="I18" s="1">
        <f t="shared" si="2"/>
        <v>2189.0700000000006</v>
      </c>
      <c r="J18" s="1">
        <f t="shared" si="2"/>
        <v>1839.8099999999995</v>
      </c>
      <c r="K18" s="1">
        <f t="shared" si="2"/>
        <v>1136.08</v>
      </c>
      <c r="L18" s="9"/>
    </row>
    <row r="20" spans="1:12" s="2" customFormat="1">
      <c r="A20" s="2" t="s">
        <v>8</v>
      </c>
      <c r="E20" s="2">
        <f t="shared" ref="E20:K20" si="3">E21+E22</f>
        <v>3661.23</v>
      </c>
      <c r="F20" s="2">
        <f t="shared" si="3"/>
        <v>3384.7999999999997</v>
      </c>
      <c r="G20" s="2">
        <f t="shared" si="3"/>
        <v>2179.0299999999997</v>
      </c>
      <c r="H20" s="2">
        <f t="shared" si="3"/>
        <v>1713.47</v>
      </c>
      <c r="I20" s="2">
        <f t="shared" si="3"/>
        <v>1322.1799999999998</v>
      </c>
      <c r="J20" s="2">
        <f t="shared" si="3"/>
        <v>1209.1399999999999</v>
      </c>
      <c r="K20" s="2">
        <f t="shared" si="3"/>
        <v>622.5</v>
      </c>
      <c r="L20" s="8"/>
    </row>
    <row r="21" spans="1:12">
      <c r="B21" t="s">
        <v>12</v>
      </c>
      <c r="E21">
        <v>731.54</v>
      </c>
      <c r="F21">
        <v>499.62</v>
      </c>
      <c r="G21">
        <v>340.98</v>
      </c>
      <c r="H21">
        <v>274.93</v>
      </c>
      <c r="I21">
        <v>194.63</v>
      </c>
      <c r="J21">
        <v>169.88</v>
      </c>
      <c r="K21">
        <v>121.34</v>
      </c>
    </row>
    <row r="22" spans="1:12">
      <c r="B22" t="s">
        <v>13</v>
      </c>
      <c r="E22" s="11">
        <v>2929.69</v>
      </c>
      <c r="F22" s="11">
        <v>2885.18</v>
      </c>
      <c r="G22" s="11">
        <v>1838.05</v>
      </c>
      <c r="H22" s="11">
        <v>1438.54</v>
      </c>
      <c r="I22" s="11">
        <v>1127.55</v>
      </c>
      <c r="J22" s="11">
        <v>1039.26</v>
      </c>
      <c r="K22" s="11">
        <v>501.16</v>
      </c>
    </row>
    <row r="23" spans="1:12">
      <c r="C23" t="s">
        <v>14</v>
      </c>
    </row>
    <row r="24" spans="1:12">
      <c r="C24" t="s">
        <v>15</v>
      </c>
    </row>
    <row r="26" spans="1:12" s="2" customFormat="1">
      <c r="A26" s="2" t="s">
        <v>186</v>
      </c>
      <c r="E26" s="2">
        <f t="shared" ref="E26:K26" si="4">E18-E20</f>
        <v>2491.639999999999</v>
      </c>
      <c r="F26" s="2">
        <f t="shared" si="4"/>
        <v>2244.150000000001</v>
      </c>
      <c r="G26" s="2">
        <f t="shared" si="4"/>
        <v>2168.1699999999992</v>
      </c>
      <c r="H26" s="2">
        <f t="shared" si="4"/>
        <v>1122.3600000000017</v>
      </c>
      <c r="I26" s="2">
        <f t="shared" si="4"/>
        <v>866.89000000000078</v>
      </c>
      <c r="J26" s="2">
        <f t="shared" si="4"/>
        <v>630.66999999999962</v>
      </c>
      <c r="K26" s="2">
        <f t="shared" si="4"/>
        <v>513.57999999999993</v>
      </c>
      <c r="L26" s="8"/>
    </row>
    <row r="28" spans="1:12">
      <c r="B28" t="s">
        <v>21</v>
      </c>
      <c r="E28">
        <v>315.47000000000003</v>
      </c>
      <c r="F28">
        <v>241.15</v>
      </c>
      <c r="G28">
        <v>219.92</v>
      </c>
      <c r="H28">
        <v>150.79</v>
      </c>
      <c r="I28">
        <v>125.67</v>
      </c>
      <c r="J28">
        <v>117.1</v>
      </c>
      <c r="K28">
        <v>65.72</v>
      </c>
      <c r="L28" s="7">
        <f>SUM(D28:K28)</f>
        <v>1235.82</v>
      </c>
    </row>
    <row r="29" spans="1:12">
      <c r="B29" t="s">
        <v>22</v>
      </c>
      <c r="E29">
        <v>610.98</v>
      </c>
      <c r="F29">
        <v>570.04</v>
      </c>
      <c r="G29">
        <v>582.57000000000005</v>
      </c>
      <c r="H29">
        <v>605.42999999999995</v>
      </c>
      <c r="I29">
        <v>463.59</v>
      </c>
      <c r="J29">
        <v>367.48</v>
      </c>
      <c r="K29">
        <v>195.12</v>
      </c>
      <c r="L29" s="7">
        <f>SUM(D29:K29)</f>
        <v>3395.21</v>
      </c>
    </row>
    <row r="30" spans="1:12">
      <c r="C30" t="s">
        <v>43</v>
      </c>
      <c r="E30">
        <v>610.98</v>
      </c>
      <c r="F30">
        <v>570.04</v>
      </c>
      <c r="G30">
        <v>582.57000000000005</v>
      </c>
      <c r="H30">
        <v>605.42999999999995</v>
      </c>
      <c r="I30">
        <v>463.59</v>
      </c>
      <c r="J30">
        <v>367.48</v>
      </c>
      <c r="K30">
        <v>195.12</v>
      </c>
    </row>
    <row r="31" spans="1:12">
      <c r="C31" t="s">
        <v>240</v>
      </c>
      <c r="E31">
        <v>70.959999999999994</v>
      </c>
      <c r="F31">
        <v>78.13</v>
      </c>
      <c r="G31">
        <v>121.7</v>
      </c>
      <c r="H31">
        <v>79.8</v>
      </c>
      <c r="I31">
        <v>50.75</v>
      </c>
      <c r="J31">
        <v>39.1</v>
      </c>
      <c r="K31">
        <v>23.4</v>
      </c>
      <c r="L31" s="7">
        <f>SUM(E31:K31)</f>
        <v>463.84</v>
      </c>
    </row>
    <row r="32" spans="1:12">
      <c r="B32" t="s">
        <v>23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</row>
    <row r="33" spans="1:12">
      <c r="B33" t="s">
        <v>24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</row>
    <row r="35" spans="1:12" s="2" customFormat="1">
      <c r="A35" s="2" t="s">
        <v>25</v>
      </c>
      <c r="E35" s="2">
        <f t="shared" ref="E35:K35" si="5">E26-E28-E29-E32-E33</f>
        <v>1565.1899999999991</v>
      </c>
      <c r="F35" s="2">
        <f t="shared" si="5"/>
        <v>1432.9600000000009</v>
      </c>
      <c r="G35" s="16">
        <f t="shared" si="5"/>
        <v>1365.6799999999989</v>
      </c>
      <c r="H35" s="16">
        <f t="shared" si="5"/>
        <v>366.14000000000181</v>
      </c>
      <c r="I35" s="2">
        <f t="shared" si="5"/>
        <v>277.63000000000085</v>
      </c>
      <c r="J35" s="2">
        <f t="shared" si="5"/>
        <v>146.08999999999958</v>
      </c>
      <c r="K35" s="2">
        <f t="shared" si="5"/>
        <v>252.7399999999999</v>
      </c>
      <c r="L35" s="8"/>
    </row>
    <row r="36" spans="1:12" s="2" customFormat="1">
      <c r="A36" s="2" t="s">
        <v>202</v>
      </c>
      <c r="E36" s="2">
        <f>E35-E9</f>
        <v>1533.9399999999991</v>
      </c>
      <c r="F36" s="2">
        <f t="shared" ref="F36:K36" si="6">F35-F9</f>
        <v>1381.3000000000009</v>
      </c>
      <c r="G36" s="2">
        <f t="shared" si="6"/>
        <v>1349.119999999999</v>
      </c>
      <c r="H36" s="2">
        <f t="shared" si="6"/>
        <v>344.88000000000181</v>
      </c>
      <c r="I36" s="2">
        <f t="shared" si="6"/>
        <v>263.46000000000083</v>
      </c>
      <c r="J36" s="2">
        <f t="shared" si="6"/>
        <v>127.46999999999957</v>
      </c>
      <c r="K36" s="2">
        <f t="shared" si="6"/>
        <v>208.2299999999999</v>
      </c>
      <c r="L36" s="8"/>
    </row>
    <row r="38" spans="1:12">
      <c r="B38" t="s">
        <v>26</v>
      </c>
      <c r="E38">
        <v>450.22</v>
      </c>
      <c r="F38">
        <v>481.66</v>
      </c>
      <c r="G38" s="15">
        <v>473.97</v>
      </c>
      <c r="H38" s="15">
        <v>98.06</v>
      </c>
      <c r="I38">
        <v>90.48</v>
      </c>
      <c r="J38">
        <v>47.12</v>
      </c>
      <c r="K38">
        <v>76.23</v>
      </c>
      <c r="L38" s="7">
        <f>SUM(D38:K38)</f>
        <v>1717.74</v>
      </c>
    </row>
    <row r="40" spans="1:12" s="2" customFormat="1">
      <c r="A40" s="2" t="s">
        <v>27</v>
      </c>
      <c r="E40" s="2">
        <f t="shared" ref="E40:K40" si="7">E35-E38</f>
        <v>1114.9699999999991</v>
      </c>
      <c r="F40" s="2">
        <f t="shared" si="7"/>
        <v>951.30000000000086</v>
      </c>
      <c r="G40" s="2">
        <f t="shared" si="7"/>
        <v>891.7099999999989</v>
      </c>
      <c r="H40" s="2">
        <f t="shared" si="7"/>
        <v>268.0800000000018</v>
      </c>
      <c r="I40" s="2">
        <f t="shared" si="7"/>
        <v>187.15000000000083</v>
      </c>
      <c r="J40" s="2">
        <f t="shared" si="7"/>
        <v>98.969999999999573</v>
      </c>
      <c r="K40" s="2">
        <f t="shared" si="7"/>
        <v>176.50999999999988</v>
      </c>
      <c r="L40" s="8"/>
    </row>
    <row r="42" spans="1:12">
      <c r="B42" t="s">
        <v>28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</row>
    <row r="44" spans="1:12" s="2" customFormat="1">
      <c r="A44" s="2" t="s">
        <v>29</v>
      </c>
      <c r="E44" s="2">
        <f>E40-E42</f>
        <v>1114.9699999999991</v>
      </c>
      <c r="F44" s="2">
        <f t="shared" ref="F44:K44" si="8">F40-F42</f>
        <v>951.30000000000086</v>
      </c>
      <c r="G44" s="2">
        <f t="shared" si="8"/>
        <v>891.7099999999989</v>
      </c>
      <c r="H44" s="2">
        <f t="shared" si="8"/>
        <v>268.0800000000018</v>
      </c>
      <c r="I44" s="2">
        <f t="shared" si="8"/>
        <v>187.15000000000083</v>
      </c>
      <c r="J44" s="2">
        <f t="shared" si="8"/>
        <v>98.969999999999573</v>
      </c>
      <c r="K44" s="2">
        <f t="shared" si="8"/>
        <v>176.50999999999988</v>
      </c>
      <c r="L44" s="8">
        <f>SUM(D44:K44)</f>
        <v>3688.690000000001</v>
      </c>
    </row>
    <row r="46" spans="1:12" s="2" customFormat="1">
      <c r="A46" s="2" t="s">
        <v>157</v>
      </c>
      <c r="E46" s="2">
        <v>158.5</v>
      </c>
      <c r="F46" s="2">
        <v>143.19999999999999</v>
      </c>
      <c r="G46" s="2">
        <v>133</v>
      </c>
      <c r="H46" s="2">
        <v>154</v>
      </c>
      <c r="I46" s="2">
        <v>97</v>
      </c>
      <c r="J46" s="2">
        <v>70</v>
      </c>
      <c r="K46" s="2">
        <v>106</v>
      </c>
      <c r="L46" s="8">
        <f>SUM(D46:K46)</f>
        <v>861.7</v>
      </c>
    </row>
    <row r="48" spans="1:12" s="1" customFormat="1">
      <c r="L48" s="9"/>
    </row>
    <row r="49" spans="1:12" s="1" customFormat="1">
      <c r="L49" s="9"/>
    </row>
    <row r="51" spans="1:12" s="2" customFormat="1">
      <c r="A51" s="2" t="s">
        <v>30</v>
      </c>
      <c r="E51" s="2">
        <f t="shared" ref="E51:K51" si="9">E52+E53-E54</f>
        <v>4942.9799999999996</v>
      </c>
      <c r="F51" s="2">
        <f t="shared" si="9"/>
        <v>3815.23</v>
      </c>
      <c r="G51" s="2">
        <f t="shared" si="9"/>
        <v>3038.6600000000003</v>
      </c>
      <c r="H51" s="2">
        <f t="shared" si="9"/>
        <v>2311.7600000000002</v>
      </c>
      <c r="I51" s="2">
        <f t="shared" si="9"/>
        <v>2060.9299999999998</v>
      </c>
      <c r="J51" s="2">
        <f t="shared" si="9"/>
        <v>1635.3600000000001</v>
      </c>
      <c r="K51" s="2">
        <f t="shared" si="9"/>
        <v>1571.81</v>
      </c>
      <c r="L51" s="8"/>
    </row>
    <row r="52" spans="1:12">
      <c r="B52" t="s">
        <v>31</v>
      </c>
      <c r="E52">
        <v>102.32</v>
      </c>
      <c r="F52">
        <v>102.32</v>
      </c>
      <c r="G52">
        <v>102.32</v>
      </c>
      <c r="H52">
        <v>102.32</v>
      </c>
      <c r="I52">
        <v>97.44</v>
      </c>
      <c r="J52">
        <v>360.44</v>
      </c>
      <c r="K52">
        <v>360.44</v>
      </c>
    </row>
    <row r="53" spans="1:12">
      <c r="B53" t="s">
        <v>32</v>
      </c>
      <c r="E53" s="11">
        <v>4840.66</v>
      </c>
      <c r="F53" s="11">
        <v>3712.91</v>
      </c>
      <c r="G53" s="11">
        <v>2936.34</v>
      </c>
      <c r="H53" s="11">
        <v>2209.44</v>
      </c>
      <c r="I53" s="11">
        <v>1963.49</v>
      </c>
      <c r="J53" s="11">
        <v>1274.92</v>
      </c>
      <c r="K53" s="11">
        <v>1211.3699999999999</v>
      </c>
    </row>
    <row r="54" spans="1:12">
      <c r="B54" t="s">
        <v>28</v>
      </c>
    </row>
    <row r="56" spans="1:12" s="2" customFormat="1">
      <c r="A56" s="2" t="s">
        <v>33</v>
      </c>
      <c r="E56" s="2">
        <f t="shared" ref="E56:K56" si="10">SUM(E57:E60)</f>
        <v>2171.14</v>
      </c>
      <c r="F56" s="2">
        <f t="shared" si="10"/>
        <v>2311.4499999999998</v>
      </c>
      <c r="G56" s="2">
        <f t="shared" si="10"/>
        <v>1973.7300000000002</v>
      </c>
      <c r="H56" s="2">
        <f t="shared" si="10"/>
        <v>2534.2699999999995</v>
      </c>
      <c r="I56" s="2">
        <f t="shared" si="10"/>
        <v>2182.9799999999996</v>
      </c>
      <c r="J56" s="2">
        <f t="shared" si="10"/>
        <v>1861.0800000000002</v>
      </c>
      <c r="K56" s="2">
        <f t="shared" si="10"/>
        <v>1465.6899999999998</v>
      </c>
      <c r="L56" s="8"/>
    </row>
    <row r="57" spans="1:12">
      <c r="B57" t="s">
        <v>39</v>
      </c>
      <c r="E57" s="11">
        <v>1758.29</v>
      </c>
      <c r="F57" s="11">
        <v>1983.22</v>
      </c>
      <c r="G57" s="11">
        <v>1706.93</v>
      </c>
      <c r="H57" s="11">
        <v>2306.81</v>
      </c>
      <c r="I57" s="11">
        <v>1985.99</v>
      </c>
      <c r="J57" s="11">
        <v>1750.39</v>
      </c>
      <c r="K57" s="11">
        <v>1371.6</v>
      </c>
    </row>
    <row r="58" spans="1:12">
      <c r="B58" t="s">
        <v>34</v>
      </c>
      <c r="E58">
        <v>390.95</v>
      </c>
      <c r="F58">
        <v>314.77</v>
      </c>
      <c r="G58">
        <v>264.66000000000003</v>
      </c>
      <c r="H58">
        <v>217.76</v>
      </c>
      <c r="I58">
        <v>181.25</v>
      </c>
      <c r="J58">
        <v>110.69</v>
      </c>
      <c r="K58">
        <v>94.09</v>
      </c>
    </row>
    <row r="59" spans="1:12">
      <c r="B59" t="s">
        <v>35</v>
      </c>
      <c r="E59">
        <v>0</v>
      </c>
      <c r="F59">
        <v>0</v>
      </c>
      <c r="G59">
        <v>0</v>
      </c>
      <c r="H59">
        <v>9.6999999999999993</v>
      </c>
      <c r="I59">
        <v>15.74</v>
      </c>
      <c r="J59">
        <v>0</v>
      </c>
      <c r="K59">
        <v>0</v>
      </c>
    </row>
    <row r="60" spans="1:12">
      <c r="B60" t="s">
        <v>36</v>
      </c>
      <c r="E60">
        <v>21.9</v>
      </c>
      <c r="F60">
        <v>13.46</v>
      </c>
      <c r="G60">
        <v>2.14</v>
      </c>
      <c r="H60" s="12">
        <v>0</v>
      </c>
      <c r="I60" s="12">
        <v>0</v>
      </c>
      <c r="J60">
        <v>0</v>
      </c>
      <c r="K60">
        <v>0</v>
      </c>
    </row>
    <row r="62" spans="1:12" s="2" customFormat="1">
      <c r="A62" s="2" t="s">
        <v>37</v>
      </c>
      <c r="E62" s="2">
        <f t="shared" ref="E62:K62" si="11">E63+E64+E65+E67</f>
        <v>6195.5299999999988</v>
      </c>
      <c r="F62" s="2">
        <f t="shared" si="11"/>
        <v>5775.9000000000005</v>
      </c>
      <c r="G62" s="2">
        <f t="shared" si="11"/>
        <v>5624.51</v>
      </c>
      <c r="H62" s="2">
        <f t="shared" si="11"/>
        <v>3969.23</v>
      </c>
      <c r="I62" s="2">
        <f t="shared" si="11"/>
        <v>3624.7499999999995</v>
      </c>
      <c r="J62" s="2">
        <f t="shared" si="11"/>
        <v>3197.4900000000002</v>
      </c>
      <c r="K62" s="2">
        <f t="shared" si="11"/>
        <v>2422.91</v>
      </c>
      <c r="L62" s="8"/>
    </row>
    <row r="63" spans="1:12">
      <c r="B63" t="s">
        <v>38</v>
      </c>
      <c r="E63" s="11">
        <v>2400.33</v>
      </c>
      <c r="F63" s="11">
        <v>2419.41</v>
      </c>
      <c r="G63" s="11">
        <v>1724.08</v>
      </c>
      <c r="H63" s="11">
        <v>1755.5</v>
      </c>
      <c r="I63" s="11">
        <v>1990.36</v>
      </c>
      <c r="J63" s="11">
        <v>1688.39</v>
      </c>
      <c r="K63" s="11">
        <v>1935.25</v>
      </c>
    </row>
    <row r="64" spans="1:12">
      <c r="B64" t="s">
        <v>40</v>
      </c>
      <c r="E64">
        <v>2891.06</v>
      </c>
      <c r="F64">
        <v>2123.8000000000002</v>
      </c>
      <c r="G64">
        <v>2415.0300000000002</v>
      </c>
      <c r="H64">
        <v>1575.28</v>
      </c>
      <c r="I64">
        <v>1161.6099999999999</v>
      </c>
      <c r="J64">
        <v>1119.75</v>
      </c>
      <c r="K64">
        <v>250.46</v>
      </c>
    </row>
    <row r="65" spans="1:12">
      <c r="B65" t="s">
        <v>35</v>
      </c>
      <c r="E65">
        <v>899.48</v>
      </c>
      <c r="F65" s="11">
        <v>1039.48</v>
      </c>
      <c r="G65" s="11">
        <v>1277.33</v>
      </c>
      <c r="H65" s="11">
        <v>620.32000000000005</v>
      </c>
      <c r="I65" s="11">
        <v>461.29</v>
      </c>
      <c r="J65" s="11">
        <v>354.06</v>
      </c>
      <c r="K65" s="11">
        <v>224.7</v>
      </c>
    </row>
    <row r="66" spans="1:12">
      <c r="C66" t="s">
        <v>42</v>
      </c>
      <c r="E66">
        <v>219.8</v>
      </c>
      <c r="F66">
        <v>177.55</v>
      </c>
      <c r="G66">
        <v>397.59</v>
      </c>
      <c r="H66">
        <v>332.62</v>
      </c>
      <c r="I66">
        <v>266</v>
      </c>
      <c r="J66">
        <v>243</v>
      </c>
      <c r="K66">
        <v>197</v>
      </c>
    </row>
    <row r="67" spans="1:12">
      <c r="B67" t="s">
        <v>41</v>
      </c>
      <c r="E67">
        <v>4.66</v>
      </c>
      <c r="F67">
        <v>193.21</v>
      </c>
      <c r="G67">
        <v>208.07</v>
      </c>
      <c r="H67">
        <v>18.13</v>
      </c>
      <c r="I67">
        <v>11.49</v>
      </c>
      <c r="J67">
        <v>35.29</v>
      </c>
      <c r="K67">
        <v>12.5</v>
      </c>
    </row>
    <row r="69" spans="1:12" s="2" customFormat="1">
      <c r="A69" s="2" t="s">
        <v>45</v>
      </c>
      <c r="E69" s="2">
        <f>E51+E56+E62</f>
        <v>13309.649999999998</v>
      </c>
      <c r="F69" s="2">
        <f t="shared" ref="F69:K69" si="12">F51+F56+F62</f>
        <v>11902.580000000002</v>
      </c>
      <c r="G69" s="2">
        <f t="shared" si="12"/>
        <v>10636.900000000001</v>
      </c>
      <c r="H69" s="2">
        <f t="shared" si="12"/>
        <v>8815.26</v>
      </c>
      <c r="I69" s="2">
        <f t="shared" si="12"/>
        <v>7868.66</v>
      </c>
      <c r="J69" s="2">
        <f t="shared" si="12"/>
        <v>6693.93</v>
      </c>
      <c r="K69" s="2">
        <f t="shared" si="12"/>
        <v>5460.41</v>
      </c>
      <c r="L69" s="8"/>
    </row>
    <row r="71" spans="1:12" s="2" customFormat="1">
      <c r="A71" s="2" t="s">
        <v>46</v>
      </c>
      <c r="E71" s="2">
        <f t="shared" ref="E71:K71" si="13">SUM(E72:E79)</f>
        <v>4935.9799999999996</v>
      </c>
      <c r="F71" s="2">
        <f t="shared" si="13"/>
        <v>4273.66</v>
      </c>
      <c r="G71" s="2">
        <f t="shared" si="13"/>
        <v>3577.95</v>
      </c>
      <c r="H71" s="2">
        <f t="shared" si="13"/>
        <v>3489.2100000000005</v>
      </c>
      <c r="I71" s="2">
        <f t="shared" si="13"/>
        <v>3306.6800000000003</v>
      </c>
      <c r="J71" s="2">
        <f t="shared" si="13"/>
        <v>2855.16</v>
      </c>
      <c r="K71" s="2">
        <f t="shared" si="13"/>
        <v>2424.3900000000003</v>
      </c>
      <c r="L71" s="8"/>
    </row>
    <row r="72" spans="1:12">
      <c r="B72" t="s">
        <v>47</v>
      </c>
      <c r="E72" s="11">
        <v>4633.8999999999996</v>
      </c>
      <c r="F72" s="11">
        <v>3839.96</v>
      </c>
      <c r="G72" s="11">
        <v>3500.77</v>
      </c>
      <c r="H72" s="11">
        <v>3373.51</v>
      </c>
      <c r="I72" s="11">
        <v>3250.03</v>
      </c>
      <c r="J72" s="11">
        <v>2814.56</v>
      </c>
      <c r="K72" s="11">
        <v>2079.25</v>
      </c>
      <c r="L72" s="7">
        <v>1330</v>
      </c>
    </row>
    <row r="73" spans="1:12">
      <c r="B73" t="s">
        <v>48</v>
      </c>
      <c r="E73">
        <v>8.4700000000000006</v>
      </c>
      <c r="F73">
        <v>12.46</v>
      </c>
      <c r="G73">
        <v>11.9</v>
      </c>
      <c r="H73">
        <v>11.65</v>
      </c>
      <c r="I73">
        <v>12.05</v>
      </c>
      <c r="J73">
        <v>13.13</v>
      </c>
      <c r="K73">
        <v>1.73</v>
      </c>
    </row>
    <row r="74" spans="1:12">
      <c r="B74" t="s">
        <v>49</v>
      </c>
      <c r="E74">
        <v>143.62</v>
      </c>
      <c r="F74">
        <v>399.46</v>
      </c>
      <c r="G74">
        <v>34.68</v>
      </c>
      <c r="H74">
        <v>82.94</v>
      </c>
      <c r="I74">
        <v>35.9</v>
      </c>
      <c r="J74">
        <v>20.48</v>
      </c>
      <c r="K74">
        <v>334.86</v>
      </c>
      <c r="L74" s="7">
        <v>471</v>
      </c>
    </row>
    <row r="75" spans="1:12">
      <c r="B75" t="s">
        <v>50</v>
      </c>
    </row>
    <row r="76" spans="1:12">
      <c r="B76" t="s">
        <v>51</v>
      </c>
      <c r="E76">
        <v>0</v>
      </c>
      <c r="F76">
        <v>0</v>
      </c>
      <c r="G76">
        <v>0</v>
      </c>
      <c r="H76">
        <v>21.11</v>
      </c>
      <c r="I76">
        <v>8.6999999999999993</v>
      </c>
      <c r="J76">
        <v>0</v>
      </c>
      <c r="K76">
        <v>0</v>
      </c>
    </row>
    <row r="77" spans="1:12">
      <c r="B77" t="s">
        <v>52</v>
      </c>
      <c r="E77">
        <v>0</v>
      </c>
      <c r="F77">
        <v>0</v>
      </c>
      <c r="G77">
        <v>0</v>
      </c>
      <c r="H77" s="12">
        <v>0</v>
      </c>
      <c r="I77" s="12">
        <v>0</v>
      </c>
      <c r="J77">
        <v>0</v>
      </c>
      <c r="K77">
        <v>0</v>
      </c>
    </row>
    <row r="78" spans="1:12">
      <c r="B78" t="s">
        <v>53</v>
      </c>
      <c r="E78" s="15">
        <v>149.99</v>
      </c>
      <c r="F78" s="15">
        <v>21.78</v>
      </c>
      <c r="G78" s="15">
        <v>30.6</v>
      </c>
      <c r="H78" s="12">
        <v>0</v>
      </c>
      <c r="I78" s="12">
        <v>0</v>
      </c>
      <c r="J78">
        <v>0</v>
      </c>
      <c r="K78">
        <v>0</v>
      </c>
    </row>
    <row r="79" spans="1:12">
      <c r="B79" t="s">
        <v>35</v>
      </c>
      <c r="E79">
        <v>0</v>
      </c>
      <c r="F79">
        <v>0</v>
      </c>
      <c r="G79">
        <v>0</v>
      </c>
      <c r="H79" s="12">
        <v>0</v>
      </c>
      <c r="I79">
        <v>0</v>
      </c>
      <c r="J79">
        <v>6.99</v>
      </c>
      <c r="K79">
        <v>8.5500000000000007</v>
      </c>
    </row>
    <row r="81" spans="1:12" s="2" customFormat="1">
      <c r="A81" s="2" t="s">
        <v>54</v>
      </c>
      <c r="E81" s="2">
        <f t="shared" ref="E81:K81" si="14">SUM(E82:E87)</f>
        <v>8373.67</v>
      </c>
      <c r="F81" s="2">
        <f t="shared" si="14"/>
        <v>7628.92</v>
      </c>
      <c r="G81" s="2">
        <f t="shared" si="14"/>
        <v>7058.95</v>
      </c>
      <c r="H81" s="2">
        <f t="shared" si="14"/>
        <v>5326.0199999999995</v>
      </c>
      <c r="I81" s="2">
        <f t="shared" si="14"/>
        <v>4561.99</v>
      </c>
      <c r="J81" s="2">
        <f t="shared" si="14"/>
        <v>3838.7599999999998</v>
      </c>
      <c r="K81" s="2">
        <f t="shared" si="14"/>
        <v>3036.0099999999998</v>
      </c>
      <c r="L81" s="8"/>
    </row>
    <row r="82" spans="1:12">
      <c r="B82" t="s">
        <v>55</v>
      </c>
      <c r="E82">
        <v>0</v>
      </c>
      <c r="F82">
        <v>0</v>
      </c>
      <c r="G82">
        <v>0</v>
      </c>
      <c r="H82" s="12">
        <v>0</v>
      </c>
      <c r="I82">
        <v>0</v>
      </c>
      <c r="J82">
        <v>0</v>
      </c>
      <c r="K82">
        <v>0</v>
      </c>
    </row>
    <row r="83" spans="1:12">
      <c r="B83" t="s">
        <v>56</v>
      </c>
      <c r="E83" s="11">
        <v>3681.8</v>
      </c>
      <c r="F83" s="11">
        <v>2499.87</v>
      </c>
      <c r="G83" s="11">
        <v>2282.4</v>
      </c>
      <c r="H83" s="11">
        <v>2290.11</v>
      </c>
      <c r="I83" s="11">
        <v>2377.86</v>
      </c>
      <c r="J83" s="11">
        <v>1689.27</v>
      </c>
      <c r="K83" s="11">
        <v>1760.45</v>
      </c>
    </row>
    <row r="84" spans="1:12">
      <c r="B84" t="s">
        <v>57</v>
      </c>
      <c r="E84" s="11">
        <v>3729.66</v>
      </c>
      <c r="F84" s="11">
        <v>3723.67</v>
      </c>
      <c r="G84" s="11">
        <v>3757.81</v>
      </c>
      <c r="H84" s="11">
        <v>2318.1999999999998</v>
      </c>
      <c r="I84" s="11">
        <v>1548.71</v>
      </c>
      <c r="J84" s="11">
        <v>1449.44</v>
      </c>
      <c r="K84" s="11">
        <v>920.76</v>
      </c>
    </row>
    <row r="85" spans="1:12">
      <c r="B85" t="s">
        <v>58</v>
      </c>
      <c r="E85">
        <v>249.35</v>
      </c>
      <c r="F85">
        <v>497.96</v>
      </c>
      <c r="G85">
        <v>560.94000000000005</v>
      </c>
      <c r="H85">
        <v>263.08</v>
      </c>
      <c r="I85">
        <v>128.19999999999999</v>
      </c>
      <c r="J85">
        <v>85.7</v>
      </c>
      <c r="K85">
        <v>68.64</v>
      </c>
    </row>
    <row r="86" spans="1:12">
      <c r="B86" t="s">
        <v>59</v>
      </c>
      <c r="E86">
        <v>712.86</v>
      </c>
      <c r="F86">
        <v>907.42</v>
      </c>
      <c r="G86">
        <v>457.8</v>
      </c>
      <c r="H86">
        <v>454.63</v>
      </c>
      <c r="I86">
        <v>507.22</v>
      </c>
      <c r="J86">
        <v>614.35</v>
      </c>
      <c r="K86">
        <v>286.16000000000003</v>
      </c>
    </row>
    <row r="87" spans="1:12">
      <c r="B87" t="s">
        <v>35</v>
      </c>
      <c r="E87">
        <v>0</v>
      </c>
      <c r="F87">
        <v>0</v>
      </c>
      <c r="G87">
        <v>0</v>
      </c>
      <c r="H87" s="12">
        <v>0</v>
      </c>
      <c r="I87" s="12">
        <v>0</v>
      </c>
      <c r="J87">
        <v>0</v>
      </c>
      <c r="K87">
        <v>0</v>
      </c>
    </row>
    <row r="89" spans="1:12" s="2" customFormat="1">
      <c r="A89" s="2" t="s">
        <v>60</v>
      </c>
      <c r="E89" s="2">
        <f t="shared" ref="E89:K89" si="15">E71+E81</f>
        <v>13309.65</v>
      </c>
      <c r="F89" s="2">
        <f t="shared" si="15"/>
        <v>11902.58</v>
      </c>
      <c r="G89" s="2">
        <f t="shared" si="15"/>
        <v>10636.9</v>
      </c>
      <c r="H89" s="2">
        <f t="shared" si="15"/>
        <v>8815.23</v>
      </c>
      <c r="I89" s="2">
        <f t="shared" si="15"/>
        <v>7868.67</v>
      </c>
      <c r="J89" s="2">
        <f t="shared" si="15"/>
        <v>6693.92</v>
      </c>
      <c r="K89" s="2">
        <f t="shared" si="15"/>
        <v>5460.4</v>
      </c>
      <c r="L89" s="8"/>
    </row>
    <row r="90" spans="1:12" s="2" customFormat="1">
      <c r="A90" s="2" t="s">
        <v>185</v>
      </c>
      <c r="E90" s="2">
        <f t="shared" ref="E90:K90" si="16">E66+E63+E57</f>
        <v>4378.42</v>
      </c>
      <c r="F90" s="2">
        <f t="shared" si="16"/>
        <v>4580.18</v>
      </c>
      <c r="G90" s="2">
        <f t="shared" si="16"/>
        <v>3828.6000000000004</v>
      </c>
      <c r="H90" s="2">
        <f t="shared" si="16"/>
        <v>4394.93</v>
      </c>
      <c r="I90" s="2">
        <f t="shared" si="16"/>
        <v>4242.3499999999995</v>
      </c>
      <c r="J90" s="2">
        <f t="shared" si="16"/>
        <v>3681.78</v>
      </c>
      <c r="K90" s="2">
        <f t="shared" si="16"/>
        <v>3503.85</v>
      </c>
      <c r="L90" s="8">
        <f>E90-K90</f>
        <v>874.57000000000016</v>
      </c>
    </row>
    <row r="91" spans="1:12" s="2" customFormat="1">
      <c r="A91" s="2" t="s">
        <v>174</v>
      </c>
      <c r="E91" s="2">
        <f t="shared" ref="E91:K91" si="17">E89-E85-E84-E83-E82</f>
        <v>5648.8399999999992</v>
      </c>
      <c r="F91" s="2">
        <f t="shared" si="17"/>
        <v>5181.0800000000008</v>
      </c>
      <c r="G91" s="2">
        <f t="shared" si="17"/>
        <v>4035.7499999999995</v>
      </c>
      <c r="H91" s="2">
        <f t="shared" si="17"/>
        <v>3943.8399999999997</v>
      </c>
      <c r="I91" s="2">
        <f t="shared" si="17"/>
        <v>3813.9</v>
      </c>
      <c r="J91" s="2">
        <f t="shared" si="17"/>
        <v>3469.5100000000007</v>
      </c>
      <c r="K91" s="2">
        <f t="shared" si="17"/>
        <v>2710.5499999999993</v>
      </c>
      <c r="L91" s="8"/>
    </row>
    <row r="92" spans="1:12" s="2" customFormat="1">
      <c r="A92" s="2" t="s">
        <v>175</v>
      </c>
      <c r="E92" s="2">
        <f t="shared" ref="E92:K92" si="18">E69-E63-E57</f>
        <v>9151.0299999999988</v>
      </c>
      <c r="F92" s="2">
        <f t="shared" si="18"/>
        <v>7499.9500000000016</v>
      </c>
      <c r="G92" s="2">
        <f t="shared" si="18"/>
        <v>7205.8900000000012</v>
      </c>
      <c r="H92" s="2">
        <f t="shared" si="18"/>
        <v>4752.9500000000007</v>
      </c>
      <c r="I92" s="2">
        <f t="shared" si="18"/>
        <v>3892.3100000000004</v>
      </c>
      <c r="J92" s="2">
        <f t="shared" si="18"/>
        <v>3255.1499999999996</v>
      </c>
      <c r="K92" s="2">
        <f t="shared" si="18"/>
        <v>2153.56</v>
      </c>
      <c r="L92" s="8"/>
    </row>
    <row r="93" spans="1:12" s="2" customFormat="1">
      <c r="A93" s="2" t="s">
        <v>179</v>
      </c>
      <c r="E93" s="2">
        <f t="shared" ref="E93:K93" si="19">E91-E92</f>
        <v>-3502.1899999999996</v>
      </c>
      <c r="F93" s="2">
        <f t="shared" si="19"/>
        <v>-2318.8700000000008</v>
      </c>
      <c r="G93" s="2">
        <f t="shared" si="19"/>
        <v>-3170.1400000000017</v>
      </c>
      <c r="H93" s="2">
        <f t="shared" si="19"/>
        <v>-809.11000000000104</v>
      </c>
      <c r="I93" s="2">
        <f t="shared" si="19"/>
        <v>-78.410000000000309</v>
      </c>
      <c r="J93" s="2">
        <f t="shared" si="19"/>
        <v>214.36000000000104</v>
      </c>
      <c r="K93" s="2">
        <f t="shared" si="19"/>
        <v>556.98999999999933</v>
      </c>
      <c r="L93" s="8"/>
    </row>
    <row r="94" spans="1:12" s="2" customFormat="1">
      <c r="A94" s="2" t="s">
        <v>198</v>
      </c>
      <c r="E94" s="2">
        <f>E84+E83-E64</f>
        <v>4520.3999999999996</v>
      </c>
      <c r="F94" s="2">
        <f t="shared" ref="F94:K94" si="20">F84+F83-F64</f>
        <v>4099.74</v>
      </c>
      <c r="G94" s="2">
        <f t="shared" si="20"/>
        <v>3625.18</v>
      </c>
      <c r="H94" s="2">
        <f t="shared" si="20"/>
        <v>3033.0299999999997</v>
      </c>
      <c r="I94" s="2">
        <f t="shared" si="20"/>
        <v>2764.96</v>
      </c>
      <c r="J94" s="2">
        <f t="shared" si="20"/>
        <v>2018.96</v>
      </c>
      <c r="K94" s="2">
        <f t="shared" si="20"/>
        <v>2430.75</v>
      </c>
      <c r="L94" s="8">
        <f>E94-K94</f>
        <v>2089.6499999999996</v>
      </c>
    </row>
    <row r="96" spans="1:12" s="1" customFormat="1">
      <c r="L96" s="9"/>
    </row>
    <row r="97" spans="1:12" s="1" customFormat="1">
      <c r="L97" s="9"/>
    </row>
    <row r="99" spans="1:12" s="2" customFormat="1">
      <c r="A99" s="2" t="s">
        <v>149</v>
      </c>
      <c r="E99" s="2">
        <f t="shared" ref="E99:K99" si="21">E100+E103+E105</f>
        <v>-131.53999999999996</v>
      </c>
      <c r="F99" s="2">
        <f t="shared" si="21"/>
        <v>-139.89000000000001</v>
      </c>
      <c r="G99" s="2">
        <f t="shared" si="21"/>
        <v>261.5</v>
      </c>
      <c r="H99" s="2">
        <f t="shared" si="21"/>
        <v>-103.33999999999992</v>
      </c>
      <c r="I99" s="2">
        <f t="shared" si="21"/>
        <v>43.289999999999964</v>
      </c>
      <c r="J99" s="2">
        <f t="shared" si="21"/>
        <v>16.970000000000027</v>
      </c>
      <c r="K99" s="2">
        <f t="shared" si="21"/>
        <v>-12.690000000000055</v>
      </c>
      <c r="L99" s="8"/>
    </row>
    <row r="100" spans="1:12">
      <c r="B100" t="s">
        <v>150</v>
      </c>
      <c r="E100" s="11">
        <v>1752.32</v>
      </c>
      <c r="F100">
        <v>643.52</v>
      </c>
      <c r="G100" s="11">
        <v>1738.16</v>
      </c>
      <c r="H100" s="11">
        <v>1007.34</v>
      </c>
      <c r="I100" s="11">
        <v>-148</v>
      </c>
      <c r="J100" s="11">
        <v>1154</v>
      </c>
      <c r="K100" s="11">
        <v>-930</v>
      </c>
      <c r="L100" s="7">
        <f>SUM(D100:K100)</f>
        <v>5217.34</v>
      </c>
    </row>
    <row r="101" spans="1:12">
      <c r="C101" t="s">
        <v>182</v>
      </c>
      <c r="E101" s="11">
        <v>2204.63</v>
      </c>
      <c r="F101" s="11">
        <v>1098.3699999999999</v>
      </c>
      <c r="G101" s="11">
        <v>2076.29</v>
      </c>
      <c r="H101" s="11">
        <v>1293.8</v>
      </c>
      <c r="I101" s="11">
        <v>-100.97</v>
      </c>
      <c r="J101" s="11">
        <v>623.05999999999995</v>
      </c>
      <c r="K101" s="11">
        <v>478.79</v>
      </c>
    </row>
    <row r="102" spans="1:12">
      <c r="C102" t="s">
        <v>181</v>
      </c>
      <c r="E102">
        <v>452.31</v>
      </c>
      <c r="F102">
        <v>454.84</v>
      </c>
      <c r="G102" s="15">
        <v>338.13</v>
      </c>
      <c r="H102" s="15">
        <v>48.25</v>
      </c>
      <c r="I102">
        <v>46.96</v>
      </c>
      <c r="J102">
        <v>43.46</v>
      </c>
      <c r="K102">
        <v>42.76</v>
      </c>
      <c r="L102" s="7">
        <f>SUM(D102:K102)</f>
        <v>1426.71</v>
      </c>
    </row>
    <row r="103" spans="1:12">
      <c r="B103" t="s">
        <v>151</v>
      </c>
      <c r="E103">
        <v>-797.26</v>
      </c>
      <c r="F103">
        <v>-911.63</v>
      </c>
      <c r="G103">
        <v>-316.39</v>
      </c>
      <c r="H103">
        <v>-316.42</v>
      </c>
      <c r="I103">
        <v>-558.71</v>
      </c>
      <c r="J103">
        <v>-550.03</v>
      </c>
      <c r="K103">
        <v>-643.69000000000005</v>
      </c>
    </row>
    <row r="104" spans="1:12">
      <c r="C104" t="s">
        <v>169</v>
      </c>
      <c r="E104">
        <v>938.58</v>
      </c>
      <c r="F104">
        <v>973.02</v>
      </c>
      <c r="G104">
        <v>319.87</v>
      </c>
      <c r="H104">
        <v>321.44</v>
      </c>
      <c r="I104">
        <v>576</v>
      </c>
      <c r="J104">
        <v>549</v>
      </c>
      <c r="K104">
        <v>681</v>
      </c>
      <c r="L104" s="7">
        <f>SUM(D104:K104)</f>
        <v>4358.91</v>
      </c>
    </row>
    <row r="105" spans="1:12">
      <c r="B105" t="s">
        <v>152</v>
      </c>
      <c r="E105" s="11">
        <v>-1086.5999999999999</v>
      </c>
      <c r="F105">
        <v>128.22</v>
      </c>
      <c r="G105" s="11">
        <v>-1160.27</v>
      </c>
      <c r="H105" s="11">
        <v>-794.26</v>
      </c>
      <c r="I105" s="11">
        <v>750</v>
      </c>
      <c r="J105" s="11">
        <v>-587</v>
      </c>
      <c r="K105" s="11">
        <v>1561</v>
      </c>
    </row>
    <row r="106" spans="1:12" s="2" customFormat="1">
      <c r="A106" s="2" t="s">
        <v>170</v>
      </c>
      <c r="E106" s="2">
        <f t="shared" ref="E106:K106" si="22">E100-E104</f>
        <v>813.7399999999999</v>
      </c>
      <c r="F106" s="2">
        <f t="shared" si="22"/>
        <v>-329.5</v>
      </c>
      <c r="G106" s="2">
        <f t="shared" si="22"/>
        <v>1418.29</v>
      </c>
      <c r="H106" s="2">
        <f t="shared" si="22"/>
        <v>685.90000000000009</v>
      </c>
      <c r="I106" s="2">
        <f t="shared" si="22"/>
        <v>-724</v>
      </c>
      <c r="J106" s="2">
        <f t="shared" si="22"/>
        <v>605</v>
      </c>
      <c r="K106" s="2">
        <f t="shared" si="22"/>
        <v>-1611</v>
      </c>
      <c r="L106" s="9">
        <f>SUM(D106:K106)</f>
        <v>858.42999999999984</v>
      </c>
    </row>
    <row r="107" spans="1:12">
      <c r="A107" t="s">
        <v>241</v>
      </c>
      <c r="E107" s="11">
        <f>E100+E103+E105</f>
        <v>-131.53999999999996</v>
      </c>
      <c r="F107" s="11">
        <f t="shared" ref="F107:K107" si="23">F100+F103+F105</f>
        <v>-139.89000000000001</v>
      </c>
      <c r="G107" s="11">
        <f t="shared" si="23"/>
        <v>261.5</v>
      </c>
      <c r="H107" s="11">
        <f t="shared" si="23"/>
        <v>-103.33999999999992</v>
      </c>
      <c r="I107" s="11">
        <f t="shared" si="23"/>
        <v>43.289999999999964</v>
      </c>
      <c r="J107" s="11">
        <f t="shared" si="23"/>
        <v>16.970000000000027</v>
      </c>
      <c r="K107" s="11">
        <f t="shared" si="23"/>
        <v>-12.690000000000055</v>
      </c>
    </row>
    <row r="108" spans="1:12" s="1" customFormat="1">
      <c r="A108" s="2" t="s">
        <v>203</v>
      </c>
      <c r="E108" s="13">
        <v>127</v>
      </c>
      <c r="F108" s="13">
        <v>79.569999999999993</v>
      </c>
      <c r="G108" s="13">
        <v>39.21</v>
      </c>
      <c r="H108" s="13">
        <v>2.7</v>
      </c>
      <c r="L108" s="9"/>
    </row>
    <row r="110" spans="1:12">
      <c r="A110" t="s">
        <v>239</v>
      </c>
      <c r="E110" s="11">
        <f t="shared" ref="E110:I110" si="24">(E72+E74-F72-F74)+E28</f>
        <v>853.56999999999948</v>
      </c>
      <c r="F110" s="11">
        <f t="shared" si="24"/>
        <v>945.12000000000012</v>
      </c>
      <c r="G110" s="11">
        <f t="shared" si="24"/>
        <v>298.91999999999962</v>
      </c>
      <c r="H110" s="11">
        <f t="shared" si="24"/>
        <v>321.31000000000006</v>
      </c>
      <c r="I110" s="11">
        <f t="shared" si="24"/>
        <v>576.56000000000029</v>
      </c>
      <c r="J110" s="11">
        <f>(J72+J74-K72-K74)+J28</f>
        <v>538.03</v>
      </c>
      <c r="K110" s="11">
        <f>(K72+K74-L72-L74)+K28</f>
        <v>678.83000000000015</v>
      </c>
      <c r="L110" s="42">
        <f>SUM(E110:K110)</f>
        <v>4212.3399999999992</v>
      </c>
    </row>
  </sheetData>
  <phoneticPr fontId="4" type="noConversion"/>
  <pageMargins left="0.75000000000000011" right="0.75000000000000011" top="1" bottom="1" header="0.5" footer="0.5"/>
  <pageSetup paperSize="9" orientation="portrait" horizontalDpi="4294967292" verticalDpi="4294967292"/>
  <rowBreaks count="1" manualBreakCount="1">
    <brk id="94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K47"/>
  <sheetViews>
    <sheetView workbookViewId="0">
      <selection activeCell="B3" sqref="B3"/>
    </sheetView>
  </sheetViews>
  <sheetFormatPr defaultColWidth="11" defaultRowHeight="15.75"/>
  <cols>
    <col min="1" max="1" width="25.875" customWidth="1"/>
  </cols>
  <sheetData>
    <row r="1" spans="1:11">
      <c r="A1" s="3" t="s">
        <v>137</v>
      </c>
    </row>
    <row r="2" spans="1:11">
      <c r="B2" t="s">
        <v>106</v>
      </c>
      <c r="C2" t="s">
        <v>107</v>
      </c>
      <c r="D2" t="s">
        <v>108</v>
      </c>
      <c r="E2" t="s">
        <v>109</v>
      </c>
      <c r="F2" t="s">
        <v>110</v>
      </c>
      <c r="G2" t="s">
        <v>111</v>
      </c>
      <c r="I2" t="s">
        <v>112</v>
      </c>
      <c r="K2" t="s">
        <v>113</v>
      </c>
    </row>
    <row r="3" spans="1:11">
      <c r="A3" t="s">
        <v>114</v>
      </c>
      <c r="B3">
        <f>RSQ(StandAlone!F4:K4,StandAlone!F2:K2)</f>
        <v>0.99531657201914081</v>
      </c>
      <c r="C3">
        <f>INDEX(LINEST(StandAlone!F4:K4,StandAlone!F2:K2^{1;2},TRUE,TRUE),3,1)</f>
        <v>0.99687392561732979</v>
      </c>
      <c r="D3">
        <f>RSQ(LN(StandAlone!F4:K4),StandAlone!F2:K2)</f>
        <v>0.95441742848490208</v>
      </c>
      <c r="E3">
        <f>FORECAST(0,StandAlone!F4:K4,StandAlone!F2:K2)</f>
        <v>20688.807238095244</v>
      </c>
      <c r="F3">
        <f>INDEX(LINEST(StandAlone!F4:K4,StandAlone!F2:K2^{1;2})*1,3)</f>
        <v>19652.583428571423</v>
      </c>
      <c r="G3">
        <f>GROWTH(StandAlone!F4:K4,StandAlone!F2:K2,0)</f>
        <v>27694.722545670018</v>
      </c>
      <c r="I3">
        <f>MAX(B3:D3)</f>
        <v>0.99687392561732979</v>
      </c>
      <c r="K3">
        <f>IF(I3=B3,E3,IF(I3=C3,F3,IF(I3=D3,G3)))</f>
        <v>19652.583428571423</v>
      </c>
    </row>
    <row r="4" spans="1:11">
      <c r="A4" t="s">
        <v>115</v>
      </c>
      <c r="B4">
        <f>RSQ('Evaluation Ratios'!C6:G6,StandAlone!F2:J2)</f>
        <v>0.79555534227363756</v>
      </c>
      <c r="C4">
        <f>INDEX(LINEST('Evaluation Ratios'!C6:G6,StandAlone!F2:J2^{1;2},TRUE,TRUE),3,1)</f>
        <v>0.8739950886232617</v>
      </c>
      <c r="D4">
        <f>RSQ(LN('Evaluation Ratios'!C6:G6),StandAlone!F2:J2)</f>
        <v>0.76650048326983544</v>
      </c>
      <c r="E4">
        <f>FORECAST(0,'Evaluation Ratios'!C6:G6,StandAlone!F2:J2)</f>
        <v>-6.6637618648188308</v>
      </c>
      <c r="F4">
        <f>INDEX(LINEST('Evaluation Ratios'!C6:G6,StandAlone!F2:J2^{1;2})*1,3)</f>
        <v>24.466210132731412</v>
      </c>
      <c r="G4">
        <f>GROWTH('Evaluation Ratios'!C6:G6,StandAlone!F2:J2,0)</f>
        <v>6.77912425143401</v>
      </c>
      <c r="I4">
        <f>MAX(B4:D4)</f>
        <v>0.8739950886232617</v>
      </c>
      <c r="K4">
        <f>IF(I4=B4,E4,IF(I4=C4,F4,IF(I4=D4,G4)))</f>
        <v>24.466210132731412</v>
      </c>
    </row>
    <row r="5" spans="1:11">
      <c r="A5" t="s">
        <v>3</v>
      </c>
      <c r="B5">
        <f>RSQ('StandAlone %'!E7:J7,StandAlone!F2:K2)</f>
        <v>0.34032757629226179</v>
      </c>
      <c r="C5">
        <f>INDEX(LINEST('StandAlone %'!E7:J7,StandAlone!F2:K2^{1;2},TRUE,TRUE),3,1)</f>
        <v>0.73183625757031256</v>
      </c>
      <c r="D5" t="e">
        <f>RSQ(LN('StandAlone %'!E7:J7),StandAlone!F2:K2)</f>
        <v>#NUM!</v>
      </c>
      <c r="E5">
        <f>FORECAST(0,'StandAlone %'!E7:J7,StandAlone!F2:K2)</f>
        <v>0.12964510730005602</v>
      </c>
      <c r="F5">
        <f>INDEX(LINEST('StandAlone %'!E7:J7,StandAlone!F2:K2^{1;2})*1,3)</f>
        <v>-6.7761384138178005E-2</v>
      </c>
      <c r="G5" t="e">
        <f>GROWTH('StandAlone %'!E7:J7,StandAlone!F2:K2,0)</f>
        <v>#NUM!</v>
      </c>
      <c r="I5" t="e">
        <f>MAX(B5:D5)</f>
        <v>#NUM!</v>
      </c>
      <c r="K5" t="e">
        <f>IF(I5=B5,E5,IF(I5=C5,F5,IF(I5=D5,G5)))</f>
        <v>#NUM!</v>
      </c>
    </row>
    <row r="6" spans="1:11">
      <c r="A6" t="s">
        <v>4</v>
      </c>
      <c r="B6" t="e">
        <f>RSQ('StandAlone %'!E8:J8,StandAlone!F2:K2)</f>
        <v>#DIV/0!</v>
      </c>
      <c r="C6">
        <f>INDEX(LINEST('StandAlone %'!E8:J8,StandAlone!F2:K2^{1;2},TRUE,TRUE),3,1)</f>
        <v>1</v>
      </c>
      <c r="D6" t="e">
        <f>RSQ(LN('StandAlone %'!E8:J8),StandAlone!F2:K2)</f>
        <v>#NUM!</v>
      </c>
      <c r="E6">
        <f>FORECAST(0,'StandAlone %'!E8:J8,StandAlone!F2:K2)</f>
        <v>0</v>
      </c>
      <c r="F6">
        <f>INDEX(LINEST('StandAlone %'!E8:J8,StandAlone!F2:K2^{1;2})*1,3)</f>
        <v>0</v>
      </c>
      <c r="G6" t="e">
        <f>GROWTH('StandAlone %'!E8:J8,StandAlone!F2:K2,0)</f>
        <v>#NUM!</v>
      </c>
      <c r="I6" t="e">
        <f>MAX(B6:C6)</f>
        <v>#DIV/0!</v>
      </c>
      <c r="K6" t="e">
        <f>IF(I6=B6,E6,IF(I6=C6,F6,IF(I6=D6,G6)))</f>
        <v>#DIV/0!</v>
      </c>
    </row>
    <row r="7" spans="1:11">
      <c r="A7" t="s">
        <v>116</v>
      </c>
      <c r="B7">
        <f>RSQ('StandAlone %'!E9:J9,StandAlone!F2:K2)</f>
        <v>0.3468788997465283</v>
      </c>
      <c r="C7">
        <f>INDEX(LINEST('StandAlone %'!E9:J9,StandAlone!F2:K2^{1;2},TRUE,TRUE),3,1)</f>
        <v>0.89367927772555489</v>
      </c>
      <c r="D7">
        <f>RSQ(LN('StandAlone %'!E9:J9),StandAlone!F2:K2)</f>
        <v>0.26953008603522638</v>
      </c>
      <c r="E7">
        <f>FORECAST(0,'StandAlone %'!E9:J9,StandAlone!F2:K2)</f>
        <v>-9.3233498771475151E-4</v>
      </c>
      <c r="F7">
        <f>INDEX(LINEST('StandAlone %'!E9:J9,StandAlone!F2:K2^{1;2})*1,3)</f>
        <v>1.2624917199424542E-2</v>
      </c>
      <c r="G7">
        <f>GROWTH('StandAlone %'!E9:J9,StandAlone!F2:K2,0)</f>
        <v>9.7829783435704433E-4</v>
      </c>
      <c r="I7">
        <f>MAX(B7:D7)</f>
        <v>0.89367927772555489</v>
      </c>
      <c r="K7">
        <f>IF(I7=B7,E7,IF(I7=C7,F7,IF(I7=D7,G7)))</f>
        <v>1.2624917199424542E-2</v>
      </c>
    </row>
    <row r="9" spans="1:11">
      <c r="A9" t="s">
        <v>16</v>
      </c>
      <c r="B9">
        <f>RSQ('StandAlone %'!E11:J11,StandAlone!F2:K2)</f>
        <v>0.96328288642333526</v>
      </c>
      <c r="C9">
        <f>INDEX(LINEST('StandAlone %'!E11:J11,StandAlone!F2:K2^{1;2},TRUE,TRUE),3,1)</f>
        <v>0.97826369828756043</v>
      </c>
      <c r="D9">
        <f>RSQ(LN('StandAlone %'!E11:J11),StandAlone!F2:K2)</f>
        <v>0.97249333704696284</v>
      </c>
      <c r="E9">
        <f>FORECAST(0,'StandAlone %'!E11:J11,StandAlone!F2:K2)</f>
        <v>0.49929610153712389</v>
      </c>
      <c r="F9">
        <f>INDEX(LINEST('StandAlone %'!E11:J11,StandAlone!F2:K2^{1;2})*1,3)</f>
        <v>0.55820237001563422</v>
      </c>
      <c r="G9">
        <f>GROWTH('StandAlone %'!E11:J11,StandAlone!F2:K2,0)</f>
        <v>0.51906899992084832</v>
      </c>
      <c r="I9">
        <f>MAX(B9:D9)</f>
        <v>0.97826369828756043</v>
      </c>
      <c r="K9">
        <f>IF(I9=B9,E9,IF(I9=C9,F9,IF(I9=D9,G9)))</f>
        <v>0.55820237001563422</v>
      </c>
    </row>
    <row r="10" spans="1:11">
      <c r="A10" t="s">
        <v>136</v>
      </c>
      <c r="B10">
        <f>RSQ('StandAlone %'!E21:J21,StandAlone!F2:K2)</f>
        <v>0.33942795919452617</v>
      </c>
      <c r="C10">
        <f>INDEX(LINEST('StandAlone %'!E21:J21,StandAlone!F2:K2^{1;2},TRUE,TRUE),3,1)</f>
        <v>0.87960462992957922</v>
      </c>
      <c r="D10">
        <f>RSQ(LN('StandAlone %'!E21:J21),StandAlone!F2:K2)</f>
        <v>0.30558585919087961</v>
      </c>
      <c r="E10">
        <f>FORECAST(0,'StandAlone %'!E21:J21,StandAlone!F2:K2)</f>
        <v>2.956434812001825E-2</v>
      </c>
      <c r="F10">
        <f>INDEX(LINEST('StandAlone %'!E21:J21,StandAlone!F2:K2^{1;2})*1,3)</f>
        <v>4.7567234496103575E-2</v>
      </c>
      <c r="G10">
        <f>GROWTH('StandAlone %'!E21:J21,StandAlone!F2:K2,0)</f>
        <v>2.9357323270388893E-2</v>
      </c>
      <c r="I10">
        <f>MAX(B10:D10)</f>
        <v>0.87960462992957922</v>
      </c>
      <c r="K10">
        <f>IF(I10=B10,E10,IF(I10=C10,F10,IF(I10=D10,G10)))</f>
        <v>4.7567234496103575E-2</v>
      </c>
    </row>
    <row r="11" spans="1:11">
      <c r="A11" t="s">
        <v>117</v>
      </c>
      <c r="B11">
        <f>RSQ('StandAlone %'!E22:J22,StandAlone!F2:K2)</f>
        <v>0.52476604713097807</v>
      </c>
      <c r="C11">
        <f>INDEX(LINEST('StandAlone %'!E22:J22,StandAlone!F2:K2^{1;2},TRUE,TRUE),3,1)</f>
        <v>0.63382328039647617</v>
      </c>
      <c r="D11">
        <f>RSQ(LN('StandAlone %'!E22:J22),StandAlone!F2:K2)</f>
        <v>0.5390705095268411</v>
      </c>
      <c r="E11">
        <f>FORECAST(0,'StandAlone %'!E22:J22,StandAlone!F2:K2)</f>
        <v>0.17907004469905985</v>
      </c>
      <c r="F11">
        <f>INDEX(LINEST('StandAlone %'!E22:J22,StandAlone!F2:K2^{1;2})*1,3)</f>
        <v>0.23738572445548622</v>
      </c>
      <c r="G11">
        <f>GROWTH('StandAlone %'!E22:J22,StandAlone!F2:K2,0)</f>
        <v>0.18363926302827932</v>
      </c>
      <c r="I11">
        <f>MAX(B11:D11)</f>
        <v>0.63382328039647617</v>
      </c>
      <c r="K11">
        <f>IF(I11=B11,E11,IF(I11=C11,F11,IF(I11=D11,G11)))</f>
        <v>0.23738572445548622</v>
      </c>
    </row>
    <row r="13" spans="1:11">
      <c r="A13" t="s">
        <v>118</v>
      </c>
      <c r="B13" t="e">
        <f>RSQ(Depreciation!D8:H8,StandAlone!F2:J2)</f>
        <v>#DIV/0!</v>
      </c>
      <c r="C13" t="e">
        <f>INDEX(LINEST(Depreciation!D8:H8,StandAlone!F2:J2^{1;2},TRUE,TRUE),3,1)</f>
        <v>#VALUE!</v>
      </c>
      <c r="D13" t="e">
        <f>RSQ(LN(Depreciation!D8:H8),StandAlone!F2:J2)</f>
        <v>#DIV/0!</v>
      </c>
      <c r="E13" t="e">
        <f>FORECAST(0,Depreciation!D8:H8,StandAlone!F2:J2)</f>
        <v>#DIV/0!</v>
      </c>
      <c r="F13" t="e">
        <f>INDEX(LINEST(Depreciation!D8:H8,StandAlone!F2:J2^{1;2})*1,3)</f>
        <v>#VALUE!</v>
      </c>
      <c r="G13" t="e">
        <f>GROWTH(Depreciation!D8:H8,StandAlone!F2:J2,0)</f>
        <v>#VALUE!</v>
      </c>
      <c r="I13" t="e">
        <f>MAX(B13:D13)</f>
        <v>#DIV/0!</v>
      </c>
      <c r="K13" t="e">
        <f>IF(I13=B13,E13,IF(I13=C13,F13,IF(I13=D13,G13)))</f>
        <v>#DIV/0!</v>
      </c>
    </row>
    <row r="14" spans="1:11">
      <c r="A14" t="s">
        <v>119</v>
      </c>
      <c r="B14" t="e">
        <f>RSQ(Depreciation!D19:H19,StandAlone!F2:J2)</f>
        <v>#DIV/0!</v>
      </c>
      <c r="C14">
        <f>INDEX(LINEST(Depreciation!D19:H19,StandAlone!F2:J2^{1;2},TRUE,TRUE),3,1)</f>
        <v>1</v>
      </c>
      <c r="D14" t="e">
        <f>RSQ(LN(Depreciation!D19:H19),StandAlone!F2:J2)</f>
        <v>#NUM!</v>
      </c>
      <c r="E14">
        <f>FORECAST(0,Depreciation!D19:H19,StandAlone!F2:J2)</f>
        <v>0</v>
      </c>
      <c r="F14">
        <f>INDEX(LINEST(Depreciation!D19:H19,StandAlone!F2:J2^{1;2})*1,3)</f>
        <v>0</v>
      </c>
      <c r="G14" t="e">
        <f>GROWTH(Depreciation!D19:H19,StandAlone!F2:J2,0)</f>
        <v>#NUM!</v>
      </c>
      <c r="I14" t="e">
        <f>MAX(B14:D14)</f>
        <v>#DIV/0!</v>
      </c>
      <c r="K14" t="e">
        <f>IF(I14=B14,E14,IF(I14=C14,F14,IF(I14=D14,G14)))</f>
        <v>#DIV/0!</v>
      </c>
    </row>
    <row r="15" spans="1:11">
      <c r="A15" t="s">
        <v>120</v>
      </c>
      <c r="B15" t="e">
        <f>RSQ(Depreciation!D24:I24,StandAlone!F2:K2)</f>
        <v>#DIV/0!</v>
      </c>
      <c r="C15">
        <f>INDEX(LINEST(Depreciation!D24:I24,StandAlone!F2:K2^{1;2},TRUE,TRUE),3,1)</f>
        <v>1</v>
      </c>
      <c r="D15">
        <f>RSQ(LN(Depreciation!D24:I24),StandAlone!F2:K2)</f>
        <v>0</v>
      </c>
      <c r="E15">
        <f>FORECAST(0,Depreciation!D24:I24,StandAlone!F2:K2)</f>
        <v>100</v>
      </c>
      <c r="F15">
        <f>INDEX(LINEST(Depreciation!D24:I24,StandAlone!F2:K2^{1;2})*1,3)</f>
        <v>100</v>
      </c>
      <c r="G15">
        <f>GROWTH(Depreciation!D24:I24,StandAlone!F2:K2,0)</f>
        <v>100.00000000000013</v>
      </c>
      <c r="I15" t="e">
        <f>MAX(B15:D15)</f>
        <v>#DIV/0!</v>
      </c>
      <c r="K15" t="e">
        <f>IF(I15=B15,E15,IF(I15=C15,F15,IF(I15=D15,G15)))</f>
        <v>#DIV/0!</v>
      </c>
    </row>
    <row r="17" spans="1:11">
      <c r="A17" t="s">
        <v>123</v>
      </c>
      <c r="B17">
        <f>RSQ('StandAlone %'!E30:I30,StandAlone!F2:J2)</f>
        <v>0.70998577647240135</v>
      </c>
      <c r="C17">
        <f>INDEX(LINEST('StandAlone %'!E30:I30,StandAlone!F2:J2^{1;2},TRUE,TRUE),3,1)</f>
        <v>0.95421303401755841</v>
      </c>
      <c r="D17">
        <f>RSQ(LN('StandAlone %'!E30:I30),StandAlone!F2:J2)</f>
        <v>0.71750893094911683</v>
      </c>
      <c r="E17">
        <f>FORECAST(0,'StandAlone %'!E30:I30,StandAlone!F2:J2)</f>
        <v>0.16385971330411647</v>
      </c>
      <c r="F17">
        <f>INDEX(LINEST('StandAlone %'!E30:I30,StandAlone!F2:J2^{1;2})*1,3)</f>
        <v>0.10051695008692663</v>
      </c>
      <c r="G17">
        <f>GROWTH('StandAlone %'!E30:I30,StandAlone!F2:J2,0)</f>
        <v>0.1709290261452848</v>
      </c>
      <c r="I17">
        <f>MAX(B17:D17)</f>
        <v>0.95421303401755841</v>
      </c>
      <c r="K17">
        <f>IF(I17=B17,E17,IF(I17=C17,F17,IF(I17=D17,G17)))</f>
        <v>0.10051695008692663</v>
      </c>
    </row>
    <row r="18" spans="1:11">
      <c r="A18" t="s">
        <v>44</v>
      </c>
      <c r="B18">
        <f>RSQ('StandAlone %'!E31:J31,StandAlone!F2:K2)</f>
        <v>0.19587896991680281</v>
      </c>
      <c r="C18">
        <f>INDEX(LINEST('StandAlone %'!E31:J31,StandAlone!F2:K2^{1;2},TRUE,TRUE),3,1)</f>
        <v>0.38573680319194242</v>
      </c>
      <c r="D18">
        <f>RSQ(LN('StandAlone %'!E31:J31),StandAlone!F2:K2)</f>
        <v>0.19421395124031995</v>
      </c>
      <c r="E18">
        <f>FORECAST(0,'StandAlone %'!E31:J31,StandAlone!F2:K2)</f>
        <v>7.4929630693664571E-3</v>
      </c>
      <c r="F18">
        <f>INDEX(LINEST('StandAlone %'!E31:J31,StandAlone!F2:K2^{1;2})*1,3)</f>
        <v>3.2695875368692886E-3</v>
      </c>
      <c r="G18">
        <f>GROWTH('StandAlone %'!E31:J31,StandAlone!F2:K2,0)</f>
        <v>7.3705771582758487E-3</v>
      </c>
      <c r="I18">
        <f>MAX(B18:D18)</f>
        <v>0.38573680319194242</v>
      </c>
      <c r="K18">
        <f>IF(I18=B18,E18,IF(I18=C18,F18,IF(I18=D18,G18)))</f>
        <v>3.2695875368692886E-3</v>
      </c>
    </row>
    <row r="20" spans="1:11">
      <c r="A20" t="s">
        <v>26</v>
      </c>
      <c r="B20">
        <f>RSQ('StandAlone %'!E37:J37,StandAlone!F2:K2)</f>
        <v>0.12521090608230145</v>
      </c>
      <c r="C20">
        <f>INDEX(LINEST('StandAlone %'!E37:J37,StandAlone!F2:K2^{1;2},TRUE,TRUE),3,1)</f>
        <v>0.18659331021644404</v>
      </c>
      <c r="D20">
        <f>RSQ(LN('StandAlone %'!E37:J37),StandAlone!F2:K2)</f>
        <v>0.10491362089872566</v>
      </c>
      <c r="E20">
        <f>FORECAST(0,'StandAlone %'!E37:J37,StandAlone!F2:K2)</f>
        <v>0.34102151216441573</v>
      </c>
      <c r="F20">
        <f>INDEX(LINEST('StandAlone %'!E37:J37,StandAlone!F2:K2^{1;2})*1,3)</f>
        <v>0.38566415798082887</v>
      </c>
      <c r="G20">
        <f>GROWTH('StandAlone %'!E37:J37,StandAlone!F2:K2,0)</f>
        <v>0.33952733231559318</v>
      </c>
      <c r="I20">
        <f>MAX(B20:D20)</f>
        <v>0.18659331021644404</v>
      </c>
      <c r="K20">
        <f>IF(I20=B20,E20,IF(I20=C20,F20,IF(I20=D20,G20)))</f>
        <v>0.38566415798082887</v>
      </c>
    </row>
    <row r="22" spans="1:11">
      <c r="A22" t="s">
        <v>160</v>
      </c>
      <c r="B22">
        <f>RSQ('Evaluation Ratios'!C49:G49,StandAlone!F2:J2)</f>
        <v>1.6979280780513036E-2</v>
      </c>
      <c r="C22">
        <f>INDEX(LINEST('Evaluation Ratios'!C49:G49,StandAlone!F2:J2^{1;2},TRUE,TRUE),3,1)</f>
        <v>0.49539400366464864</v>
      </c>
      <c r="D22" t="e">
        <f>RSQ(LN('Evaluation Ratios'!C49:G49),StandAlone!F2:J2)</f>
        <v>#NUM!</v>
      </c>
      <c r="E22">
        <f>FORECAST(0,'Evaluation Ratios'!C49:G49,StandAlone!F2:J2)</f>
        <v>23.90300484638059</v>
      </c>
      <c r="F22">
        <f>INDEX(LINEST('Evaluation Ratios'!C49:G49,StandAlone!F2:J2^{1;2})*1,3)</f>
        <v>-171.14401572178556</v>
      </c>
      <c r="G22" t="e">
        <f>GROWTH('Evaluation Ratios'!C49:G49,StandAlone!F2:J2,0)</f>
        <v>#NUM!</v>
      </c>
      <c r="I22" t="e">
        <f>MAX(B22:D22)</f>
        <v>#NUM!</v>
      </c>
      <c r="K22" t="e">
        <f>IF(I22=B22,E22,IF(I22=C22,F22,IF(I22=D22,G22)))</f>
        <v>#NUM!</v>
      </c>
    </row>
    <row r="24" spans="1:11">
      <c r="A24" s="3" t="s">
        <v>138</v>
      </c>
    </row>
    <row r="25" spans="1:11">
      <c r="B25" t="s">
        <v>106</v>
      </c>
      <c r="C25" t="s">
        <v>107</v>
      </c>
      <c r="D25" t="s">
        <v>108</v>
      </c>
      <c r="E25" t="s">
        <v>109</v>
      </c>
      <c r="F25" t="s">
        <v>110</v>
      </c>
      <c r="G25" t="s">
        <v>111</v>
      </c>
      <c r="I25" t="s">
        <v>112</v>
      </c>
      <c r="K25" t="s">
        <v>113</v>
      </c>
    </row>
    <row r="26" spans="1:11">
      <c r="A26" t="s">
        <v>114</v>
      </c>
      <c r="B26" t="e">
        <f>RSQ(Consolidated!F4:K4,Consolidated!F2:K2)</f>
        <v>#DIV/0!</v>
      </c>
      <c r="C26" t="e">
        <f>INDEX(LINEST(Consolidated!F4:K4,Consolidated!F2:K2^{1;2},TRUE,TRUE),3,1)</f>
        <v>#VALUE!</v>
      </c>
      <c r="D26" t="e">
        <f>RSQ(LN(Consolidated!F4:K4),Consolidated!F2:K2)</f>
        <v>#NUM!</v>
      </c>
      <c r="E26" t="e">
        <f>FORECAST(0,Consolidated!F4:K4,Consolidated!F2:K2)</f>
        <v>#DIV/0!</v>
      </c>
      <c r="F26" t="e">
        <f>INDEX(LINEST(Consolidated!F4:K4,Consolidated!F2:K2^{1;2})*1,3)</f>
        <v>#VALUE!</v>
      </c>
      <c r="G26" t="e">
        <f>GROWTH(Consolidated!F4:K4,Consolidated!F2:K2,0)</f>
        <v>#VALUE!</v>
      </c>
      <c r="I26" t="e">
        <f>MAX(B26:D26)</f>
        <v>#DIV/0!</v>
      </c>
      <c r="K26" t="e">
        <f>IF(I26=B26,E26,IF(I26=C26,F26,IF(I26=D26,G26)))</f>
        <v>#DIV/0!</v>
      </c>
    </row>
    <row r="27" spans="1:11">
      <c r="A27" t="s">
        <v>115</v>
      </c>
      <c r="B27" t="e">
        <f>RSQ('Evaluation Ratios'!L6:P6,Consolidated!F2:J2)</f>
        <v>#DIV/0!</v>
      </c>
      <c r="C27" t="e">
        <f>INDEX(LINEST('Evaluation Ratios'!L6:P6,Consolidated!F2:J2^{1;2},TRUE,TRUE),3,1)</f>
        <v>#VALUE!</v>
      </c>
      <c r="D27" t="e">
        <f>RSQ(LN('Evaluation Ratios'!L6:P6),Consolidated!F2:J2)</f>
        <v>#DIV/0!</v>
      </c>
      <c r="E27" t="e">
        <f>FORECAST(0,'Evaluation Ratios'!L6:P6,Consolidated!F2:J2)</f>
        <v>#DIV/0!</v>
      </c>
      <c r="F27" t="e">
        <f>INDEX(LINEST('Evaluation Ratios'!L6:P6,Consolidated!F2:J2^{1;2})*1,3)</f>
        <v>#VALUE!</v>
      </c>
      <c r="G27" t="e">
        <f>GROWTH('Evaluation Ratios'!L6:P6,Consolidated!F2:J2,0)</f>
        <v>#VALUE!</v>
      </c>
      <c r="I27" t="e">
        <f>MAX(B27:D27)</f>
        <v>#DIV/0!</v>
      </c>
      <c r="K27" t="e">
        <f>IF(I27=B27,E27,IF(I27=C27,F27,IF(I27=D27,G27)))</f>
        <v>#DIV/0!</v>
      </c>
    </row>
    <row r="28" spans="1:11">
      <c r="A28" t="s">
        <v>3</v>
      </c>
      <c r="B28" t="e">
        <f>RSQ('Consolidated %'!E7:J7,Consolidated!F2:K2)</f>
        <v>#DIV/0!</v>
      </c>
      <c r="C28" t="e">
        <f>INDEX(LINEST('Consolidated %'!E7:J7,Consolidated!F2:K2^{1;2},TRUE,TRUE),3,1)</f>
        <v>#VALUE!</v>
      </c>
      <c r="D28" t="e">
        <f>RSQ(LN('Consolidated %'!E7:J7),Consolidated!F2:K2)</f>
        <v>#DIV/0!</v>
      </c>
      <c r="E28" t="e">
        <f>FORECAST(0,'Consolidated %'!E7:J7,Consolidated!F2:K2)</f>
        <v>#DIV/0!</v>
      </c>
      <c r="F28" t="e">
        <f>INDEX(LINEST('Consolidated %'!E7:J7,Consolidated!F2:K2^{1;2})*1,3)</f>
        <v>#VALUE!</v>
      </c>
      <c r="G28" t="e">
        <f>GROWTH('Consolidated %'!E7:J7,Consolidated!F2:K2,0)</f>
        <v>#VALUE!</v>
      </c>
      <c r="I28" t="e">
        <f>MAX(B28:D28)</f>
        <v>#DIV/0!</v>
      </c>
      <c r="K28" t="e">
        <f>IF(I28=B28,E28,IF(I28=C28,F28,IF(I28=D28,G28)))</f>
        <v>#DIV/0!</v>
      </c>
    </row>
    <row r="29" spans="1:11">
      <c r="A29" t="s">
        <v>4</v>
      </c>
      <c r="B29" t="e">
        <f>RSQ('Consolidated %'!E8:J8,Consolidated!F2:K2)</f>
        <v>#DIV/0!</v>
      </c>
      <c r="C29" t="e">
        <f>INDEX(LINEST('Consolidated %'!E8:J8,Consolidated!F2:K2^{1;2},TRUE,TRUE),3,1)</f>
        <v>#VALUE!</v>
      </c>
      <c r="D29" t="e">
        <f>RSQ(LN('Consolidated %'!E8:J8),Consolidated!F2:K2)</f>
        <v>#DIV/0!</v>
      </c>
      <c r="E29" t="e">
        <f>FORECAST(0,'Consolidated %'!E8:J8,Consolidated!F2:K2)</f>
        <v>#DIV/0!</v>
      </c>
      <c r="F29" t="e">
        <f>INDEX(LINEST('Consolidated %'!E8:J8,Consolidated!F2:K2^{1;2})*1,3)</f>
        <v>#VALUE!</v>
      </c>
      <c r="G29" t="e">
        <f>GROWTH('Consolidated %'!E8:J8,Consolidated!F2:K2,0)</f>
        <v>#VALUE!</v>
      </c>
      <c r="I29" t="e">
        <f>MAX(B29:C29)</f>
        <v>#DIV/0!</v>
      </c>
      <c r="K29" t="e">
        <f>IF(I29=B29,E29,IF(I29=C29,F29,IF(I29=D29,G29)))</f>
        <v>#DIV/0!</v>
      </c>
    </row>
    <row r="30" spans="1:11">
      <c r="A30" t="s">
        <v>116</v>
      </c>
      <c r="B30" t="e">
        <f>RSQ('Consolidated %'!E9:J9,Consolidated!F2:K2)</f>
        <v>#DIV/0!</v>
      </c>
      <c r="C30" t="e">
        <f>INDEX(LINEST('Consolidated %'!E9:J9,Consolidated!F2:K2^{1;2},TRUE,TRUE),3,1)</f>
        <v>#VALUE!</v>
      </c>
      <c r="D30" t="e">
        <f>RSQ(LN('Consolidated %'!E9:J9),Consolidated!F2:K2)</f>
        <v>#DIV/0!</v>
      </c>
      <c r="E30" t="e">
        <f>FORECAST(0,'Consolidated %'!E9:J9,Consolidated!F2:K2)</f>
        <v>#DIV/0!</v>
      </c>
      <c r="F30" t="e">
        <f>INDEX(LINEST('Consolidated %'!E9:J9,Consolidated!F2:K2^{1;2})*1,3)</f>
        <v>#VALUE!</v>
      </c>
      <c r="G30" t="e">
        <f>GROWTH('Consolidated %'!E9:J9,Consolidated!F2:K2,0)</f>
        <v>#VALUE!</v>
      </c>
      <c r="I30" t="e">
        <f>MAX(B30:D30)</f>
        <v>#DIV/0!</v>
      </c>
      <c r="K30" t="e">
        <f>IF(I30=B30,E30,IF(I30=C30,F30,IF(I30=D30,G30)))</f>
        <v>#DIV/0!</v>
      </c>
    </row>
    <row r="32" spans="1:11">
      <c r="A32" t="s">
        <v>16</v>
      </c>
      <c r="B32" t="e">
        <f>RSQ('Consolidated %'!E11:J11,Consolidated!F2:K2)</f>
        <v>#DIV/0!</v>
      </c>
      <c r="C32" t="e">
        <f>INDEX(LINEST('Consolidated %'!E11:J11,Consolidated!F2:K2^{1;2},TRUE,TRUE),3,1)</f>
        <v>#VALUE!</v>
      </c>
      <c r="D32" t="e">
        <f>RSQ(LN('Consolidated %'!E11:J11),Consolidated!F2:K2)</f>
        <v>#DIV/0!</v>
      </c>
      <c r="E32" t="e">
        <f>FORECAST(0,'Consolidated %'!E11:J11,Consolidated!F2:K2)</f>
        <v>#DIV/0!</v>
      </c>
      <c r="F32" t="e">
        <f>INDEX(LINEST('Consolidated %'!E11:J11,Consolidated!F2:K2^{1;2})*1,3)</f>
        <v>#VALUE!</v>
      </c>
      <c r="G32" t="e">
        <f>GROWTH('Consolidated %'!E11:J11,Consolidated!F2:K2,0)</f>
        <v>#VALUE!</v>
      </c>
      <c r="I32" t="e">
        <f>MAX(B32:D32)</f>
        <v>#DIV/0!</v>
      </c>
      <c r="K32" t="e">
        <f>IF(I32=B32,E32,IF(I32=C32,F32,IF(I32=D32,G32)))</f>
        <v>#DIV/0!</v>
      </c>
    </row>
    <row r="33" spans="1:11">
      <c r="A33" t="s">
        <v>136</v>
      </c>
      <c r="B33" t="e">
        <f>RSQ('Consolidated %'!E21:J21,Consolidated!F2:K2)</f>
        <v>#DIV/0!</v>
      </c>
      <c r="C33" t="e">
        <f>INDEX(LINEST('Consolidated %'!E21:J21,Consolidated!F2:K2^{1;2},TRUE,TRUE),3,1)</f>
        <v>#VALUE!</v>
      </c>
      <c r="D33" t="e">
        <f>RSQ(LN('Consolidated %'!E21:J21),Consolidated!F2:K2)</f>
        <v>#DIV/0!</v>
      </c>
      <c r="E33" t="e">
        <f>FORECAST(0,'Consolidated %'!E21:J21,Consolidated!F2:K2)</f>
        <v>#DIV/0!</v>
      </c>
      <c r="F33" t="e">
        <f>INDEX(LINEST('Consolidated %'!E21:J21,Consolidated!F2:K2^{1;2})*1,3)</f>
        <v>#VALUE!</v>
      </c>
      <c r="G33" t="e">
        <f>GROWTH('Consolidated %'!E21:J21,Consolidated!F2:K2,0)</f>
        <v>#VALUE!</v>
      </c>
      <c r="I33" t="e">
        <f>MAX(B33:D33)</f>
        <v>#DIV/0!</v>
      </c>
      <c r="K33" t="e">
        <f>IF(I33=B33,E33,IF(I33=C33,F33,IF(I33=D33,G33)))</f>
        <v>#DIV/0!</v>
      </c>
    </row>
    <row r="34" spans="1:11">
      <c r="A34" t="s">
        <v>117</v>
      </c>
      <c r="B34" t="e">
        <f>RSQ('Consolidated %'!E22:J22,Consolidated!F2:K2)</f>
        <v>#DIV/0!</v>
      </c>
      <c r="C34" t="e">
        <f>INDEX(LINEST('Consolidated %'!E22:J22,StandAlone!F24:K24^{1;2},TRUE,TRUE),3,1)</f>
        <v>#VALUE!</v>
      </c>
      <c r="D34" t="e">
        <f>RSQ(LN('Consolidated %'!E22:J22),StandAlone!F24:K24)</f>
        <v>#DIV/0!</v>
      </c>
      <c r="E34" t="e">
        <f>FORECAST(0,'Consolidated %'!E22:J22,StandAlone!F24:K24)</f>
        <v>#DIV/0!</v>
      </c>
      <c r="F34" t="e">
        <f>INDEX(LINEST('Consolidated %'!E22:J22,StandAlone!F24:K24^{1;2})*1,3)</f>
        <v>#VALUE!</v>
      </c>
      <c r="G34" t="e">
        <f>GROWTH('Consolidated %'!E22:J22,StandAlone!F24:K24,0)</f>
        <v>#VALUE!</v>
      </c>
      <c r="I34" t="e">
        <f>MAX(B34:D34)</f>
        <v>#DIV/0!</v>
      </c>
      <c r="K34" t="e">
        <f>IF(I34=B34,E34,IF(I34=C34,F34,IF(I34=D34,G34)))</f>
        <v>#DIV/0!</v>
      </c>
    </row>
    <row r="36" spans="1:11">
      <c r="A36" t="s">
        <v>118</v>
      </c>
      <c r="B36" t="e">
        <f>RSQ(Depreciation!D39:H39,Consolidated!F2:J2)</f>
        <v>#DIV/0!</v>
      </c>
      <c r="C36" t="e">
        <f>INDEX(LINEST(Depreciation!D39:H39,Consolidated!F2:J2^{1;2},TRUE,TRUE),3,1)</f>
        <v>#VALUE!</v>
      </c>
      <c r="D36" t="e">
        <f>RSQ(LN(Depreciation!D39:H39),Consolidated!F2:J2)</f>
        <v>#DIV/0!</v>
      </c>
      <c r="E36" t="e">
        <f>FORECAST(0,Depreciation!D39:H39,Consolidated!F2:J2)</f>
        <v>#DIV/0!</v>
      </c>
      <c r="F36" t="e">
        <f>INDEX(LINEST(Depreciation!D39:H39,Consolidated!F2:J2^{1;2})*1,3)</f>
        <v>#VALUE!</v>
      </c>
      <c r="G36" t="e">
        <f>GROWTH(Depreciation!D39:H39,Consolidated!F2:J2,0)</f>
        <v>#VALUE!</v>
      </c>
      <c r="I36" t="e">
        <f>MAX(B36:D36)</f>
        <v>#DIV/0!</v>
      </c>
      <c r="K36" t="e">
        <f>IF(I36=B36,E36,IF(I36=C36,F36,IF(I36=D36,G36)))</f>
        <v>#DIV/0!</v>
      </c>
    </row>
    <row r="37" spans="1:11">
      <c r="A37" t="s">
        <v>119</v>
      </c>
      <c r="B37" t="e">
        <f>RSQ(Depreciation!D50:H50,Consolidated!F2:J2)</f>
        <v>#DIV/0!</v>
      </c>
      <c r="C37">
        <f>INDEX(LINEST(Depreciation!D50:H50,Consolidated!F2:J2^{1;2},TRUE,TRUE),3,1)</f>
        <v>1</v>
      </c>
      <c r="D37" t="e">
        <f>RSQ(LN(Depreciation!D50:H50),Consolidated!F2:J2)</f>
        <v>#NUM!</v>
      </c>
      <c r="E37">
        <f>FORECAST(0,Depreciation!D50:H50,Consolidated!F2:J2)</f>
        <v>0</v>
      </c>
      <c r="F37">
        <f>INDEX(LINEST(Depreciation!D50:H50,Consolidated!F2:J2^{1;2})*1,3)</f>
        <v>0</v>
      </c>
      <c r="G37" t="e">
        <f>GROWTH(Depreciation!D50:H50,Consolidated!F2:J2,0)</f>
        <v>#NUM!</v>
      </c>
      <c r="I37" t="e">
        <f>MAX(B37:D37)</f>
        <v>#DIV/0!</v>
      </c>
      <c r="K37" t="e">
        <f>IF(I37=B37,E37,IF(I37=C37,F37,IF(I37=D37,G37)))</f>
        <v>#DIV/0!</v>
      </c>
    </row>
    <row r="38" spans="1:11">
      <c r="A38" t="s">
        <v>120</v>
      </c>
      <c r="B38" t="e">
        <f>RSQ(Depreciation!D55:I55,Consolidated!F2:K2)</f>
        <v>#DIV/0!</v>
      </c>
      <c r="C38" t="e">
        <f>INDEX(LINEST(Depreciation!D46:I46,StandAlone!F24:K24^{1;2},TRUE,TRUE),3,1)</f>
        <v>#VALUE!</v>
      </c>
      <c r="D38" t="e">
        <f>RSQ(LN(Depreciation!D46:I46),StandAlone!F24:K24)</f>
        <v>#NUM!</v>
      </c>
      <c r="E38" t="e">
        <f>FORECAST(0,Depreciation!D46:I46,StandAlone!F24:K24)</f>
        <v>#DIV/0!</v>
      </c>
      <c r="F38" t="e">
        <f>INDEX(LINEST(Depreciation!D46:I46,StandAlone!F24:K24^{1;2})*1,3)</f>
        <v>#VALUE!</v>
      </c>
      <c r="G38" t="e">
        <f>GROWTH(Depreciation!D46:I46,StandAlone!F24:K24,0)</f>
        <v>#VALUE!</v>
      </c>
      <c r="I38" t="e">
        <f>MAX(B38:D38)</f>
        <v>#DIV/0!</v>
      </c>
      <c r="K38" t="e">
        <f>IF(I38=B38,E38,IF(I38=C38,F38,IF(I38=D38,G38)))</f>
        <v>#DIV/0!</v>
      </c>
    </row>
    <row r="40" spans="1:11">
      <c r="A40" t="s">
        <v>123</v>
      </c>
      <c r="B40" t="e">
        <f>RSQ('Consolidated %'!E30:I30,Consolidated!F2:J2)</f>
        <v>#DIV/0!</v>
      </c>
      <c r="C40" t="e">
        <f>INDEX(LINEST('Consolidated %'!E30:I30,Consolidated!F2:J2^{1;2},TRUE,TRUE),3,1)</f>
        <v>#VALUE!</v>
      </c>
      <c r="D40" t="e">
        <f>RSQ(LN('Consolidated %'!E30:I30),Consolidated!F2:J2)</f>
        <v>#DIV/0!</v>
      </c>
      <c r="E40" t="e">
        <f>FORECAST(0,'Consolidated %'!E30:I30,Consolidated!F2:J2)</f>
        <v>#DIV/0!</v>
      </c>
      <c r="F40" t="e">
        <f>INDEX(LINEST('Consolidated %'!E30:I30,Consolidated!F2:J2^{1;2})*1,3)</f>
        <v>#VALUE!</v>
      </c>
      <c r="G40" t="e">
        <f>GROWTH('Consolidated %'!E30:I30,Consolidated!F2:J2,0)</f>
        <v>#VALUE!</v>
      </c>
      <c r="I40" t="e">
        <f>MAX(B40:D40)</f>
        <v>#DIV/0!</v>
      </c>
      <c r="K40" t="e">
        <f>IF(I40=B40,E40,IF(I40=C40,F40,IF(I40=D40,G40)))</f>
        <v>#DIV/0!</v>
      </c>
    </row>
    <row r="41" spans="1:11">
      <c r="A41" t="s">
        <v>44</v>
      </c>
      <c r="B41" t="e">
        <f>RSQ('Consolidated %'!E31:J31,Consolidated!F2:K2)</f>
        <v>#DIV/0!</v>
      </c>
      <c r="C41" t="e">
        <f>INDEX(LINEST('Consolidated %'!E31:J31,Consolidated!F2:K2^{1;2},TRUE,TRUE),3,1)</f>
        <v>#VALUE!</v>
      </c>
      <c r="D41" t="e">
        <f>RSQ(LN('Consolidated %'!E31:J31),Consolidated!F2:K2)</f>
        <v>#DIV/0!</v>
      </c>
      <c r="E41" t="e">
        <f>FORECAST(0,'Consolidated %'!E31:J31,Consolidated!F2:K2)</f>
        <v>#DIV/0!</v>
      </c>
      <c r="F41" t="e">
        <f>INDEX(LINEST('Consolidated %'!E31:J31,Consolidated!F2:K2^{1;2})*1,3)</f>
        <v>#VALUE!</v>
      </c>
      <c r="G41" t="e">
        <f>GROWTH('Consolidated %'!E31:J31,Consolidated!F2:K2,0)</f>
        <v>#VALUE!</v>
      </c>
      <c r="I41" t="e">
        <f>MAX(B41:D41)</f>
        <v>#DIV/0!</v>
      </c>
      <c r="K41" t="e">
        <f>IF(I41=B41,E41,IF(I41=C41,F41,IF(I41=D41,G41)))</f>
        <v>#DIV/0!</v>
      </c>
    </row>
    <row r="43" spans="1:11">
      <c r="A43" t="s">
        <v>26</v>
      </c>
      <c r="B43" t="e">
        <f>RSQ('Consolidated %'!E37:J37,Consolidated!F2:K2)</f>
        <v>#DIV/0!</v>
      </c>
      <c r="C43" t="e">
        <f>INDEX(LINEST('Consolidated %'!E37:J37,Consolidated!F2:K2^{1;2},TRUE,TRUE),3,1)</f>
        <v>#VALUE!</v>
      </c>
      <c r="D43" t="e">
        <f>RSQ(LN('Consolidated %'!E37:J37),Consolidated!F2:K2)</f>
        <v>#DIV/0!</v>
      </c>
      <c r="E43" t="e">
        <f>FORECAST(0,'Consolidated %'!E37:J37,Consolidated!F2:K2)</f>
        <v>#DIV/0!</v>
      </c>
      <c r="F43" t="e">
        <f>INDEX(LINEST('Consolidated %'!E37:J37,Consolidated!F2:K2^{1;2})*1,3)</f>
        <v>#VALUE!</v>
      </c>
      <c r="G43" t="e">
        <f>GROWTH('Consolidated %'!E37:J37,Consolidated!F2:K2,0)</f>
        <v>#VALUE!</v>
      </c>
      <c r="I43" t="e">
        <f>MAX(B43:D43)</f>
        <v>#DIV/0!</v>
      </c>
      <c r="K43" t="e">
        <f>IF(I43=B43,E43,IF(I43=C43,F43,IF(I43=D43,G43)))</f>
        <v>#DIV/0!</v>
      </c>
    </row>
    <row r="45" spans="1:11">
      <c r="A45" t="s">
        <v>28</v>
      </c>
      <c r="B45" t="e">
        <f>RSQ('Consolidated %'!E41:J41,Consolidated!F2:K2)</f>
        <v>#DIV/0!</v>
      </c>
      <c r="C45">
        <f>INDEX(LINEST('Consolidated %'!E41:J41,Consolidated!F2:K2^{1;2},TRUE,TRUE),3,1)</f>
        <v>1</v>
      </c>
      <c r="D45" t="e">
        <f>RSQ(LN('Consolidated %'!E41:J41),Consolidated!F2:K2)</f>
        <v>#NUM!</v>
      </c>
      <c r="E45">
        <f>FORECAST(0,'Consolidated %'!E41:J41,Consolidated!F2:K2)</f>
        <v>0</v>
      </c>
      <c r="F45">
        <f>INDEX(LINEST('Consolidated %'!E41:J41,Consolidated!F2:K2^{1;2})*1,3)</f>
        <v>0</v>
      </c>
      <c r="G45" t="e">
        <f>GROWTH('Consolidated %'!E41:J41,Consolidated!F2:K2,0)</f>
        <v>#NUM!</v>
      </c>
      <c r="I45" t="e">
        <f>MAX(B45:D45)</f>
        <v>#DIV/0!</v>
      </c>
      <c r="K45" t="e">
        <f>IF(I45=B45,E45,IF(I45=C45,F45,IF(I45=D45,G45)))</f>
        <v>#DIV/0!</v>
      </c>
    </row>
    <row r="47" spans="1:11">
      <c r="A47" t="s">
        <v>160</v>
      </c>
      <c r="B47" t="e">
        <f>RSQ('Evaluation Ratios'!L49:P49,Consolidated!F2:J2)</f>
        <v>#DIV/0!</v>
      </c>
      <c r="C47" t="e">
        <f>INDEX(LINEST('Evaluation Ratios'!L49:P49,Consolidated!F2:J2^{1;2},TRUE,TRUE),3,1)</f>
        <v>#VALUE!</v>
      </c>
      <c r="D47" t="e">
        <f>RSQ(LN('Evaluation Ratios'!L49:P49),Consolidated!F2:J2)</f>
        <v>#DIV/0!</v>
      </c>
      <c r="E47" t="e">
        <f>FORECAST(0,'Evaluation Ratios'!L49:P49,Consolidated!F2:J2)</f>
        <v>#DIV/0!</v>
      </c>
      <c r="F47" t="e">
        <f>INDEX(LINEST('Evaluation Ratios'!L49:P49,Consolidated!F2:J2^{1;2})*1,3)</f>
        <v>#VALUE!</v>
      </c>
      <c r="G47" t="e">
        <f>GROWTH('Evaluation Ratios'!L49:P49,Consolidated!F2:J2,0)</f>
        <v>#VALUE!</v>
      </c>
      <c r="I47" t="e">
        <f>MAX(B47:D47)</f>
        <v>#DIV/0!</v>
      </c>
      <c r="K47" t="e">
        <f>IF(I47=B47,E47,IF(I47=C47,F47,IF(I47=D47,G47)))</f>
        <v>#DIV/0!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>
  <dimension ref="A1:K40"/>
  <sheetViews>
    <sheetView workbookViewId="0">
      <selection activeCell="J13" sqref="J13"/>
    </sheetView>
  </sheetViews>
  <sheetFormatPr defaultRowHeight="15.75"/>
  <cols>
    <col min="1" max="1" width="36.125" customWidth="1"/>
    <col min="2" max="2" width="15.875" customWidth="1"/>
    <col min="3" max="3" width="11.125" bestFit="1" customWidth="1"/>
    <col min="4" max="8" width="12.125" bestFit="1" customWidth="1"/>
    <col min="9" max="9" width="8.875"/>
    <col min="10" max="10" width="9.875" bestFit="1" customWidth="1"/>
    <col min="11" max="12" width="8.875"/>
  </cols>
  <sheetData>
    <row r="1" spans="1:11">
      <c r="A1" s="18"/>
      <c r="B1" s="44" t="s">
        <v>93</v>
      </c>
      <c r="C1" s="44"/>
      <c r="D1" s="44"/>
      <c r="E1" s="44"/>
      <c r="F1" s="44"/>
      <c r="G1" s="44"/>
      <c r="H1" s="44"/>
      <c r="I1" s="44"/>
      <c r="J1" s="44"/>
    </row>
    <row r="2" spans="1:11">
      <c r="A2" s="19" t="s">
        <v>206</v>
      </c>
      <c r="B2" s="20">
        <f>[1]StandAlone!E1</f>
        <v>2017</v>
      </c>
      <c r="C2" s="20">
        <f>[1]StandAlone!F1</f>
        <v>2016</v>
      </c>
      <c r="D2" s="20">
        <f>[1]StandAlone!G1</f>
        <v>2015</v>
      </c>
      <c r="E2" s="20">
        <f>[1]StandAlone!H1</f>
        <v>2014</v>
      </c>
      <c r="F2" s="20">
        <f>[1]StandAlone!I1</f>
        <v>2013</v>
      </c>
      <c r="G2" s="20">
        <f>[1]StandAlone!J1</f>
        <v>2012</v>
      </c>
      <c r="H2" s="20">
        <f>[1]StandAlone!K1</f>
        <v>2011</v>
      </c>
      <c r="I2" s="21" t="s">
        <v>164</v>
      </c>
      <c r="J2" s="21" t="s">
        <v>207</v>
      </c>
      <c r="K2" s="22"/>
    </row>
    <row r="3" spans="1:11">
      <c r="A3" s="23" t="s">
        <v>208</v>
      </c>
      <c r="B3" s="24">
        <f>StandAlone!E3</f>
        <v>17060.89</v>
      </c>
      <c r="C3" s="24">
        <f>StandAlone!F3</f>
        <v>15113.89</v>
      </c>
      <c r="D3" s="24">
        <f>StandAlone!G3</f>
        <v>13144.529999999999</v>
      </c>
      <c r="E3" s="24">
        <f>StandAlone!H3</f>
        <v>10436.330000000002</v>
      </c>
      <c r="F3" s="24">
        <f>StandAlone!I3</f>
        <v>9017.67</v>
      </c>
      <c r="G3" s="24">
        <f>StandAlone!J3</f>
        <v>7421.99</v>
      </c>
      <c r="H3" s="24">
        <f>StandAlone!K3</f>
        <v>5069.21</v>
      </c>
      <c r="I3" s="25">
        <f>IF(H3=0,"", POWER(B3/H3,1/6)-1)</f>
        <v>0.22417517061689463</v>
      </c>
      <c r="J3" s="23"/>
    </row>
    <row r="4" spans="1:11">
      <c r="A4" s="26" t="s">
        <v>209</v>
      </c>
      <c r="B4" s="27">
        <f>StandAlone!E11+StandAlone!E20</f>
        <v>14569.25</v>
      </c>
      <c r="C4" s="27">
        <f>StandAlone!F11+StandAlone!F20</f>
        <v>12869.739999999998</v>
      </c>
      <c r="D4" s="27">
        <f>StandAlone!G11+StandAlone!G20</f>
        <v>10976.36</v>
      </c>
      <c r="E4" s="27">
        <f>StandAlone!H11+StandAlone!H20</f>
        <v>9313.9699999999993</v>
      </c>
      <c r="F4" s="27">
        <f>StandAlone!I11+StandAlone!I20</f>
        <v>8150.7799999999988</v>
      </c>
      <c r="G4" s="27">
        <f>StandAlone!J11+StandAlone!J20</f>
        <v>6791.32</v>
      </c>
      <c r="H4" s="27">
        <f>StandAlone!K11+StandAlone!K20</f>
        <v>4555.63</v>
      </c>
      <c r="I4" s="28"/>
      <c r="J4" s="26"/>
    </row>
    <row r="5" spans="1:11">
      <c r="A5" s="26" t="s">
        <v>210</v>
      </c>
      <c r="B5" s="27">
        <f>StandAlone!E26</f>
        <v>2491.639999999999</v>
      </c>
      <c r="C5" s="27">
        <f>StandAlone!F26</f>
        <v>2244.150000000001</v>
      </c>
      <c r="D5" s="27">
        <f>StandAlone!G26</f>
        <v>2168.1699999999992</v>
      </c>
      <c r="E5" s="27">
        <f>StandAlone!H26</f>
        <v>1122.3600000000017</v>
      </c>
      <c r="F5" s="27">
        <f>StandAlone!I26</f>
        <v>866.89000000000078</v>
      </c>
      <c r="G5" s="27">
        <f>StandAlone!J26</f>
        <v>630.66999999999962</v>
      </c>
      <c r="H5" s="27">
        <f>StandAlone!K26</f>
        <v>513.57999999999993</v>
      </c>
      <c r="I5" s="25">
        <f>IF(H5=0,"", POWER(B5/H5,1/6)-1)</f>
        <v>0.30110655609050041</v>
      </c>
      <c r="J5" s="26"/>
    </row>
    <row r="6" spans="1:11">
      <c r="A6" s="23" t="s">
        <v>211</v>
      </c>
      <c r="B6" s="29">
        <f t="shared" ref="B6:G6" si="0">B5/B3</f>
        <v>0.14604396370880998</v>
      </c>
      <c r="C6" s="29">
        <f t="shared" si="0"/>
        <v>0.14848262095330858</v>
      </c>
      <c r="D6" s="29">
        <f t="shared" si="0"/>
        <v>0.16494846145126524</v>
      </c>
      <c r="E6" s="29">
        <f t="shared" si="0"/>
        <v>0.10754355218740702</v>
      </c>
      <c r="F6" s="29">
        <f t="shared" si="0"/>
        <v>9.6132371222278121E-2</v>
      </c>
      <c r="G6" s="29">
        <f t="shared" si="0"/>
        <v>8.4973167573656069E-2</v>
      </c>
      <c r="H6" s="29">
        <f>H5/H3</f>
        <v>0.10131361691466716</v>
      </c>
      <c r="I6" s="30"/>
      <c r="J6" s="23"/>
    </row>
    <row r="7" spans="1:11">
      <c r="A7" s="26" t="s">
        <v>212</v>
      </c>
      <c r="B7" s="31">
        <f>'Evaluation Ratios'!B56</f>
        <v>0.28764558935336942</v>
      </c>
      <c r="C7" s="31">
        <f>'Evaluation Ratios'!C56</f>
        <v>0.33612941045109401</v>
      </c>
      <c r="D7" s="31">
        <f>'Evaluation Ratios'!D56</f>
        <v>0.34705787592993997</v>
      </c>
      <c r="E7" s="31">
        <f>'Evaluation Ratios'!E56</f>
        <v>0.26782105205658907</v>
      </c>
      <c r="F7" s="31">
        <f>'Evaluation Ratios'!F56</f>
        <v>0.32590137953391107</v>
      </c>
      <c r="G7" s="31">
        <f>'Evaluation Ratios'!G56</f>
        <v>0.3225408994455482</v>
      </c>
      <c r="H7" s="31">
        <f>'Evaluation Ratios'!H56</f>
        <v>0.30161430719316307</v>
      </c>
      <c r="I7" s="32"/>
      <c r="J7" s="26"/>
    </row>
    <row r="8" spans="1:11">
      <c r="A8" s="23" t="s">
        <v>213</v>
      </c>
      <c r="B8" s="24">
        <f>StandAlone!E40</f>
        <v>1114.9699999999991</v>
      </c>
      <c r="C8" s="24">
        <f>StandAlone!F40</f>
        <v>951.30000000000086</v>
      </c>
      <c r="D8" s="24">
        <f>StandAlone!G40</f>
        <v>891.7099999999989</v>
      </c>
      <c r="E8" s="24">
        <f>StandAlone!H40</f>
        <v>268.0800000000018</v>
      </c>
      <c r="F8" s="24">
        <f>StandAlone!I40</f>
        <v>187.15000000000083</v>
      </c>
      <c r="G8" s="24">
        <f>StandAlone!J40</f>
        <v>98.969999999999573</v>
      </c>
      <c r="H8" s="24">
        <f>StandAlone!K40</f>
        <v>176.50999999999988</v>
      </c>
      <c r="I8" s="25">
        <f>IF(H8=0,"", POWER(B8/H8,1/6)-1)</f>
        <v>0.35961405214398456</v>
      </c>
      <c r="J8" s="24">
        <f>SUM(B8:H8)</f>
        <v>3688.690000000001</v>
      </c>
    </row>
    <row r="9" spans="1:11">
      <c r="A9" s="23" t="s">
        <v>214</v>
      </c>
      <c r="B9" s="29">
        <f t="shared" ref="B9:G9" si="1">B8/B3</f>
        <v>6.5352393691067656E-2</v>
      </c>
      <c r="C9" s="29">
        <f t="shared" si="1"/>
        <v>6.2942101603227288E-2</v>
      </c>
      <c r="D9" s="29">
        <f t="shared" si="1"/>
        <v>6.7838865292254566E-2</v>
      </c>
      <c r="E9" s="29">
        <f t="shared" si="1"/>
        <v>2.5687190803663908E-2</v>
      </c>
      <c r="F9" s="29">
        <f t="shared" si="1"/>
        <v>2.0753698017337164E-2</v>
      </c>
      <c r="G9" s="29">
        <f t="shared" si="1"/>
        <v>1.3334698645511456E-2</v>
      </c>
      <c r="H9" s="29">
        <f>H8/H3</f>
        <v>3.4820021265640974E-2</v>
      </c>
      <c r="I9" s="30"/>
      <c r="J9" s="23"/>
    </row>
    <row r="10" spans="1:11">
      <c r="A10" s="26"/>
      <c r="B10" s="29"/>
      <c r="C10" s="29"/>
      <c r="D10" s="29"/>
      <c r="E10" s="29"/>
      <c r="F10" s="29"/>
      <c r="G10" s="29"/>
      <c r="H10" s="29"/>
      <c r="I10" s="25"/>
      <c r="J10" s="26"/>
    </row>
    <row r="11" spans="1:11">
      <c r="A11" s="33" t="s">
        <v>215</v>
      </c>
      <c r="B11" s="34">
        <f>StandAlone!E100</f>
        <v>1752.32</v>
      </c>
      <c r="C11" s="34">
        <f>StandAlone!F100</f>
        <v>643.52</v>
      </c>
      <c r="D11" s="34">
        <f>StandAlone!G100</f>
        <v>1738.16</v>
      </c>
      <c r="E11" s="34">
        <f>StandAlone!H100</f>
        <v>1007.34</v>
      </c>
      <c r="F11" s="34">
        <f>StandAlone!I100</f>
        <v>-148</v>
      </c>
      <c r="G11" s="34">
        <f>StandAlone!J100</f>
        <v>1154</v>
      </c>
      <c r="H11" s="34">
        <f>StandAlone!K100</f>
        <v>-930</v>
      </c>
      <c r="I11" s="28"/>
      <c r="J11" s="26">
        <f>SUM(B11:H11)</f>
        <v>5217.34</v>
      </c>
    </row>
    <row r="12" spans="1:11" ht="30">
      <c r="A12" s="35" t="s">
        <v>216</v>
      </c>
      <c r="B12" s="26">
        <f>StandAlone!E104</f>
        <v>938.58</v>
      </c>
      <c r="C12" s="26">
        <f>StandAlone!F104</f>
        <v>973.02</v>
      </c>
      <c r="D12" s="26">
        <f>StandAlone!G104</f>
        <v>319.87</v>
      </c>
      <c r="E12" s="26">
        <f>StandAlone!H104</f>
        <v>321.44</v>
      </c>
      <c r="F12" s="26">
        <f>StandAlone!I104</f>
        <v>576</v>
      </c>
      <c r="G12" s="26">
        <f>StandAlone!J104</f>
        <v>549</v>
      </c>
      <c r="H12" s="26">
        <f>StandAlone!K104</f>
        <v>681</v>
      </c>
      <c r="I12" s="36"/>
      <c r="J12" s="26">
        <f>SUM(B12:H12)</f>
        <v>4358.91</v>
      </c>
    </row>
    <row r="13" spans="1:11">
      <c r="A13" s="38" t="s">
        <v>217</v>
      </c>
      <c r="B13" s="26">
        <f>StandAlone!E90</f>
        <v>4378.42</v>
      </c>
      <c r="C13" s="26">
        <f>StandAlone!F90</f>
        <v>4580.18</v>
      </c>
      <c r="D13" s="26">
        <f>StandAlone!G90</f>
        <v>3828.6000000000004</v>
      </c>
      <c r="E13" s="26">
        <f>StandAlone!H90</f>
        <v>4394.93</v>
      </c>
      <c r="F13" s="26">
        <f>StandAlone!I90</f>
        <v>4242.3499999999995</v>
      </c>
      <c r="G13" s="26">
        <f>StandAlone!J90</f>
        <v>3681.78</v>
      </c>
      <c r="H13" s="26">
        <f>StandAlone!K90</f>
        <v>3503.85</v>
      </c>
      <c r="I13" s="36"/>
      <c r="J13" s="26"/>
    </row>
    <row r="14" spans="1:11">
      <c r="A14" s="18"/>
      <c r="B14" s="26"/>
      <c r="C14" s="26"/>
      <c r="D14" s="26"/>
      <c r="E14" s="26"/>
      <c r="F14" s="26"/>
      <c r="G14" s="26"/>
      <c r="H14" s="26"/>
      <c r="I14" s="38" t="s">
        <v>218</v>
      </c>
      <c r="J14" s="26">
        <f>J11-J12</f>
        <v>858.43000000000029</v>
      </c>
    </row>
    <row r="15" spans="1:11">
      <c r="A15" s="38"/>
      <c r="B15" s="26"/>
      <c r="C15" s="26"/>
      <c r="D15" s="26"/>
      <c r="E15" s="26"/>
      <c r="F15" s="26"/>
      <c r="G15" s="26"/>
      <c r="H15" s="26"/>
      <c r="I15" s="36"/>
      <c r="J15" s="37"/>
    </row>
    <row r="16" spans="1:11">
      <c r="A16" s="39" t="s">
        <v>190</v>
      </c>
      <c r="B16" s="31">
        <f>'Evaluation Ratios'!B59/100</f>
        <v>1.4703566918304045E-3</v>
      </c>
      <c r="C16" s="31">
        <f>'Evaluation Ratios'!C59/100</f>
        <v>7.5548584749233311E-4</v>
      </c>
      <c r="D16" s="31">
        <f>'Evaluation Ratios'!D59/100</f>
        <v>2.3288686008864578E-4</v>
      </c>
      <c r="E16" s="31">
        <f>'Evaluation Ratios'!E59/100</f>
        <v>-1.9836752872160273E-4</v>
      </c>
      <c r="F16" s="31">
        <f>'Evaluation Ratios'!F59/100</f>
        <v>-1.1222001153539901E-4</v>
      </c>
      <c r="G16" s="31"/>
      <c r="H16" s="31"/>
      <c r="I16" s="36"/>
      <c r="J16" s="26"/>
    </row>
    <row r="17" spans="1:10">
      <c r="A17" s="39" t="s">
        <v>219</v>
      </c>
      <c r="B17" s="40">
        <f>'Evaluation Ratios'!B37</f>
        <v>0.18199745128399569</v>
      </c>
      <c r="C17" s="40">
        <f>'Evaluation Ratios'!C37</f>
        <v>0.18863960825865958</v>
      </c>
      <c r="D17" s="40">
        <f>'Evaluation Ratios'!D37</f>
        <v>0.18779162193453536</v>
      </c>
      <c r="E17" s="40">
        <f>'Evaluation Ratios'!E37</f>
        <v>0.11011153248764906</v>
      </c>
      <c r="F17" s="40">
        <f>'Evaluation Ratios'!F37</f>
        <v>9.2174251949331876E-2</v>
      </c>
      <c r="G17" s="40">
        <f>'Evaluation Ratios'!G37</f>
        <v>6.6062025789636353E-2</v>
      </c>
      <c r="H17" s="40"/>
      <c r="I17" s="36"/>
      <c r="J17" s="26"/>
    </row>
    <row r="18" spans="1:10">
      <c r="A18" s="39" t="s">
        <v>220</v>
      </c>
      <c r="B18" s="40">
        <f>(0.15*1/(1+B34)) + (0.1*B34/(1+B34))</f>
        <v>0.12651415023494325</v>
      </c>
      <c r="C18" s="40">
        <f t="shared" ref="C18:H18" si="2">(0.15*1/(1+C34)) + (0.1*C34/(1+C34))</f>
        <v>0.12272211839564715</v>
      </c>
      <c r="D18" s="40">
        <f t="shared" si="2"/>
        <v>0.12212425334121614</v>
      </c>
      <c r="E18" s="40">
        <f t="shared" si="2"/>
        <v>0.11723473129069631</v>
      </c>
      <c r="F18" s="40">
        <f t="shared" si="2"/>
        <v>0.11634807592237692</v>
      </c>
      <c r="G18" s="40">
        <f t="shared" si="2"/>
        <v>0.11537819203556801</v>
      </c>
      <c r="H18" s="40">
        <f t="shared" si="2"/>
        <v>0.11548379915124339</v>
      </c>
      <c r="I18" s="36"/>
      <c r="J18" s="26"/>
    </row>
    <row r="19" spans="1:10">
      <c r="A19" s="39" t="s">
        <v>221</v>
      </c>
      <c r="B19" s="40">
        <f>B17-B18</f>
        <v>5.5483301049052441E-2</v>
      </c>
      <c r="C19" s="40">
        <f t="shared" ref="C19:G19" si="3">C17-C18</f>
        <v>6.5917489863012435E-2</v>
      </c>
      <c r="D19" s="40">
        <f t="shared" si="3"/>
        <v>6.5667368593319217E-2</v>
      </c>
      <c r="E19" s="40">
        <f t="shared" si="3"/>
        <v>-7.1231988030472509E-3</v>
      </c>
      <c r="F19" s="40">
        <f t="shared" si="3"/>
        <v>-2.4173823973045044E-2</v>
      </c>
      <c r="G19" s="40">
        <f t="shared" si="3"/>
        <v>-4.9316166245931659E-2</v>
      </c>
      <c r="H19" s="40"/>
      <c r="I19" s="36"/>
      <c r="J19" s="26"/>
    </row>
    <row r="20" spans="1:10">
      <c r="A20" s="39"/>
      <c r="B20" s="26"/>
      <c r="C20" s="40"/>
      <c r="D20" s="40"/>
      <c r="E20" s="40"/>
      <c r="F20" s="40"/>
      <c r="G20" s="40"/>
      <c r="H20" s="40"/>
      <c r="I20" s="36"/>
      <c r="J20" s="26"/>
    </row>
    <row r="21" spans="1:10">
      <c r="A21" s="39" t="s">
        <v>222</v>
      </c>
      <c r="B21" s="37">
        <f>'Evaluation Ratios'!B27</f>
        <v>3.7754227489441652</v>
      </c>
      <c r="C21" s="37">
        <f>'Evaluation Ratios'!C27</f>
        <v>3.8757390152617628</v>
      </c>
      <c r="D21" s="37">
        <f>'Evaluation Ratios'!D27</f>
        <v>3.747309153368636</v>
      </c>
      <c r="E21" s="37">
        <f>'Evaluation Ratios'!E27</f>
        <v>3.0848970157018547</v>
      </c>
      <c r="F21" s="37">
        <f>'Evaluation Ratios'!F27</f>
        <v>2.9344125997575721</v>
      </c>
      <c r="G21" s="37">
        <f>'Evaluation Ratios'!G27</f>
        <v>2.8198996582453302</v>
      </c>
      <c r="H21" s="37"/>
      <c r="I21" s="36"/>
      <c r="J21" s="26"/>
    </row>
    <row r="22" spans="1:10">
      <c r="A22" s="39" t="s">
        <v>223</v>
      </c>
      <c r="B22" s="37">
        <f>'Evaluation Ratios'!B24</f>
        <v>79.938618784660164</v>
      </c>
      <c r="C22" s="37">
        <f>'Evaluation Ratios'!C24</f>
        <v>90.234948609867203</v>
      </c>
      <c r="D22" s="37">
        <f>'Evaluation Ratios'!D24</f>
        <v>104.47926450167085</v>
      </c>
      <c r="E22" s="37">
        <f>'Evaluation Ratios'!E24</f>
        <v>81.242180801473239</v>
      </c>
      <c r="F22" s="37">
        <f>'Evaluation Ratios'!F24</f>
        <v>62.784378297328814</v>
      </c>
      <c r="G22" s="37">
        <f>'Evaluation Ratios'!G24</f>
        <v>71.460105330410343</v>
      </c>
      <c r="H22" s="37">
        <f>'Evaluation Ratios'!H24</f>
        <v>66.885067765239725</v>
      </c>
      <c r="I22" s="36"/>
      <c r="J22" s="26"/>
    </row>
    <row r="23" spans="1:10">
      <c r="A23" s="39" t="s">
        <v>224</v>
      </c>
      <c r="B23" s="37">
        <f>'Evaluation Ratios'!B23</f>
        <v>114.57069781320602</v>
      </c>
      <c r="C23" s="37">
        <f>'Evaluation Ratios'!C23</f>
        <v>95.664475443093721</v>
      </c>
      <c r="D23" s="37">
        <f>'Evaluation Ratios'!D23</f>
        <v>97.425875963498441</v>
      </c>
      <c r="E23" s="37">
        <f>'Evaluation Ratios'!E23</f>
        <v>106.21410673125064</v>
      </c>
      <c r="F23" s="37">
        <f>'Evaluation Ratios'!F23</f>
        <v>120.64717689807699</v>
      </c>
      <c r="G23" s="37">
        <f>'Evaluation Ratios'!G23</f>
        <v>115.00892527391356</v>
      </c>
      <c r="H23" s="37">
        <f>'Evaluation Ratios'!H23</f>
        <v>145.65267407437631</v>
      </c>
      <c r="I23" s="36"/>
      <c r="J23" s="26"/>
    </row>
    <row r="24" spans="1:10">
      <c r="A24" s="39" t="s">
        <v>225</v>
      </c>
      <c r="B24" s="37">
        <f>StandAlone!E72+StandAlone!E73</f>
        <v>4642.37</v>
      </c>
      <c r="C24" s="37">
        <f>StandAlone!F72+StandAlone!F73</f>
        <v>3852.42</v>
      </c>
      <c r="D24" s="37">
        <f>StandAlone!G72+StandAlone!G73</f>
        <v>3512.67</v>
      </c>
      <c r="E24" s="37">
        <f>StandAlone!H72+StandAlone!H73</f>
        <v>3385.1600000000003</v>
      </c>
      <c r="F24" s="37">
        <f>StandAlone!I72+StandAlone!I73</f>
        <v>3262.0800000000004</v>
      </c>
      <c r="G24" s="37">
        <f>StandAlone!J72+StandAlone!J73</f>
        <v>2827.69</v>
      </c>
      <c r="H24" s="37">
        <f>StandAlone!K72+StandAlone!K73</f>
        <v>2080.98</v>
      </c>
      <c r="I24" s="36"/>
      <c r="J24" s="26"/>
    </row>
    <row r="25" spans="1:10">
      <c r="A25" s="39" t="s">
        <v>226</v>
      </c>
      <c r="B25" s="37">
        <f>StandAlone!E74</f>
        <v>143.62</v>
      </c>
      <c r="C25" s="37">
        <f>StandAlone!F74</f>
        <v>399.46</v>
      </c>
      <c r="D25" s="37">
        <f>StandAlone!G74</f>
        <v>34.68</v>
      </c>
      <c r="E25" s="37">
        <f>StandAlone!H74</f>
        <v>82.94</v>
      </c>
      <c r="F25" s="37">
        <f>StandAlone!I74</f>
        <v>35.9</v>
      </c>
      <c r="G25" s="37">
        <f>StandAlone!J74</f>
        <v>20.48</v>
      </c>
      <c r="H25" s="37">
        <f>StandAlone!K74</f>
        <v>334.86</v>
      </c>
      <c r="I25" s="36"/>
      <c r="J25" s="26"/>
    </row>
    <row r="26" spans="1:10">
      <c r="A26" s="39" t="s">
        <v>227</v>
      </c>
      <c r="B26" s="37">
        <f t="shared" ref="B26:G26" si="4">B22+B23</f>
        <v>194.50931659786619</v>
      </c>
      <c r="C26" s="37">
        <f t="shared" si="4"/>
        <v>185.89942405296091</v>
      </c>
      <c r="D26" s="37">
        <f t="shared" si="4"/>
        <v>201.9051404651693</v>
      </c>
      <c r="E26" s="37">
        <f t="shared" si="4"/>
        <v>187.45628753272388</v>
      </c>
      <c r="F26" s="37">
        <f t="shared" si="4"/>
        <v>183.43155519540579</v>
      </c>
      <c r="G26" s="37">
        <f t="shared" si="4"/>
        <v>186.4690306043239</v>
      </c>
      <c r="H26" s="37">
        <f>H3+H23</f>
        <v>5214.8626740743766</v>
      </c>
      <c r="I26" s="36"/>
      <c r="J26" s="26"/>
    </row>
    <row r="27" spans="1:10">
      <c r="A27" s="39"/>
      <c r="B27" s="37"/>
      <c r="C27" s="37"/>
      <c r="D27" s="37"/>
      <c r="E27" s="37"/>
      <c r="F27" s="37"/>
      <c r="G27" s="37"/>
      <c r="H27" s="37"/>
      <c r="I27" s="36"/>
      <c r="J27" s="26"/>
    </row>
    <row r="28" spans="1:10">
      <c r="A28" s="39" t="s">
        <v>228</v>
      </c>
      <c r="B28" s="37">
        <f>StandAlone!E46</f>
        <v>158.5</v>
      </c>
      <c r="C28" s="37">
        <f>StandAlone!F46</f>
        <v>143.19999999999999</v>
      </c>
      <c r="D28" s="37">
        <f>StandAlone!G46</f>
        <v>133</v>
      </c>
      <c r="E28" s="37">
        <f>StandAlone!H46</f>
        <v>154</v>
      </c>
      <c r="F28" s="37">
        <f>StandAlone!I46</f>
        <v>97</v>
      </c>
      <c r="G28" s="37">
        <f>StandAlone!J46</f>
        <v>70</v>
      </c>
      <c r="H28" s="37">
        <f>StandAlone!K46</f>
        <v>106</v>
      </c>
      <c r="I28" s="36"/>
      <c r="J28" s="26"/>
    </row>
    <row r="29" spans="1:10">
      <c r="A29" s="26" t="s">
        <v>229</v>
      </c>
      <c r="B29" s="31">
        <f t="shared" ref="B29:G29" si="5">B28/B8</f>
        <v>0.14215629120066023</v>
      </c>
      <c r="C29" s="31">
        <f t="shared" si="5"/>
        <v>0.15053085251760734</v>
      </c>
      <c r="D29" s="31">
        <f t="shared" si="5"/>
        <v>0.14915163001424248</v>
      </c>
      <c r="E29" s="31">
        <f t="shared" si="5"/>
        <v>0.57445538645180161</v>
      </c>
      <c r="F29" s="31">
        <f t="shared" si="5"/>
        <v>0.51830082821266132</v>
      </c>
      <c r="G29" s="31">
        <f t="shared" si="5"/>
        <v>0.70728503586945846</v>
      </c>
      <c r="H29" s="31">
        <f>H28/H8</f>
        <v>0.60053254773100717</v>
      </c>
      <c r="I29" s="36"/>
      <c r="J29" s="40"/>
    </row>
    <row r="30" spans="1:10">
      <c r="A30" s="26" t="s">
        <v>230</v>
      </c>
      <c r="B30" s="40">
        <f>StandAlone!E28/'Research Report Data'!B24</f>
        <v>6.7954514612148548E-2</v>
      </c>
      <c r="C30" s="40">
        <f>StandAlone!F28/'Research Report Data'!C24</f>
        <v>6.2597016940001346E-2</v>
      </c>
      <c r="D30" s="40">
        <f>StandAlone!G28/'Research Report Data'!D24</f>
        <v>6.2607646035636705E-2</v>
      </c>
      <c r="E30" s="40">
        <f>StandAlone!H28/'Research Report Data'!E24</f>
        <v>4.4544423306431595E-2</v>
      </c>
      <c r="F30" s="40">
        <f>StandAlone!I28/'Research Report Data'!F24</f>
        <v>3.8524499705709238E-2</v>
      </c>
      <c r="G30" s="40">
        <f>StandAlone!J28/'Research Report Data'!G24</f>
        <v>4.1411894514603788E-2</v>
      </c>
      <c r="H30" s="40">
        <f>StandAlone!K28/'Research Report Data'!H24</f>
        <v>3.1581274207344613E-2</v>
      </c>
      <c r="I30" s="28"/>
      <c r="J30" s="26"/>
    </row>
    <row r="31" spans="1:10">
      <c r="A31" s="26"/>
      <c r="B31" s="26"/>
      <c r="C31" s="26"/>
      <c r="D31" s="26"/>
      <c r="E31" s="26"/>
      <c r="F31" s="26"/>
      <c r="G31" s="26"/>
      <c r="H31" s="26"/>
      <c r="I31" s="28"/>
      <c r="J31" s="26"/>
    </row>
    <row r="32" spans="1:10">
      <c r="A32" s="26" t="s">
        <v>217</v>
      </c>
      <c r="B32" s="26">
        <f>StandAlone!E90</f>
        <v>4378.42</v>
      </c>
      <c r="C32" s="26">
        <f>StandAlone!F90</f>
        <v>4580.18</v>
      </c>
      <c r="D32" s="26">
        <f>StandAlone!G90</f>
        <v>3828.6000000000004</v>
      </c>
      <c r="E32" s="26">
        <f>StandAlone!H90</f>
        <v>4394.93</v>
      </c>
      <c r="F32" s="26">
        <f>StandAlone!I90</f>
        <v>4242.3499999999995</v>
      </c>
      <c r="G32" s="26">
        <f>StandAlone!J90</f>
        <v>3681.78</v>
      </c>
      <c r="H32" s="26">
        <f>StandAlone!K90</f>
        <v>3503.85</v>
      </c>
      <c r="I32" s="28"/>
      <c r="J32" s="26"/>
    </row>
    <row r="33" spans="1:10">
      <c r="A33" s="26" t="s">
        <v>231</v>
      </c>
      <c r="B33" s="26">
        <f>StandAlone!E51</f>
        <v>4942.9799999999996</v>
      </c>
      <c r="C33" s="26">
        <f>StandAlone!F51</f>
        <v>3815.23</v>
      </c>
      <c r="D33" s="26">
        <f>StandAlone!G51</f>
        <v>3038.6600000000003</v>
      </c>
      <c r="E33" s="26">
        <f>StandAlone!H51</f>
        <v>2311.7600000000002</v>
      </c>
      <c r="F33" s="26">
        <f>StandAlone!I51</f>
        <v>2060.9299999999998</v>
      </c>
      <c r="G33" s="26">
        <f>StandAlone!J51</f>
        <v>1635.3600000000001</v>
      </c>
      <c r="H33" s="26">
        <f>StandAlone!K51</f>
        <v>1571.81</v>
      </c>
      <c r="I33" s="28"/>
      <c r="J33" s="26"/>
    </row>
    <row r="34" spans="1:10">
      <c r="A34" s="26" t="s">
        <v>232</v>
      </c>
      <c r="B34" s="26">
        <f t="shared" ref="B34:G34" si="6">B32/B33</f>
        <v>0.88578549781710636</v>
      </c>
      <c r="C34" s="26">
        <f t="shared" si="6"/>
        <v>1.200499052481764</v>
      </c>
      <c r="D34" s="26">
        <f t="shared" si="6"/>
        <v>1.2599632732849348</v>
      </c>
      <c r="E34" s="26">
        <f t="shared" si="6"/>
        <v>1.9011186282313042</v>
      </c>
      <c r="F34" s="26">
        <f t="shared" si="6"/>
        <v>2.0584638973667229</v>
      </c>
      <c r="G34" s="26">
        <f t="shared" si="6"/>
        <v>2.2513574992662164</v>
      </c>
      <c r="H34" s="26">
        <f>H32/H33</f>
        <v>2.2291816440918431</v>
      </c>
      <c r="I34" s="28"/>
      <c r="J34" s="26"/>
    </row>
    <row r="35" spans="1:10">
      <c r="A35" s="26" t="s">
        <v>233</v>
      </c>
      <c r="B35" s="37">
        <f>'Evaluation Ratios'!B35</f>
        <v>3.5747826841646049</v>
      </c>
      <c r="C35" s="37">
        <f>'Evaluation Ratios'!C35</f>
        <v>3.1286106659563617</v>
      </c>
      <c r="D35" s="37">
        <f>'Evaluation Ratios'!D35</f>
        <v>3.5670480071044213</v>
      </c>
      <c r="E35" s="37">
        <f>'Evaluation Ratios'!E35</f>
        <v>0.83309631780256288</v>
      </c>
      <c r="F35" s="37">
        <f>'Evaluation Ratios'!F35</f>
        <v>0.65442502386649115</v>
      </c>
      <c r="G35" s="37">
        <f>'Evaluation Ratios'!G35</f>
        <v>0.39679176919859294</v>
      </c>
      <c r="H35" s="37">
        <f>'Evaluation Ratios'!H35</f>
        <v>0.72132083279820736</v>
      </c>
      <c r="I35" s="28"/>
      <c r="J35" s="26"/>
    </row>
    <row r="36" spans="1:10">
      <c r="A36" s="26"/>
      <c r="B36" s="40"/>
      <c r="C36" s="37"/>
      <c r="D36" s="37"/>
      <c r="E36" s="37"/>
      <c r="F36" s="37"/>
      <c r="G36" s="37"/>
      <c r="H36" s="37"/>
      <c r="I36" s="28"/>
      <c r="J36" s="26"/>
    </row>
    <row r="37" spans="1:10">
      <c r="A37" s="26" t="s">
        <v>234</v>
      </c>
      <c r="B37" s="34">
        <f>StandAlone!E100</f>
        <v>1752.32</v>
      </c>
      <c r="C37" s="34">
        <f>StandAlone!F100</f>
        <v>643.52</v>
      </c>
      <c r="D37" s="34">
        <f>StandAlone!G100</f>
        <v>1738.16</v>
      </c>
      <c r="E37" s="34">
        <f>StandAlone!H100</f>
        <v>1007.34</v>
      </c>
      <c r="F37" s="34">
        <f>StandAlone!I100</f>
        <v>-148</v>
      </c>
      <c r="G37" s="34">
        <f>StandAlone!J100</f>
        <v>1154</v>
      </c>
      <c r="H37" s="34">
        <f>StandAlone!K100</f>
        <v>-930</v>
      </c>
      <c r="I37" s="28"/>
      <c r="J37" s="26">
        <f>SUM(B37:H37)</f>
        <v>5217.34</v>
      </c>
    </row>
    <row r="38" spans="1:10">
      <c r="A38" s="26" t="s">
        <v>235</v>
      </c>
      <c r="B38" s="26">
        <f>StandAlone!E103</f>
        <v>-797.26</v>
      </c>
      <c r="C38" s="26">
        <f>StandAlone!F103</f>
        <v>-911.63</v>
      </c>
      <c r="D38" s="26">
        <f>StandAlone!G103</f>
        <v>-316.39</v>
      </c>
      <c r="E38" s="26">
        <f>StandAlone!H103</f>
        <v>-316.42</v>
      </c>
      <c r="F38" s="26">
        <f>StandAlone!I103</f>
        <v>-558.71</v>
      </c>
      <c r="G38" s="26">
        <f>StandAlone!J103</f>
        <v>-550.03</v>
      </c>
      <c r="H38" s="26">
        <f>StandAlone!K103</f>
        <v>-643.69000000000005</v>
      </c>
      <c r="I38" s="28"/>
      <c r="J38" s="26">
        <f>SUM(B38:H38)</f>
        <v>-4094.1299999999997</v>
      </c>
    </row>
    <row r="39" spans="1:10">
      <c r="A39" s="26" t="s">
        <v>236</v>
      </c>
      <c r="B39" s="34">
        <f>StandAlone!E105</f>
        <v>-1086.5999999999999</v>
      </c>
      <c r="C39" s="34">
        <f>StandAlone!F105</f>
        <v>128.22</v>
      </c>
      <c r="D39" s="34">
        <f>StandAlone!G105</f>
        <v>-1160.27</v>
      </c>
      <c r="E39" s="34">
        <f>StandAlone!H105</f>
        <v>-794.26</v>
      </c>
      <c r="F39" s="34">
        <f>StandAlone!I105</f>
        <v>750</v>
      </c>
      <c r="G39" s="34">
        <f>StandAlone!J105</f>
        <v>-587</v>
      </c>
      <c r="H39" s="34">
        <f>StandAlone!K105</f>
        <v>1561</v>
      </c>
      <c r="I39" s="28"/>
      <c r="J39" s="26">
        <f>SUM(B39:H39)</f>
        <v>-1188.9099999999999</v>
      </c>
    </row>
    <row r="40" spans="1:10">
      <c r="A40" s="26" t="s">
        <v>237</v>
      </c>
      <c r="B40" s="26">
        <f t="shared" ref="B40:G40" si="7">B37+B38+B39</f>
        <v>-131.53999999999996</v>
      </c>
      <c r="C40" s="26">
        <f t="shared" si="7"/>
        <v>-139.89000000000001</v>
      </c>
      <c r="D40" s="26">
        <f t="shared" si="7"/>
        <v>261.5</v>
      </c>
      <c r="E40" s="26">
        <f t="shared" si="7"/>
        <v>-103.33999999999992</v>
      </c>
      <c r="F40" s="26">
        <f t="shared" si="7"/>
        <v>43.289999999999964</v>
      </c>
      <c r="G40" s="26">
        <f t="shared" si="7"/>
        <v>16.970000000000027</v>
      </c>
      <c r="H40" s="26">
        <f>H37+H38+H39</f>
        <v>-12.690000000000055</v>
      </c>
      <c r="I40" s="28"/>
      <c r="J40" s="26">
        <f>SUM(B40:H40)</f>
        <v>-65.699999999999932</v>
      </c>
    </row>
  </sheetData>
  <mergeCells count="1">
    <mergeCell ref="B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6"/>
  <sheetViews>
    <sheetView topLeftCell="A61" workbookViewId="0">
      <selection activeCell="G28" sqref="F28:G28"/>
    </sheetView>
  </sheetViews>
  <sheetFormatPr defaultColWidth="11" defaultRowHeight="15.75"/>
  <cols>
    <col min="1" max="1" width="13.125" customWidth="1"/>
    <col min="2" max="2" width="27" customWidth="1"/>
    <col min="3" max="3" width="24.125" customWidth="1"/>
    <col min="4" max="4" width="12.875" customWidth="1"/>
  </cols>
  <sheetData>
    <row r="1" spans="1:10">
      <c r="A1" t="s">
        <v>0</v>
      </c>
      <c r="D1">
        <v>2017</v>
      </c>
      <c r="E1">
        <v>2016</v>
      </c>
      <c r="F1">
        <v>2015</v>
      </c>
      <c r="G1">
        <v>2014</v>
      </c>
      <c r="H1">
        <v>2013</v>
      </c>
      <c r="I1">
        <v>2012</v>
      </c>
      <c r="J1">
        <v>2011</v>
      </c>
    </row>
    <row r="3" spans="1:10" s="2" customFormat="1">
      <c r="A3" s="2" t="s">
        <v>73</v>
      </c>
      <c r="D3" s="2">
        <f>StandAlone!E3/StandAlone!E$4</f>
        <v>0.92947980720565315</v>
      </c>
      <c r="E3" s="2">
        <f>StandAlone!F3/StandAlone!F$4</f>
        <v>0.94066907862430027</v>
      </c>
      <c r="F3" s="2">
        <f>StandAlone!G3/StandAlone!G$4</f>
        <v>0.92255911397469093</v>
      </c>
      <c r="G3" s="2">
        <f>StandAlone!H3/StandAlone!H$4</f>
        <v>0.89569776563259018</v>
      </c>
      <c r="H3" s="2">
        <f>StandAlone!I3/StandAlone!I$4</f>
        <v>0.88954904388227685</v>
      </c>
      <c r="I3" s="2">
        <f>StandAlone!J3/StandAlone!J$4</f>
        <v>1.0025150708393611</v>
      </c>
      <c r="J3" s="2">
        <f>StandAlone!K3/StandAlone!K$4</f>
        <v>1.0088582402929529</v>
      </c>
    </row>
    <row r="4" spans="1:10">
      <c r="B4" t="s">
        <v>2</v>
      </c>
      <c r="D4" s="4">
        <f>StandAlone!E4/StandAlone!E$4</f>
        <v>1</v>
      </c>
      <c r="E4" s="4">
        <f>StandAlone!F4/StandAlone!F$4</f>
        <v>1</v>
      </c>
      <c r="F4" s="4">
        <f>StandAlone!G4/StandAlone!G$4</f>
        <v>1</v>
      </c>
      <c r="G4" s="4">
        <f>StandAlone!H4/StandAlone!H$4</f>
        <v>1</v>
      </c>
      <c r="H4" s="4">
        <f>StandAlone!I4/StandAlone!I$4</f>
        <v>1</v>
      </c>
      <c r="I4" s="4">
        <f>StandAlone!J4/StandAlone!J$4</f>
        <v>1</v>
      </c>
      <c r="J4" s="4">
        <f>StandAlone!K4/StandAlone!K$4</f>
        <v>1</v>
      </c>
    </row>
    <row r="5" spans="1:10">
      <c r="C5" t="s">
        <v>61</v>
      </c>
      <c r="D5" s="4">
        <f>StandAlone!E5/StandAlone!E$4</f>
        <v>0</v>
      </c>
      <c r="E5" s="4">
        <f>StandAlone!F5/StandAlone!F$4</f>
        <v>0</v>
      </c>
      <c r="F5" s="4">
        <f>StandAlone!G5/StandAlone!G$4</f>
        <v>0</v>
      </c>
      <c r="G5" s="4">
        <f>StandAlone!H5/StandAlone!H$4</f>
        <v>0</v>
      </c>
      <c r="H5" s="4">
        <f>StandAlone!I5/StandAlone!I$4</f>
        <v>0</v>
      </c>
      <c r="I5" s="4">
        <f>StandAlone!J5/StandAlone!J$4</f>
        <v>0</v>
      </c>
      <c r="J5" s="4">
        <f>StandAlone!K5/StandAlone!K$4</f>
        <v>0</v>
      </c>
    </row>
    <row r="6" spans="1:10">
      <c r="C6" t="s">
        <v>62</v>
      </c>
      <c r="D6" s="4">
        <f>StandAlone!E6/StandAlone!E$4</f>
        <v>0</v>
      </c>
      <c r="E6" s="4">
        <f>StandAlone!F6/StandAlone!F$4</f>
        <v>0</v>
      </c>
      <c r="F6" s="4">
        <f>StandAlone!G6/StandAlone!G$4</f>
        <v>0</v>
      </c>
      <c r="G6" s="4">
        <f>StandAlone!H6/StandAlone!H$4</f>
        <v>0</v>
      </c>
      <c r="H6" s="4">
        <f>StandAlone!I6/StandAlone!I$4</f>
        <v>0</v>
      </c>
      <c r="I6" s="4">
        <f>StandAlone!J6/StandAlone!J$4</f>
        <v>0</v>
      </c>
      <c r="J6" s="4">
        <f>StandAlone!K6/StandAlone!K$4</f>
        <v>0</v>
      </c>
    </row>
    <row r="7" spans="1:10">
      <c r="B7" t="s">
        <v>74</v>
      </c>
      <c r="D7" s="4">
        <f>StandAlone!E7/StandAlone!E$4</f>
        <v>7.2222697410177214E-2</v>
      </c>
      <c r="E7" s="4">
        <f>StandAlone!F7/StandAlone!F$4</f>
        <v>6.2546173346021736E-2</v>
      </c>
      <c r="F7" s="4">
        <f>StandAlone!G7/StandAlone!G$4</f>
        <v>7.860316257132631E-2</v>
      </c>
      <c r="G7" s="4">
        <f>StandAlone!H7/StandAlone!H$4</f>
        <v>0.10612687334465078</v>
      </c>
      <c r="H7" s="4">
        <f>StandAlone!I7/StandAlone!I$4</f>
        <v>0.11184875731823404</v>
      </c>
      <c r="I7" s="4">
        <f>StandAlone!J7/StandAlone!J$4</f>
        <v>0</v>
      </c>
      <c r="J7" s="4">
        <f>StandAlone!K7/StandAlone!K$4</f>
        <v>0</v>
      </c>
    </row>
    <row r="8" spans="1:10">
      <c r="B8" t="s">
        <v>75</v>
      </c>
      <c r="D8" s="4">
        <f>StandAlone!E8/StandAlone!E$4</f>
        <v>0</v>
      </c>
      <c r="E8" s="4">
        <f>StandAlone!F8/StandAlone!F$4</f>
        <v>0</v>
      </c>
      <c r="F8" s="4">
        <f>StandAlone!G8/StandAlone!G$4</f>
        <v>0</v>
      </c>
      <c r="G8" s="4">
        <f>StandAlone!H8/StandAlone!H$4</f>
        <v>0</v>
      </c>
      <c r="H8" s="4">
        <f>StandAlone!I8/StandAlone!I$4</f>
        <v>0</v>
      </c>
      <c r="I8" s="4">
        <f>StandAlone!J8/StandAlone!J$4</f>
        <v>0</v>
      </c>
      <c r="J8" s="4">
        <f>StandAlone!K8/StandAlone!K$4</f>
        <v>0</v>
      </c>
    </row>
    <row r="9" spans="1:10">
      <c r="B9" t="s">
        <v>76</v>
      </c>
      <c r="D9" s="4">
        <f>StandAlone!E9/StandAlone!E$4</f>
        <v>1.7025046158305143E-3</v>
      </c>
      <c r="E9" s="4">
        <f>StandAlone!F9/StandAlone!F$4</f>
        <v>3.2152519703220915E-3</v>
      </c>
      <c r="F9" s="4">
        <f>StandAlone!G9/StandAlone!G$4</f>
        <v>1.1622765460173078E-3</v>
      </c>
      <c r="G9" s="4">
        <f>StandAlone!H9/StandAlone!H$4</f>
        <v>1.8246389772409331E-3</v>
      </c>
      <c r="H9" s="4">
        <f>StandAlone!I9/StandAlone!I$4</f>
        <v>1.3978012005109817E-3</v>
      </c>
      <c r="I9" s="4">
        <f>StandAlone!J9/StandAlone!J$4</f>
        <v>2.5150708393609938E-3</v>
      </c>
      <c r="J9" s="4">
        <f>StandAlone!K9/StandAlone!K$4</f>
        <v>8.8582402929528129E-3</v>
      </c>
    </row>
    <row r="11" spans="1:10" s="2" customFormat="1">
      <c r="A11" s="2" t="s">
        <v>77</v>
      </c>
      <c r="D11" s="2">
        <f>StandAlone!E11/StandAlone!E$4</f>
        <v>0.59427054078629016</v>
      </c>
      <c r="E11" s="2">
        <f>StandAlone!F11/StandAlone!F$4</f>
        <v>0.5903304689002481</v>
      </c>
      <c r="F11" s="2">
        <f>StandAlone!G11/StandAlone!G$4</f>
        <v>0.61744748348879486</v>
      </c>
      <c r="G11" s="2">
        <f>StandAlone!H11/StandAlone!H$4</f>
        <v>0.65231272561240405</v>
      </c>
      <c r="H11" s="2">
        <f>StandAlone!I11/StandAlone!I$4</f>
        <v>0.67360799419966744</v>
      </c>
      <c r="I11" s="2">
        <f>StandAlone!J11/StandAlone!J$4</f>
        <v>0.75400527057272571</v>
      </c>
      <c r="J11" s="2">
        <f>StandAlone!K11/StandAlone!K$4</f>
        <v>0.78275916970167381</v>
      </c>
    </row>
    <row r="12" spans="1:10">
      <c r="B12" t="s">
        <v>78</v>
      </c>
      <c r="D12" s="4">
        <f>StandAlone!E12/StandAlone!E$4</f>
        <v>0.63902489252428851</v>
      </c>
      <c r="E12" s="4">
        <f>StandAlone!F12/StandAlone!F$4</f>
        <v>0.59363596700601284</v>
      </c>
      <c r="F12" s="4">
        <f>StandAlone!G12/StandAlone!G$4</f>
        <v>0.60014949571515808</v>
      </c>
      <c r="G12" s="4">
        <f>StandAlone!H12/StandAlone!H$4</f>
        <v>0.6754305409891499</v>
      </c>
      <c r="H12" s="4">
        <f>StandAlone!I12/StandAlone!I$4</f>
        <v>0.70963910686717924</v>
      </c>
      <c r="I12" s="4">
        <f>StandAlone!J12/StandAlone!J$4</f>
        <v>0.72415400013777509</v>
      </c>
      <c r="J12" s="4">
        <f>StandAlone!K12/StandAlone!K$4</f>
        <v>0.8779867454773419</v>
      </c>
    </row>
    <row r="13" spans="1:10">
      <c r="C13" t="s">
        <v>63</v>
      </c>
      <c r="D13">
        <f>StandAlone!E13/StandAlone!E$12</f>
        <v>0</v>
      </c>
      <c r="E13">
        <f>StandAlone!F13/StandAlone!F$12</f>
        <v>0</v>
      </c>
      <c r="F13">
        <f>StandAlone!G13/StandAlone!G$12</f>
        <v>0</v>
      </c>
      <c r="G13">
        <f>StandAlone!H13/StandAlone!H$12</f>
        <v>0</v>
      </c>
      <c r="H13">
        <f>StandAlone!I13/StandAlone!I$12</f>
        <v>0</v>
      </c>
      <c r="I13">
        <f>StandAlone!J13/StandAlone!J$12</f>
        <v>0</v>
      </c>
      <c r="J13">
        <f>StandAlone!K13/StandAlone!K$12</f>
        <v>0</v>
      </c>
    </row>
    <row r="14" spans="1:10">
      <c r="C14" t="s">
        <v>64</v>
      </c>
      <c r="D14">
        <f>StandAlone!E14/StandAlone!E$12</f>
        <v>0</v>
      </c>
      <c r="E14">
        <f>StandAlone!F14/StandAlone!F$12</f>
        <v>0</v>
      </c>
      <c r="F14">
        <f>StandAlone!G14/StandAlone!G$12</f>
        <v>0</v>
      </c>
      <c r="G14">
        <f>StandAlone!H14/StandAlone!H$12</f>
        <v>0</v>
      </c>
      <c r="H14">
        <f>StandAlone!I14/StandAlone!I$12</f>
        <v>0</v>
      </c>
      <c r="I14">
        <f>StandAlone!J14/StandAlone!J$12</f>
        <v>0</v>
      </c>
      <c r="J14">
        <f>StandAlone!K14/StandAlone!K$12</f>
        <v>0</v>
      </c>
    </row>
    <row r="15" spans="1:10">
      <c r="B15" t="s">
        <v>79</v>
      </c>
      <c r="D15" s="4">
        <f>StandAlone!E15/StandAlone!E$4</f>
        <v>0</v>
      </c>
      <c r="E15" s="4">
        <f>StandAlone!F15/StandAlone!F$4</f>
        <v>0</v>
      </c>
      <c r="F15" s="4">
        <f>StandAlone!G15/StandAlone!G$4</f>
        <v>0</v>
      </c>
      <c r="G15" s="4">
        <f>StandAlone!H15/StandAlone!H$4</f>
        <v>0</v>
      </c>
      <c r="H15" s="4">
        <f>StandAlone!I15/StandAlone!I$4</f>
        <v>0</v>
      </c>
      <c r="I15" s="4">
        <f>StandAlone!J15/StandAlone!J$4</f>
        <v>0</v>
      </c>
      <c r="J15" s="4">
        <f>StandAlone!K15/StandAlone!K$4</f>
        <v>0</v>
      </c>
    </row>
    <row r="16" spans="1:10">
      <c r="B16" t="s">
        <v>80</v>
      </c>
      <c r="D16" s="4">
        <f>StandAlone!E16/StandAlone!E$4</f>
        <v>-4.4754351737998431E-2</v>
      </c>
      <c r="E16" s="4">
        <f>StandAlone!F16/StandAlone!F$4</f>
        <v>-3.3054981057647364E-3</v>
      </c>
      <c r="F16" s="4">
        <f>StandAlone!G16/StandAlone!G$4</f>
        <v>1.7297987773636819E-2</v>
      </c>
      <c r="G16" s="4">
        <f>StandAlone!H16/StandAlone!H$4</f>
        <v>-2.3117815376745895E-2</v>
      </c>
      <c r="H16" s="4">
        <f>StandAlone!I16/StandAlone!I$4</f>
        <v>-3.6031112667511724E-2</v>
      </c>
      <c r="I16" s="4">
        <f>StandAlone!J16/StandAlone!J$4</f>
        <v>2.9851270434950571E-2</v>
      </c>
      <c r="J16" s="4">
        <f>StandAlone!K16/StandAlone!K$4</f>
        <v>-9.5227575775668205E-2</v>
      </c>
    </row>
    <row r="18" spans="1:10" s="2" customFormat="1">
      <c r="A18" s="2" t="s">
        <v>81</v>
      </c>
      <c r="D18" s="2">
        <f>StandAlone!E18/StandAlone!E$3</f>
        <v>0.36064179535768642</v>
      </c>
      <c r="E18" s="2">
        <f>StandAlone!F18/StandAlone!F$3</f>
        <v>0.37243555431460734</v>
      </c>
      <c r="F18" s="2">
        <f>StandAlone!G18/StandAlone!G$3</f>
        <v>0.33072312208956878</v>
      </c>
      <c r="G18" s="2">
        <f>StandAlone!H18/StandAlone!H$3</f>
        <v>0.27172674685449782</v>
      </c>
      <c r="H18" s="2">
        <f>StandAlone!I18/StandAlone!I$3</f>
        <v>0.24275339416944738</v>
      </c>
      <c r="I18" s="2">
        <f>StandAlone!J18/StandAlone!J$3</f>
        <v>0.24788634853994676</v>
      </c>
      <c r="J18" s="2">
        <f>StandAlone!K18/StandAlone!K$3</f>
        <v>0.22411381655129692</v>
      </c>
    </row>
    <row r="20" spans="1:10" s="2" customFormat="1">
      <c r="A20" s="2" t="s">
        <v>82</v>
      </c>
      <c r="D20" s="2">
        <f>StandAlone!E20/StandAlone!E$4</f>
        <v>0.19946435118774894</v>
      </c>
      <c r="E20" s="2">
        <f>StandAlone!F20/StandAlone!F$4</f>
        <v>0.21066559948018224</v>
      </c>
      <c r="F20" s="2">
        <f>StandAlone!G20/StandAlone!G$4</f>
        <v>0.15293692403792838</v>
      </c>
      <c r="G20" s="2">
        <f>StandAlone!H20/StandAlone!H$4</f>
        <v>0.14705852061773383</v>
      </c>
      <c r="H20" s="2">
        <f>StandAlone!I20/StandAlone!I$4</f>
        <v>0.13042659077569579</v>
      </c>
      <c r="I20" s="2">
        <f>StandAlone!J20/StandAlone!J$4</f>
        <v>0.16332291915708655</v>
      </c>
      <c r="J20" s="2">
        <f>StandAlone!K20/StandAlone!K$4</f>
        <v>0.12388799331303361</v>
      </c>
    </row>
    <row r="21" spans="1:10">
      <c r="B21" t="s">
        <v>83</v>
      </c>
      <c r="D21" s="4">
        <f>StandAlone!E21/StandAlone!E$4</f>
        <v>3.9854407253268942E-2</v>
      </c>
      <c r="E21" s="4">
        <f>StandAlone!F21/StandAlone!F$4</f>
        <v>3.1095706337830497E-2</v>
      </c>
      <c r="F21" s="4">
        <f>StandAlone!G21/StandAlone!G$4</f>
        <v>2.3931947866001307E-2</v>
      </c>
      <c r="G21" s="4">
        <f>StandAlone!H21/StandAlone!H$4</f>
        <v>2.3595860489785968E-2</v>
      </c>
      <c r="H21" s="4">
        <f>StandAlone!I21/StandAlone!I$4</f>
        <v>1.9199297646820913E-2</v>
      </c>
      <c r="I21" s="4">
        <f>StandAlone!J21/StandAlone!J$4</f>
        <v>2.2946306884567433E-2</v>
      </c>
      <c r="J21" s="4">
        <f>StandAlone!K21/StandAlone!K$4</f>
        <v>2.4148705395346987E-2</v>
      </c>
    </row>
    <row r="22" spans="1:10">
      <c r="B22" t="s">
        <v>84</v>
      </c>
      <c r="D22" s="4">
        <f>StandAlone!E22/StandAlone!E$4</f>
        <v>0.15960994393448</v>
      </c>
      <c r="E22" s="4">
        <f>StandAlone!F22/StandAlone!F$4</f>
        <v>0.17956989314235175</v>
      </c>
      <c r="F22" s="4">
        <f>StandAlone!G22/StandAlone!G$4</f>
        <v>0.1290049761719271</v>
      </c>
      <c r="G22" s="4">
        <f>StandAlone!H22/StandAlone!H$4</f>
        <v>0.12346266012794786</v>
      </c>
      <c r="H22" s="4">
        <f>StandAlone!I22/StandAlone!I$4</f>
        <v>0.11122729312887489</v>
      </c>
      <c r="I22" s="4">
        <f>StandAlone!J22/StandAlone!J$4</f>
        <v>0.14037661227251913</v>
      </c>
      <c r="J22" s="4">
        <f>StandAlone!K22/StandAlone!K$4</f>
        <v>9.9739287917686631E-2</v>
      </c>
    </row>
    <row r="23" spans="1:10">
      <c r="C23" t="s">
        <v>121</v>
      </c>
      <c r="D23">
        <f>StandAlone!E23/StandAlone!E$4</f>
        <v>0</v>
      </c>
      <c r="E23">
        <f>StandAlone!F23/StandAlone!F$4</f>
        <v>0</v>
      </c>
      <c r="F23">
        <f>StandAlone!G23/StandAlone!G$4</f>
        <v>0</v>
      </c>
      <c r="G23">
        <f>StandAlone!H23/StandAlone!H$4</f>
        <v>0</v>
      </c>
      <c r="H23">
        <f>StandAlone!I23/StandAlone!I$4</f>
        <v>0</v>
      </c>
      <c r="I23">
        <f>StandAlone!J23/StandAlone!J$4</f>
        <v>0</v>
      </c>
      <c r="J23">
        <f>StandAlone!K23/StandAlone!K$4</f>
        <v>0</v>
      </c>
    </row>
    <row r="24" spans="1:10">
      <c r="C24" t="s">
        <v>122</v>
      </c>
      <c r="D24">
        <f>StandAlone!E24/StandAlone!E$4</f>
        <v>0</v>
      </c>
      <c r="E24">
        <f>StandAlone!F24/StandAlone!F$4</f>
        <v>0</v>
      </c>
      <c r="F24">
        <f>StandAlone!G24/StandAlone!G$4</f>
        <v>0</v>
      </c>
      <c r="G24">
        <f>StandAlone!H24/StandAlone!H$4</f>
        <v>0</v>
      </c>
      <c r="H24">
        <f>StandAlone!I24/StandAlone!I$4</f>
        <v>0</v>
      </c>
      <c r="I24">
        <f>StandAlone!J24/StandAlone!J$4</f>
        <v>0</v>
      </c>
      <c r="J24">
        <f>StandAlone!K24/StandAlone!K$4</f>
        <v>0</v>
      </c>
    </row>
    <row r="26" spans="1:10" s="2" customFormat="1">
      <c r="A26" s="2" t="s">
        <v>85</v>
      </c>
      <c r="D26" s="2">
        <f>StandAlone!E26/StandAlone!E$3</f>
        <v>0.14604396370880998</v>
      </c>
      <c r="E26" s="2">
        <f>StandAlone!F26/StandAlone!F$3</f>
        <v>0.14848262095330858</v>
      </c>
      <c r="F26" s="2">
        <f>StandAlone!G26/StandAlone!G$3</f>
        <v>0.16494846145126524</v>
      </c>
      <c r="G26" s="2">
        <f>StandAlone!H26/StandAlone!H$3</f>
        <v>0.10754355218740702</v>
      </c>
      <c r="H26" s="2">
        <f>StandAlone!I26/StandAlone!I$3</f>
        <v>9.6132371222278121E-2</v>
      </c>
      <c r="I26" s="2">
        <f>StandAlone!J26/StandAlone!J$3</f>
        <v>8.4973167573656069E-2</v>
      </c>
      <c r="J26" s="2">
        <f>StandAlone!K26/StandAlone!K$3</f>
        <v>0.10131361691466716</v>
      </c>
    </row>
    <row r="28" spans="1:10">
      <c r="B28" t="s">
        <v>188</v>
      </c>
      <c r="D28">
        <f>StandAlone!E28/(StandAlone!E72+StandAlone!E73+StandAlone!E74+StandAlone!F72+StandAlone!F73+StandAlone!F74)*2</f>
        <v>6.9810696546863379E-2</v>
      </c>
      <c r="E28">
        <f>StandAlone!F28/(StandAlone!F72+StandAlone!F73+StandAlone!F74+StandAlone!G72+StandAlone!G73+StandAlone!G74)*2</f>
        <v>6.1839437995802153E-2</v>
      </c>
      <c r="F28" s="15">
        <f>StandAlone!G28/(StandAlone!G72+StandAlone!G73+StandAlone!G74+StandAlone!H72+StandAlone!H73+StandAlone!H74)*2</f>
        <v>6.2695906891218664E-2</v>
      </c>
      <c r="G28" s="15">
        <f>StandAlone!H28/(StandAlone!H72+StandAlone!H73+StandAlone!H74+StandAlone!I72+StandAlone!I73+StandAlone!I74)*2</f>
        <v>4.4572337306091551E-2</v>
      </c>
      <c r="H28">
        <f>StandAlone!I28/(StandAlone!I72+StandAlone!I73+StandAlone!I74+StandAlone!J72+StandAlone!J73+StandAlone!J74)*2</f>
        <v>4.0893892924839123E-2</v>
      </c>
      <c r="I28">
        <f>StandAlone!J28/(StandAlone!J72+StandAlone!J73+StandAlone!J74+StandAlone!K72+StandAlone!K73+StandAlone!K74)*2</f>
        <v>4.4490796939975423E-2</v>
      </c>
    </row>
    <row r="29" spans="1:10">
      <c r="B29" t="s">
        <v>22</v>
      </c>
    </row>
    <row r="30" spans="1:10">
      <c r="C30" t="s">
        <v>124</v>
      </c>
      <c r="D30">
        <f>StandAlone!E30*2/(StandAlone!E57+StandAlone!F57+StandAlone!E66+StandAlone!F66+StandAlone!E63+StandAlone!F63)</f>
        <v>0.13640077690710603</v>
      </c>
      <c r="E30">
        <f>StandAlone!F30*2/(StandAlone!F57+StandAlone!G57+StandAlone!F66+StandAlone!G66+StandAlone!F63+StandAlone!G63)</f>
        <v>0.13558209395417647</v>
      </c>
      <c r="F30">
        <f>StandAlone!G30*2/(StandAlone!G57+StandAlone!H57+StandAlone!G66+StandAlone!H66+StandAlone!G63+StandAlone!H63)</f>
        <v>0.14168368085238336</v>
      </c>
      <c r="G30">
        <f>StandAlone!H30*2/(StandAlone!H57+StandAlone!I57+StandAlone!H66+StandAlone!I66+StandAlone!H63+StandAlone!I63)</f>
        <v>0.14018996721190002</v>
      </c>
      <c r="H30">
        <f>StandAlone!I30*2/(StandAlone!I57+StandAlone!J57+StandAlone!I66+StandAlone!J66+StandAlone!I63+StandAlone!J63)</f>
        <v>0.11700716671735571</v>
      </c>
      <c r="I30">
        <f>StandAlone!J30*2/(StandAlone!J57+StandAlone!K57+StandAlone!J66+StandAlone!K66+StandAlone!J63+StandAlone!K63)</f>
        <v>0.10228191543399813</v>
      </c>
    </row>
    <row r="31" spans="1:10">
      <c r="C31" t="s">
        <v>125</v>
      </c>
      <c r="D31">
        <f>StandAlone!E31/StandAlone!E4</f>
        <v>3.8659112812586653E-3</v>
      </c>
      <c r="E31">
        <f>StandAlone!F31/StandAlone!F4</f>
        <v>4.8627107325060976E-3</v>
      </c>
      <c r="F31">
        <f>StandAlone!G31/StandAlone!G4</f>
        <v>8.5416096407189834E-3</v>
      </c>
      <c r="G31">
        <f>StandAlone!H31/StandAlone!H4</f>
        <v>6.8488330378093341E-3</v>
      </c>
      <c r="H31">
        <f>StandAlone!I31/StandAlone!I4</f>
        <v>5.0062393031709467E-3</v>
      </c>
      <c r="I31">
        <f>StandAlone!J31/StandAlone!J4</f>
        <v>5.2813786154143321E-3</v>
      </c>
      <c r="J31">
        <f>StandAlone!K31/StandAlone!K4</f>
        <v>4.6569944474296968E-3</v>
      </c>
    </row>
    <row r="32" spans="1:10">
      <c r="B32" t="s">
        <v>23</v>
      </c>
    </row>
    <row r="33" spans="1:10">
      <c r="B33" t="s">
        <v>24</v>
      </c>
    </row>
    <row r="35" spans="1:10" s="2" customFormat="1">
      <c r="A35" s="2" t="s">
        <v>86</v>
      </c>
      <c r="D35" s="2">
        <f>StandAlone!E35/StandAlone!E$3</f>
        <v>9.1741403877523345E-2</v>
      </c>
      <c r="E35" s="2">
        <f>StandAlone!F35/StandAlone!F$3</f>
        <v>9.4810799866877488E-2</v>
      </c>
      <c r="F35" s="2">
        <f>StandAlone!G35/StandAlone!G$3</f>
        <v>0.10389721047462321</v>
      </c>
      <c r="G35" s="2">
        <f>StandAlone!H35/StandAlone!H$3</f>
        <v>3.5083214118373195E-2</v>
      </c>
      <c r="H35" s="2">
        <f>StandAlone!I35/StandAlone!I$3</f>
        <v>3.0787331982651933E-2</v>
      </c>
      <c r="I35" s="2">
        <f>StandAlone!J35/StandAlone!J$3</f>
        <v>1.9683400274050435E-2</v>
      </c>
      <c r="J35" s="2">
        <f>StandAlone!K35/StandAlone!K$3</f>
        <v>4.9857867399456697E-2</v>
      </c>
    </row>
    <row r="37" spans="1:10">
      <c r="B37" t="s">
        <v>65</v>
      </c>
      <c r="D37">
        <f>StandAlone!E38/StandAlone!E35</f>
        <v>0.28764558935336942</v>
      </c>
      <c r="E37">
        <f>StandAlone!F38/StandAlone!F35</f>
        <v>0.33612941045109401</v>
      </c>
      <c r="F37">
        <f>StandAlone!G38/StandAlone!G35</f>
        <v>0.34705787592993997</v>
      </c>
      <c r="G37">
        <f>StandAlone!H38/StandAlone!H35</f>
        <v>0.26782105205658907</v>
      </c>
      <c r="H37">
        <f>StandAlone!I38/StandAlone!I35</f>
        <v>0.32590137953391107</v>
      </c>
      <c r="I37">
        <f>StandAlone!J38/StandAlone!J35</f>
        <v>0.3225408994455482</v>
      </c>
      <c r="J37">
        <f>StandAlone!K38/StandAlone!K35</f>
        <v>0.30161430719316307</v>
      </c>
    </row>
    <row r="38" spans="1:10">
      <c r="B38" t="s">
        <v>66</v>
      </c>
    </row>
    <row r="39" spans="1:10" s="2" customFormat="1">
      <c r="A39" s="2" t="s">
        <v>87</v>
      </c>
      <c r="D39" s="2">
        <f>StandAlone!E40/StandAlone!E$3</f>
        <v>6.5352393691067656E-2</v>
      </c>
      <c r="E39" s="2">
        <f>StandAlone!F40/StandAlone!F$3</f>
        <v>6.2942101603227288E-2</v>
      </c>
      <c r="F39" s="2">
        <f>StandAlone!G40/StandAlone!G$3</f>
        <v>6.7838865292254566E-2</v>
      </c>
      <c r="G39" s="2">
        <f>StandAlone!H40/StandAlone!H$3</f>
        <v>2.5687190803663908E-2</v>
      </c>
      <c r="H39" s="2">
        <f>StandAlone!I40/StandAlone!I$3</f>
        <v>2.0753698017337164E-2</v>
      </c>
      <c r="I39" s="2">
        <f>StandAlone!J40/StandAlone!J$3</f>
        <v>1.3334698645511456E-2</v>
      </c>
      <c r="J39" s="2">
        <f>StandAlone!K40/StandAlone!K$3</f>
        <v>3.4820021265640974E-2</v>
      </c>
    </row>
    <row r="41" spans="1:10">
      <c r="B41" t="s">
        <v>28</v>
      </c>
    </row>
    <row r="43" spans="1:10" s="2" customFormat="1">
      <c r="A43" s="2" t="s">
        <v>88</v>
      </c>
      <c r="D43" s="2">
        <f>StandAlone!E44/StandAlone!E$3</f>
        <v>6.5352393691067656E-2</v>
      </c>
      <c r="E43" s="2">
        <f>StandAlone!F44/StandAlone!F$3</f>
        <v>6.2942101603227288E-2</v>
      </c>
      <c r="F43" s="2">
        <f>StandAlone!G44/StandAlone!G$3</f>
        <v>6.7838865292254566E-2</v>
      </c>
      <c r="G43" s="2">
        <f>StandAlone!H44/StandAlone!H$3</f>
        <v>2.5687190803663908E-2</v>
      </c>
      <c r="H43" s="2">
        <f>StandAlone!I44/StandAlone!I$3</f>
        <v>2.0753698017337164E-2</v>
      </c>
      <c r="I43" s="2">
        <f>StandAlone!J44/StandAlone!J$3</f>
        <v>1.3334698645511456E-2</v>
      </c>
      <c r="J43" s="2">
        <f>StandAlone!K44/StandAlone!K$3</f>
        <v>3.4820021265640974E-2</v>
      </c>
    </row>
    <row r="45" spans="1:10" s="1" customFormat="1"/>
    <row r="46" spans="1:10" s="1" customFormat="1"/>
    <row r="48" spans="1:10" s="2" customFormat="1">
      <c r="A48" s="2" t="s">
        <v>30</v>
      </c>
      <c r="D48" s="2">
        <f t="shared" ref="D48:J48" si="0">D49+D50-D51</f>
        <v>0.37138316935456606</v>
      </c>
      <c r="E48" s="2">
        <f t="shared" si="0"/>
        <v>0.32053806821714281</v>
      </c>
      <c r="F48" s="2">
        <f t="shared" si="0"/>
        <v>0.28567157724525005</v>
      </c>
      <c r="G48" s="2">
        <f t="shared" si="0"/>
        <v>0.26224613538160663</v>
      </c>
      <c r="H48" s="2">
        <f t="shared" si="0"/>
        <v>0.2619159273422319</v>
      </c>
      <c r="I48" s="2">
        <f t="shared" si="0"/>
        <v>0.24430528001529747</v>
      </c>
      <c r="J48" s="2">
        <f t="shared" si="0"/>
        <v>0.28785620101091491</v>
      </c>
    </row>
    <row r="49" spans="1:10">
      <c r="B49" t="s">
        <v>31</v>
      </c>
      <c r="D49">
        <f>StandAlone!E52/StandAlone!E$89</f>
        <v>7.6876551975446385E-3</v>
      </c>
      <c r="E49">
        <f>StandAlone!F52/StandAlone!F$89</f>
        <v>8.5964555583747382E-3</v>
      </c>
      <c r="F49">
        <f>StandAlone!G52/StandAlone!G$89</f>
        <v>9.6193439817992086E-3</v>
      </c>
      <c r="G49">
        <f>StandAlone!H52/StandAlone!H$89</f>
        <v>1.1607184384298537E-2</v>
      </c>
      <c r="H49">
        <f>StandAlone!I52/StandAlone!I$89</f>
        <v>1.23832871374705E-2</v>
      </c>
      <c r="I49">
        <f>StandAlone!J52/StandAlone!J$89</f>
        <v>5.3845878050529435E-2</v>
      </c>
      <c r="J49">
        <f>StandAlone!K52/StandAlone!K$89</f>
        <v>6.6009816130686405E-2</v>
      </c>
    </row>
    <row r="50" spans="1:10">
      <c r="B50" t="s">
        <v>32</v>
      </c>
      <c r="D50">
        <f>StandAlone!E53/StandAlone!E$89</f>
        <v>0.36369551415702139</v>
      </c>
      <c r="E50">
        <f>StandAlone!F53/StandAlone!F$89</f>
        <v>0.31194161265876807</v>
      </c>
      <c r="F50">
        <f>StandAlone!G53/StandAlone!G$89</f>
        <v>0.27605223326345085</v>
      </c>
      <c r="G50">
        <f>StandAlone!H53/StandAlone!H$89</f>
        <v>0.2506389509973081</v>
      </c>
      <c r="H50">
        <f>StandAlone!I53/StandAlone!I$89</f>
        <v>0.2495326402047614</v>
      </c>
      <c r="I50">
        <f>StandAlone!J53/StandAlone!J$89</f>
        <v>0.19045940196476804</v>
      </c>
      <c r="J50">
        <f>StandAlone!K53/StandAlone!K$89</f>
        <v>0.22184638488022854</v>
      </c>
    </row>
    <row r="51" spans="1:10">
      <c r="B51" t="s">
        <v>28</v>
      </c>
      <c r="D51">
        <f>StandAlone!E54/StandAlone!E$89</f>
        <v>0</v>
      </c>
      <c r="E51">
        <f>StandAlone!F54/StandAlone!F$89</f>
        <v>0</v>
      </c>
      <c r="F51">
        <f>StandAlone!G54/StandAlone!G$89</f>
        <v>0</v>
      </c>
      <c r="G51">
        <f>StandAlone!H54/StandAlone!H$89</f>
        <v>0</v>
      </c>
      <c r="H51">
        <f>StandAlone!I54/StandAlone!I$89</f>
        <v>0</v>
      </c>
      <c r="I51">
        <f>StandAlone!J54/StandAlone!J$89</f>
        <v>0</v>
      </c>
      <c r="J51">
        <f>StandAlone!K54/StandAlone!K$89</f>
        <v>0</v>
      </c>
    </row>
    <row r="53" spans="1:10" s="2" customFormat="1">
      <c r="A53" s="2" t="s">
        <v>33</v>
      </c>
      <c r="D53" s="2">
        <f t="shared" ref="D53:J53" si="1">SUM(D54:D57)</f>
        <v>0.1631252512274928</v>
      </c>
      <c r="E53" s="2">
        <f t="shared" si="1"/>
        <v>0.19419739249809706</v>
      </c>
      <c r="F53" s="2">
        <f t="shared" si="1"/>
        <v>0.18555500192725324</v>
      </c>
      <c r="G53" s="2">
        <f t="shared" si="1"/>
        <v>0.28748767757619487</v>
      </c>
      <c r="H53" s="2">
        <f t="shared" si="1"/>
        <v>0.27742680783410661</v>
      </c>
      <c r="I53" s="2">
        <f t="shared" si="1"/>
        <v>0.27802543203384567</v>
      </c>
      <c r="J53" s="2">
        <f t="shared" si="1"/>
        <v>0.26842172734598196</v>
      </c>
    </row>
    <row r="54" spans="1:10">
      <c r="B54" t="s">
        <v>39</v>
      </c>
      <c r="D54">
        <f>StandAlone!E57/StandAlone!E$89</f>
        <v>0.13210640400010518</v>
      </c>
      <c r="E54">
        <f>StandAlone!F57/StandAlone!F$89</f>
        <v>0.16662101830023407</v>
      </c>
      <c r="F54">
        <f>StandAlone!G57/StandAlone!G$89</f>
        <v>0.16047250608729988</v>
      </c>
      <c r="G54">
        <f>StandAlone!H57/StandAlone!H$89</f>
        <v>0.26168460720820669</v>
      </c>
      <c r="H54">
        <f>StandAlone!I57/StandAlone!I$89</f>
        <v>0.25239208150805664</v>
      </c>
      <c r="I54">
        <f>StandAlone!J57/StandAlone!J$89</f>
        <v>0.26148953079809739</v>
      </c>
      <c r="J54">
        <f>StandAlone!K57/StandAlone!K$89</f>
        <v>0.25119038898249213</v>
      </c>
    </row>
    <row r="55" spans="1:10">
      <c r="B55" t="s">
        <v>34</v>
      </c>
      <c r="D55">
        <f>StandAlone!E58/StandAlone!E$89</f>
        <v>2.9373424545348675E-2</v>
      </c>
      <c r="E55">
        <f>StandAlone!F58/StandAlone!F$89</f>
        <v>2.6445526936176862E-2</v>
      </c>
      <c r="F55">
        <f>StandAlone!G58/StandAlone!G$89</f>
        <v>2.4881309404055696E-2</v>
      </c>
      <c r="G55">
        <f>StandAlone!H58/StandAlone!H$89</f>
        <v>2.4702702028194388E-2</v>
      </c>
      <c r="H55">
        <f>StandAlone!I58/StandAlone!I$89</f>
        <v>2.3034388276544828E-2</v>
      </c>
      <c r="I55">
        <f>StandAlone!J58/StandAlone!J$89</f>
        <v>1.653590123574826E-2</v>
      </c>
      <c r="J55">
        <f>StandAlone!K58/StandAlone!K$89</f>
        <v>1.7231338363489855E-2</v>
      </c>
    </row>
    <row r="56" spans="1:10">
      <c r="B56" t="s">
        <v>35</v>
      </c>
      <c r="D56">
        <f>StandAlone!E59/StandAlone!E$89</f>
        <v>0</v>
      </c>
      <c r="E56">
        <f>StandAlone!F59/StandAlone!F$89</f>
        <v>0</v>
      </c>
      <c r="F56">
        <f>StandAlone!G59/StandAlone!G$89</f>
        <v>0</v>
      </c>
      <c r="G56">
        <f>StandAlone!H59/StandAlone!H$89</f>
        <v>1.1003683397937433E-3</v>
      </c>
      <c r="H56">
        <f>StandAlone!I59/StandAlone!I$89</f>
        <v>2.0003380495051894E-3</v>
      </c>
      <c r="I56">
        <f>StandAlone!J59/StandAlone!J$89</f>
        <v>0</v>
      </c>
      <c r="J56">
        <f>StandAlone!K59/StandAlone!K$89</f>
        <v>0</v>
      </c>
    </row>
    <row r="57" spans="1:10">
      <c r="B57" t="s">
        <v>36</v>
      </c>
      <c r="D57">
        <f>StandAlone!E60/StandAlone!E$89</f>
        <v>1.6454226820389716E-3</v>
      </c>
      <c r="E57">
        <f>StandAlone!F60/StandAlone!F$89</f>
        <v>1.1308472616861219E-3</v>
      </c>
      <c r="F57">
        <f>StandAlone!G60/StandAlone!G$89</f>
        <v>2.0118643589767698E-4</v>
      </c>
      <c r="G57">
        <f>StandAlone!H60/StandAlone!H$89</f>
        <v>0</v>
      </c>
      <c r="H57">
        <f>StandAlone!I60/StandAlone!I$89</f>
        <v>0</v>
      </c>
      <c r="I57">
        <f>StandAlone!J60/StandAlone!J$89</f>
        <v>0</v>
      </c>
      <c r="J57">
        <f>StandAlone!K60/StandAlone!K$89</f>
        <v>0</v>
      </c>
    </row>
    <row r="59" spans="1:10" s="2" customFormat="1">
      <c r="A59" s="2" t="s">
        <v>37</v>
      </c>
      <c r="D59" s="2">
        <f t="shared" ref="D59:J59" si="2">D60+D61+D62+D64</f>
        <v>0.46549157941794111</v>
      </c>
      <c r="E59" s="2">
        <f t="shared" si="2"/>
        <v>0.48526453928476015</v>
      </c>
      <c r="F59" s="2">
        <f t="shared" si="2"/>
        <v>0.52877342082749679</v>
      </c>
      <c r="G59" s="2">
        <f t="shared" si="2"/>
        <v>0.45026959024324947</v>
      </c>
      <c r="H59" s="2">
        <f t="shared" si="2"/>
        <v>0.46065599396085988</v>
      </c>
      <c r="I59" s="2">
        <f t="shared" si="2"/>
        <v>0.47767078184382245</v>
      </c>
      <c r="J59" s="2">
        <f t="shared" si="2"/>
        <v>0.44372390301076847</v>
      </c>
    </row>
    <row r="60" spans="1:10">
      <c r="B60" t="s">
        <v>38</v>
      </c>
      <c r="D60">
        <f>StandAlone!E63/StandAlone!E$89</f>
        <v>0.18034508796249338</v>
      </c>
      <c r="E60">
        <f>StandAlone!F63/StandAlone!F$89</f>
        <v>0.20326769490312183</v>
      </c>
      <c r="F60">
        <f>StandAlone!G63/StandAlone!G$89</f>
        <v>0.16208481794507798</v>
      </c>
      <c r="G60">
        <f>StandAlone!H63/StandAlone!H$89</f>
        <v>0.19914398149566151</v>
      </c>
      <c r="H60">
        <f>StandAlone!I63/StandAlone!I$89</f>
        <v>0.25294744855229662</v>
      </c>
      <c r="I60">
        <f>StandAlone!J63/StandAlone!J$89</f>
        <v>0.25222739441164521</v>
      </c>
      <c r="J60">
        <f>StandAlone!K63/StandAlone!K$89</f>
        <v>0.35441542744121313</v>
      </c>
    </row>
    <row r="61" spans="1:10">
      <c r="B61" t="s">
        <v>40</v>
      </c>
      <c r="D61">
        <f>StandAlone!E64/StandAlone!E$89</f>
        <v>0.21721532872765251</v>
      </c>
      <c r="E61">
        <f>StandAlone!F64/StandAlone!F$89</f>
        <v>0.17843190299918171</v>
      </c>
      <c r="F61">
        <f>StandAlone!G64/StandAlone!G$89</f>
        <v>0.2270426534046574</v>
      </c>
      <c r="G61">
        <f>StandAlone!H64/StandAlone!H$89</f>
        <v>0.17869981838250393</v>
      </c>
      <c r="H61">
        <f>StandAlone!I64/StandAlone!I$89</f>
        <v>0.14762469388092267</v>
      </c>
      <c r="I61">
        <f>StandAlone!J64/StandAlone!J$89</f>
        <v>0.16727866481822309</v>
      </c>
      <c r="J61">
        <f>StandAlone!K64/StandAlone!K$89</f>
        <v>4.5868434546919641E-2</v>
      </c>
    </row>
    <row r="62" spans="1:10">
      <c r="B62" t="s">
        <v>35</v>
      </c>
      <c r="D62">
        <f>StandAlone!E65/StandAlone!E$89</f>
        <v>6.7581040823763219E-2</v>
      </c>
      <c r="E62">
        <f>StandAlone!F65/StandAlone!F$89</f>
        <v>8.7332326268758545E-2</v>
      </c>
      <c r="F62">
        <f>StandAlone!G65/StandAlone!G$89</f>
        <v>0.12008479914260733</v>
      </c>
      <c r="G62">
        <f>StandAlone!H65/StandAlone!H$89</f>
        <v>7.0369122529985048E-2</v>
      </c>
      <c r="H62">
        <f>StandAlone!I65/StandAlone!I$89</f>
        <v>5.8623630168757872E-2</v>
      </c>
      <c r="I62">
        <f>StandAlone!J65/StandAlone!J$89</f>
        <v>5.2892774338504193E-2</v>
      </c>
      <c r="J62">
        <f>StandAlone!K65/StandAlone!K$89</f>
        <v>4.1150831440920077E-2</v>
      </c>
    </row>
    <row r="63" spans="1:10">
      <c r="C63" t="s">
        <v>42</v>
      </c>
      <c r="D63">
        <f>StandAlone!E66/StandAlone!E$89</f>
        <v>1.6514333585030412E-2</v>
      </c>
      <c r="E63">
        <f>StandAlone!F66/StandAlone!F$89</f>
        <v>1.4916933975659059E-2</v>
      </c>
      <c r="F63">
        <f>StandAlone!G66/StandAlone!G$89</f>
        <v>3.737837151801747E-2</v>
      </c>
      <c r="G63">
        <f>StandAlone!H66/StandAlone!H$89</f>
        <v>3.7732424451772675E-2</v>
      </c>
      <c r="H63">
        <f>StandAlone!I66/StandAlone!I$89</f>
        <v>3.3804950518956822E-2</v>
      </c>
      <c r="I63">
        <f>StandAlone!J66/StandAlone!J$89</f>
        <v>3.6301599063030335E-2</v>
      </c>
      <c r="J63">
        <f>StandAlone!K66/StandAlone!K$89</f>
        <v>3.6077943007838259E-2</v>
      </c>
    </row>
    <row r="64" spans="1:10">
      <c r="B64" t="s">
        <v>41</v>
      </c>
      <c r="D64">
        <f>StandAlone!E67/StandAlone!E$89</f>
        <v>3.5012190403203695E-4</v>
      </c>
      <c r="E64">
        <f>StandAlone!F67/StandAlone!F$89</f>
        <v>1.6232615113698039E-2</v>
      </c>
      <c r="F64">
        <f>StandAlone!G67/StandAlone!G$89</f>
        <v>1.9561150335154039E-2</v>
      </c>
      <c r="G64">
        <f>StandAlone!H67/StandAlone!H$89</f>
        <v>2.0566678350990276E-3</v>
      </c>
      <c r="H64">
        <f>StandAlone!I67/StandAlone!I$89</f>
        <v>1.4602213588827591E-3</v>
      </c>
      <c r="I64">
        <f>StandAlone!J67/StandAlone!J$89</f>
        <v>5.27194827544996E-3</v>
      </c>
      <c r="J64">
        <f>StandAlone!K67/StandAlone!K$89</f>
        <v>2.2892095817156253E-3</v>
      </c>
    </row>
    <row r="66" spans="1:10" s="2" customFormat="1">
      <c r="A66" s="2" t="s">
        <v>45</v>
      </c>
      <c r="D66" s="2">
        <f t="shared" ref="D66:J66" si="3">D48+D53+D59</f>
        <v>1</v>
      </c>
      <c r="E66" s="2">
        <f t="shared" si="3"/>
        <v>1</v>
      </c>
      <c r="F66" s="2">
        <f t="shared" si="3"/>
        <v>1</v>
      </c>
      <c r="G66" s="2">
        <f t="shared" si="3"/>
        <v>1.000003403201051</v>
      </c>
      <c r="H66" s="2">
        <f t="shared" si="3"/>
        <v>0.99999872913719834</v>
      </c>
      <c r="I66" s="2">
        <f t="shared" si="3"/>
        <v>1.0000014938929656</v>
      </c>
      <c r="J66" s="2">
        <f t="shared" si="3"/>
        <v>1.0000018313676653</v>
      </c>
    </row>
    <row r="68" spans="1:10" s="2" customFormat="1">
      <c r="A68" s="2" t="s">
        <v>46</v>
      </c>
      <c r="D68" s="2">
        <f t="shared" ref="D68:J68" si="4">SUM(D69:D76)</f>
        <v>0.37085723516396002</v>
      </c>
      <c r="E68" s="2">
        <f t="shared" si="4"/>
        <v>0.35905324727916132</v>
      </c>
      <c r="F68" s="2">
        <f t="shared" si="4"/>
        <v>0.33637149921499687</v>
      </c>
      <c r="G68" s="2">
        <f t="shared" si="4"/>
        <v>0.39581610462801314</v>
      </c>
      <c r="H68" s="2">
        <f t="shared" si="4"/>
        <v>0.42023366083467728</v>
      </c>
      <c r="I68" s="2">
        <f t="shared" si="4"/>
        <v>0.42653034395391637</v>
      </c>
      <c r="J68" s="2">
        <f t="shared" si="4"/>
        <v>0.44399494542524359</v>
      </c>
    </row>
    <row r="69" spans="1:10">
      <c r="B69" t="s">
        <v>47</v>
      </c>
      <c r="D69">
        <f>StandAlone!E72/StandAlone!E$89</f>
        <v>0.34816092083563427</v>
      </c>
      <c r="E69">
        <f>StandAlone!F72/StandAlone!F$89</f>
        <v>0.32261576901814565</v>
      </c>
      <c r="F69">
        <f>StandAlone!G72/StandAlone!G$89</f>
        <v>0.32911562579322923</v>
      </c>
      <c r="G69">
        <f>StandAlone!H72/StandAlone!H$89</f>
        <v>0.38269109257500944</v>
      </c>
      <c r="H69">
        <f>StandAlone!I72/StandAlone!I$89</f>
        <v>0.41303422306438065</v>
      </c>
      <c r="I69">
        <f>StandAlone!J72/StandAlone!J$89</f>
        <v>0.42046513851375578</v>
      </c>
      <c r="J69">
        <f>StandAlone!K72/StandAlone!K$89</f>
        <v>0.38078712182257712</v>
      </c>
    </row>
    <row r="70" spans="1:10">
      <c r="B70" t="s">
        <v>48</v>
      </c>
      <c r="D70">
        <f>StandAlone!E73/StandAlone!E$89</f>
        <v>6.3638037063333758E-4</v>
      </c>
      <c r="E70">
        <f>StandAlone!F73/StandAlone!F$89</f>
        <v>1.0468318633439137E-3</v>
      </c>
      <c r="F70">
        <f>StandAlone!G73/StandAlone!G$89</f>
        <v>1.1187470033562411E-3</v>
      </c>
      <c r="G70">
        <f>StandAlone!H73/StandAlone!H$89</f>
        <v>1.3215764081027949E-3</v>
      </c>
      <c r="H70">
        <f>StandAlone!I73/StandAlone!I$89</f>
        <v>1.5313896757647735E-3</v>
      </c>
      <c r="I70">
        <f>StandAlone!J73/StandAlone!J$89</f>
        <v>1.9614814637760837E-3</v>
      </c>
      <c r="J70">
        <f>StandAlone!K73/StandAlone!K$89</f>
        <v>3.1682660610944256E-4</v>
      </c>
    </row>
    <row r="71" spans="1:10">
      <c r="B71" t="s">
        <v>49</v>
      </c>
      <c r="D71">
        <f>StandAlone!E74/StandAlone!E$89</f>
        <v>1.0790666922120417E-2</v>
      </c>
      <c r="E71">
        <f>StandAlone!F74/StandAlone!F$89</f>
        <v>3.3560791021778467E-2</v>
      </c>
      <c r="F71">
        <f>StandAlone!G74/StandAlone!G$89</f>
        <v>3.2603484097810452E-3</v>
      </c>
      <c r="G71">
        <f>StandAlone!H74/StandAlone!H$89</f>
        <v>9.4087165054116562E-3</v>
      </c>
      <c r="H71">
        <f>StandAlone!I74/StandAlone!I$89</f>
        <v>4.5623974572577067E-3</v>
      </c>
      <c r="I71">
        <f>StandAlone!J74/StandAlone!J$89</f>
        <v>3.0594927934603344E-3</v>
      </c>
      <c r="J71">
        <f>StandAlone!K74/StandAlone!K$89</f>
        <v>6.1325177642663549E-2</v>
      </c>
    </row>
    <row r="72" spans="1:10">
      <c r="B72" t="s">
        <v>50</v>
      </c>
      <c r="D72">
        <f>StandAlone!E75/StandAlone!E$89</f>
        <v>0</v>
      </c>
      <c r="E72">
        <f>StandAlone!F75/StandAlone!F$89</f>
        <v>0</v>
      </c>
      <c r="F72">
        <f>StandAlone!G75/StandAlone!G$89</f>
        <v>0</v>
      </c>
      <c r="G72">
        <f>StandAlone!H75/StandAlone!H$89</f>
        <v>0</v>
      </c>
      <c r="H72">
        <f>StandAlone!I75/StandAlone!I$89</f>
        <v>0</v>
      </c>
      <c r="I72">
        <f>StandAlone!J75/StandAlone!J$89</f>
        <v>0</v>
      </c>
      <c r="J72">
        <f>StandAlone!K75/StandAlone!K$89</f>
        <v>0</v>
      </c>
    </row>
    <row r="73" spans="1:10">
      <c r="B73" t="s">
        <v>51</v>
      </c>
      <c r="D73">
        <f>StandAlone!E76/StandAlone!E$89</f>
        <v>0</v>
      </c>
      <c r="E73">
        <f>StandAlone!F76/StandAlone!F$89</f>
        <v>0</v>
      </c>
      <c r="F73">
        <f>StandAlone!G76/StandAlone!G$89</f>
        <v>0</v>
      </c>
      <c r="G73">
        <f>StandAlone!H76/StandAlone!H$89</f>
        <v>2.3947191394892704E-3</v>
      </c>
      <c r="H73">
        <f>StandAlone!I76/StandAlone!I$89</f>
        <v>1.1056506372741518E-3</v>
      </c>
      <c r="I73">
        <f>StandAlone!J76/StandAlone!J$89</f>
        <v>0</v>
      </c>
      <c r="J73">
        <f>StandAlone!K76/StandAlone!K$89</f>
        <v>0</v>
      </c>
    </row>
    <row r="74" spans="1:10">
      <c r="B74" t="s">
        <v>52</v>
      </c>
      <c r="D74">
        <f>StandAlone!E77/StandAlone!E$89</f>
        <v>0</v>
      </c>
      <c r="E74">
        <f>StandAlone!F77/StandAlone!F$89</f>
        <v>0</v>
      </c>
      <c r="F74">
        <f>StandAlone!G77/StandAlone!G$89</f>
        <v>0</v>
      </c>
      <c r="G74">
        <f>StandAlone!H77/StandAlone!H$89</f>
        <v>0</v>
      </c>
      <c r="H74">
        <f>StandAlone!I77/StandAlone!I$89</f>
        <v>0</v>
      </c>
      <c r="I74">
        <f>StandAlone!J77/StandAlone!J$89</f>
        <v>0</v>
      </c>
      <c r="J74">
        <f>StandAlone!K77/StandAlone!K$89</f>
        <v>0</v>
      </c>
    </row>
    <row r="75" spans="1:10">
      <c r="B75" t="s">
        <v>53</v>
      </c>
      <c r="D75">
        <f>StandAlone!E78/StandAlone!E$89</f>
        <v>1.1269267035571936E-2</v>
      </c>
      <c r="E75">
        <f>StandAlone!F78/StandAlone!F$89</f>
        <v>1.8298553758932937E-3</v>
      </c>
      <c r="F75">
        <f>StandAlone!G78/StandAlone!G$89</f>
        <v>2.8767780086303343E-3</v>
      </c>
      <c r="G75">
        <f>StandAlone!H78/StandAlone!H$89</f>
        <v>0</v>
      </c>
      <c r="H75">
        <f>StandAlone!I78/StandAlone!I$89</f>
        <v>0</v>
      </c>
      <c r="I75">
        <f>StandAlone!J78/StandAlone!J$89</f>
        <v>0</v>
      </c>
      <c r="J75">
        <f>StandAlone!K78/StandAlone!K$89</f>
        <v>0</v>
      </c>
    </row>
    <row r="76" spans="1:10">
      <c r="B76" t="s">
        <v>35</v>
      </c>
      <c r="D76">
        <f>StandAlone!E79/StandAlone!E$89</f>
        <v>0</v>
      </c>
      <c r="E76">
        <f>StandAlone!F79/StandAlone!F$89</f>
        <v>0</v>
      </c>
      <c r="F76">
        <f>StandAlone!G79/StandAlone!G$89</f>
        <v>0</v>
      </c>
      <c r="G76">
        <f>StandAlone!H79/StandAlone!H$89</f>
        <v>0</v>
      </c>
      <c r="H76">
        <f>StandAlone!I79/StandAlone!I$89</f>
        <v>0</v>
      </c>
      <c r="I76">
        <f>StandAlone!J79/StandAlone!J$89</f>
        <v>1.0442311829242058E-3</v>
      </c>
      <c r="J76">
        <f>StandAlone!K79/StandAlone!K$89</f>
        <v>1.5658193538934878E-3</v>
      </c>
    </row>
    <row r="78" spans="1:10" s="2" customFormat="1">
      <c r="A78" s="2" t="s">
        <v>54</v>
      </c>
      <c r="D78" s="2">
        <f t="shared" ref="D78:J78" si="5">SUM(D79:D84)</f>
        <v>0.62914276483603992</v>
      </c>
      <c r="E78" s="2">
        <f t="shared" si="5"/>
        <v>0.64094675272083868</v>
      </c>
      <c r="F78" s="2">
        <f t="shared" si="5"/>
        <v>0.66362850078500313</v>
      </c>
      <c r="G78" s="2">
        <f t="shared" si="5"/>
        <v>0.60418389537198691</v>
      </c>
      <c r="H78" s="2">
        <f t="shared" si="5"/>
        <v>0.57976633916532272</v>
      </c>
      <c r="I78" s="2">
        <f t="shared" si="5"/>
        <v>0.57346965604608358</v>
      </c>
      <c r="J78" s="2">
        <f t="shared" si="5"/>
        <v>0.55600505457475635</v>
      </c>
    </row>
    <row r="79" spans="1:10">
      <c r="B79" t="s">
        <v>55</v>
      </c>
      <c r="D79">
        <f>StandAlone!E82/StandAlone!E$89</f>
        <v>0</v>
      </c>
      <c r="E79">
        <f>StandAlone!F82/StandAlone!F$89</f>
        <v>0</v>
      </c>
      <c r="F79">
        <f>StandAlone!G82/StandAlone!G$89</f>
        <v>0</v>
      </c>
      <c r="G79">
        <f>StandAlone!H82/StandAlone!H$89</f>
        <v>0</v>
      </c>
      <c r="H79">
        <f>StandAlone!I82/StandAlone!I$89</f>
        <v>0</v>
      </c>
      <c r="I79">
        <f>StandAlone!J82/StandAlone!J$89</f>
        <v>0</v>
      </c>
      <c r="J79">
        <f>StandAlone!K82/StandAlone!K$89</f>
        <v>0</v>
      </c>
    </row>
    <row r="80" spans="1:10">
      <c r="B80" t="s">
        <v>56</v>
      </c>
      <c r="D80">
        <f>StandAlone!E83/StandAlone!E$89</f>
        <v>0.27662635756762954</v>
      </c>
      <c r="E80">
        <f>StandAlone!F83/StandAlone!F$89</f>
        <v>0.21002757385373591</v>
      </c>
      <c r="F80">
        <f>StandAlone!G83/StandAlone!G$89</f>
        <v>0.21457379499666257</v>
      </c>
      <c r="G80">
        <f>StandAlone!H83/StandAlone!H$89</f>
        <v>0.25979015862320098</v>
      </c>
      <c r="H80">
        <f>StandAlone!I83/StandAlone!I$89</f>
        <v>0.30219338210904767</v>
      </c>
      <c r="I80">
        <f>StandAlone!J83/StandAlone!J$89</f>
        <v>0.25235885699261418</v>
      </c>
      <c r="J80">
        <f>StandAlone!K83/StandAlone!K$89</f>
        <v>0.32240312065050181</v>
      </c>
    </row>
    <row r="81" spans="1:10">
      <c r="B81" t="s">
        <v>57</v>
      </c>
      <c r="D81">
        <f>StandAlone!E84/StandAlone!E$89</f>
        <v>0.28022224476225893</v>
      </c>
      <c r="E81">
        <f>StandAlone!F84/StandAlone!F$89</f>
        <v>0.31284561834493024</v>
      </c>
      <c r="F81">
        <f>StandAlone!G84/StandAlone!G$89</f>
        <v>0.35328056106572403</v>
      </c>
      <c r="G81">
        <f>StandAlone!H84/StandAlone!H$89</f>
        <v>0.26297668920720163</v>
      </c>
      <c r="H81">
        <f>StandAlone!I84/StandAlone!I$89</f>
        <v>0.19681979292561513</v>
      </c>
      <c r="I81">
        <f>StandAlone!J84/StandAlone!J$89</f>
        <v>0.21653082199966536</v>
      </c>
      <c r="J81">
        <f>StandAlone!K84/StandAlone!K$89</f>
        <v>0.16862500915683834</v>
      </c>
    </row>
    <row r="82" spans="1:10">
      <c r="B82" t="s">
        <v>58</v>
      </c>
      <c r="D82">
        <f>StandAlone!E85/StandAlone!E$89</f>
        <v>1.873452720394601E-2</v>
      </c>
      <c r="E82">
        <f>StandAlone!F85/StandAlone!F$89</f>
        <v>4.1836307758485972E-2</v>
      </c>
      <c r="F82">
        <f>StandAlone!G85/StandAlone!G$89</f>
        <v>5.2735289417029402E-2</v>
      </c>
      <c r="G82">
        <f>StandAlone!H85/StandAlone!H$89</f>
        <v>2.9843804415766804E-2</v>
      </c>
      <c r="H82">
        <f>StandAlone!I85/StandAlone!I$89</f>
        <v>1.629246111477543E-2</v>
      </c>
      <c r="I82">
        <f>StandAlone!J85/StandAlone!J$89</f>
        <v>1.2802662714821809E-2</v>
      </c>
      <c r="J82">
        <f>StandAlone!K85/StandAlone!K$89</f>
        <v>1.2570507655116843E-2</v>
      </c>
    </row>
    <row r="83" spans="1:10">
      <c r="B83" t="s">
        <v>59</v>
      </c>
      <c r="D83">
        <f>StandAlone!E86/StandAlone!E$89</f>
        <v>5.3559635302205547E-2</v>
      </c>
      <c r="E83">
        <f>StandAlone!F86/StandAlone!F$89</f>
        <v>7.6237252763686522E-2</v>
      </c>
      <c r="F83">
        <f>StandAlone!G86/StandAlone!G$89</f>
        <v>4.3038855305587154E-2</v>
      </c>
      <c r="G83">
        <f>StandAlone!H86/StandAlone!H$89</f>
        <v>5.1573243125817479E-2</v>
      </c>
      <c r="H83">
        <f>StandAlone!I86/StandAlone!I$89</f>
        <v>6.446070301588451E-2</v>
      </c>
      <c r="I83">
        <f>StandAlone!J86/StandAlone!J$89</f>
        <v>9.1777314338982244E-2</v>
      </c>
      <c r="J83">
        <f>StandAlone!K86/StandAlone!K$89</f>
        <v>5.2406417112299472E-2</v>
      </c>
    </row>
    <row r="84" spans="1:10">
      <c r="B84" t="s">
        <v>35</v>
      </c>
      <c r="D84">
        <f>StandAlone!E87/StandAlone!E$89</f>
        <v>0</v>
      </c>
      <c r="E84">
        <f>StandAlone!F87/StandAlone!F$89</f>
        <v>0</v>
      </c>
      <c r="F84">
        <f>StandAlone!G87/StandAlone!G$89</f>
        <v>0</v>
      </c>
      <c r="G84">
        <f>StandAlone!H87/StandAlone!H$89</f>
        <v>0</v>
      </c>
      <c r="H84">
        <f>StandAlone!I87/StandAlone!I$89</f>
        <v>0</v>
      </c>
      <c r="I84">
        <f>StandAlone!J87/StandAlone!J$89</f>
        <v>0</v>
      </c>
      <c r="J84">
        <f>StandAlone!K87/StandAlone!K$89</f>
        <v>0</v>
      </c>
    </row>
    <row r="86" spans="1:10" s="2" customFormat="1">
      <c r="A86" s="2" t="s">
        <v>60</v>
      </c>
      <c r="D86" s="2">
        <f t="shared" ref="D86:J86" si="6">D68+D78</f>
        <v>1</v>
      </c>
      <c r="E86" s="2">
        <f t="shared" si="6"/>
        <v>1</v>
      </c>
      <c r="F86" s="2">
        <f t="shared" si="6"/>
        <v>1</v>
      </c>
      <c r="G86" s="2">
        <f t="shared" si="6"/>
        <v>1</v>
      </c>
      <c r="H86" s="2">
        <f t="shared" si="6"/>
        <v>1</v>
      </c>
      <c r="I86" s="2">
        <f t="shared" si="6"/>
        <v>1</v>
      </c>
      <c r="J86" s="2">
        <f t="shared" si="6"/>
        <v>1</v>
      </c>
    </row>
  </sheetData>
  <phoneticPr fontId="4" type="noConversion"/>
  <pageMargins left="0.75" right="0.75" top="1" bottom="1" header="0.5" footer="0.5"/>
  <rowBreaks count="1" manualBreakCount="1">
    <brk id="86" max="16383" man="1"/>
  </rowBreaks>
  <colBreaks count="1" manualBreakCount="1">
    <brk id="10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M108"/>
  <sheetViews>
    <sheetView workbookViewId="0">
      <selection activeCell="N16" sqref="N16"/>
    </sheetView>
  </sheetViews>
  <sheetFormatPr defaultColWidth="11" defaultRowHeight="15.75"/>
  <cols>
    <col min="1" max="1" width="13.125" customWidth="1"/>
    <col min="2" max="2" width="27" customWidth="1"/>
    <col min="3" max="3" width="24.125" customWidth="1"/>
    <col min="4" max="4" width="24.125" hidden="1" customWidth="1"/>
    <col min="5" max="5" width="10.625" customWidth="1"/>
    <col min="12" max="12" width="10.875" style="7"/>
  </cols>
  <sheetData>
    <row r="1" spans="1:13">
      <c r="A1" t="s">
        <v>0</v>
      </c>
      <c r="E1">
        <v>2017</v>
      </c>
      <c r="F1">
        <v>2016</v>
      </c>
      <c r="G1">
        <v>2015</v>
      </c>
      <c r="H1">
        <v>2014</v>
      </c>
      <c r="I1">
        <v>2013</v>
      </c>
      <c r="J1">
        <v>2012</v>
      </c>
      <c r="K1">
        <v>2011</v>
      </c>
      <c r="L1" s="7" t="s">
        <v>184</v>
      </c>
      <c r="M1" t="s">
        <v>205</v>
      </c>
    </row>
    <row r="2" spans="1:13">
      <c r="E2">
        <v>1</v>
      </c>
      <c r="F2">
        <v>2</v>
      </c>
      <c r="G2">
        <v>3</v>
      </c>
      <c r="H2">
        <v>4</v>
      </c>
      <c r="I2">
        <v>5</v>
      </c>
      <c r="J2">
        <v>6</v>
      </c>
      <c r="K2">
        <v>7</v>
      </c>
    </row>
    <row r="3" spans="1:13" s="2" customFormat="1">
      <c r="A3" s="2" t="s">
        <v>199</v>
      </c>
      <c r="E3" s="2">
        <f>E4-E7+E8+E9</f>
        <v>0</v>
      </c>
      <c r="F3" s="2">
        <f t="shared" ref="F3:K3" si="0">F4-F7+F8+F9</f>
        <v>0</v>
      </c>
      <c r="G3" s="2">
        <f t="shared" si="0"/>
        <v>0</v>
      </c>
      <c r="H3" s="2">
        <f t="shared" si="0"/>
        <v>0</v>
      </c>
      <c r="I3" s="2">
        <f t="shared" si="0"/>
        <v>0</v>
      </c>
      <c r="J3" s="2">
        <f t="shared" si="0"/>
        <v>0</v>
      </c>
      <c r="K3" s="2">
        <f t="shared" si="0"/>
        <v>0</v>
      </c>
      <c r="L3" s="8"/>
      <c r="M3" s="2" t="e">
        <f>(E3/K3)^1/($E$1-$K$1)-1</f>
        <v>#DIV/0!</v>
      </c>
    </row>
    <row r="4" spans="1:13">
      <c r="B4" t="s">
        <v>2</v>
      </c>
      <c r="M4" s="10" t="e">
        <f>(E4/K4)^1/($E$1-$K$1)-1</f>
        <v>#DIV/0!</v>
      </c>
    </row>
    <row r="5" spans="1:13">
      <c r="C5" t="s">
        <v>6</v>
      </c>
    </row>
    <row r="6" spans="1:13">
      <c r="C6" t="s">
        <v>7</v>
      </c>
    </row>
    <row r="7" spans="1:13">
      <c r="B7" t="s">
        <v>3</v>
      </c>
    </row>
    <row r="8" spans="1:13">
      <c r="B8" t="s">
        <v>4</v>
      </c>
    </row>
    <row r="9" spans="1:13">
      <c r="B9" t="s">
        <v>5</v>
      </c>
    </row>
    <row r="11" spans="1:13" s="2" customFormat="1">
      <c r="A11" s="2" t="s">
        <v>16</v>
      </c>
      <c r="E11" s="2">
        <f t="shared" ref="E11:K11" si="1">E12+E15+E16</f>
        <v>0</v>
      </c>
      <c r="F11" s="2">
        <f t="shared" si="1"/>
        <v>0</v>
      </c>
      <c r="G11" s="2">
        <f t="shared" si="1"/>
        <v>0</v>
      </c>
      <c r="H11" s="2">
        <f t="shared" si="1"/>
        <v>0</v>
      </c>
      <c r="I11" s="2">
        <f t="shared" si="1"/>
        <v>0</v>
      </c>
      <c r="J11" s="2">
        <f t="shared" si="1"/>
        <v>0</v>
      </c>
      <c r="K11" s="2">
        <f t="shared" si="1"/>
        <v>0</v>
      </c>
      <c r="L11" s="8"/>
      <c r="M11" s="2" t="e">
        <f>(E11/K11)^1/($E$1-$K$1)-1</f>
        <v>#DIV/0!</v>
      </c>
    </row>
    <row r="12" spans="1:13">
      <c r="B12" t="s">
        <v>9</v>
      </c>
    </row>
    <row r="13" spans="1:13">
      <c r="C13" t="s">
        <v>18</v>
      </c>
    </row>
    <row r="14" spans="1:13">
      <c r="C14" t="s">
        <v>19</v>
      </c>
    </row>
    <row r="15" spans="1:13">
      <c r="B15" t="s">
        <v>10</v>
      </c>
    </row>
    <row r="16" spans="1:13">
      <c r="B16" t="s">
        <v>11</v>
      </c>
    </row>
    <row r="18" spans="1:13" s="1" customFormat="1">
      <c r="A18" s="2" t="s">
        <v>17</v>
      </c>
      <c r="E18" s="1">
        <f t="shared" ref="E18:K18" si="2">E3-E11</f>
        <v>0</v>
      </c>
      <c r="F18" s="1">
        <f t="shared" si="2"/>
        <v>0</v>
      </c>
      <c r="G18" s="1">
        <f t="shared" si="2"/>
        <v>0</v>
      </c>
      <c r="H18" s="1">
        <f t="shared" si="2"/>
        <v>0</v>
      </c>
      <c r="I18" s="1">
        <f t="shared" si="2"/>
        <v>0</v>
      </c>
      <c r="J18" s="1">
        <f t="shared" si="2"/>
        <v>0</v>
      </c>
      <c r="K18" s="1">
        <f t="shared" si="2"/>
        <v>0</v>
      </c>
      <c r="L18" s="9"/>
      <c r="M18" s="2" t="e">
        <f>(E18/K18)^1/($E$1-$K$1)-1</f>
        <v>#DIV/0!</v>
      </c>
    </row>
    <row r="20" spans="1:13" s="2" customFormat="1">
      <c r="A20" s="2" t="s">
        <v>8</v>
      </c>
      <c r="E20" s="2">
        <f t="shared" ref="E20:K20" si="3">E21+E22</f>
        <v>0</v>
      </c>
      <c r="F20" s="2">
        <f t="shared" si="3"/>
        <v>0</v>
      </c>
      <c r="G20" s="2">
        <f t="shared" si="3"/>
        <v>0</v>
      </c>
      <c r="H20" s="2">
        <f t="shared" si="3"/>
        <v>0</v>
      </c>
      <c r="I20" s="2">
        <f t="shared" si="3"/>
        <v>0</v>
      </c>
      <c r="J20" s="2">
        <f t="shared" si="3"/>
        <v>0</v>
      </c>
      <c r="K20" s="2">
        <f t="shared" si="3"/>
        <v>0</v>
      </c>
      <c r="L20" s="8"/>
      <c r="M20" s="2" t="e">
        <f>(E20/K20)^1/($E$1-$K$1)-1</f>
        <v>#DIV/0!</v>
      </c>
    </row>
    <row r="21" spans="1:13">
      <c r="B21" t="s">
        <v>12</v>
      </c>
    </row>
    <row r="22" spans="1:13">
      <c r="B22" t="s">
        <v>13</v>
      </c>
    </row>
    <row r="23" spans="1:13">
      <c r="C23" t="s">
        <v>14</v>
      </c>
    </row>
    <row r="24" spans="1:13">
      <c r="C24" t="s">
        <v>15</v>
      </c>
    </row>
    <row r="26" spans="1:13" s="2" customFormat="1">
      <c r="A26" s="2" t="s">
        <v>186</v>
      </c>
      <c r="E26" s="2">
        <f t="shared" ref="E26:K26" si="4">E18-E20</f>
        <v>0</v>
      </c>
      <c r="F26" s="2">
        <f t="shared" si="4"/>
        <v>0</v>
      </c>
      <c r="G26" s="2">
        <f t="shared" si="4"/>
        <v>0</v>
      </c>
      <c r="H26" s="2">
        <f t="shared" si="4"/>
        <v>0</v>
      </c>
      <c r="I26" s="2">
        <f t="shared" si="4"/>
        <v>0</v>
      </c>
      <c r="J26" s="2">
        <f t="shared" si="4"/>
        <v>0</v>
      </c>
      <c r="K26" s="2">
        <f t="shared" si="4"/>
        <v>0</v>
      </c>
      <c r="L26" s="8"/>
      <c r="M26" s="2" t="e">
        <f>(E26/K26)^1/($E$1-$K$1)-1</f>
        <v>#DIV/0!</v>
      </c>
    </row>
    <row r="28" spans="1:13">
      <c r="B28" t="s">
        <v>21</v>
      </c>
    </row>
    <row r="29" spans="1:13">
      <c r="B29" t="s">
        <v>22</v>
      </c>
    </row>
    <row r="30" spans="1:13">
      <c r="C30" t="s">
        <v>43</v>
      </c>
    </row>
    <row r="31" spans="1:13">
      <c r="C31" t="s">
        <v>44</v>
      </c>
    </row>
    <row r="32" spans="1:13">
      <c r="B32" t="s">
        <v>23</v>
      </c>
    </row>
    <row r="33" spans="1:13">
      <c r="B33" t="s">
        <v>24</v>
      </c>
    </row>
    <row r="35" spans="1:13" s="2" customFormat="1">
      <c r="A35" s="2" t="s">
        <v>25</v>
      </c>
      <c r="E35" s="2">
        <f t="shared" ref="E35:K35" si="5">E26-E28-E29-E32-E33</f>
        <v>0</v>
      </c>
      <c r="F35" s="2">
        <f t="shared" si="5"/>
        <v>0</v>
      </c>
      <c r="G35" s="2">
        <f t="shared" si="5"/>
        <v>0</v>
      </c>
      <c r="H35" s="2">
        <f t="shared" si="5"/>
        <v>0</v>
      </c>
      <c r="I35" s="2">
        <f t="shared" si="5"/>
        <v>0</v>
      </c>
      <c r="J35" s="2">
        <f t="shared" si="5"/>
        <v>0</v>
      </c>
      <c r="K35" s="2">
        <f t="shared" si="5"/>
        <v>0</v>
      </c>
      <c r="L35" s="8"/>
      <c r="M35" s="2" t="e">
        <f>(E35/K35)^1/($E$1-$K$1)-1</f>
        <v>#DIV/0!</v>
      </c>
    </row>
    <row r="36" spans="1:13" s="2" customFormat="1">
      <c r="A36" s="2" t="s">
        <v>202</v>
      </c>
      <c r="E36" s="2">
        <f>E35-E9</f>
        <v>0</v>
      </c>
      <c r="F36" s="2">
        <f t="shared" ref="F36:K36" si="6">F35-F9</f>
        <v>0</v>
      </c>
      <c r="G36" s="2">
        <f t="shared" si="6"/>
        <v>0</v>
      </c>
      <c r="H36" s="2">
        <f t="shared" si="6"/>
        <v>0</v>
      </c>
      <c r="I36" s="2">
        <f t="shared" si="6"/>
        <v>0</v>
      </c>
      <c r="J36" s="2">
        <f t="shared" si="6"/>
        <v>0</v>
      </c>
      <c r="K36" s="2">
        <f t="shared" si="6"/>
        <v>0</v>
      </c>
      <c r="L36" s="8"/>
      <c r="M36" s="2" t="e">
        <f>(E36/K36)^1/($E$1-$K$1)-1</f>
        <v>#DIV/0!</v>
      </c>
    </row>
    <row r="38" spans="1:13">
      <c r="B38" t="s">
        <v>26</v>
      </c>
      <c r="L38" s="7">
        <f>SUM(D38:K38)</f>
        <v>0</v>
      </c>
    </row>
    <row r="40" spans="1:13" s="2" customFormat="1">
      <c r="A40" s="2" t="s">
        <v>27</v>
      </c>
      <c r="E40" s="2">
        <f t="shared" ref="E40:K40" si="7">E35-E38</f>
        <v>0</v>
      </c>
      <c r="F40" s="2">
        <f t="shared" si="7"/>
        <v>0</v>
      </c>
      <c r="G40" s="2">
        <f t="shared" si="7"/>
        <v>0</v>
      </c>
      <c r="H40" s="2">
        <f t="shared" si="7"/>
        <v>0</v>
      </c>
      <c r="I40" s="2">
        <f t="shared" si="7"/>
        <v>0</v>
      </c>
      <c r="J40" s="2">
        <f t="shared" si="7"/>
        <v>0</v>
      </c>
      <c r="K40" s="2">
        <f t="shared" si="7"/>
        <v>0</v>
      </c>
      <c r="L40" s="8"/>
      <c r="M40" s="2" t="e">
        <f>(E40/K40)^1/($E$1-$K$1)-1</f>
        <v>#DIV/0!</v>
      </c>
    </row>
    <row r="42" spans="1:13">
      <c r="B42" t="s">
        <v>28</v>
      </c>
    </row>
    <row r="44" spans="1:13" s="2" customFormat="1">
      <c r="A44" s="2" t="s">
        <v>29</v>
      </c>
      <c r="E44" s="2">
        <f>E40-E42</f>
        <v>0</v>
      </c>
      <c r="F44" s="2">
        <f t="shared" ref="F44:K44" si="8">F40-F42</f>
        <v>0</v>
      </c>
      <c r="G44" s="2">
        <f t="shared" si="8"/>
        <v>0</v>
      </c>
      <c r="H44" s="2">
        <f t="shared" si="8"/>
        <v>0</v>
      </c>
      <c r="I44" s="2">
        <f t="shared" si="8"/>
        <v>0</v>
      </c>
      <c r="J44" s="2">
        <f t="shared" si="8"/>
        <v>0</v>
      </c>
      <c r="K44" s="2">
        <f t="shared" si="8"/>
        <v>0</v>
      </c>
      <c r="L44" s="8">
        <f>SUM(D44:K44)</f>
        <v>0</v>
      </c>
      <c r="M44" s="2" t="e">
        <f>(E44/K44)^1/($E$1-$K$1)-1</f>
        <v>#DIV/0!</v>
      </c>
    </row>
    <row r="46" spans="1:13" s="2" customFormat="1">
      <c r="A46" s="2" t="s">
        <v>157</v>
      </c>
      <c r="L46" s="8">
        <f>SUM(D46:K46)</f>
        <v>0</v>
      </c>
      <c r="M46" s="2" t="e">
        <f>(E46/K46)^1/($E$1-$K$1)-1</f>
        <v>#DIV/0!</v>
      </c>
    </row>
    <row r="48" spans="1:13" s="1" customFormat="1">
      <c r="L48" s="9"/>
    </row>
    <row r="49" spans="1:12" s="1" customFormat="1">
      <c r="L49" s="9"/>
    </row>
    <row r="51" spans="1:12" s="2" customFormat="1">
      <c r="A51" s="2" t="s">
        <v>30</v>
      </c>
      <c r="E51" s="2">
        <f t="shared" ref="E51:K51" si="9">E52+E53-E54</f>
        <v>0</v>
      </c>
      <c r="F51" s="2">
        <f t="shared" si="9"/>
        <v>0</v>
      </c>
      <c r="G51" s="2">
        <f t="shared" si="9"/>
        <v>0</v>
      </c>
      <c r="H51" s="2">
        <f t="shared" si="9"/>
        <v>0</v>
      </c>
      <c r="I51" s="2">
        <f t="shared" si="9"/>
        <v>0</v>
      </c>
      <c r="J51" s="2">
        <f t="shared" si="9"/>
        <v>0</v>
      </c>
      <c r="K51" s="2">
        <f t="shared" si="9"/>
        <v>0</v>
      </c>
      <c r="L51" s="8"/>
    </row>
    <row r="52" spans="1:12">
      <c r="B52" t="s">
        <v>31</v>
      </c>
    </row>
    <row r="53" spans="1:12">
      <c r="B53" t="s">
        <v>32</v>
      </c>
    </row>
    <row r="54" spans="1:12">
      <c r="B54" t="s">
        <v>28</v>
      </c>
    </row>
    <row r="56" spans="1:12" s="2" customFormat="1">
      <c r="A56" s="2" t="s">
        <v>33</v>
      </c>
      <c r="E56" s="2">
        <f t="shared" ref="E56:K56" si="10">SUM(E57:E60)</f>
        <v>0</v>
      </c>
      <c r="F56" s="2">
        <f t="shared" si="10"/>
        <v>0</v>
      </c>
      <c r="G56" s="2">
        <f t="shared" si="10"/>
        <v>0</v>
      </c>
      <c r="H56" s="2">
        <f t="shared" si="10"/>
        <v>0</v>
      </c>
      <c r="I56" s="2">
        <f t="shared" si="10"/>
        <v>0</v>
      </c>
      <c r="J56" s="2">
        <f t="shared" si="10"/>
        <v>0</v>
      </c>
      <c r="K56" s="2">
        <f t="shared" si="10"/>
        <v>0</v>
      </c>
      <c r="L56" s="8"/>
    </row>
    <row r="57" spans="1:12">
      <c r="B57" t="s">
        <v>39</v>
      </c>
    </row>
    <row r="58" spans="1:12">
      <c r="B58" t="s">
        <v>176</v>
      </c>
    </row>
    <row r="59" spans="1:12">
      <c r="B59" t="s">
        <v>35</v>
      </c>
    </row>
    <row r="60" spans="1:12">
      <c r="B60" t="s">
        <v>36</v>
      </c>
    </row>
    <row r="62" spans="1:12" s="2" customFormat="1">
      <c r="A62" s="2" t="s">
        <v>37</v>
      </c>
      <c r="E62" s="2">
        <f t="shared" ref="E62:K62" si="11">E63+E64+E65+E67</f>
        <v>0</v>
      </c>
      <c r="F62" s="2">
        <f t="shared" si="11"/>
        <v>0</v>
      </c>
      <c r="G62" s="2">
        <f t="shared" si="11"/>
        <v>0</v>
      </c>
      <c r="H62" s="2">
        <f t="shared" si="11"/>
        <v>0</v>
      </c>
      <c r="I62" s="2">
        <f t="shared" si="11"/>
        <v>0</v>
      </c>
      <c r="J62" s="2">
        <f t="shared" si="11"/>
        <v>0</v>
      </c>
      <c r="K62" s="2">
        <f t="shared" si="11"/>
        <v>0</v>
      </c>
      <c r="L62" s="8"/>
    </row>
    <row r="63" spans="1:12">
      <c r="B63" t="s">
        <v>38</v>
      </c>
    </row>
    <row r="64" spans="1:12">
      <c r="B64" t="s">
        <v>40</v>
      </c>
    </row>
    <row r="65" spans="1:12">
      <c r="B65" t="s">
        <v>35</v>
      </c>
    </row>
    <row r="66" spans="1:12">
      <c r="C66" t="s">
        <v>42</v>
      </c>
    </row>
    <row r="67" spans="1:12">
      <c r="B67" t="s">
        <v>41</v>
      </c>
    </row>
    <row r="69" spans="1:12" s="2" customFormat="1">
      <c r="A69" s="2" t="s">
        <v>45</v>
      </c>
      <c r="E69" s="2">
        <f>E51+E56+E62</f>
        <v>0</v>
      </c>
      <c r="F69" s="2">
        <f t="shared" ref="F69:K69" si="12">F51+F56+F62</f>
        <v>0</v>
      </c>
      <c r="G69" s="2">
        <f t="shared" si="12"/>
        <v>0</v>
      </c>
      <c r="H69" s="2">
        <f t="shared" si="12"/>
        <v>0</v>
      </c>
      <c r="I69" s="2">
        <f t="shared" si="12"/>
        <v>0</v>
      </c>
      <c r="J69" s="2">
        <f t="shared" si="12"/>
        <v>0</v>
      </c>
      <c r="K69" s="2">
        <f t="shared" si="12"/>
        <v>0</v>
      </c>
      <c r="L69" s="8"/>
    </row>
    <row r="71" spans="1:12" s="2" customFormat="1">
      <c r="A71" s="2" t="s">
        <v>46</v>
      </c>
      <c r="E71" s="2">
        <f t="shared" ref="E71:K71" si="13">SUM(E72:E79)</f>
        <v>0</v>
      </c>
      <c r="F71" s="2">
        <f t="shared" si="13"/>
        <v>0</v>
      </c>
      <c r="G71" s="2">
        <f t="shared" si="13"/>
        <v>0</v>
      </c>
      <c r="H71" s="2">
        <f t="shared" si="13"/>
        <v>0</v>
      </c>
      <c r="I71" s="2">
        <f t="shared" si="13"/>
        <v>0</v>
      </c>
      <c r="J71" s="2">
        <f t="shared" si="13"/>
        <v>0</v>
      </c>
      <c r="K71" s="2">
        <f t="shared" si="13"/>
        <v>0</v>
      </c>
      <c r="L71" s="8"/>
    </row>
    <row r="72" spans="1:12">
      <c r="B72" t="s">
        <v>47</v>
      </c>
    </row>
    <row r="73" spans="1:12">
      <c r="B73" t="s">
        <v>48</v>
      </c>
    </row>
    <row r="74" spans="1:12">
      <c r="B74" t="s">
        <v>49</v>
      </c>
    </row>
    <row r="75" spans="1:12">
      <c r="B75" t="s">
        <v>50</v>
      </c>
    </row>
    <row r="76" spans="1:12">
      <c r="B76" t="s">
        <v>51</v>
      </c>
    </row>
    <row r="77" spans="1:12">
      <c r="B77" t="s">
        <v>52</v>
      </c>
    </row>
    <row r="78" spans="1:12">
      <c r="B78" t="s">
        <v>53</v>
      </c>
    </row>
    <row r="79" spans="1:12">
      <c r="B79" t="s">
        <v>35</v>
      </c>
    </row>
    <row r="81" spans="1:12" s="2" customFormat="1">
      <c r="A81" s="2" t="s">
        <v>54</v>
      </c>
      <c r="E81" s="2">
        <f t="shared" ref="E81:K81" si="14">SUM(E82:E87)</f>
        <v>0</v>
      </c>
      <c r="F81" s="2">
        <f t="shared" si="14"/>
        <v>0</v>
      </c>
      <c r="G81" s="2">
        <f t="shared" si="14"/>
        <v>0</v>
      </c>
      <c r="H81" s="2">
        <f t="shared" si="14"/>
        <v>0</v>
      </c>
      <c r="I81" s="2">
        <f t="shared" si="14"/>
        <v>0</v>
      </c>
      <c r="J81" s="2">
        <f t="shared" si="14"/>
        <v>0</v>
      </c>
      <c r="K81" s="2">
        <f t="shared" si="14"/>
        <v>0</v>
      </c>
      <c r="L81" s="8"/>
    </row>
    <row r="82" spans="1:12">
      <c r="B82" t="s">
        <v>55</v>
      </c>
    </row>
    <row r="83" spans="1:12">
      <c r="B83" t="s">
        <v>56</v>
      </c>
    </row>
    <row r="84" spans="1:12">
      <c r="B84" t="s">
        <v>57</v>
      </c>
    </row>
    <row r="85" spans="1:12">
      <c r="B85" t="s">
        <v>58</v>
      </c>
    </row>
    <row r="86" spans="1:12">
      <c r="B86" t="s">
        <v>59</v>
      </c>
    </row>
    <row r="87" spans="1:12">
      <c r="B87" t="s">
        <v>35</v>
      </c>
    </row>
    <row r="89" spans="1:12" s="2" customFormat="1">
      <c r="A89" s="2" t="s">
        <v>60</v>
      </c>
      <c r="E89" s="2">
        <f t="shared" ref="E89:K89" si="15">E71+E81</f>
        <v>0</v>
      </c>
      <c r="F89" s="2">
        <f t="shared" si="15"/>
        <v>0</v>
      </c>
      <c r="G89" s="2">
        <f t="shared" si="15"/>
        <v>0</v>
      </c>
      <c r="H89" s="2">
        <f t="shared" si="15"/>
        <v>0</v>
      </c>
      <c r="I89" s="2">
        <f t="shared" si="15"/>
        <v>0</v>
      </c>
      <c r="J89" s="2">
        <f t="shared" si="15"/>
        <v>0</v>
      </c>
      <c r="K89" s="2">
        <f t="shared" si="15"/>
        <v>0</v>
      </c>
      <c r="L89" s="8"/>
    </row>
    <row r="90" spans="1:12" s="2" customFormat="1">
      <c r="A90" s="2" t="s">
        <v>147</v>
      </c>
      <c r="E90" s="2">
        <f t="shared" ref="E90:K90" si="16">E66+E63+E57</f>
        <v>0</v>
      </c>
      <c r="F90" s="2">
        <f t="shared" si="16"/>
        <v>0</v>
      </c>
      <c r="G90" s="2">
        <f t="shared" si="16"/>
        <v>0</v>
      </c>
      <c r="H90" s="2">
        <f t="shared" si="16"/>
        <v>0</v>
      </c>
      <c r="I90" s="2">
        <f t="shared" si="16"/>
        <v>0</v>
      </c>
      <c r="J90" s="2">
        <f t="shared" si="16"/>
        <v>0</v>
      </c>
      <c r="K90" s="2">
        <f t="shared" si="16"/>
        <v>0</v>
      </c>
      <c r="L90" s="8"/>
    </row>
    <row r="91" spans="1:12" s="2" customFormat="1">
      <c r="A91" s="2" t="s">
        <v>174</v>
      </c>
      <c r="E91" s="2">
        <f t="shared" ref="E91:K91" si="17">E89-E85-E84-E83-E82</f>
        <v>0</v>
      </c>
      <c r="F91" s="2">
        <f t="shared" si="17"/>
        <v>0</v>
      </c>
      <c r="G91" s="2">
        <f t="shared" si="17"/>
        <v>0</v>
      </c>
      <c r="H91" s="2">
        <f t="shared" si="17"/>
        <v>0</v>
      </c>
      <c r="I91" s="2">
        <f t="shared" si="17"/>
        <v>0</v>
      </c>
      <c r="J91" s="2">
        <f t="shared" si="17"/>
        <v>0</v>
      </c>
      <c r="K91" s="2">
        <f t="shared" si="17"/>
        <v>0</v>
      </c>
      <c r="L91" s="8"/>
    </row>
    <row r="92" spans="1:12" s="2" customFormat="1">
      <c r="A92" s="2" t="s">
        <v>175</v>
      </c>
      <c r="E92" s="2">
        <f t="shared" ref="E92:K92" si="18">E69-E63-E57</f>
        <v>0</v>
      </c>
      <c r="F92" s="2">
        <f t="shared" si="18"/>
        <v>0</v>
      </c>
      <c r="G92" s="2">
        <f t="shared" si="18"/>
        <v>0</v>
      </c>
      <c r="H92" s="2">
        <f t="shared" si="18"/>
        <v>0</v>
      </c>
      <c r="I92" s="2">
        <f t="shared" si="18"/>
        <v>0</v>
      </c>
      <c r="J92" s="2">
        <f t="shared" si="18"/>
        <v>0</v>
      </c>
      <c r="K92" s="2">
        <f t="shared" si="18"/>
        <v>0</v>
      </c>
      <c r="L92" s="8"/>
    </row>
    <row r="93" spans="1:12" s="2" customFormat="1">
      <c r="A93" s="2" t="s">
        <v>180</v>
      </c>
      <c r="E93" s="2">
        <f t="shared" ref="E93:K93" si="19">E91-E92</f>
        <v>0</v>
      </c>
      <c r="F93" s="2">
        <f t="shared" si="19"/>
        <v>0</v>
      </c>
      <c r="G93" s="2">
        <f t="shared" si="19"/>
        <v>0</v>
      </c>
      <c r="H93" s="2">
        <f t="shared" si="19"/>
        <v>0</v>
      </c>
      <c r="I93" s="2">
        <f t="shared" si="19"/>
        <v>0</v>
      </c>
      <c r="J93" s="2">
        <f t="shared" si="19"/>
        <v>0</v>
      </c>
      <c r="K93" s="2">
        <f t="shared" si="19"/>
        <v>0</v>
      </c>
      <c r="L93" s="8"/>
    </row>
    <row r="94" spans="1:12" s="2" customFormat="1">
      <c r="A94" s="2" t="s">
        <v>198</v>
      </c>
      <c r="E94" s="2">
        <f t="shared" ref="E94:K94" si="20">E83+E84+E86-E64-E65</f>
        <v>0</v>
      </c>
      <c r="F94" s="2">
        <f t="shared" si="20"/>
        <v>0</v>
      </c>
      <c r="G94" s="2">
        <f t="shared" si="20"/>
        <v>0</v>
      </c>
      <c r="H94" s="2">
        <f t="shared" si="20"/>
        <v>0</v>
      </c>
      <c r="I94" s="2">
        <f t="shared" si="20"/>
        <v>0</v>
      </c>
      <c r="J94" s="2">
        <f t="shared" si="20"/>
        <v>0</v>
      </c>
      <c r="K94" s="2">
        <f t="shared" si="20"/>
        <v>0</v>
      </c>
      <c r="L94" s="8"/>
    </row>
    <row r="96" spans="1:12" s="1" customFormat="1">
      <c r="L96" s="9"/>
    </row>
    <row r="97" spans="1:12" s="1" customFormat="1">
      <c r="L97" s="9"/>
    </row>
    <row r="99" spans="1:12" s="2" customFormat="1">
      <c r="A99" s="2" t="s">
        <v>149</v>
      </c>
      <c r="E99" s="2">
        <f t="shared" ref="E99:K99" si="21">E100+E103+E105</f>
        <v>0</v>
      </c>
      <c r="F99" s="2">
        <f t="shared" si="21"/>
        <v>0</v>
      </c>
      <c r="G99" s="2">
        <f t="shared" si="21"/>
        <v>0</v>
      </c>
      <c r="H99" s="2">
        <f t="shared" si="21"/>
        <v>0</v>
      </c>
      <c r="I99" s="2">
        <f t="shared" si="21"/>
        <v>0</v>
      </c>
      <c r="J99" s="2">
        <f t="shared" si="21"/>
        <v>0</v>
      </c>
      <c r="K99" s="2">
        <f t="shared" si="21"/>
        <v>0</v>
      </c>
      <c r="L99" s="8"/>
    </row>
    <row r="100" spans="1:12">
      <c r="B100" t="s">
        <v>150</v>
      </c>
      <c r="L100" s="7">
        <f>SUM(D100:K100)</f>
        <v>0</v>
      </c>
    </row>
    <row r="101" spans="1:12">
      <c r="C101" t="s">
        <v>182</v>
      </c>
    </row>
    <row r="102" spans="1:12">
      <c r="C102" t="s">
        <v>181</v>
      </c>
      <c r="L102" s="7">
        <f>SUM(D102:K102)</f>
        <v>0</v>
      </c>
    </row>
    <row r="103" spans="1:12">
      <c r="B103" t="s">
        <v>151</v>
      </c>
    </row>
    <row r="104" spans="1:12">
      <c r="C104" t="s">
        <v>169</v>
      </c>
    </row>
    <row r="105" spans="1:12">
      <c r="B105" t="s">
        <v>153</v>
      </c>
    </row>
    <row r="106" spans="1:12" s="2" customFormat="1">
      <c r="A106" s="2" t="s">
        <v>170</v>
      </c>
      <c r="E106" s="2">
        <f t="shared" ref="E106:K106" si="22">E100-E104</f>
        <v>0</v>
      </c>
      <c r="F106" s="2">
        <f t="shared" si="22"/>
        <v>0</v>
      </c>
      <c r="G106" s="2">
        <f t="shared" si="22"/>
        <v>0</v>
      </c>
      <c r="H106" s="2">
        <f t="shared" si="22"/>
        <v>0</v>
      </c>
      <c r="I106" s="2">
        <f t="shared" si="22"/>
        <v>0</v>
      </c>
      <c r="J106" s="2">
        <f t="shared" si="22"/>
        <v>0</v>
      </c>
      <c r="K106" s="2">
        <f t="shared" si="22"/>
        <v>0</v>
      </c>
      <c r="L106" s="8">
        <f>SUM(D106:K106)</f>
        <v>0</v>
      </c>
    </row>
    <row r="108" spans="1:12" s="1" customFormat="1">
      <c r="A108" s="2" t="s">
        <v>203</v>
      </c>
      <c r="L108" s="9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J86"/>
  <sheetViews>
    <sheetView topLeftCell="A15" workbookViewId="0">
      <selection activeCell="L27" sqref="L27"/>
    </sheetView>
  </sheetViews>
  <sheetFormatPr defaultColWidth="11" defaultRowHeight="15.75"/>
  <cols>
    <col min="1" max="1" width="13.125" customWidth="1"/>
    <col min="2" max="2" width="27" customWidth="1"/>
    <col min="3" max="3" width="24.125" customWidth="1"/>
    <col min="4" max="4" width="11.5" customWidth="1"/>
  </cols>
  <sheetData>
    <row r="1" spans="1:10">
      <c r="A1" t="s">
        <v>0</v>
      </c>
      <c r="D1">
        <v>2017</v>
      </c>
      <c r="E1">
        <v>2016</v>
      </c>
      <c r="F1">
        <v>2015</v>
      </c>
      <c r="G1">
        <v>2014</v>
      </c>
      <c r="H1">
        <v>2013</v>
      </c>
      <c r="I1">
        <v>2012</v>
      </c>
      <c r="J1">
        <v>2011</v>
      </c>
    </row>
    <row r="3" spans="1:10" s="2" customFormat="1">
      <c r="A3" s="2" t="s">
        <v>73</v>
      </c>
      <c r="D3" s="2" t="e">
        <f>Consolidated!E3/Consolidated!E$4</f>
        <v>#DIV/0!</v>
      </c>
      <c r="E3" s="2" t="e">
        <f>Consolidated!F3/Consolidated!F$4</f>
        <v>#DIV/0!</v>
      </c>
      <c r="F3" s="2" t="e">
        <f>Consolidated!G3/Consolidated!G$4</f>
        <v>#DIV/0!</v>
      </c>
      <c r="G3" s="2" t="e">
        <f>Consolidated!H3/Consolidated!H$4</f>
        <v>#DIV/0!</v>
      </c>
      <c r="H3" s="2" t="e">
        <f>Consolidated!I3/Consolidated!I$4</f>
        <v>#DIV/0!</v>
      </c>
      <c r="I3" s="2" t="e">
        <f>Consolidated!J3/Consolidated!J$4</f>
        <v>#DIV/0!</v>
      </c>
      <c r="J3" s="2" t="e">
        <f>Consolidated!K3/Consolidated!K$4</f>
        <v>#DIV/0!</v>
      </c>
    </row>
    <row r="4" spans="1:10">
      <c r="B4" t="s">
        <v>2</v>
      </c>
      <c r="D4" s="4" t="e">
        <f>Consolidated!E4/Consolidated!E$4</f>
        <v>#DIV/0!</v>
      </c>
      <c r="E4" s="4" t="e">
        <f>Consolidated!F4/Consolidated!F$4</f>
        <v>#DIV/0!</v>
      </c>
      <c r="F4" s="4" t="e">
        <f>Consolidated!G4/Consolidated!G$4</f>
        <v>#DIV/0!</v>
      </c>
      <c r="G4" s="4" t="e">
        <f>Consolidated!H4/Consolidated!H$4</f>
        <v>#DIV/0!</v>
      </c>
      <c r="H4" s="4" t="e">
        <f>Consolidated!I4/Consolidated!I$4</f>
        <v>#DIV/0!</v>
      </c>
      <c r="I4" s="4" t="e">
        <f>Consolidated!J4/Consolidated!J$4</f>
        <v>#DIV/0!</v>
      </c>
      <c r="J4" s="4" t="e">
        <f>Consolidated!K4/Consolidated!K$4</f>
        <v>#DIV/0!</v>
      </c>
    </row>
    <row r="5" spans="1:10">
      <c r="C5" t="s">
        <v>61</v>
      </c>
      <c r="D5" s="4" t="e">
        <f>Consolidated!E5/Consolidated!E$4</f>
        <v>#DIV/0!</v>
      </c>
      <c r="E5" s="4" t="e">
        <f>Consolidated!F5/Consolidated!F$4</f>
        <v>#DIV/0!</v>
      </c>
      <c r="F5" s="4" t="e">
        <f>Consolidated!G5/Consolidated!G$4</f>
        <v>#DIV/0!</v>
      </c>
      <c r="G5" s="4" t="e">
        <f>Consolidated!H5/Consolidated!H$4</f>
        <v>#DIV/0!</v>
      </c>
      <c r="H5" s="4" t="e">
        <f>Consolidated!I5/Consolidated!I$4</f>
        <v>#DIV/0!</v>
      </c>
      <c r="I5" s="4" t="e">
        <f>Consolidated!J5/Consolidated!J$4</f>
        <v>#DIV/0!</v>
      </c>
      <c r="J5" s="4" t="e">
        <f>Consolidated!K5/Consolidated!K$4</f>
        <v>#DIV/0!</v>
      </c>
    </row>
    <row r="6" spans="1:10">
      <c r="C6" t="s">
        <v>62</v>
      </c>
      <c r="D6" s="4" t="e">
        <f>Consolidated!E6/Consolidated!E$4</f>
        <v>#DIV/0!</v>
      </c>
      <c r="E6" s="4" t="e">
        <f>Consolidated!F6/Consolidated!F$4</f>
        <v>#DIV/0!</v>
      </c>
      <c r="F6" s="4" t="e">
        <f>Consolidated!G6/Consolidated!G$4</f>
        <v>#DIV/0!</v>
      </c>
      <c r="G6" s="4" t="e">
        <f>Consolidated!H6/Consolidated!H$4</f>
        <v>#DIV/0!</v>
      </c>
      <c r="H6" s="4" t="e">
        <f>Consolidated!I6/Consolidated!I$4</f>
        <v>#DIV/0!</v>
      </c>
      <c r="I6" s="4" t="e">
        <f>Consolidated!J6/Consolidated!J$4</f>
        <v>#DIV/0!</v>
      </c>
      <c r="J6" s="4" t="e">
        <f>Consolidated!K6/Consolidated!K$4</f>
        <v>#DIV/0!</v>
      </c>
    </row>
    <row r="7" spans="1:10">
      <c r="B7" t="s">
        <v>74</v>
      </c>
      <c r="D7" s="4" t="e">
        <f>Consolidated!E7/Consolidated!E$4</f>
        <v>#DIV/0!</v>
      </c>
      <c r="E7" s="4" t="e">
        <f>Consolidated!F7/Consolidated!F$4</f>
        <v>#DIV/0!</v>
      </c>
      <c r="F7" s="4" t="e">
        <f>Consolidated!G7/Consolidated!G$4</f>
        <v>#DIV/0!</v>
      </c>
      <c r="G7" s="4" t="e">
        <f>Consolidated!H7/Consolidated!H$4</f>
        <v>#DIV/0!</v>
      </c>
      <c r="H7" s="4" t="e">
        <f>Consolidated!I7/Consolidated!I$4</f>
        <v>#DIV/0!</v>
      </c>
      <c r="I7" s="4" t="e">
        <f>Consolidated!J7/Consolidated!J$4</f>
        <v>#DIV/0!</v>
      </c>
      <c r="J7" s="4" t="e">
        <f>Consolidated!K7/Consolidated!K$4</f>
        <v>#DIV/0!</v>
      </c>
    </row>
    <row r="8" spans="1:10">
      <c r="B8" t="s">
        <v>75</v>
      </c>
      <c r="D8" s="4" t="e">
        <f>Consolidated!E8/Consolidated!E$4</f>
        <v>#DIV/0!</v>
      </c>
      <c r="E8" s="4" t="e">
        <f>Consolidated!F8/Consolidated!F$4</f>
        <v>#DIV/0!</v>
      </c>
      <c r="F8" s="4" t="e">
        <f>Consolidated!G8/Consolidated!G$4</f>
        <v>#DIV/0!</v>
      </c>
      <c r="G8" s="4" t="e">
        <f>Consolidated!H8/Consolidated!H$4</f>
        <v>#DIV/0!</v>
      </c>
      <c r="H8" s="4" t="e">
        <f>Consolidated!I8/Consolidated!I$4</f>
        <v>#DIV/0!</v>
      </c>
      <c r="I8" s="4" t="e">
        <f>Consolidated!J8/Consolidated!J$4</f>
        <v>#DIV/0!</v>
      </c>
      <c r="J8" s="4" t="e">
        <f>Consolidated!K8/Consolidated!K$4</f>
        <v>#DIV/0!</v>
      </c>
    </row>
    <row r="9" spans="1:10">
      <c r="B9" t="s">
        <v>76</v>
      </c>
      <c r="D9" s="4" t="e">
        <f>Consolidated!E9/Consolidated!E$4</f>
        <v>#DIV/0!</v>
      </c>
      <c r="E9" s="4" t="e">
        <f>Consolidated!F9/Consolidated!F$4</f>
        <v>#DIV/0!</v>
      </c>
      <c r="F9" s="4" t="e">
        <f>Consolidated!G9/Consolidated!G$4</f>
        <v>#DIV/0!</v>
      </c>
      <c r="G9" s="4" t="e">
        <f>Consolidated!H9/Consolidated!H$4</f>
        <v>#DIV/0!</v>
      </c>
      <c r="H9" s="4" t="e">
        <f>Consolidated!I9/Consolidated!I$4</f>
        <v>#DIV/0!</v>
      </c>
      <c r="I9" s="4" t="e">
        <f>Consolidated!J9/Consolidated!J$4</f>
        <v>#DIV/0!</v>
      </c>
      <c r="J9" s="4" t="e">
        <f>Consolidated!K9/Consolidated!K$4</f>
        <v>#DIV/0!</v>
      </c>
    </row>
    <row r="11" spans="1:10" s="2" customFormat="1">
      <c r="A11" s="2" t="s">
        <v>77</v>
      </c>
      <c r="D11" s="2" t="e">
        <f>Consolidated!E11/Consolidated!E$4</f>
        <v>#DIV/0!</v>
      </c>
      <c r="E11" s="2" t="e">
        <f>Consolidated!F11/Consolidated!F$4</f>
        <v>#DIV/0!</v>
      </c>
      <c r="F11" s="2" t="e">
        <f>Consolidated!G11/Consolidated!G$4</f>
        <v>#DIV/0!</v>
      </c>
      <c r="G11" s="2" t="e">
        <f>Consolidated!H11/Consolidated!H$4</f>
        <v>#DIV/0!</v>
      </c>
      <c r="H11" s="2" t="e">
        <f>Consolidated!I11/Consolidated!I$4</f>
        <v>#DIV/0!</v>
      </c>
      <c r="I11" s="2" t="e">
        <f>Consolidated!J11/Consolidated!J$4</f>
        <v>#DIV/0!</v>
      </c>
      <c r="J11" s="2" t="e">
        <f>Consolidated!K11/Consolidated!K$4</f>
        <v>#DIV/0!</v>
      </c>
    </row>
    <row r="12" spans="1:10">
      <c r="B12" t="s">
        <v>78</v>
      </c>
      <c r="D12" s="4" t="e">
        <f>Consolidated!E12/Consolidated!E$4</f>
        <v>#DIV/0!</v>
      </c>
      <c r="E12" s="4" t="e">
        <f>Consolidated!F12/Consolidated!F$4</f>
        <v>#DIV/0!</v>
      </c>
      <c r="F12" s="4" t="e">
        <f>Consolidated!G12/Consolidated!G$4</f>
        <v>#DIV/0!</v>
      </c>
      <c r="G12" s="4" t="e">
        <f>Consolidated!H12/Consolidated!H$4</f>
        <v>#DIV/0!</v>
      </c>
      <c r="H12" s="4" t="e">
        <f>Consolidated!I12/Consolidated!I$4</f>
        <v>#DIV/0!</v>
      </c>
      <c r="I12" s="4" t="e">
        <f>Consolidated!J12/Consolidated!J$4</f>
        <v>#DIV/0!</v>
      </c>
      <c r="J12" s="4" t="e">
        <f>Consolidated!K12/Consolidated!K$4</f>
        <v>#DIV/0!</v>
      </c>
    </row>
    <row r="13" spans="1:10">
      <c r="C13" t="s">
        <v>63</v>
      </c>
      <c r="D13" s="4" t="e">
        <f>Consolidated!E13/Consolidated!E$12</f>
        <v>#DIV/0!</v>
      </c>
      <c r="E13" s="4" t="e">
        <f>Consolidated!F13/Consolidated!F$12</f>
        <v>#DIV/0!</v>
      </c>
      <c r="F13" s="4" t="e">
        <f>Consolidated!G13/Consolidated!G$12</f>
        <v>#DIV/0!</v>
      </c>
      <c r="G13" s="4" t="e">
        <f>Consolidated!H13/Consolidated!H$12</f>
        <v>#DIV/0!</v>
      </c>
      <c r="H13" s="4" t="e">
        <f>Consolidated!I13/Consolidated!I$12</f>
        <v>#DIV/0!</v>
      </c>
      <c r="I13" s="4" t="e">
        <f>Consolidated!J13/Consolidated!J$12</f>
        <v>#DIV/0!</v>
      </c>
      <c r="J13" s="4" t="e">
        <f>Consolidated!K13/Consolidated!K$12</f>
        <v>#DIV/0!</v>
      </c>
    </row>
    <row r="14" spans="1:10">
      <c r="C14" t="s">
        <v>64</v>
      </c>
      <c r="D14" s="4" t="e">
        <f>Consolidated!E14/Consolidated!E$12</f>
        <v>#DIV/0!</v>
      </c>
      <c r="E14" s="4" t="e">
        <f>Consolidated!F14/Consolidated!F$12</f>
        <v>#DIV/0!</v>
      </c>
      <c r="F14" s="4" t="e">
        <f>Consolidated!G14/Consolidated!G$12</f>
        <v>#DIV/0!</v>
      </c>
      <c r="G14" s="4" t="e">
        <f>Consolidated!H14/Consolidated!H$12</f>
        <v>#DIV/0!</v>
      </c>
      <c r="H14" s="4" t="e">
        <f>Consolidated!I14/Consolidated!I$12</f>
        <v>#DIV/0!</v>
      </c>
      <c r="I14" s="4" t="e">
        <f>Consolidated!J14/Consolidated!J$12</f>
        <v>#DIV/0!</v>
      </c>
      <c r="J14" s="4" t="e">
        <f>Consolidated!K14/Consolidated!K$12</f>
        <v>#DIV/0!</v>
      </c>
    </row>
    <row r="15" spans="1:10">
      <c r="B15" t="s">
        <v>79</v>
      </c>
      <c r="D15" s="4" t="e">
        <f>Consolidated!E15/Consolidated!E$4</f>
        <v>#DIV/0!</v>
      </c>
      <c r="E15" s="4" t="e">
        <f>Consolidated!F15/Consolidated!F$4</f>
        <v>#DIV/0!</v>
      </c>
      <c r="F15" s="4" t="e">
        <f>Consolidated!G15/Consolidated!G$4</f>
        <v>#DIV/0!</v>
      </c>
      <c r="G15" s="4" t="e">
        <f>Consolidated!H15/Consolidated!H$4</f>
        <v>#DIV/0!</v>
      </c>
      <c r="H15" s="4" t="e">
        <f>Consolidated!I15/Consolidated!I$4</f>
        <v>#DIV/0!</v>
      </c>
      <c r="I15" s="4" t="e">
        <f>Consolidated!J15/Consolidated!J$4</f>
        <v>#DIV/0!</v>
      </c>
      <c r="J15" s="4" t="e">
        <f>Consolidated!K15/Consolidated!K$4</f>
        <v>#DIV/0!</v>
      </c>
    </row>
    <row r="16" spans="1:10">
      <c r="B16" t="s">
        <v>80</v>
      </c>
      <c r="D16" s="4" t="e">
        <f>Consolidated!E16/Consolidated!E$4</f>
        <v>#DIV/0!</v>
      </c>
      <c r="E16" s="4" t="e">
        <f>Consolidated!F16/Consolidated!F$4</f>
        <v>#DIV/0!</v>
      </c>
      <c r="F16" s="4" t="e">
        <f>Consolidated!G16/Consolidated!G$4</f>
        <v>#DIV/0!</v>
      </c>
      <c r="G16" s="4" t="e">
        <f>Consolidated!H16/Consolidated!H$4</f>
        <v>#DIV/0!</v>
      </c>
      <c r="H16" s="4" t="e">
        <f>Consolidated!I16/Consolidated!I$4</f>
        <v>#DIV/0!</v>
      </c>
      <c r="I16" s="4" t="e">
        <f>Consolidated!J16/Consolidated!J$4</f>
        <v>#DIV/0!</v>
      </c>
      <c r="J16" s="4" t="e">
        <f>Consolidated!K16/Consolidated!K$4</f>
        <v>#DIV/0!</v>
      </c>
    </row>
    <row r="18" spans="1:10" s="2" customFormat="1">
      <c r="A18" s="2" t="s">
        <v>81</v>
      </c>
      <c r="D18" s="2" t="e">
        <f>Consolidated!E18/Consolidated!E$3</f>
        <v>#DIV/0!</v>
      </c>
      <c r="E18" s="2" t="e">
        <f>Consolidated!F18/Consolidated!F$3</f>
        <v>#DIV/0!</v>
      </c>
      <c r="F18" s="2" t="e">
        <f>Consolidated!G18/Consolidated!G$3</f>
        <v>#DIV/0!</v>
      </c>
      <c r="G18" s="2" t="e">
        <f>Consolidated!H18/Consolidated!H$3</f>
        <v>#DIV/0!</v>
      </c>
      <c r="H18" s="2" t="e">
        <f>Consolidated!I18/Consolidated!I$3</f>
        <v>#DIV/0!</v>
      </c>
      <c r="I18" s="2" t="e">
        <f>Consolidated!J18/Consolidated!J$3</f>
        <v>#DIV/0!</v>
      </c>
      <c r="J18" s="2" t="e">
        <f>Consolidated!K18/Consolidated!K$3</f>
        <v>#DIV/0!</v>
      </c>
    </row>
    <row r="20" spans="1:10" s="2" customFormat="1">
      <c r="A20" s="2" t="s">
        <v>82</v>
      </c>
      <c r="D20" s="2" t="e">
        <f>Consolidated!E20/Consolidated!E$4</f>
        <v>#DIV/0!</v>
      </c>
      <c r="E20" s="2" t="e">
        <f>Consolidated!F20/Consolidated!F$4</f>
        <v>#DIV/0!</v>
      </c>
      <c r="F20" s="2" t="e">
        <f>Consolidated!G20/Consolidated!G$4</f>
        <v>#DIV/0!</v>
      </c>
      <c r="G20" s="2" t="e">
        <f>Consolidated!H20/Consolidated!H$4</f>
        <v>#DIV/0!</v>
      </c>
      <c r="H20" s="2" t="e">
        <f>Consolidated!I20/Consolidated!I$4</f>
        <v>#DIV/0!</v>
      </c>
      <c r="I20" s="2" t="e">
        <f>Consolidated!J20/Consolidated!J$4</f>
        <v>#DIV/0!</v>
      </c>
      <c r="J20" s="2" t="e">
        <f>Consolidated!K20/Consolidated!K$4</f>
        <v>#DIV/0!</v>
      </c>
    </row>
    <row r="21" spans="1:10">
      <c r="B21" t="s">
        <v>83</v>
      </c>
      <c r="D21" s="4" t="e">
        <f>Consolidated!E21/Consolidated!E$4</f>
        <v>#DIV/0!</v>
      </c>
      <c r="E21" s="4" t="e">
        <f>Consolidated!F21/Consolidated!F$4</f>
        <v>#DIV/0!</v>
      </c>
      <c r="F21" s="4" t="e">
        <f>Consolidated!G21/Consolidated!G$4</f>
        <v>#DIV/0!</v>
      </c>
      <c r="G21" s="4" t="e">
        <f>Consolidated!H21/Consolidated!H$4</f>
        <v>#DIV/0!</v>
      </c>
      <c r="H21" s="4" t="e">
        <f>Consolidated!I21/Consolidated!I$4</f>
        <v>#DIV/0!</v>
      </c>
      <c r="I21" s="4" t="e">
        <f>Consolidated!J21/Consolidated!J$4</f>
        <v>#DIV/0!</v>
      </c>
      <c r="J21" s="4" t="e">
        <f>Consolidated!K21/Consolidated!K$4</f>
        <v>#DIV/0!</v>
      </c>
    </row>
    <row r="22" spans="1:10">
      <c r="B22" t="s">
        <v>84</v>
      </c>
      <c r="D22" s="4" t="e">
        <f>Consolidated!E22/Consolidated!E$4</f>
        <v>#DIV/0!</v>
      </c>
      <c r="E22" s="4" t="e">
        <f>Consolidated!F22/Consolidated!F$4</f>
        <v>#DIV/0!</v>
      </c>
      <c r="F22" s="4" t="e">
        <f>Consolidated!G22/Consolidated!G$4</f>
        <v>#DIV/0!</v>
      </c>
      <c r="G22" s="4" t="e">
        <f>Consolidated!H22/Consolidated!H$4</f>
        <v>#DIV/0!</v>
      </c>
      <c r="H22" s="4" t="e">
        <f>Consolidated!I22/Consolidated!I$4</f>
        <v>#DIV/0!</v>
      </c>
      <c r="I22" s="4" t="e">
        <f>Consolidated!J22/Consolidated!J$4</f>
        <v>#DIV/0!</v>
      </c>
      <c r="J22" s="4" t="e">
        <f>Consolidated!K22/Consolidated!K$4</f>
        <v>#DIV/0!</v>
      </c>
    </row>
    <row r="23" spans="1:10">
      <c r="C23" t="s">
        <v>121</v>
      </c>
      <c r="D23" s="4" t="e">
        <f>Consolidated!E23/Consolidated!E$4</f>
        <v>#DIV/0!</v>
      </c>
      <c r="E23" s="4" t="e">
        <f>Consolidated!F23/Consolidated!F$4</f>
        <v>#DIV/0!</v>
      </c>
      <c r="F23" s="4" t="e">
        <f>Consolidated!G23/Consolidated!G$4</f>
        <v>#DIV/0!</v>
      </c>
      <c r="G23" s="4" t="e">
        <f>Consolidated!H23/Consolidated!H$4</f>
        <v>#DIV/0!</v>
      </c>
      <c r="H23" s="4" t="e">
        <f>Consolidated!I23/Consolidated!I$4</f>
        <v>#DIV/0!</v>
      </c>
      <c r="I23" s="4" t="e">
        <f>Consolidated!J23/Consolidated!J$4</f>
        <v>#DIV/0!</v>
      </c>
      <c r="J23" s="4" t="e">
        <f>Consolidated!K23/Consolidated!K$4</f>
        <v>#DIV/0!</v>
      </c>
    </row>
    <row r="24" spans="1:10">
      <c r="C24" t="s">
        <v>122</v>
      </c>
      <c r="D24" s="4" t="e">
        <f>Consolidated!E24/Consolidated!E$4</f>
        <v>#DIV/0!</v>
      </c>
      <c r="E24" s="4" t="e">
        <f>Consolidated!F24/Consolidated!F$4</f>
        <v>#DIV/0!</v>
      </c>
      <c r="F24" s="4" t="e">
        <f>Consolidated!G24/Consolidated!G$4</f>
        <v>#DIV/0!</v>
      </c>
      <c r="G24" s="4" t="e">
        <f>Consolidated!H24/Consolidated!H$4</f>
        <v>#DIV/0!</v>
      </c>
      <c r="H24" s="4" t="e">
        <f>Consolidated!I24/Consolidated!I$4</f>
        <v>#DIV/0!</v>
      </c>
      <c r="I24" s="4" t="e">
        <f>Consolidated!J24/Consolidated!J$4</f>
        <v>#DIV/0!</v>
      </c>
      <c r="J24" s="4" t="e">
        <f>Consolidated!K24/Consolidated!K$4</f>
        <v>#DIV/0!</v>
      </c>
    </row>
    <row r="26" spans="1:10" s="2" customFormat="1">
      <c r="A26" s="2" t="s">
        <v>85</v>
      </c>
      <c r="D26" s="2" t="e">
        <f>Consolidated!E26/Consolidated!E$3</f>
        <v>#DIV/0!</v>
      </c>
      <c r="E26" s="2" t="e">
        <f>Consolidated!F26/Consolidated!F$3</f>
        <v>#DIV/0!</v>
      </c>
      <c r="F26" s="2" t="e">
        <f>Consolidated!G26/Consolidated!G$3</f>
        <v>#DIV/0!</v>
      </c>
      <c r="G26" s="2" t="e">
        <f>Consolidated!H26/Consolidated!H$3</f>
        <v>#DIV/0!</v>
      </c>
      <c r="H26" s="2" t="e">
        <f>Consolidated!I26/Consolidated!I$3</f>
        <v>#DIV/0!</v>
      </c>
      <c r="I26" s="2" t="e">
        <f>Consolidated!J26/Consolidated!J$3</f>
        <v>#DIV/0!</v>
      </c>
      <c r="J26" s="2" t="e">
        <f>Consolidated!K26/Consolidated!K$3</f>
        <v>#DIV/0!</v>
      </c>
    </row>
    <row r="28" spans="1:10">
      <c r="B28" t="s">
        <v>21</v>
      </c>
      <c r="D28" t="e">
        <f>Consolidated!E28/(Consolidated!E72+Consolidated!E73+Consolidated!E74+Consolidated!F72+Consolidated!F73+Consolidated!F74)*2</f>
        <v>#DIV/0!</v>
      </c>
      <c r="E28" t="e">
        <f>Consolidated!F28/(Consolidated!F72+Consolidated!F73+Consolidated!F74+Consolidated!G72+Consolidated!G73+Consolidated!G74)*2</f>
        <v>#DIV/0!</v>
      </c>
      <c r="F28" t="e">
        <f>Consolidated!G28/(Consolidated!G72+Consolidated!G73+Consolidated!G74+Consolidated!H72+Consolidated!H73+Consolidated!H74)*2</f>
        <v>#DIV/0!</v>
      </c>
      <c r="G28" t="e">
        <f>Consolidated!H28/(Consolidated!H72+Consolidated!H73+Consolidated!H74+Consolidated!I72+Consolidated!I73+Consolidated!I74)*2</f>
        <v>#DIV/0!</v>
      </c>
      <c r="H28" t="e">
        <f>Consolidated!I28/(Consolidated!I72+Consolidated!I73+Consolidated!I74+Consolidated!J72+Consolidated!J73+Consolidated!J74)*2</f>
        <v>#DIV/0!</v>
      </c>
      <c r="I28" t="e">
        <f>Consolidated!J28/(Consolidated!J72+Consolidated!J73+Consolidated!J74+Consolidated!K72+Consolidated!K73+Consolidated!K74)*2</f>
        <v>#DIV/0!</v>
      </c>
    </row>
    <row r="29" spans="1:10">
      <c r="B29" t="s">
        <v>22</v>
      </c>
    </row>
    <row r="30" spans="1:10">
      <c r="C30" t="s">
        <v>144</v>
      </c>
      <c r="D30" t="e">
        <f>Consolidated!E30*2/(Consolidated!E57+Consolidated!F57+Consolidated!E63+Consolidated!F63+Consolidated!E66+Consolidated!F66)</f>
        <v>#DIV/0!</v>
      </c>
      <c r="E30" t="e">
        <f>Consolidated!F30*2/(Consolidated!F57+Consolidated!G57+Consolidated!F63+Consolidated!G63+Consolidated!F66+Consolidated!G66)</f>
        <v>#DIV/0!</v>
      </c>
      <c r="F30" t="e">
        <f>Consolidated!G30*2/(Consolidated!G57+Consolidated!H57+Consolidated!G63+Consolidated!H63+Consolidated!G66+Consolidated!H66)</f>
        <v>#DIV/0!</v>
      </c>
      <c r="G30" t="e">
        <f>Consolidated!H30*2/(Consolidated!H57+Consolidated!I57+Consolidated!H63+Consolidated!I63+Consolidated!H66+Consolidated!I66)</f>
        <v>#DIV/0!</v>
      </c>
      <c r="H30" t="e">
        <f>Consolidated!I30*2/(Consolidated!I57+Consolidated!J57+Consolidated!I63+Consolidated!J63+Consolidated!I66+Consolidated!J66)</f>
        <v>#DIV/0!</v>
      </c>
      <c r="I30" t="e">
        <f>Consolidated!J30*2/(Consolidated!J57+Consolidated!K57+Consolidated!J63+Consolidated!K63+Consolidated!J66+Consolidated!K66)</f>
        <v>#DIV/0!</v>
      </c>
    </row>
    <row r="31" spans="1:10">
      <c r="C31" t="s">
        <v>125</v>
      </c>
      <c r="D31" t="e">
        <f>Consolidated!E31/Consolidated!E4</f>
        <v>#DIV/0!</v>
      </c>
      <c r="E31" t="e">
        <f>Consolidated!F31/Consolidated!F4</f>
        <v>#DIV/0!</v>
      </c>
      <c r="F31" t="e">
        <f>Consolidated!G31/Consolidated!G4</f>
        <v>#DIV/0!</v>
      </c>
      <c r="G31" t="e">
        <f>Consolidated!H31/Consolidated!H4</f>
        <v>#DIV/0!</v>
      </c>
      <c r="H31" t="e">
        <f>Consolidated!I31/Consolidated!I4</f>
        <v>#DIV/0!</v>
      </c>
      <c r="I31" t="e">
        <f>Consolidated!J31/Consolidated!J4</f>
        <v>#DIV/0!</v>
      </c>
      <c r="J31" t="e">
        <f>Consolidated!K31/Consolidated!K4</f>
        <v>#DIV/0!</v>
      </c>
    </row>
    <row r="32" spans="1:10">
      <c r="B32" t="s">
        <v>23</v>
      </c>
    </row>
    <row r="33" spans="1:10">
      <c r="B33" t="s">
        <v>24</v>
      </c>
    </row>
    <row r="35" spans="1:10" s="2" customFormat="1">
      <c r="A35" s="2" t="s">
        <v>86</v>
      </c>
      <c r="D35" s="2" t="e">
        <f>Consolidated!E35/Consolidated!E$3</f>
        <v>#DIV/0!</v>
      </c>
      <c r="E35" s="2" t="e">
        <f>Consolidated!F35/Consolidated!F$3</f>
        <v>#DIV/0!</v>
      </c>
      <c r="F35" s="2" t="e">
        <f>Consolidated!G35/Consolidated!G$3</f>
        <v>#DIV/0!</v>
      </c>
      <c r="G35" s="2" t="e">
        <f>Consolidated!H35/Consolidated!H$3</f>
        <v>#DIV/0!</v>
      </c>
      <c r="H35" s="2" t="e">
        <f>Consolidated!I35/Consolidated!I$3</f>
        <v>#DIV/0!</v>
      </c>
      <c r="I35" s="2" t="e">
        <f>Consolidated!J35/Consolidated!J$3</f>
        <v>#DIV/0!</v>
      </c>
      <c r="J35" s="2" t="e">
        <f>Consolidated!K35/Consolidated!K$3</f>
        <v>#DIV/0!</v>
      </c>
    </row>
    <row r="37" spans="1:10">
      <c r="B37" t="s">
        <v>65</v>
      </c>
      <c r="D37" s="4" t="e">
        <f>Consolidated!E38/Consolidated!E$35</f>
        <v>#DIV/0!</v>
      </c>
      <c r="E37" s="4" t="e">
        <f>Consolidated!F38/Consolidated!F$35</f>
        <v>#DIV/0!</v>
      </c>
      <c r="F37" s="4" t="e">
        <f>Consolidated!G38/Consolidated!G$35</f>
        <v>#DIV/0!</v>
      </c>
      <c r="G37" s="4" t="e">
        <f>Consolidated!H38/Consolidated!H$35</f>
        <v>#DIV/0!</v>
      </c>
      <c r="H37" s="4" t="e">
        <f>Consolidated!I38/Consolidated!I$35</f>
        <v>#DIV/0!</v>
      </c>
      <c r="I37" s="4" t="e">
        <f>Consolidated!J38/Consolidated!J$35</f>
        <v>#DIV/0!</v>
      </c>
      <c r="J37" s="4" t="e">
        <f>Consolidated!K38/Consolidated!K$35</f>
        <v>#DIV/0!</v>
      </c>
    </row>
    <row r="38" spans="1:10">
      <c r="B38" t="s">
        <v>66</v>
      </c>
    </row>
    <row r="39" spans="1:10" s="2" customFormat="1">
      <c r="A39" s="2" t="s">
        <v>87</v>
      </c>
      <c r="D39" s="2" t="e">
        <f>Consolidated!E40/Consolidated!E$3</f>
        <v>#DIV/0!</v>
      </c>
      <c r="E39" s="2" t="e">
        <f>Consolidated!F40/Consolidated!F$3</f>
        <v>#DIV/0!</v>
      </c>
      <c r="F39" s="2" t="e">
        <f>Consolidated!G40/Consolidated!G$3</f>
        <v>#DIV/0!</v>
      </c>
      <c r="G39" s="2" t="e">
        <f>Consolidated!H40/Consolidated!H$3</f>
        <v>#DIV/0!</v>
      </c>
      <c r="H39" s="2" t="e">
        <f>Consolidated!I40/Consolidated!I$3</f>
        <v>#DIV/0!</v>
      </c>
      <c r="I39" s="2" t="e">
        <f>Consolidated!J40/Consolidated!J$3</f>
        <v>#DIV/0!</v>
      </c>
      <c r="J39" s="2" t="e">
        <f>Consolidated!K40/Consolidated!K$3</f>
        <v>#DIV/0!</v>
      </c>
    </row>
    <row r="41" spans="1:10">
      <c r="B41" t="s">
        <v>92</v>
      </c>
      <c r="D41">
        <f>Consolidated!E42/(Consolidated!E40-StandAlone!E40)</f>
        <v>0</v>
      </c>
      <c r="E41">
        <f>Consolidated!F42/(Consolidated!F40-StandAlone!F40)</f>
        <v>0</v>
      </c>
      <c r="F41">
        <f>Consolidated!G42/(Consolidated!G40-StandAlone!G40)</f>
        <v>0</v>
      </c>
      <c r="G41">
        <f>Consolidated!H42/(Consolidated!H40-StandAlone!H40)</f>
        <v>0</v>
      </c>
      <c r="H41">
        <f>Consolidated!I42/(Consolidated!I40-StandAlone!I40)</f>
        <v>0</v>
      </c>
      <c r="I41">
        <f>Consolidated!J42/(Consolidated!J40-StandAlone!J40)</f>
        <v>0</v>
      </c>
      <c r="J41">
        <f>Consolidated!K42/(Consolidated!K40-StandAlone!K40)</f>
        <v>0</v>
      </c>
    </row>
    <row r="43" spans="1:10" s="2" customFormat="1">
      <c r="A43" s="2" t="s">
        <v>88</v>
      </c>
      <c r="D43" s="2" t="e">
        <f>Consolidated!E44/Consolidated!E$3</f>
        <v>#DIV/0!</v>
      </c>
      <c r="E43" s="2" t="e">
        <f>Consolidated!F44/Consolidated!F$3</f>
        <v>#DIV/0!</v>
      </c>
      <c r="F43" s="2" t="e">
        <f>Consolidated!G44/Consolidated!G$3</f>
        <v>#DIV/0!</v>
      </c>
      <c r="G43" s="2" t="e">
        <f>Consolidated!H44/Consolidated!H$3</f>
        <v>#DIV/0!</v>
      </c>
      <c r="H43" s="2" t="e">
        <f>Consolidated!I44/Consolidated!I$3</f>
        <v>#DIV/0!</v>
      </c>
      <c r="I43" s="2" t="e">
        <f>Consolidated!J44/Consolidated!J$3</f>
        <v>#DIV/0!</v>
      </c>
      <c r="J43" s="2" t="e">
        <f>Consolidated!K44/Consolidated!K$3</f>
        <v>#DIV/0!</v>
      </c>
    </row>
    <row r="45" spans="1:10" s="1" customFormat="1"/>
    <row r="46" spans="1:10" s="1" customFormat="1"/>
    <row r="48" spans="1:10" s="2" customFormat="1">
      <c r="A48" s="2" t="s">
        <v>30</v>
      </c>
      <c r="D48" s="2" t="e">
        <f t="shared" ref="D48:J48" si="0">D49+D50-D51</f>
        <v>#DIV/0!</v>
      </c>
      <c r="E48" s="2" t="e">
        <f t="shared" si="0"/>
        <v>#DIV/0!</v>
      </c>
      <c r="F48" s="2" t="e">
        <f t="shared" si="0"/>
        <v>#DIV/0!</v>
      </c>
      <c r="G48" s="2" t="e">
        <f t="shared" si="0"/>
        <v>#DIV/0!</v>
      </c>
      <c r="H48" s="2" t="e">
        <f t="shared" si="0"/>
        <v>#DIV/0!</v>
      </c>
      <c r="I48" s="2" t="e">
        <f t="shared" si="0"/>
        <v>#DIV/0!</v>
      </c>
      <c r="J48" s="2" t="e">
        <f t="shared" si="0"/>
        <v>#DIV/0!</v>
      </c>
    </row>
    <row r="49" spans="1:10">
      <c r="B49" t="s">
        <v>31</v>
      </c>
      <c r="D49" t="e">
        <f>Consolidated!E52/Consolidated!E$89</f>
        <v>#DIV/0!</v>
      </c>
      <c r="E49" t="e">
        <f>Consolidated!F52/Consolidated!F$89</f>
        <v>#DIV/0!</v>
      </c>
      <c r="F49" t="e">
        <f>Consolidated!G52/Consolidated!G$89</f>
        <v>#DIV/0!</v>
      </c>
      <c r="G49" t="e">
        <f>Consolidated!H52/Consolidated!H$89</f>
        <v>#DIV/0!</v>
      </c>
      <c r="H49" t="e">
        <f>Consolidated!I52/Consolidated!I$89</f>
        <v>#DIV/0!</v>
      </c>
      <c r="I49" t="e">
        <f>Consolidated!J52/Consolidated!J$89</f>
        <v>#DIV/0!</v>
      </c>
      <c r="J49" t="e">
        <f>Consolidated!K52/Consolidated!K$89</f>
        <v>#DIV/0!</v>
      </c>
    </row>
    <row r="50" spans="1:10">
      <c r="B50" t="s">
        <v>32</v>
      </c>
      <c r="D50" t="e">
        <f>Consolidated!E53/Consolidated!E$89</f>
        <v>#DIV/0!</v>
      </c>
      <c r="E50" t="e">
        <f>Consolidated!F53/Consolidated!F$89</f>
        <v>#DIV/0!</v>
      </c>
      <c r="F50" t="e">
        <f>Consolidated!G53/Consolidated!G$89</f>
        <v>#DIV/0!</v>
      </c>
      <c r="G50" t="e">
        <f>Consolidated!H53/Consolidated!H$89</f>
        <v>#DIV/0!</v>
      </c>
      <c r="H50" t="e">
        <f>Consolidated!I53/Consolidated!I$89</f>
        <v>#DIV/0!</v>
      </c>
      <c r="I50" t="e">
        <f>Consolidated!J53/Consolidated!J$89</f>
        <v>#DIV/0!</v>
      </c>
      <c r="J50" t="e">
        <f>Consolidated!K53/Consolidated!K$89</f>
        <v>#DIV/0!</v>
      </c>
    </row>
    <row r="51" spans="1:10">
      <c r="B51" t="s">
        <v>28</v>
      </c>
      <c r="D51" t="e">
        <f>Consolidated!E54/Consolidated!E$89</f>
        <v>#DIV/0!</v>
      </c>
      <c r="E51" t="e">
        <f>Consolidated!F54/Consolidated!F$89</f>
        <v>#DIV/0!</v>
      </c>
      <c r="F51" t="e">
        <f>Consolidated!G54/Consolidated!G$89</f>
        <v>#DIV/0!</v>
      </c>
      <c r="G51" t="e">
        <f>Consolidated!H54/Consolidated!H$89</f>
        <v>#DIV/0!</v>
      </c>
      <c r="H51" t="e">
        <f>Consolidated!I54/Consolidated!I$89</f>
        <v>#DIV/0!</v>
      </c>
      <c r="I51" t="e">
        <f>Consolidated!J54/Consolidated!J$89</f>
        <v>#DIV/0!</v>
      </c>
      <c r="J51" t="e">
        <f>Consolidated!K54/Consolidated!K$89</f>
        <v>#DIV/0!</v>
      </c>
    </row>
    <row r="53" spans="1:10" s="2" customFormat="1">
      <c r="A53" s="2" t="s">
        <v>33</v>
      </c>
      <c r="D53" s="2" t="e">
        <f t="shared" ref="D53:J53" si="1">SUM(D54:D57)</f>
        <v>#DIV/0!</v>
      </c>
      <c r="E53" s="2" t="e">
        <f t="shared" si="1"/>
        <v>#DIV/0!</v>
      </c>
      <c r="F53" s="2" t="e">
        <f t="shared" si="1"/>
        <v>#DIV/0!</v>
      </c>
      <c r="G53" s="2" t="e">
        <f t="shared" si="1"/>
        <v>#DIV/0!</v>
      </c>
      <c r="H53" s="2" t="e">
        <f t="shared" si="1"/>
        <v>#DIV/0!</v>
      </c>
      <c r="I53" s="2" t="e">
        <f t="shared" si="1"/>
        <v>#DIV/0!</v>
      </c>
      <c r="J53" s="2" t="e">
        <f t="shared" si="1"/>
        <v>#DIV/0!</v>
      </c>
    </row>
    <row r="54" spans="1:10">
      <c r="B54" t="s">
        <v>39</v>
      </c>
      <c r="D54" t="e">
        <f>Consolidated!E57/Consolidated!E$89</f>
        <v>#DIV/0!</v>
      </c>
      <c r="E54" t="e">
        <f>Consolidated!F57/Consolidated!F$89</f>
        <v>#DIV/0!</v>
      </c>
      <c r="F54" t="e">
        <f>Consolidated!G57/Consolidated!G$89</f>
        <v>#DIV/0!</v>
      </c>
      <c r="G54" t="e">
        <f>Consolidated!H57/Consolidated!H$89</f>
        <v>#DIV/0!</v>
      </c>
      <c r="H54" t="e">
        <f>Consolidated!I57/Consolidated!I$89</f>
        <v>#DIV/0!</v>
      </c>
      <c r="I54" t="e">
        <f>Consolidated!J57/Consolidated!J$89</f>
        <v>#DIV/0!</v>
      </c>
      <c r="J54" t="e">
        <f>Consolidated!K57/Consolidated!K$89</f>
        <v>#DIV/0!</v>
      </c>
    </row>
    <row r="55" spans="1:10">
      <c r="B55" t="s">
        <v>34</v>
      </c>
      <c r="D55" t="e">
        <f>Consolidated!E58/Consolidated!E$89</f>
        <v>#DIV/0!</v>
      </c>
      <c r="E55" t="e">
        <f>Consolidated!F58/Consolidated!F$89</f>
        <v>#DIV/0!</v>
      </c>
      <c r="F55" t="e">
        <f>Consolidated!G58/Consolidated!G$89</f>
        <v>#DIV/0!</v>
      </c>
      <c r="G55" t="e">
        <f>Consolidated!H58/Consolidated!H$89</f>
        <v>#DIV/0!</v>
      </c>
      <c r="H55" t="e">
        <f>Consolidated!I58/Consolidated!I$89</f>
        <v>#DIV/0!</v>
      </c>
      <c r="I55" t="e">
        <f>Consolidated!J58/Consolidated!J$89</f>
        <v>#DIV/0!</v>
      </c>
      <c r="J55" t="e">
        <f>Consolidated!K58/Consolidated!K$89</f>
        <v>#DIV/0!</v>
      </c>
    </row>
    <row r="56" spans="1:10">
      <c r="B56" t="s">
        <v>35</v>
      </c>
      <c r="D56" t="e">
        <f>Consolidated!E59/Consolidated!E$89</f>
        <v>#DIV/0!</v>
      </c>
      <c r="E56" t="e">
        <f>Consolidated!F59/Consolidated!F$89</f>
        <v>#DIV/0!</v>
      </c>
      <c r="F56" t="e">
        <f>Consolidated!G59/Consolidated!G$89</f>
        <v>#DIV/0!</v>
      </c>
      <c r="G56" t="e">
        <f>Consolidated!H59/Consolidated!H$89</f>
        <v>#DIV/0!</v>
      </c>
      <c r="H56" t="e">
        <f>Consolidated!I59/Consolidated!I$89</f>
        <v>#DIV/0!</v>
      </c>
      <c r="I56" t="e">
        <f>Consolidated!J59/Consolidated!J$89</f>
        <v>#DIV/0!</v>
      </c>
      <c r="J56" t="e">
        <f>Consolidated!K59/Consolidated!K$89</f>
        <v>#DIV/0!</v>
      </c>
    </row>
    <row r="57" spans="1:10">
      <c r="B57" t="s">
        <v>36</v>
      </c>
      <c r="D57" t="e">
        <f>Consolidated!E60/Consolidated!E$89</f>
        <v>#DIV/0!</v>
      </c>
      <c r="E57" t="e">
        <f>Consolidated!F60/Consolidated!F$89</f>
        <v>#DIV/0!</v>
      </c>
      <c r="F57" t="e">
        <f>Consolidated!G60/Consolidated!G$89</f>
        <v>#DIV/0!</v>
      </c>
      <c r="G57" t="e">
        <f>Consolidated!H60/Consolidated!H$89</f>
        <v>#DIV/0!</v>
      </c>
      <c r="H57" t="e">
        <f>Consolidated!I60/Consolidated!I$89</f>
        <v>#DIV/0!</v>
      </c>
      <c r="I57" t="e">
        <f>Consolidated!J60/Consolidated!J$89</f>
        <v>#DIV/0!</v>
      </c>
      <c r="J57" t="e">
        <f>Consolidated!K60/Consolidated!K$89</f>
        <v>#DIV/0!</v>
      </c>
    </row>
    <row r="59" spans="1:10" s="2" customFormat="1">
      <c r="A59" s="2" t="s">
        <v>37</v>
      </c>
      <c r="D59" s="2" t="e">
        <f t="shared" ref="D59:J59" si="2">D60+D61+D62+D64</f>
        <v>#DIV/0!</v>
      </c>
      <c r="E59" s="2" t="e">
        <f t="shared" si="2"/>
        <v>#DIV/0!</v>
      </c>
      <c r="F59" s="2" t="e">
        <f t="shared" si="2"/>
        <v>#DIV/0!</v>
      </c>
      <c r="G59" s="2" t="e">
        <f t="shared" si="2"/>
        <v>#DIV/0!</v>
      </c>
      <c r="H59" s="2" t="e">
        <f t="shared" si="2"/>
        <v>#DIV/0!</v>
      </c>
      <c r="I59" s="2" t="e">
        <f t="shared" si="2"/>
        <v>#DIV/0!</v>
      </c>
      <c r="J59" s="2" t="e">
        <f t="shared" si="2"/>
        <v>#DIV/0!</v>
      </c>
    </row>
    <row r="60" spans="1:10">
      <c r="B60" t="s">
        <v>38</v>
      </c>
      <c r="D60" t="e">
        <f>Consolidated!E63/Consolidated!E$89</f>
        <v>#DIV/0!</v>
      </c>
      <c r="E60" t="e">
        <f>Consolidated!F63/Consolidated!F$89</f>
        <v>#DIV/0!</v>
      </c>
      <c r="F60" t="e">
        <f>Consolidated!G63/Consolidated!G$89</f>
        <v>#DIV/0!</v>
      </c>
      <c r="G60" t="e">
        <f>Consolidated!H63/Consolidated!H$89</f>
        <v>#DIV/0!</v>
      </c>
      <c r="H60" t="e">
        <f>Consolidated!I63/Consolidated!I$89</f>
        <v>#DIV/0!</v>
      </c>
      <c r="I60" t="e">
        <f>Consolidated!J63/Consolidated!J$89</f>
        <v>#DIV/0!</v>
      </c>
      <c r="J60" t="e">
        <f>Consolidated!K63/Consolidated!K$89</f>
        <v>#DIV/0!</v>
      </c>
    </row>
    <row r="61" spans="1:10">
      <c r="B61" t="s">
        <v>40</v>
      </c>
      <c r="D61" t="e">
        <f>Consolidated!E64/Consolidated!E$89</f>
        <v>#DIV/0!</v>
      </c>
      <c r="E61" t="e">
        <f>Consolidated!F64/Consolidated!F$89</f>
        <v>#DIV/0!</v>
      </c>
      <c r="F61" t="e">
        <f>Consolidated!G64/Consolidated!G$89</f>
        <v>#DIV/0!</v>
      </c>
      <c r="G61" t="e">
        <f>Consolidated!H64/Consolidated!H$89</f>
        <v>#DIV/0!</v>
      </c>
      <c r="H61" t="e">
        <f>Consolidated!I64/Consolidated!I$89</f>
        <v>#DIV/0!</v>
      </c>
      <c r="I61" t="e">
        <f>Consolidated!J64/Consolidated!J$89</f>
        <v>#DIV/0!</v>
      </c>
      <c r="J61" t="e">
        <f>Consolidated!K64/Consolidated!K$89</f>
        <v>#DIV/0!</v>
      </c>
    </row>
    <row r="62" spans="1:10">
      <c r="B62" t="s">
        <v>35</v>
      </c>
      <c r="D62" t="e">
        <f>Consolidated!E65/Consolidated!E$89</f>
        <v>#DIV/0!</v>
      </c>
      <c r="E62" t="e">
        <f>Consolidated!F65/Consolidated!F$89</f>
        <v>#DIV/0!</v>
      </c>
      <c r="F62" t="e">
        <f>Consolidated!G65/Consolidated!G$89</f>
        <v>#DIV/0!</v>
      </c>
      <c r="G62" t="e">
        <f>Consolidated!H65/Consolidated!H$89</f>
        <v>#DIV/0!</v>
      </c>
      <c r="H62" t="e">
        <f>Consolidated!I65/Consolidated!I$89</f>
        <v>#DIV/0!</v>
      </c>
      <c r="I62" t="e">
        <f>Consolidated!J65/Consolidated!J$89</f>
        <v>#DIV/0!</v>
      </c>
      <c r="J62" t="e">
        <f>Consolidated!K65/Consolidated!K$89</f>
        <v>#DIV/0!</v>
      </c>
    </row>
    <row r="63" spans="1:10">
      <c r="C63" t="s">
        <v>42</v>
      </c>
      <c r="D63" t="e">
        <f>Consolidated!E66/Consolidated!E$89</f>
        <v>#DIV/0!</v>
      </c>
      <c r="E63" t="e">
        <f>Consolidated!F66/Consolidated!F$89</f>
        <v>#DIV/0!</v>
      </c>
      <c r="F63" t="e">
        <f>Consolidated!G66/Consolidated!G$89</f>
        <v>#DIV/0!</v>
      </c>
      <c r="G63" t="e">
        <f>Consolidated!H66/Consolidated!H$89</f>
        <v>#DIV/0!</v>
      </c>
      <c r="H63" t="e">
        <f>Consolidated!I66/Consolidated!I$89</f>
        <v>#DIV/0!</v>
      </c>
      <c r="I63" t="e">
        <f>Consolidated!J66/Consolidated!J$89</f>
        <v>#DIV/0!</v>
      </c>
      <c r="J63" t="e">
        <f>Consolidated!K66/Consolidated!K$89</f>
        <v>#DIV/0!</v>
      </c>
    </row>
    <row r="64" spans="1:10">
      <c r="B64" t="s">
        <v>41</v>
      </c>
      <c r="D64" t="e">
        <f>Consolidated!E67/Consolidated!E$89</f>
        <v>#DIV/0!</v>
      </c>
      <c r="E64" t="e">
        <f>Consolidated!F67/Consolidated!F$89</f>
        <v>#DIV/0!</v>
      </c>
      <c r="F64" t="e">
        <f>Consolidated!G67/Consolidated!G$89</f>
        <v>#DIV/0!</v>
      </c>
      <c r="G64" t="e">
        <f>Consolidated!H67/Consolidated!H$89</f>
        <v>#DIV/0!</v>
      </c>
      <c r="H64" t="e">
        <f>Consolidated!I67/Consolidated!I$89</f>
        <v>#DIV/0!</v>
      </c>
      <c r="I64" t="e">
        <f>Consolidated!J67/Consolidated!J$89</f>
        <v>#DIV/0!</v>
      </c>
      <c r="J64" t="e">
        <f>Consolidated!K67/Consolidated!K$89</f>
        <v>#DIV/0!</v>
      </c>
    </row>
    <row r="66" spans="1:10" s="2" customFormat="1">
      <c r="A66" s="2" t="s">
        <v>45</v>
      </c>
      <c r="D66" s="2" t="e">
        <f t="shared" ref="D66:J66" si="3">D48+D53+D59</f>
        <v>#DIV/0!</v>
      </c>
      <c r="E66" s="2" t="e">
        <f t="shared" si="3"/>
        <v>#DIV/0!</v>
      </c>
      <c r="F66" s="2" t="e">
        <f t="shared" si="3"/>
        <v>#DIV/0!</v>
      </c>
      <c r="G66" s="2" t="e">
        <f t="shared" si="3"/>
        <v>#DIV/0!</v>
      </c>
      <c r="H66" s="2" t="e">
        <f t="shared" si="3"/>
        <v>#DIV/0!</v>
      </c>
      <c r="I66" s="2" t="e">
        <f t="shared" si="3"/>
        <v>#DIV/0!</v>
      </c>
      <c r="J66" s="2" t="e">
        <f t="shared" si="3"/>
        <v>#DIV/0!</v>
      </c>
    </row>
    <row r="68" spans="1:10" s="2" customFormat="1">
      <c r="A68" s="2" t="s">
        <v>46</v>
      </c>
      <c r="D68" s="2" t="e">
        <f t="shared" ref="D68:J68" si="4">SUM(D69:D76)</f>
        <v>#DIV/0!</v>
      </c>
      <c r="E68" s="2" t="e">
        <f t="shared" si="4"/>
        <v>#DIV/0!</v>
      </c>
      <c r="F68" s="2" t="e">
        <f t="shared" si="4"/>
        <v>#DIV/0!</v>
      </c>
      <c r="G68" s="2" t="e">
        <f t="shared" si="4"/>
        <v>#DIV/0!</v>
      </c>
      <c r="H68" s="2" t="e">
        <f t="shared" si="4"/>
        <v>#DIV/0!</v>
      </c>
      <c r="I68" s="2" t="e">
        <f t="shared" si="4"/>
        <v>#DIV/0!</v>
      </c>
      <c r="J68" s="2" t="e">
        <f t="shared" si="4"/>
        <v>#DIV/0!</v>
      </c>
    </row>
    <row r="69" spans="1:10">
      <c r="B69" t="s">
        <v>47</v>
      </c>
      <c r="D69" t="e">
        <f>Consolidated!E72/Consolidated!E$89</f>
        <v>#DIV/0!</v>
      </c>
      <c r="E69" t="e">
        <f>Consolidated!F72/Consolidated!F$89</f>
        <v>#DIV/0!</v>
      </c>
      <c r="F69" t="e">
        <f>Consolidated!G72/Consolidated!G$89</f>
        <v>#DIV/0!</v>
      </c>
      <c r="G69" t="e">
        <f>Consolidated!H72/Consolidated!H$89</f>
        <v>#DIV/0!</v>
      </c>
      <c r="H69" t="e">
        <f>Consolidated!I72/Consolidated!I$89</f>
        <v>#DIV/0!</v>
      </c>
      <c r="I69" t="e">
        <f>Consolidated!J72/Consolidated!J$89</f>
        <v>#DIV/0!</v>
      </c>
      <c r="J69" t="e">
        <f>Consolidated!K72/Consolidated!K$89</f>
        <v>#DIV/0!</v>
      </c>
    </row>
    <row r="70" spans="1:10">
      <c r="B70" t="s">
        <v>48</v>
      </c>
      <c r="D70" t="e">
        <f>Consolidated!E73/Consolidated!E$89</f>
        <v>#DIV/0!</v>
      </c>
      <c r="E70" t="e">
        <f>Consolidated!F73/Consolidated!F$89</f>
        <v>#DIV/0!</v>
      </c>
      <c r="F70" t="e">
        <f>Consolidated!G73/Consolidated!G$89</f>
        <v>#DIV/0!</v>
      </c>
      <c r="G70" t="e">
        <f>Consolidated!H73/Consolidated!H$89</f>
        <v>#DIV/0!</v>
      </c>
      <c r="H70" t="e">
        <f>Consolidated!I73/Consolidated!I$89</f>
        <v>#DIV/0!</v>
      </c>
      <c r="I70" t="e">
        <f>Consolidated!J73/Consolidated!J$89</f>
        <v>#DIV/0!</v>
      </c>
      <c r="J70" t="e">
        <f>Consolidated!K73/Consolidated!K$89</f>
        <v>#DIV/0!</v>
      </c>
    </row>
    <row r="71" spans="1:10">
      <c r="B71" t="s">
        <v>49</v>
      </c>
      <c r="D71" t="e">
        <f>Consolidated!E74/Consolidated!E$89</f>
        <v>#DIV/0!</v>
      </c>
      <c r="E71" t="e">
        <f>Consolidated!F74/Consolidated!F$89</f>
        <v>#DIV/0!</v>
      </c>
      <c r="F71" t="e">
        <f>Consolidated!G74/Consolidated!G$89</f>
        <v>#DIV/0!</v>
      </c>
      <c r="G71" t="e">
        <f>Consolidated!H74/Consolidated!H$89</f>
        <v>#DIV/0!</v>
      </c>
      <c r="H71" t="e">
        <f>Consolidated!I74/Consolidated!I$89</f>
        <v>#DIV/0!</v>
      </c>
      <c r="I71" t="e">
        <f>Consolidated!J74/Consolidated!J$89</f>
        <v>#DIV/0!</v>
      </c>
      <c r="J71" t="e">
        <f>Consolidated!K74/Consolidated!K$89</f>
        <v>#DIV/0!</v>
      </c>
    </row>
    <row r="72" spans="1:10">
      <c r="B72" t="s">
        <v>50</v>
      </c>
      <c r="D72" t="e">
        <f>Consolidated!E75/Consolidated!E$89</f>
        <v>#DIV/0!</v>
      </c>
      <c r="E72" t="e">
        <f>Consolidated!F75/Consolidated!F$89</f>
        <v>#DIV/0!</v>
      </c>
      <c r="F72" t="e">
        <f>Consolidated!G75/Consolidated!G$89</f>
        <v>#DIV/0!</v>
      </c>
      <c r="G72" t="e">
        <f>Consolidated!H75/Consolidated!H$89</f>
        <v>#DIV/0!</v>
      </c>
      <c r="H72" t="e">
        <f>Consolidated!I75/Consolidated!I$89</f>
        <v>#DIV/0!</v>
      </c>
      <c r="I72" t="e">
        <f>Consolidated!J75/Consolidated!J$89</f>
        <v>#DIV/0!</v>
      </c>
      <c r="J72" t="e">
        <f>Consolidated!K75/Consolidated!K$89</f>
        <v>#DIV/0!</v>
      </c>
    </row>
    <row r="73" spans="1:10">
      <c r="B73" t="s">
        <v>51</v>
      </c>
      <c r="D73" t="e">
        <f>Consolidated!E76/Consolidated!E$89</f>
        <v>#DIV/0!</v>
      </c>
      <c r="E73" t="e">
        <f>Consolidated!F76/Consolidated!F$89</f>
        <v>#DIV/0!</v>
      </c>
      <c r="F73" t="e">
        <f>Consolidated!G76/Consolidated!G$89</f>
        <v>#DIV/0!</v>
      </c>
      <c r="G73" t="e">
        <f>Consolidated!H76/Consolidated!H$89</f>
        <v>#DIV/0!</v>
      </c>
      <c r="H73" t="e">
        <f>Consolidated!I76/Consolidated!I$89</f>
        <v>#DIV/0!</v>
      </c>
      <c r="I73" t="e">
        <f>Consolidated!J76/Consolidated!J$89</f>
        <v>#DIV/0!</v>
      </c>
      <c r="J73" t="e">
        <f>Consolidated!K76/Consolidated!K$89</f>
        <v>#DIV/0!</v>
      </c>
    </row>
    <row r="74" spans="1:10">
      <c r="B74" t="s">
        <v>52</v>
      </c>
      <c r="D74" t="e">
        <f>Consolidated!E77/Consolidated!E$89</f>
        <v>#DIV/0!</v>
      </c>
      <c r="E74" t="e">
        <f>Consolidated!F77/Consolidated!F$89</f>
        <v>#DIV/0!</v>
      </c>
      <c r="F74" t="e">
        <f>Consolidated!G77/Consolidated!G$89</f>
        <v>#DIV/0!</v>
      </c>
      <c r="G74" t="e">
        <f>Consolidated!H77/Consolidated!H$89</f>
        <v>#DIV/0!</v>
      </c>
      <c r="H74" t="e">
        <f>Consolidated!I77/Consolidated!I$89</f>
        <v>#DIV/0!</v>
      </c>
      <c r="I74" t="e">
        <f>Consolidated!J77/Consolidated!J$89</f>
        <v>#DIV/0!</v>
      </c>
      <c r="J74" t="e">
        <f>Consolidated!K77/Consolidated!K$89</f>
        <v>#DIV/0!</v>
      </c>
    </row>
    <row r="75" spans="1:10">
      <c r="B75" t="s">
        <v>53</v>
      </c>
      <c r="D75" t="e">
        <f>Consolidated!E78/Consolidated!E$89</f>
        <v>#DIV/0!</v>
      </c>
      <c r="E75" t="e">
        <f>Consolidated!F78/Consolidated!F$89</f>
        <v>#DIV/0!</v>
      </c>
      <c r="F75" t="e">
        <f>Consolidated!G78/Consolidated!G$89</f>
        <v>#DIV/0!</v>
      </c>
      <c r="G75" t="e">
        <f>Consolidated!H78/Consolidated!H$89</f>
        <v>#DIV/0!</v>
      </c>
      <c r="H75" t="e">
        <f>Consolidated!I78/Consolidated!I$89</f>
        <v>#DIV/0!</v>
      </c>
      <c r="I75" t="e">
        <f>Consolidated!J78/Consolidated!J$89</f>
        <v>#DIV/0!</v>
      </c>
      <c r="J75" t="e">
        <f>Consolidated!K78/Consolidated!K$89</f>
        <v>#DIV/0!</v>
      </c>
    </row>
    <row r="76" spans="1:10">
      <c r="B76" t="s">
        <v>35</v>
      </c>
      <c r="D76" t="e">
        <f>Consolidated!E79/Consolidated!E$89</f>
        <v>#DIV/0!</v>
      </c>
      <c r="E76" t="e">
        <f>Consolidated!F79/Consolidated!F$89</f>
        <v>#DIV/0!</v>
      </c>
      <c r="F76" t="e">
        <f>Consolidated!G79/Consolidated!G$89</f>
        <v>#DIV/0!</v>
      </c>
      <c r="G76" t="e">
        <f>Consolidated!H79/Consolidated!H$89</f>
        <v>#DIV/0!</v>
      </c>
      <c r="H76" t="e">
        <f>Consolidated!I79/Consolidated!I$89</f>
        <v>#DIV/0!</v>
      </c>
      <c r="I76" t="e">
        <f>Consolidated!J79/Consolidated!J$89</f>
        <v>#DIV/0!</v>
      </c>
      <c r="J76" t="e">
        <f>Consolidated!K79/Consolidated!K$89</f>
        <v>#DIV/0!</v>
      </c>
    </row>
    <row r="78" spans="1:10" s="2" customFormat="1">
      <c r="A78" s="2" t="s">
        <v>54</v>
      </c>
      <c r="D78" s="2" t="e">
        <f t="shared" ref="D78:J78" si="5">SUM(D79:D84)</f>
        <v>#DIV/0!</v>
      </c>
      <c r="E78" s="2" t="e">
        <f t="shared" si="5"/>
        <v>#DIV/0!</v>
      </c>
      <c r="F78" s="2" t="e">
        <f t="shared" si="5"/>
        <v>#DIV/0!</v>
      </c>
      <c r="G78" s="2" t="e">
        <f t="shared" si="5"/>
        <v>#DIV/0!</v>
      </c>
      <c r="H78" s="2" t="e">
        <f t="shared" si="5"/>
        <v>#DIV/0!</v>
      </c>
      <c r="I78" s="2" t="e">
        <f t="shared" si="5"/>
        <v>#DIV/0!</v>
      </c>
      <c r="J78" s="2" t="e">
        <f t="shared" si="5"/>
        <v>#DIV/0!</v>
      </c>
    </row>
    <row r="79" spans="1:10">
      <c r="B79" t="s">
        <v>55</v>
      </c>
      <c r="D79" t="e">
        <f>Consolidated!E82/Consolidated!E$89</f>
        <v>#DIV/0!</v>
      </c>
      <c r="E79" t="e">
        <f>Consolidated!F82/Consolidated!F$89</f>
        <v>#DIV/0!</v>
      </c>
      <c r="F79" t="e">
        <f>Consolidated!G82/Consolidated!G$89</f>
        <v>#DIV/0!</v>
      </c>
      <c r="G79" t="e">
        <f>Consolidated!H82/Consolidated!H$89</f>
        <v>#DIV/0!</v>
      </c>
      <c r="H79" t="e">
        <f>Consolidated!I82/Consolidated!I$89</f>
        <v>#DIV/0!</v>
      </c>
      <c r="I79" t="e">
        <f>Consolidated!J82/Consolidated!J$89</f>
        <v>#DIV/0!</v>
      </c>
      <c r="J79" t="e">
        <f>Consolidated!K82/Consolidated!K$89</f>
        <v>#DIV/0!</v>
      </c>
    </row>
    <row r="80" spans="1:10">
      <c r="B80" t="s">
        <v>56</v>
      </c>
      <c r="D80" t="e">
        <f>Consolidated!E83/Consolidated!E$89</f>
        <v>#DIV/0!</v>
      </c>
      <c r="E80" t="e">
        <f>Consolidated!F83/Consolidated!F$89</f>
        <v>#DIV/0!</v>
      </c>
      <c r="F80" t="e">
        <f>Consolidated!G83/Consolidated!G$89</f>
        <v>#DIV/0!</v>
      </c>
      <c r="G80" t="e">
        <f>Consolidated!H83/Consolidated!H$89</f>
        <v>#DIV/0!</v>
      </c>
      <c r="H80" t="e">
        <f>Consolidated!I83/Consolidated!I$89</f>
        <v>#DIV/0!</v>
      </c>
      <c r="I80" t="e">
        <f>Consolidated!J83/Consolidated!J$89</f>
        <v>#DIV/0!</v>
      </c>
      <c r="J80" t="e">
        <f>Consolidated!K83/Consolidated!K$89</f>
        <v>#DIV/0!</v>
      </c>
    </row>
    <row r="81" spans="1:10">
      <c r="B81" t="s">
        <v>57</v>
      </c>
      <c r="D81" t="e">
        <f>Consolidated!E84/Consolidated!E$89</f>
        <v>#DIV/0!</v>
      </c>
      <c r="E81" t="e">
        <f>Consolidated!F84/Consolidated!F$89</f>
        <v>#DIV/0!</v>
      </c>
      <c r="F81" t="e">
        <f>Consolidated!G84/Consolidated!G$89</f>
        <v>#DIV/0!</v>
      </c>
      <c r="G81" t="e">
        <f>Consolidated!H84/Consolidated!H$89</f>
        <v>#DIV/0!</v>
      </c>
      <c r="H81" t="e">
        <f>Consolidated!I84/Consolidated!I$89</f>
        <v>#DIV/0!</v>
      </c>
      <c r="I81" t="e">
        <f>Consolidated!J84/Consolidated!J$89</f>
        <v>#DIV/0!</v>
      </c>
      <c r="J81" t="e">
        <f>Consolidated!K84/Consolidated!K$89</f>
        <v>#DIV/0!</v>
      </c>
    </row>
    <row r="82" spans="1:10">
      <c r="B82" t="s">
        <v>58</v>
      </c>
      <c r="D82" t="e">
        <f>Consolidated!E85/Consolidated!E$89</f>
        <v>#DIV/0!</v>
      </c>
      <c r="E82" t="e">
        <f>Consolidated!F85/Consolidated!F$89</f>
        <v>#DIV/0!</v>
      </c>
      <c r="F82" t="e">
        <f>Consolidated!G85/Consolidated!G$89</f>
        <v>#DIV/0!</v>
      </c>
      <c r="G82" t="e">
        <f>Consolidated!H85/Consolidated!H$89</f>
        <v>#DIV/0!</v>
      </c>
      <c r="H82" t="e">
        <f>Consolidated!I85/Consolidated!I$89</f>
        <v>#DIV/0!</v>
      </c>
      <c r="I82" t="e">
        <f>Consolidated!J85/Consolidated!J$89</f>
        <v>#DIV/0!</v>
      </c>
      <c r="J82" t="e">
        <f>Consolidated!K85/Consolidated!K$89</f>
        <v>#DIV/0!</v>
      </c>
    </row>
    <row r="83" spans="1:10">
      <c r="B83" t="s">
        <v>59</v>
      </c>
      <c r="D83" t="e">
        <f>Consolidated!E86/Consolidated!E$89</f>
        <v>#DIV/0!</v>
      </c>
      <c r="E83" t="e">
        <f>Consolidated!F86/Consolidated!F$89</f>
        <v>#DIV/0!</v>
      </c>
      <c r="F83" t="e">
        <f>Consolidated!G86/Consolidated!G$89</f>
        <v>#DIV/0!</v>
      </c>
      <c r="G83" t="e">
        <f>Consolidated!H86/Consolidated!H$89</f>
        <v>#DIV/0!</v>
      </c>
      <c r="H83" t="e">
        <f>Consolidated!I86/Consolidated!I$89</f>
        <v>#DIV/0!</v>
      </c>
      <c r="I83" t="e">
        <f>Consolidated!J86/Consolidated!J$89</f>
        <v>#DIV/0!</v>
      </c>
      <c r="J83" t="e">
        <f>Consolidated!K86/Consolidated!K$89</f>
        <v>#DIV/0!</v>
      </c>
    </row>
    <row r="84" spans="1:10">
      <c r="B84" t="s">
        <v>35</v>
      </c>
      <c r="D84" t="e">
        <f>Consolidated!E87/Consolidated!E$89</f>
        <v>#DIV/0!</v>
      </c>
      <c r="E84" t="e">
        <f>Consolidated!F87/Consolidated!F$89</f>
        <v>#DIV/0!</v>
      </c>
      <c r="F84" t="e">
        <f>Consolidated!G87/Consolidated!G$89</f>
        <v>#DIV/0!</v>
      </c>
      <c r="G84" t="e">
        <f>Consolidated!H87/Consolidated!H$89</f>
        <v>#DIV/0!</v>
      </c>
      <c r="H84" t="e">
        <f>Consolidated!I87/Consolidated!I$89</f>
        <v>#DIV/0!</v>
      </c>
      <c r="I84" t="e">
        <f>Consolidated!J87/Consolidated!J$89</f>
        <v>#DIV/0!</v>
      </c>
      <c r="J84" t="e">
        <f>Consolidated!K87/Consolidated!K$89</f>
        <v>#DIV/0!</v>
      </c>
    </row>
    <row r="86" spans="1:10" s="2" customFormat="1">
      <c r="A86" s="2" t="s">
        <v>60</v>
      </c>
      <c r="D86" s="2" t="e">
        <f t="shared" ref="D86:J86" si="6">D68+D78</f>
        <v>#DIV/0!</v>
      </c>
      <c r="E86" s="2" t="e">
        <f t="shared" si="6"/>
        <v>#DIV/0!</v>
      </c>
      <c r="F86" s="2" t="e">
        <f t="shared" si="6"/>
        <v>#DIV/0!</v>
      </c>
      <c r="G86" s="2" t="e">
        <f t="shared" si="6"/>
        <v>#DIV/0!</v>
      </c>
      <c r="H86" s="2" t="e">
        <f t="shared" si="6"/>
        <v>#DIV/0!</v>
      </c>
      <c r="I86" s="2" t="e">
        <f t="shared" si="6"/>
        <v>#DIV/0!</v>
      </c>
      <c r="J86" s="2" t="e">
        <f t="shared" si="6"/>
        <v>#DIV/0!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Z61"/>
  <sheetViews>
    <sheetView topLeftCell="A28" workbookViewId="0">
      <selection activeCell="B39" sqref="B39"/>
    </sheetView>
  </sheetViews>
  <sheetFormatPr defaultColWidth="11" defaultRowHeight="15.75"/>
  <cols>
    <col min="1" max="1" width="29.625" customWidth="1"/>
    <col min="2" max="2" width="11.875" customWidth="1"/>
    <col min="5" max="5" width="10.875" customWidth="1"/>
    <col min="19" max="20" width="14" customWidth="1"/>
  </cols>
  <sheetData>
    <row r="1" spans="1:26">
      <c r="B1" s="43" t="s">
        <v>93</v>
      </c>
      <c r="C1" s="43"/>
      <c r="D1" s="43"/>
      <c r="E1" s="43"/>
      <c r="F1" s="43"/>
      <c r="G1" s="43"/>
      <c r="H1" s="43"/>
      <c r="K1" s="43" t="s">
        <v>141</v>
      </c>
      <c r="L1" s="43"/>
      <c r="M1" s="43"/>
      <c r="N1" s="43"/>
      <c r="O1" s="43"/>
      <c r="P1" s="43"/>
      <c r="Q1" s="43"/>
      <c r="U1" s="43" t="s">
        <v>145</v>
      </c>
      <c r="V1" s="43"/>
      <c r="W1" s="43"/>
      <c r="X1" s="43"/>
      <c r="Y1" s="43"/>
      <c r="Z1" s="43"/>
    </row>
    <row r="2" spans="1:26">
      <c r="B2">
        <v>2017</v>
      </c>
      <c r="C2">
        <v>2016</v>
      </c>
      <c r="D2">
        <v>2015</v>
      </c>
      <c r="E2">
        <v>2014</v>
      </c>
      <c r="F2">
        <v>2013</v>
      </c>
      <c r="G2">
        <v>2012</v>
      </c>
      <c r="H2">
        <v>2011</v>
      </c>
      <c r="K2">
        <v>2017</v>
      </c>
      <c r="L2">
        <v>2016</v>
      </c>
      <c r="M2">
        <v>2015</v>
      </c>
      <c r="N2">
        <v>2014</v>
      </c>
      <c r="O2">
        <v>2013</v>
      </c>
      <c r="P2">
        <v>2012</v>
      </c>
      <c r="Q2">
        <v>2011</v>
      </c>
      <c r="T2">
        <v>2017</v>
      </c>
      <c r="U2">
        <v>2016</v>
      </c>
      <c r="V2">
        <v>2015</v>
      </c>
      <c r="W2">
        <v>2014</v>
      </c>
      <c r="X2">
        <v>2013</v>
      </c>
      <c r="Y2">
        <v>2012</v>
      </c>
      <c r="Z2">
        <v>2011</v>
      </c>
    </row>
    <row r="3" spans="1:26">
      <c r="A3" t="s">
        <v>1</v>
      </c>
      <c r="B3" s="14">
        <f>StandAlone!E3</f>
        <v>17060.89</v>
      </c>
      <c r="C3" s="14">
        <f>StandAlone!F3</f>
        <v>15113.89</v>
      </c>
      <c r="D3" s="14">
        <f>StandAlone!G3</f>
        <v>13144.529999999999</v>
      </c>
      <c r="E3" s="14">
        <f>StandAlone!H3</f>
        <v>10436.330000000002</v>
      </c>
      <c r="F3" s="14">
        <f>StandAlone!I3</f>
        <v>9017.67</v>
      </c>
      <c r="G3" s="14">
        <f>StandAlone!J3</f>
        <v>7421.99</v>
      </c>
      <c r="H3" s="14">
        <f>StandAlone!K3</f>
        <v>5069.21</v>
      </c>
      <c r="K3">
        <f>Consolidated!E3</f>
        <v>0</v>
      </c>
      <c r="L3">
        <f>Consolidated!F3</f>
        <v>0</v>
      </c>
      <c r="M3">
        <f>Consolidated!G3</f>
        <v>0</v>
      </c>
      <c r="N3">
        <f>Consolidated!H3</f>
        <v>0</v>
      </c>
      <c r="O3">
        <f>Consolidated!I3</f>
        <v>0</v>
      </c>
      <c r="P3">
        <f>Consolidated!J3</f>
        <v>0</v>
      </c>
      <c r="Q3">
        <f>Consolidated!K3</f>
        <v>0</v>
      </c>
      <c r="S3" t="s">
        <v>1</v>
      </c>
      <c r="T3" t="e">
        <f t="shared" ref="T3:Z3" si="0">B3/K3</f>
        <v>#DIV/0!</v>
      </c>
      <c r="U3" t="e">
        <f t="shared" si="0"/>
        <v>#DIV/0!</v>
      </c>
      <c r="V3" t="e">
        <f t="shared" si="0"/>
        <v>#DIV/0!</v>
      </c>
      <c r="W3" t="e">
        <f t="shared" si="0"/>
        <v>#DIV/0!</v>
      </c>
      <c r="X3" t="e">
        <f t="shared" si="0"/>
        <v>#DIV/0!</v>
      </c>
      <c r="Y3" t="e">
        <f t="shared" si="0"/>
        <v>#DIV/0!</v>
      </c>
      <c r="Z3" t="e">
        <f t="shared" si="0"/>
        <v>#DIV/0!</v>
      </c>
    </row>
    <row r="4" spans="1:26">
      <c r="A4" t="s">
        <v>67</v>
      </c>
      <c r="B4" s="14">
        <f t="shared" ref="B4:G4" si="1">(B3-C3)/C3*100</f>
        <v>12.882189826709073</v>
      </c>
      <c r="C4" s="14">
        <f t="shared" si="1"/>
        <v>14.982353876479424</v>
      </c>
      <c r="D4" s="14">
        <f t="shared" si="1"/>
        <v>25.949735203850366</v>
      </c>
      <c r="E4" s="14">
        <f t="shared" si="1"/>
        <v>15.732001725501174</v>
      </c>
      <c r="F4" s="14">
        <f t="shared" si="1"/>
        <v>21.499355294200079</v>
      </c>
      <c r="G4" s="14">
        <f t="shared" si="1"/>
        <v>46.413149188926866</v>
      </c>
      <c r="H4" s="14"/>
      <c r="K4" t="e">
        <f t="shared" ref="K4:P4" si="2">(K3-L3)/L3*100</f>
        <v>#DIV/0!</v>
      </c>
      <c r="L4" t="e">
        <f t="shared" si="2"/>
        <v>#DIV/0!</v>
      </c>
      <c r="M4" t="e">
        <f t="shared" si="2"/>
        <v>#DIV/0!</v>
      </c>
      <c r="N4" t="e">
        <f t="shared" si="2"/>
        <v>#DIV/0!</v>
      </c>
      <c r="O4" t="e">
        <f t="shared" si="2"/>
        <v>#DIV/0!</v>
      </c>
      <c r="P4" t="e">
        <f t="shared" si="2"/>
        <v>#DIV/0!</v>
      </c>
      <c r="S4" t="s">
        <v>17</v>
      </c>
      <c r="T4" t="e">
        <f t="shared" ref="T4:Z4" si="3">B8/K8</f>
        <v>#DIV/0!</v>
      </c>
      <c r="U4" t="e">
        <f t="shared" si="3"/>
        <v>#DIV/0!</v>
      </c>
      <c r="V4" t="e">
        <f t="shared" si="3"/>
        <v>#DIV/0!</v>
      </c>
      <c r="W4" t="e">
        <f t="shared" si="3"/>
        <v>#DIV/0!</v>
      </c>
      <c r="X4" t="e">
        <f t="shared" si="3"/>
        <v>#DIV/0!</v>
      </c>
      <c r="Y4" t="e">
        <f t="shared" si="3"/>
        <v>#DIV/0!</v>
      </c>
      <c r="Z4" t="e">
        <f t="shared" si="3"/>
        <v>#DIV/0!</v>
      </c>
    </row>
    <row r="5" spans="1:26">
      <c r="A5" t="s">
        <v>73</v>
      </c>
      <c r="B5" s="14">
        <f>'StandAlone %'!D3*100</f>
        <v>92.947980720565312</v>
      </c>
      <c r="C5" s="14">
        <f>'StandAlone %'!E3*100</f>
        <v>94.066907862430028</v>
      </c>
      <c r="D5" s="14">
        <f>'StandAlone %'!F3*100</f>
        <v>92.255911397469092</v>
      </c>
      <c r="E5" s="14">
        <f>'StandAlone %'!G3*100</f>
        <v>89.569776563259012</v>
      </c>
      <c r="F5" s="14">
        <f>'StandAlone %'!H3*100</f>
        <v>88.954904388227689</v>
      </c>
      <c r="G5" s="14">
        <f>'StandAlone %'!I3*100</f>
        <v>100.2515070839361</v>
      </c>
      <c r="H5" s="14">
        <f>'StandAlone %'!J3*100</f>
        <v>100.88582402929529</v>
      </c>
      <c r="K5" t="e">
        <f>'Consolidated %'!D3</f>
        <v>#DIV/0!</v>
      </c>
      <c r="L5" t="e">
        <f>'Consolidated %'!E3</f>
        <v>#DIV/0!</v>
      </c>
      <c r="M5" t="e">
        <f>'Consolidated %'!F3</f>
        <v>#DIV/0!</v>
      </c>
      <c r="N5" t="e">
        <f>'Consolidated %'!G3</f>
        <v>#DIV/0!</v>
      </c>
      <c r="O5" t="e">
        <f>'Consolidated %'!H3</f>
        <v>#DIV/0!</v>
      </c>
      <c r="P5" t="e">
        <f>'Consolidated %'!I3</f>
        <v>#DIV/0!</v>
      </c>
      <c r="Q5" t="e">
        <f>'Consolidated %'!J3</f>
        <v>#DIV/0!</v>
      </c>
      <c r="S5" t="s">
        <v>20</v>
      </c>
      <c r="T5" t="e">
        <f t="shared" ref="T5:Z5" si="4">B11/K11</f>
        <v>#DIV/0!</v>
      </c>
      <c r="U5" t="e">
        <f t="shared" si="4"/>
        <v>#DIV/0!</v>
      </c>
      <c r="V5" t="e">
        <f t="shared" si="4"/>
        <v>#DIV/0!</v>
      </c>
      <c r="W5" t="e">
        <f t="shared" si="4"/>
        <v>#DIV/0!</v>
      </c>
      <c r="X5" t="e">
        <f t="shared" si="4"/>
        <v>#DIV/0!</v>
      </c>
      <c r="Y5" t="e">
        <f t="shared" si="4"/>
        <v>#DIV/0!</v>
      </c>
      <c r="Z5" t="e">
        <f t="shared" si="4"/>
        <v>#DIV/0!</v>
      </c>
    </row>
    <row r="6" spans="1:26">
      <c r="A6" t="s">
        <v>142</v>
      </c>
      <c r="B6" s="14">
        <f>(StandAlone!E4-StandAlone!F4)/StandAlone!F4*100</f>
        <v>14.241089127705758</v>
      </c>
      <c r="C6" s="14">
        <f>(StandAlone!F4-StandAlone!G4)/StandAlone!G4*100</f>
        <v>12.7686887190393</v>
      </c>
      <c r="D6" s="14">
        <f>(StandAlone!G4-StandAlone!H4)/StandAlone!H4*100</f>
        <v>22.282566716044624</v>
      </c>
      <c r="E6" s="14">
        <f>(StandAlone!H4-StandAlone!I4)/StandAlone!I4*100</f>
        <v>14.937532984458468</v>
      </c>
      <c r="F6" s="14">
        <f>(StandAlone!I4-StandAlone!J4)/StandAlone!J4*100</f>
        <v>36.928858074093291</v>
      </c>
      <c r="G6" s="14">
        <f>(StandAlone!J4-StandAlone!K4)/StandAlone!K4*100</f>
        <v>47.339542659263245</v>
      </c>
      <c r="H6" s="14"/>
      <c r="K6" t="e">
        <f>(Consolidated!E4-Consolidated!F4)/Consolidated!F4*100</f>
        <v>#DIV/0!</v>
      </c>
      <c r="L6" t="e">
        <f>(Consolidated!F4-Consolidated!G4)/Consolidated!G4*100</f>
        <v>#DIV/0!</v>
      </c>
      <c r="M6" t="e">
        <f>(Consolidated!G4-Consolidated!H4)/Consolidated!H4*100</f>
        <v>#DIV/0!</v>
      </c>
      <c r="N6" t="e">
        <f>(Consolidated!H4-Consolidated!I4)/Consolidated!I4*100</f>
        <v>#DIV/0!</v>
      </c>
      <c r="O6" t="e">
        <f>(Consolidated!I4-Consolidated!J4)/Consolidated!J4*100</f>
        <v>#DIV/0!</v>
      </c>
      <c r="P6" t="e">
        <f>(Consolidated!J4-Consolidated!K4)/Consolidated!K4*100</f>
        <v>#DIV/0!</v>
      </c>
      <c r="S6" t="s">
        <v>25</v>
      </c>
      <c r="T6" t="e">
        <f t="shared" ref="T6:Z6" si="5">B14/K14</f>
        <v>#DIV/0!</v>
      </c>
      <c r="U6" t="e">
        <f t="shared" si="5"/>
        <v>#DIV/0!</v>
      </c>
      <c r="V6" t="e">
        <f t="shared" si="5"/>
        <v>#DIV/0!</v>
      </c>
      <c r="W6" t="e">
        <f t="shared" si="5"/>
        <v>#DIV/0!</v>
      </c>
      <c r="X6" t="e">
        <f t="shared" si="5"/>
        <v>#DIV/0!</v>
      </c>
      <c r="Y6" t="e">
        <f t="shared" si="5"/>
        <v>#DIV/0!</v>
      </c>
      <c r="Z6" t="e">
        <f t="shared" si="5"/>
        <v>#DIV/0!</v>
      </c>
    </row>
    <row r="7" spans="1:26">
      <c r="B7" s="14"/>
      <c r="C7" s="14"/>
      <c r="D7" s="14"/>
      <c r="E7" s="14"/>
      <c r="F7" s="14"/>
      <c r="G7" s="14"/>
      <c r="H7" s="14"/>
      <c r="S7" t="s">
        <v>27</v>
      </c>
      <c r="T7" t="e">
        <f t="shared" ref="T7:Z7" si="6">B17/K17</f>
        <v>#DIV/0!</v>
      </c>
      <c r="U7" t="e">
        <f t="shared" si="6"/>
        <v>#DIV/0!</v>
      </c>
      <c r="V7" t="e">
        <f t="shared" si="6"/>
        <v>#DIV/0!</v>
      </c>
      <c r="W7" t="e">
        <f t="shared" si="6"/>
        <v>#DIV/0!</v>
      </c>
      <c r="X7" t="e">
        <f t="shared" si="6"/>
        <v>#DIV/0!</v>
      </c>
      <c r="Y7" t="e">
        <f t="shared" si="6"/>
        <v>#DIV/0!</v>
      </c>
      <c r="Z7" t="e">
        <f t="shared" si="6"/>
        <v>#DIV/0!</v>
      </c>
    </row>
    <row r="8" spans="1:26">
      <c r="A8" t="s">
        <v>17</v>
      </c>
      <c r="B8" s="14">
        <f>StandAlone!E18</f>
        <v>6152.869999999999</v>
      </c>
      <c r="C8" s="14">
        <f>StandAlone!F18</f>
        <v>5628.9500000000007</v>
      </c>
      <c r="D8" s="14">
        <f>StandAlone!G18</f>
        <v>4347.1999999999989</v>
      </c>
      <c r="E8" s="14">
        <f>StandAlone!H18</f>
        <v>2835.8300000000017</v>
      </c>
      <c r="F8" s="14">
        <f>StandAlone!I18</f>
        <v>2189.0700000000006</v>
      </c>
      <c r="G8" s="14">
        <f>StandAlone!J18</f>
        <v>1839.8099999999995</v>
      </c>
      <c r="H8" s="14">
        <f>StandAlone!K18</f>
        <v>1136.08</v>
      </c>
      <c r="K8">
        <f>Consolidated!E18</f>
        <v>0</v>
      </c>
      <c r="L8">
        <f>Consolidated!F18</f>
        <v>0</v>
      </c>
      <c r="M8">
        <f>Consolidated!G18</f>
        <v>0</v>
      </c>
      <c r="N8">
        <f>Consolidated!H18</f>
        <v>0</v>
      </c>
      <c r="O8">
        <f>Consolidated!I18</f>
        <v>0</v>
      </c>
      <c r="P8">
        <f>Consolidated!J18</f>
        <v>0</v>
      </c>
      <c r="Q8">
        <f>Consolidated!K18</f>
        <v>0</v>
      </c>
      <c r="S8" t="s">
        <v>29</v>
      </c>
      <c r="T8" t="e">
        <f t="shared" ref="T8:Z8" si="7">B20/K20</f>
        <v>#DIV/0!</v>
      </c>
      <c r="U8" t="e">
        <f t="shared" si="7"/>
        <v>#DIV/0!</v>
      </c>
      <c r="V8" t="e">
        <f t="shared" si="7"/>
        <v>#DIV/0!</v>
      </c>
      <c r="W8" t="e">
        <f t="shared" si="7"/>
        <v>#DIV/0!</v>
      </c>
      <c r="X8" t="e">
        <f t="shared" si="7"/>
        <v>#DIV/0!</v>
      </c>
      <c r="Y8" t="e">
        <f t="shared" si="7"/>
        <v>#DIV/0!</v>
      </c>
      <c r="Z8" t="e">
        <f t="shared" si="7"/>
        <v>#DIV/0!</v>
      </c>
    </row>
    <row r="9" spans="1:26">
      <c r="A9" t="s">
        <v>69</v>
      </c>
      <c r="B9" s="14">
        <f>'StandAlone %'!D18*100</f>
        <v>36.064179535768645</v>
      </c>
      <c r="C9" s="14">
        <f>'StandAlone %'!E18*100</f>
        <v>37.243555431460734</v>
      </c>
      <c r="D9" s="14">
        <f>'StandAlone %'!F18*100</f>
        <v>33.07231220895688</v>
      </c>
      <c r="E9" s="14">
        <f>'StandAlone %'!G18*100</f>
        <v>27.172674685449781</v>
      </c>
      <c r="F9" s="14">
        <f>'StandAlone %'!H18*100</f>
        <v>24.275339416944739</v>
      </c>
      <c r="G9" s="14">
        <f>'StandAlone %'!I18*100</f>
        <v>24.788634853994676</v>
      </c>
      <c r="H9" s="14">
        <f>'StandAlone %'!J18*100</f>
        <v>22.411381655129691</v>
      </c>
      <c r="K9" t="e">
        <f>'Consolidated %'!D18</f>
        <v>#DIV/0!</v>
      </c>
      <c r="L9" t="e">
        <f>'Consolidated %'!E18</f>
        <v>#DIV/0!</v>
      </c>
      <c r="M9" t="e">
        <f>'Consolidated %'!F18</f>
        <v>#DIV/0!</v>
      </c>
      <c r="N9" t="e">
        <f>'Consolidated %'!G18</f>
        <v>#DIV/0!</v>
      </c>
      <c r="O9" t="e">
        <f>'Consolidated %'!H18</f>
        <v>#DIV/0!</v>
      </c>
      <c r="P9" t="e">
        <f>'Consolidated %'!I18</f>
        <v>#DIV/0!</v>
      </c>
      <c r="Q9" t="e">
        <f>'Consolidated %'!J18</f>
        <v>#DIV/0!</v>
      </c>
      <c r="S9" t="s">
        <v>146</v>
      </c>
      <c r="T9" t="e">
        <f>StandAlone!E57/Consolidated!E57</f>
        <v>#DIV/0!</v>
      </c>
      <c r="U9" t="e">
        <f>StandAlone!F57/Consolidated!F57</f>
        <v>#DIV/0!</v>
      </c>
      <c r="V9" t="e">
        <f>StandAlone!G57/Consolidated!G57</f>
        <v>#DIV/0!</v>
      </c>
      <c r="W9" t="e">
        <f>StandAlone!H57/Consolidated!H57</f>
        <v>#DIV/0!</v>
      </c>
      <c r="X9" t="e">
        <f>StandAlone!I57/Consolidated!I57</f>
        <v>#DIV/0!</v>
      </c>
      <c r="Y9" t="e">
        <f>StandAlone!J57/Consolidated!J57</f>
        <v>#DIV/0!</v>
      </c>
      <c r="Z9" t="e">
        <f>StandAlone!K57/Consolidated!K57</f>
        <v>#DIV/0!</v>
      </c>
    </row>
    <row r="10" spans="1:26">
      <c r="B10" s="14"/>
      <c r="C10" s="14"/>
      <c r="D10" s="14"/>
      <c r="E10" s="14"/>
      <c r="F10" s="14"/>
      <c r="G10" s="14"/>
      <c r="H10" s="14"/>
      <c r="S10" t="s">
        <v>147</v>
      </c>
      <c r="T10" t="e">
        <f>(StandAlone!E57+StandAlone!E63+StandAlone!E66)/(Consolidated!E57+Consolidated!E63+Consolidated!E66)</f>
        <v>#DIV/0!</v>
      </c>
      <c r="U10" t="e">
        <f>(StandAlone!F57+StandAlone!F63+StandAlone!F66)/(Consolidated!F57+Consolidated!F63+Consolidated!F66)</f>
        <v>#DIV/0!</v>
      </c>
      <c r="V10" t="e">
        <f>(StandAlone!G57+StandAlone!G63+StandAlone!G66)/(Consolidated!G57+Consolidated!G63+Consolidated!G66)</f>
        <v>#DIV/0!</v>
      </c>
      <c r="W10" t="e">
        <f>(StandAlone!H57+StandAlone!H63+StandAlone!H66)/(Consolidated!H57+Consolidated!H63+Consolidated!H66)</f>
        <v>#DIV/0!</v>
      </c>
      <c r="X10" t="e">
        <f>(StandAlone!I57+StandAlone!I63+StandAlone!I66)/(Consolidated!I57+Consolidated!I63+Consolidated!I66)</f>
        <v>#DIV/0!</v>
      </c>
      <c r="Y10" t="e">
        <f>(StandAlone!J57+StandAlone!J63+StandAlone!J66)/(Consolidated!J57+Consolidated!J63+Consolidated!J66)</f>
        <v>#DIV/0!</v>
      </c>
      <c r="Z10" t="e">
        <f>(StandAlone!K57+StandAlone!K63+StandAlone!K66)/(Consolidated!K57+Consolidated!K63+Consolidated!K66)</f>
        <v>#DIV/0!</v>
      </c>
    </row>
    <row r="11" spans="1:26">
      <c r="A11" t="s">
        <v>186</v>
      </c>
      <c r="B11" s="14">
        <f>StandAlone!E26</f>
        <v>2491.639999999999</v>
      </c>
      <c r="C11" s="14">
        <f>StandAlone!F26</f>
        <v>2244.150000000001</v>
      </c>
      <c r="D11" s="14">
        <f>StandAlone!G26</f>
        <v>2168.1699999999992</v>
      </c>
      <c r="E11" s="14">
        <f>StandAlone!H26</f>
        <v>1122.3600000000017</v>
      </c>
      <c r="F11" s="14">
        <f>StandAlone!I26</f>
        <v>866.89000000000078</v>
      </c>
      <c r="G11" s="14">
        <f>StandAlone!J26</f>
        <v>630.66999999999962</v>
      </c>
      <c r="H11" s="14">
        <f>StandAlone!K26</f>
        <v>513.57999999999993</v>
      </c>
      <c r="K11">
        <f>Consolidated!E26</f>
        <v>0</v>
      </c>
      <c r="L11">
        <f>Consolidated!F26</f>
        <v>0</v>
      </c>
      <c r="M11">
        <f>Consolidated!G26</f>
        <v>0</v>
      </c>
      <c r="N11">
        <f>Consolidated!H26</f>
        <v>0</v>
      </c>
      <c r="O11">
        <f>Consolidated!I26</f>
        <v>0</v>
      </c>
      <c r="P11">
        <f>Consolidated!J26</f>
        <v>0</v>
      </c>
      <c r="Q11">
        <f>Consolidated!K26</f>
        <v>0</v>
      </c>
      <c r="S11" t="s">
        <v>148</v>
      </c>
      <c r="T11" t="e">
        <f>StandAlone!E29/Consolidated!E29</f>
        <v>#DIV/0!</v>
      </c>
      <c r="U11" t="e">
        <f>StandAlone!F29/Consolidated!F29</f>
        <v>#DIV/0!</v>
      </c>
      <c r="V11" t="e">
        <f>StandAlone!G29/Consolidated!G29</f>
        <v>#DIV/0!</v>
      </c>
      <c r="W11" t="e">
        <f>StandAlone!H29/Consolidated!H29</f>
        <v>#DIV/0!</v>
      </c>
      <c r="X11" t="e">
        <f>StandAlone!I29/Consolidated!I29</f>
        <v>#DIV/0!</v>
      </c>
      <c r="Y11" t="e">
        <f>StandAlone!J29/Consolidated!J29</f>
        <v>#DIV/0!</v>
      </c>
      <c r="Z11" t="e">
        <f>StandAlone!K29/Consolidated!K29</f>
        <v>#DIV/0!</v>
      </c>
    </row>
    <row r="12" spans="1:26">
      <c r="A12" t="s">
        <v>187</v>
      </c>
      <c r="B12" s="14">
        <f>'StandAlone %'!D26*100</f>
        <v>14.604396370880998</v>
      </c>
      <c r="C12" s="14">
        <f>'StandAlone %'!E26*100</f>
        <v>14.848262095330858</v>
      </c>
      <c r="D12" s="14">
        <f>'StandAlone %'!F26*100</f>
        <v>16.494846145126523</v>
      </c>
      <c r="E12" s="14">
        <f>'StandAlone %'!G26*100</f>
        <v>10.754355218740702</v>
      </c>
      <c r="F12" s="14">
        <f>'StandAlone %'!H26*100</f>
        <v>9.6132371222278117</v>
      </c>
      <c r="G12" s="14">
        <f>'StandAlone %'!I26*100</f>
        <v>8.4973167573656063</v>
      </c>
      <c r="H12" s="14">
        <f>'StandAlone %'!J26*100</f>
        <v>10.131361691466715</v>
      </c>
      <c r="K12" t="e">
        <f>'Consolidated %'!D26</f>
        <v>#DIV/0!</v>
      </c>
      <c r="L12" t="e">
        <f>'Consolidated %'!E26</f>
        <v>#DIV/0!</v>
      </c>
      <c r="M12" t="e">
        <f>'Consolidated %'!F26</f>
        <v>#DIV/0!</v>
      </c>
      <c r="N12" t="e">
        <f>'Consolidated %'!G26</f>
        <v>#DIV/0!</v>
      </c>
      <c r="O12" t="e">
        <f>'Consolidated %'!H26</f>
        <v>#DIV/0!</v>
      </c>
      <c r="P12" t="e">
        <f>'Consolidated %'!I26</f>
        <v>#DIV/0!</v>
      </c>
      <c r="Q12" t="e">
        <f>'Consolidated %'!J26</f>
        <v>#DIV/0!</v>
      </c>
    </row>
    <row r="13" spans="1:26">
      <c r="B13" s="14"/>
      <c r="C13" s="14"/>
      <c r="D13" s="14"/>
      <c r="E13" s="14"/>
      <c r="F13" s="14"/>
      <c r="G13" s="14"/>
      <c r="H13" s="14"/>
    </row>
    <row r="14" spans="1:26">
      <c r="A14" t="s">
        <v>25</v>
      </c>
      <c r="B14" s="14">
        <f>StandAlone!E35</f>
        <v>1565.1899999999991</v>
      </c>
      <c r="C14" s="14">
        <f>StandAlone!F35</f>
        <v>1432.9600000000009</v>
      </c>
      <c r="D14" s="14">
        <f>StandAlone!G35</f>
        <v>1365.6799999999989</v>
      </c>
      <c r="E14" s="14">
        <f>StandAlone!H35</f>
        <v>366.14000000000181</v>
      </c>
      <c r="F14" s="14">
        <f>StandAlone!I35</f>
        <v>277.63000000000085</v>
      </c>
      <c r="G14" s="14">
        <f>StandAlone!J35</f>
        <v>146.08999999999958</v>
      </c>
      <c r="H14" s="14">
        <f>StandAlone!K35</f>
        <v>252.7399999999999</v>
      </c>
      <c r="K14">
        <f>Consolidated!E35</f>
        <v>0</v>
      </c>
      <c r="L14">
        <f>Consolidated!F35</f>
        <v>0</v>
      </c>
      <c r="M14">
        <f>Consolidated!G35</f>
        <v>0</v>
      </c>
      <c r="N14">
        <f>Consolidated!H35</f>
        <v>0</v>
      </c>
      <c r="O14">
        <f>Consolidated!I35</f>
        <v>0</v>
      </c>
      <c r="P14">
        <f>Consolidated!J35</f>
        <v>0</v>
      </c>
      <c r="Q14">
        <f>Consolidated!K35</f>
        <v>0</v>
      </c>
    </row>
    <row r="15" spans="1:26">
      <c r="A15" t="s">
        <v>70</v>
      </c>
      <c r="B15" s="14">
        <f>'StandAlone %'!D35</f>
        <v>9.1741403877523345E-2</v>
      </c>
      <c r="C15" s="14">
        <f>'StandAlone %'!E35</f>
        <v>9.4810799866877488E-2</v>
      </c>
      <c r="D15" s="14">
        <f>'StandAlone %'!F35</f>
        <v>0.10389721047462321</v>
      </c>
      <c r="E15" s="14">
        <f>'StandAlone %'!G35</f>
        <v>3.5083214118373195E-2</v>
      </c>
      <c r="F15" s="14">
        <f>'StandAlone %'!H35</f>
        <v>3.0787331982651933E-2</v>
      </c>
      <c r="G15" s="14">
        <f>'StandAlone %'!I35</f>
        <v>1.9683400274050435E-2</v>
      </c>
      <c r="H15" s="14">
        <f>'StandAlone %'!J35</f>
        <v>4.9857867399456697E-2</v>
      </c>
      <c r="K15" t="e">
        <f>'Consolidated %'!D35</f>
        <v>#DIV/0!</v>
      </c>
      <c r="L15" t="e">
        <f>'Consolidated %'!E35</f>
        <v>#DIV/0!</v>
      </c>
      <c r="M15" t="e">
        <f>'Consolidated %'!F35</f>
        <v>#DIV/0!</v>
      </c>
      <c r="N15" t="e">
        <f>'Consolidated %'!G35</f>
        <v>#DIV/0!</v>
      </c>
      <c r="O15" t="e">
        <f>'Consolidated %'!H35</f>
        <v>#DIV/0!</v>
      </c>
      <c r="P15" t="e">
        <f>'Consolidated %'!I35</f>
        <v>#DIV/0!</v>
      </c>
      <c r="Q15" t="e">
        <f>'Consolidated %'!J35</f>
        <v>#DIV/0!</v>
      </c>
    </row>
    <row r="16" spans="1:26">
      <c r="B16" s="14"/>
      <c r="C16" s="14"/>
      <c r="D16" s="14"/>
      <c r="E16" s="14"/>
      <c r="F16" s="14"/>
      <c r="G16" s="14"/>
      <c r="H16" s="14"/>
    </row>
    <row r="17" spans="1:17">
      <c r="A17" t="s">
        <v>68</v>
      </c>
      <c r="B17" s="14">
        <f>StandAlone!E40</f>
        <v>1114.9699999999991</v>
      </c>
      <c r="C17" s="14">
        <f>StandAlone!F40</f>
        <v>951.30000000000086</v>
      </c>
      <c r="D17" s="14">
        <f>StandAlone!G40</f>
        <v>891.7099999999989</v>
      </c>
      <c r="E17" s="14">
        <f>StandAlone!H40</f>
        <v>268.0800000000018</v>
      </c>
      <c r="F17" s="14">
        <f>StandAlone!I40</f>
        <v>187.15000000000083</v>
      </c>
      <c r="G17" s="14">
        <f>StandAlone!J40</f>
        <v>98.969999999999573</v>
      </c>
      <c r="H17" s="14">
        <f>StandAlone!K40</f>
        <v>176.50999999999988</v>
      </c>
      <c r="K17">
        <f>Consolidated!E40</f>
        <v>0</v>
      </c>
      <c r="L17">
        <f>Consolidated!F40</f>
        <v>0</v>
      </c>
      <c r="M17">
        <f>Consolidated!G40</f>
        <v>0</v>
      </c>
      <c r="N17">
        <f>Consolidated!H40</f>
        <v>0</v>
      </c>
      <c r="O17">
        <f>Consolidated!I40</f>
        <v>0</v>
      </c>
      <c r="P17">
        <f>Consolidated!J40</f>
        <v>0</v>
      </c>
      <c r="Q17">
        <f>Consolidated!K40</f>
        <v>0</v>
      </c>
    </row>
    <row r="18" spans="1:17">
      <c r="A18" t="s">
        <v>71</v>
      </c>
      <c r="B18" s="14">
        <f>'StandAlone %'!D39</f>
        <v>6.5352393691067656E-2</v>
      </c>
      <c r="C18" s="14">
        <f>'StandAlone %'!E39</f>
        <v>6.2942101603227288E-2</v>
      </c>
      <c r="D18" s="14">
        <f>'StandAlone %'!F39</f>
        <v>6.7838865292254566E-2</v>
      </c>
      <c r="E18" s="14">
        <f>'StandAlone %'!G39</f>
        <v>2.5687190803663908E-2</v>
      </c>
      <c r="F18" s="14">
        <f>'StandAlone %'!H39</f>
        <v>2.0753698017337164E-2</v>
      </c>
      <c r="G18" s="14">
        <f>'StandAlone %'!I39</f>
        <v>1.3334698645511456E-2</v>
      </c>
      <c r="H18" s="14">
        <f>'StandAlone %'!J39</f>
        <v>3.4820021265640974E-2</v>
      </c>
      <c r="K18" t="e">
        <f>'Consolidated %'!D39</f>
        <v>#DIV/0!</v>
      </c>
      <c r="L18" t="e">
        <f>'Consolidated %'!E39</f>
        <v>#DIV/0!</v>
      </c>
      <c r="M18" t="e">
        <f>'Consolidated %'!F39</f>
        <v>#DIV/0!</v>
      </c>
      <c r="N18" t="e">
        <f>'Consolidated %'!G39</f>
        <v>#DIV/0!</v>
      </c>
      <c r="O18" t="e">
        <f>'Consolidated %'!H39</f>
        <v>#DIV/0!</v>
      </c>
      <c r="P18" t="e">
        <f>'Consolidated %'!I39</f>
        <v>#DIV/0!</v>
      </c>
      <c r="Q18" t="e">
        <f>'Consolidated %'!J39</f>
        <v>#DIV/0!</v>
      </c>
    </row>
    <row r="19" spans="1:17">
      <c r="B19" s="14"/>
      <c r="C19" s="14"/>
      <c r="D19" s="14"/>
      <c r="E19" s="14"/>
      <c r="F19" s="14"/>
      <c r="G19" s="14"/>
      <c r="H19" s="14"/>
    </row>
    <row r="20" spans="1:17">
      <c r="A20" t="s">
        <v>29</v>
      </c>
      <c r="B20" s="14">
        <f>StandAlone!E44</f>
        <v>1114.9699999999991</v>
      </c>
      <c r="C20" s="14">
        <f>StandAlone!F44</f>
        <v>951.30000000000086</v>
      </c>
      <c r="D20" s="14">
        <f>StandAlone!G44</f>
        <v>891.7099999999989</v>
      </c>
      <c r="E20" s="14">
        <f>StandAlone!H44</f>
        <v>268.0800000000018</v>
      </c>
      <c r="F20" s="14">
        <f>StandAlone!I44</f>
        <v>187.15000000000083</v>
      </c>
      <c r="G20" s="14">
        <f>StandAlone!J44</f>
        <v>98.969999999999573</v>
      </c>
      <c r="H20" s="14">
        <f>StandAlone!K44</f>
        <v>176.50999999999988</v>
      </c>
      <c r="K20">
        <f>Consolidated!E44</f>
        <v>0</v>
      </c>
      <c r="L20">
        <f>Consolidated!F44</f>
        <v>0</v>
      </c>
      <c r="M20">
        <f>Consolidated!G44</f>
        <v>0</v>
      </c>
      <c r="N20">
        <f>Consolidated!H44</f>
        <v>0</v>
      </c>
      <c r="O20">
        <f>Consolidated!I44</f>
        <v>0</v>
      </c>
      <c r="P20">
        <f>Consolidated!J44</f>
        <v>0</v>
      </c>
      <c r="Q20">
        <f>Consolidated!K44</f>
        <v>0</v>
      </c>
    </row>
    <row r="21" spans="1:17">
      <c r="A21" t="s">
        <v>72</v>
      </c>
      <c r="B21" s="14">
        <f>'StandAlone %'!D43</f>
        <v>6.5352393691067656E-2</v>
      </c>
      <c r="C21" s="14">
        <f>'StandAlone %'!E43</f>
        <v>6.2942101603227288E-2</v>
      </c>
      <c r="D21" s="14">
        <f>'StandAlone %'!F43</f>
        <v>6.7838865292254566E-2</v>
      </c>
      <c r="E21" s="14">
        <f>'StandAlone %'!G43</f>
        <v>2.5687190803663908E-2</v>
      </c>
      <c r="F21" s="14">
        <f>'StandAlone %'!H43</f>
        <v>2.0753698017337164E-2</v>
      </c>
      <c r="G21" s="14">
        <f>'StandAlone %'!I43</f>
        <v>1.3334698645511456E-2</v>
      </c>
      <c r="H21" s="14">
        <f>'StandAlone %'!J43</f>
        <v>3.4820021265640974E-2</v>
      </c>
      <c r="K21" t="e">
        <f>'Consolidated %'!D43</f>
        <v>#DIV/0!</v>
      </c>
      <c r="L21" t="e">
        <f>'Consolidated %'!E43</f>
        <v>#DIV/0!</v>
      </c>
      <c r="M21" t="e">
        <f>'Consolidated %'!F43</f>
        <v>#DIV/0!</v>
      </c>
      <c r="N21" t="e">
        <f>'Consolidated %'!G43</f>
        <v>#DIV/0!</v>
      </c>
      <c r="O21" t="e">
        <f>'Consolidated %'!H43</f>
        <v>#DIV/0!</v>
      </c>
      <c r="P21" t="e">
        <f>'Consolidated %'!I43</f>
        <v>#DIV/0!</v>
      </c>
      <c r="Q21" t="e">
        <f>'Consolidated %'!J43</f>
        <v>#DIV/0!</v>
      </c>
    </row>
    <row r="22" spans="1:17">
      <c r="B22" s="14"/>
      <c r="C22" s="14"/>
      <c r="D22" s="14"/>
      <c r="E22" s="14"/>
      <c r="F22" s="14"/>
      <c r="G22" s="14"/>
      <c r="H22" s="14"/>
    </row>
    <row r="23" spans="1:17">
      <c r="A23" t="s">
        <v>193</v>
      </c>
      <c r="B23" s="14">
        <f>365/((StandAlone!E11-StandAlone!E16)/StandAlone!E83)</f>
        <v>114.57069781320602</v>
      </c>
      <c r="C23" s="14">
        <f>365/((StandAlone!F11-StandAlone!F16)/StandAlone!F83)</f>
        <v>95.664475443093721</v>
      </c>
      <c r="D23" s="14">
        <f>365/((StandAlone!G11-StandAlone!G16)/StandAlone!G83)</f>
        <v>97.425875963498441</v>
      </c>
      <c r="E23" s="14">
        <f>365/((StandAlone!H11-StandAlone!H16)/StandAlone!H83)</f>
        <v>106.21410673125064</v>
      </c>
      <c r="F23" s="14">
        <f>365/((StandAlone!I11-StandAlone!I16)/StandAlone!I83)</f>
        <v>120.64717689807699</v>
      </c>
      <c r="G23" s="14">
        <f>365/((StandAlone!J11-StandAlone!J16)/StandAlone!J83)</f>
        <v>115.00892527391356</v>
      </c>
      <c r="H23" s="14">
        <f>365/((StandAlone!K11-StandAlone!K16)/StandAlone!K83)</f>
        <v>145.65267407437631</v>
      </c>
      <c r="K23" t="e">
        <f>365/((Consolidated!E11-Consolidated!E16)/Consolidated!E83)</f>
        <v>#DIV/0!</v>
      </c>
      <c r="L23" t="e">
        <f>365/((Consolidated!F11-Consolidated!F16)/Consolidated!F83)</f>
        <v>#DIV/0!</v>
      </c>
      <c r="M23" t="e">
        <f>365/((Consolidated!G11-Consolidated!G16)/Consolidated!G83)</f>
        <v>#DIV/0!</v>
      </c>
      <c r="N23" t="e">
        <f>365/((Consolidated!H11-Consolidated!H16)/Consolidated!H83)</f>
        <v>#DIV/0!</v>
      </c>
      <c r="O23" t="e">
        <f>365/((Consolidated!I11-Consolidated!I16)/Consolidated!I83)</f>
        <v>#DIV/0!</v>
      </c>
      <c r="P23" t="e">
        <f>365/((Consolidated!J11-Consolidated!J16)/Consolidated!J83)</f>
        <v>#DIV/0!</v>
      </c>
      <c r="Q23" t="e">
        <f>365/((Consolidated!K11-Consolidated!K16)/Consolidated!K83)</f>
        <v>#DIV/0!</v>
      </c>
    </row>
    <row r="24" spans="1:17">
      <c r="A24" t="s">
        <v>194</v>
      </c>
      <c r="B24" s="14">
        <f>365/((StandAlone!E4-StandAlone!E7)/StandAlone!E84)</f>
        <v>79.938618784660164</v>
      </c>
      <c r="C24" s="14">
        <f>365/((StandAlone!F4-StandAlone!F7)/StandAlone!F84)</f>
        <v>90.234948609867203</v>
      </c>
      <c r="D24" s="14">
        <f>365/((StandAlone!G4-StandAlone!G7)/StandAlone!G84)</f>
        <v>104.47926450167085</v>
      </c>
      <c r="E24" s="14">
        <f>365/((StandAlone!H4-StandAlone!H7)/StandAlone!H84)</f>
        <v>81.242180801473239</v>
      </c>
      <c r="F24" s="14">
        <f>365/((StandAlone!I4-StandAlone!I7)/StandAlone!I84)</f>
        <v>62.784378297328814</v>
      </c>
      <c r="G24" s="14">
        <f>365/((StandAlone!J4-StandAlone!J7)/StandAlone!J84)</f>
        <v>71.460105330410343</v>
      </c>
      <c r="H24" s="14">
        <f>365/((StandAlone!K4-StandAlone!K7)/StandAlone!K84)</f>
        <v>66.885067765239725</v>
      </c>
      <c r="K24" t="e">
        <f>365/((Consolidated!E4-Consolidated!E7)/Consolidated!E84)</f>
        <v>#DIV/0!</v>
      </c>
      <c r="L24" t="e">
        <f>365/((Consolidated!F4-Consolidated!F7)/Consolidated!F84)</f>
        <v>#DIV/0!</v>
      </c>
      <c r="M24" t="e">
        <f>365/((Consolidated!G4-Consolidated!G7)/Consolidated!G84)</f>
        <v>#DIV/0!</v>
      </c>
      <c r="N24" t="e">
        <f>365/((Consolidated!H4-Consolidated!H7)/Consolidated!H84)</f>
        <v>#DIV/0!</v>
      </c>
      <c r="O24" t="e">
        <f>365/((Consolidated!I4-Consolidated!I7)/Consolidated!I84)</f>
        <v>#DIV/0!</v>
      </c>
      <c r="P24" t="e">
        <f>365/((Consolidated!J4-Consolidated!J7)/Consolidated!J84)</f>
        <v>#DIV/0!</v>
      </c>
      <c r="Q24" t="e">
        <f>365/((Consolidated!K4-Consolidated!K7)/Consolidated!K84)</f>
        <v>#DIV/0!</v>
      </c>
    </row>
    <row r="25" spans="1:17">
      <c r="A25" t="s">
        <v>195</v>
      </c>
      <c r="B25" s="14">
        <f>365/(StandAlone!E11/StandAlone!E64)</f>
        <v>96.739545765409304</v>
      </c>
      <c r="C25" s="14">
        <f>365/(StandAlone!F11/StandAlone!F64)</f>
        <v>81.728192271116129</v>
      </c>
      <c r="D25" s="14">
        <f>365/(StandAlone!G11/StandAlone!G64)</f>
        <v>100.19925932072573</v>
      </c>
      <c r="E25" s="14">
        <f>365/(StandAlone!H11/StandAlone!H64)</f>
        <v>75.64991776856786</v>
      </c>
      <c r="F25" s="14">
        <f>365/(StandAlone!I11/StandAlone!I64)</f>
        <v>62.08998184108016</v>
      </c>
      <c r="G25" s="14">
        <f>365/(StandAlone!J11/StandAlone!J64)</f>
        <v>73.216691328477395</v>
      </c>
      <c r="H25" s="14">
        <f>365/(StandAlone!K11/StandAlone!K64)</f>
        <v>23.2430405300613</v>
      </c>
      <c r="K25" t="e">
        <f>365/(Consolidated!E11/Consolidated!E64)</f>
        <v>#DIV/0!</v>
      </c>
      <c r="L25" t="e">
        <f>365/(Consolidated!F11/Consolidated!F64)</f>
        <v>#DIV/0!</v>
      </c>
      <c r="M25" t="e">
        <f>365/(Consolidated!G11/Consolidated!G64)</f>
        <v>#DIV/0!</v>
      </c>
      <c r="N25" t="e">
        <f>365/(Consolidated!H11/Consolidated!H64)</f>
        <v>#DIV/0!</v>
      </c>
      <c r="O25" t="e">
        <f>365/(Consolidated!I11/Consolidated!I64)</f>
        <v>#DIV/0!</v>
      </c>
      <c r="P25" t="e">
        <f>365/(Consolidated!J11/Consolidated!J64)</f>
        <v>#DIV/0!</v>
      </c>
      <c r="Q25" t="e">
        <f>365/(Consolidated!K11/Consolidated!K64)</f>
        <v>#DIV/0!</v>
      </c>
    </row>
    <row r="26" spans="1:17">
      <c r="A26" t="s">
        <v>172</v>
      </c>
      <c r="B26" s="14">
        <f>B23+B24</f>
        <v>194.50931659786619</v>
      </c>
      <c r="C26" s="14">
        <f t="shared" ref="C26:H26" si="8">C23+C24</f>
        <v>185.89942405296091</v>
      </c>
      <c r="D26" s="14">
        <f t="shared" si="8"/>
        <v>201.9051404651693</v>
      </c>
      <c r="E26" s="14">
        <f t="shared" si="8"/>
        <v>187.45628753272388</v>
      </c>
      <c r="F26" s="14">
        <f t="shared" si="8"/>
        <v>183.43155519540579</v>
      </c>
      <c r="G26" s="14">
        <f t="shared" si="8"/>
        <v>186.4690306043239</v>
      </c>
      <c r="H26" s="14">
        <f t="shared" si="8"/>
        <v>212.53774183961605</v>
      </c>
      <c r="K26" t="e">
        <f t="shared" ref="K26:Q26" si="9">K23+K24</f>
        <v>#DIV/0!</v>
      </c>
      <c r="L26" t="e">
        <f t="shared" si="9"/>
        <v>#DIV/0!</v>
      </c>
      <c r="M26" t="e">
        <f t="shared" si="9"/>
        <v>#DIV/0!</v>
      </c>
      <c r="N26" t="e">
        <f t="shared" si="9"/>
        <v>#DIV/0!</v>
      </c>
      <c r="O26" t="e">
        <f t="shared" si="9"/>
        <v>#DIV/0!</v>
      </c>
      <c r="P26" t="e">
        <f t="shared" si="9"/>
        <v>#DIV/0!</v>
      </c>
      <c r="Q26" t="e">
        <f t="shared" si="9"/>
        <v>#DIV/0!</v>
      </c>
    </row>
    <row r="27" spans="1:17">
      <c r="A27" t="s">
        <v>189</v>
      </c>
      <c r="B27" s="14">
        <f>StandAlone!E3/(StandAlone!E72+StandAlone!E73+StandAlone!F72+StandAlone!F73+StandAlone!E74+StandAlone!F74)*2</f>
        <v>3.7754227489441652</v>
      </c>
      <c r="C27" s="14">
        <f>StandAlone!F3/(StandAlone!F72+StandAlone!F73+StandAlone!G72+StandAlone!G73+StandAlone!F74+StandAlone!G74)*2</f>
        <v>3.8757390152617628</v>
      </c>
      <c r="D27" s="14">
        <f>StandAlone!G3/(StandAlone!G72+StandAlone!G73+StandAlone!H72+StandAlone!H73+StandAlone!G74+StandAlone!H74)*2</f>
        <v>3.747309153368636</v>
      </c>
      <c r="E27" s="14">
        <f>StandAlone!H3/(StandAlone!H72+StandAlone!H73+StandAlone!I72+StandAlone!I73+StandAlone!H74+StandAlone!I74)*2</f>
        <v>3.0848970157018547</v>
      </c>
      <c r="F27" s="14">
        <f>StandAlone!I3/(StandAlone!I72+StandAlone!I73+StandAlone!J72+StandAlone!J73+StandAlone!I74+StandAlone!J74)*2</f>
        <v>2.9344125997575721</v>
      </c>
      <c r="G27" s="14">
        <f>StandAlone!J3/(StandAlone!J72+StandAlone!J73+StandAlone!K72+StandAlone!K73+StandAlone!J74+StandAlone!K74)*2</f>
        <v>2.8198996582453302</v>
      </c>
      <c r="H27" s="14"/>
      <c r="K27" t="e">
        <f>Consolidated!E3/(Consolidated!E72+Consolidated!E73+Consolidated!F72+Consolidated!F73+Consolidated!E74+Consolidated!F74)*2</f>
        <v>#DIV/0!</v>
      </c>
      <c r="L27" t="e">
        <f>Consolidated!F3/(Consolidated!F72+Consolidated!F73+Consolidated!G72+Consolidated!G73+Consolidated!F74+Consolidated!G74)*2</f>
        <v>#DIV/0!</v>
      </c>
      <c r="M27" t="e">
        <f>Consolidated!G3/(Consolidated!G72+Consolidated!G73+Consolidated!H72+Consolidated!H73+Consolidated!G74+Consolidated!H74)*2</f>
        <v>#DIV/0!</v>
      </c>
      <c r="N27" t="e">
        <f>Consolidated!H3/(Consolidated!H72+Consolidated!H73+Consolidated!I72+Consolidated!I73+Consolidated!H74+Consolidated!I74)*2</f>
        <v>#DIV/0!</v>
      </c>
      <c r="O27" t="e">
        <f>Consolidated!I3/(Consolidated!I72+Consolidated!I73+Consolidated!J72+Consolidated!J73+Consolidated!I74+Consolidated!J74)*2</f>
        <v>#DIV/0!</v>
      </c>
      <c r="P27" t="e">
        <f>Consolidated!J3/(Consolidated!J72+Consolidated!J73+Consolidated!K72+Consolidated!K73+Consolidated!J74+Consolidated!K74)*2</f>
        <v>#DIV/0!</v>
      </c>
    </row>
    <row r="28" spans="1:17">
      <c r="B28" s="14"/>
      <c r="C28" s="14"/>
      <c r="D28" s="14"/>
      <c r="E28" s="14"/>
      <c r="F28" s="14"/>
      <c r="G28" s="14"/>
      <c r="H28" s="14"/>
    </row>
    <row r="29" spans="1:17">
      <c r="A29" t="s">
        <v>89</v>
      </c>
      <c r="B29" s="14">
        <f>(StandAlone!E57+StandAlone!E66+StandAlone!E63)/StandAlone!E51</f>
        <v>0.88578549781710636</v>
      </c>
      <c r="C29" s="14">
        <f>(StandAlone!F57+StandAlone!F66+StandAlone!F63)/StandAlone!F51</f>
        <v>1.200499052481764</v>
      </c>
      <c r="D29" s="14">
        <f>(StandAlone!G57+StandAlone!G66+StandAlone!G63)/StandAlone!G51</f>
        <v>1.2599632732849346</v>
      </c>
      <c r="E29" s="14">
        <f>(StandAlone!H57+StandAlone!H66+StandAlone!H63)/StandAlone!H51</f>
        <v>1.9011186282313042</v>
      </c>
      <c r="F29" s="14">
        <f>(StandAlone!I57+StandAlone!I66+StandAlone!I63)/StandAlone!I51</f>
        <v>2.0584638973667229</v>
      </c>
      <c r="G29" s="14">
        <f>(StandAlone!J57+StandAlone!J66+StandAlone!J63)/StandAlone!J51</f>
        <v>2.2513574992662164</v>
      </c>
      <c r="H29" s="14">
        <f>(StandAlone!K57+StandAlone!K66+StandAlone!K63)/StandAlone!K51</f>
        <v>2.2291816440918431</v>
      </c>
      <c r="K29" t="e">
        <f>(Consolidated!E57+Consolidated!E63+Consolidated!E66)/Consolidated!E51</f>
        <v>#DIV/0!</v>
      </c>
      <c r="L29" t="e">
        <f>(Consolidated!F57+Consolidated!F63+Consolidated!F66)/Consolidated!F51</f>
        <v>#DIV/0!</v>
      </c>
      <c r="M29" t="e">
        <f>(Consolidated!G57+Consolidated!G63+Consolidated!G66)/Consolidated!G51</f>
        <v>#DIV/0!</v>
      </c>
      <c r="N29" t="e">
        <f>(Consolidated!H57+Consolidated!H63+Consolidated!H66)/Consolidated!H51</f>
        <v>#DIV/0!</v>
      </c>
      <c r="O29" t="e">
        <f>(Consolidated!I57+Consolidated!I63+Consolidated!I66)/Consolidated!I51</f>
        <v>#DIV/0!</v>
      </c>
      <c r="P29" t="e">
        <f>(Consolidated!J57+Consolidated!J63+Consolidated!J66)/Consolidated!J51</f>
        <v>#DIV/0!</v>
      </c>
      <c r="Q29" t="e">
        <f>(Consolidated!K57+Consolidated!K63+Consolidated!K66)/Consolidated!K51</f>
        <v>#DIV/0!</v>
      </c>
    </row>
    <row r="30" spans="1:17">
      <c r="A30" t="s">
        <v>90</v>
      </c>
      <c r="B30" s="14">
        <f>StandAlone!E81/StandAlone!E62</f>
        <v>1.351566371238619</v>
      </c>
      <c r="C30" s="14">
        <f>StandAlone!F81/StandAlone!F62</f>
        <v>1.3208192662615348</v>
      </c>
      <c r="D30" s="14">
        <f>StandAlone!G81/StandAlone!G62</f>
        <v>1.2550337718307905</v>
      </c>
      <c r="E30" s="14">
        <f>StandAlone!H81/StandAlone!H62</f>
        <v>1.3418270042300395</v>
      </c>
      <c r="F30" s="14">
        <f>StandAlone!I81/StandAlone!I62</f>
        <v>1.2585667977101871</v>
      </c>
      <c r="G30" s="14">
        <f>StandAlone!J81/StandAlone!J62</f>
        <v>1.200554184688615</v>
      </c>
      <c r="H30" s="14">
        <f>StandAlone!K81/StandAlone!K62</f>
        <v>1.2530428286647048</v>
      </c>
      <c r="K30" t="e">
        <f>Consolidated!E81/Consolidated!E62</f>
        <v>#DIV/0!</v>
      </c>
      <c r="L30" t="e">
        <f>Consolidated!F81/Consolidated!F62</f>
        <v>#DIV/0!</v>
      </c>
      <c r="M30" t="e">
        <f>Consolidated!G81/Consolidated!G62</f>
        <v>#DIV/0!</v>
      </c>
      <c r="N30" t="e">
        <f>Consolidated!H81/Consolidated!H62</f>
        <v>#DIV/0!</v>
      </c>
      <c r="O30" t="e">
        <f>Consolidated!I81/Consolidated!I62</f>
        <v>#DIV/0!</v>
      </c>
      <c r="P30" t="e">
        <f>Consolidated!J81/Consolidated!J62</f>
        <v>#DIV/0!</v>
      </c>
      <c r="Q30" t="e">
        <f>Consolidated!K81/Consolidated!K62</f>
        <v>#DIV/0!</v>
      </c>
    </row>
    <row r="31" spans="1:17">
      <c r="A31" t="s">
        <v>168</v>
      </c>
      <c r="B31" s="14">
        <f>(StandAlone!E82+StandAlone!E85)/StandAlone!E62</f>
        <v>4.0246758550115974E-2</v>
      </c>
      <c r="C31" s="14">
        <f>(StandAlone!F82+StandAlone!F85)/StandAlone!F62</f>
        <v>8.6213403971675401E-2</v>
      </c>
      <c r="D31" s="14">
        <f>(StandAlone!G82+StandAlone!G85)/StandAlone!G62</f>
        <v>9.973135437575896E-2</v>
      </c>
      <c r="E31" s="14">
        <f>(StandAlone!H82+StandAlone!H85)/StandAlone!H62</f>
        <v>6.6279857806173986E-2</v>
      </c>
      <c r="F31" s="14">
        <f>(StandAlone!I82+StandAlone!I85)/StandAlone!I62</f>
        <v>3.5367956410786952E-2</v>
      </c>
      <c r="G31" s="14">
        <f>(StandAlone!J82+StandAlone!J85)/StandAlone!J62</f>
        <v>2.6802273032910186E-2</v>
      </c>
      <c r="H31" s="14">
        <f>(StandAlone!K82+StandAlone!K85)/StandAlone!K62</f>
        <v>2.8329570640263157E-2</v>
      </c>
      <c r="K31" t="e">
        <f>(Consolidated!E82+Consolidated!E85)/Consolidated!E62</f>
        <v>#DIV/0!</v>
      </c>
      <c r="L31" t="e">
        <f>(Consolidated!F82+Consolidated!F85)/Consolidated!F62</f>
        <v>#DIV/0!</v>
      </c>
      <c r="M31" t="e">
        <f>(Consolidated!G82+Consolidated!G85)/Consolidated!G62</f>
        <v>#DIV/0!</v>
      </c>
      <c r="N31" t="e">
        <f>(Consolidated!H82+Consolidated!H85)/Consolidated!H62</f>
        <v>#DIV/0!</v>
      </c>
      <c r="O31" t="e">
        <f>(Consolidated!I82+Consolidated!I85)/Consolidated!I62</f>
        <v>#DIV/0!</v>
      </c>
      <c r="P31" t="e">
        <f>(Consolidated!J82+Consolidated!J85)/Consolidated!J62</f>
        <v>#DIV/0!</v>
      </c>
      <c r="Q31" t="e">
        <f>(Consolidated!K82+Consolidated!K85)/Consolidated!K62</f>
        <v>#DIV/0!</v>
      </c>
    </row>
    <row r="32" spans="1:17">
      <c r="B32" s="14"/>
      <c r="C32" s="14"/>
      <c r="D32" s="14"/>
      <c r="E32" s="14"/>
      <c r="F32" s="14"/>
      <c r="G32" s="14"/>
      <c r="H32" s="14"/>
    </row>
    <row r="33" spans="1:17">
      <c r="A33" t="s">
        <v>143</v>
      </c>
      <c r="B33" s="14">
        <f>StandAlone!E35/StandAlone!E29</f>
        <v>2.5617696160267096</v>
      </c>
      <c r="C33" s="14">
        <f>StandAlone!F35/StandAlone!F29</f>
        <v>2.5137885060697513</v>
      </c>
      <c r="D33" s="14">
        <f>StandAlone!G35/StandAlone!G29</f>
        <v>2.3442333110184164</v>
      </c>
      <c r="E33" s="14">
        <f>StandAlone!H35/StandAlone!H29</f>
        <v>0.60476025304329462</v>
      </c>
      <c r="F33" s="14">
        <f>StandAlone!I35/StandAlone!I29</f>
        <v>0.59886969089065956</v>
      </c>
      <c r="G33" s="14">
        <f>StandAlone!J35/StandAlone!J29</f>
        <v>0.39754544465004782</v>
      </c>
      <c r="H33" s="14">
        <f>StandAlone!K35/StandAlone!K29</f>
        <v>1.29530545305453</v>
      </c>
      <c r="K33" t="e">
        <f>Consolidated!E35/Consolidated!E29</f>
        <v>#DIV/0!</v>
      </c>
      <c r="L33" t="e">
        <f>Consolidated!F35/Consolidated!F29</f>
        <v>#DIV/0!</v>
      </c>
      <c r="M33" t="e">
        <f>Consolidated!G35/Consolidated!G29</f>
        <v>#DIV/0!</v>
      </c>
      <c r="N33" t="e">
        <f>Consolidated!H35/Consolidated!H29</f>
        <v>#DIV/0!</v>
      </c>
      <c r="O33" t="e">
        <f>Consolidated!I35/Consolidated!I29</f>
        <v>#DIV/0!</v>
      </c>
      <c r="P33" t="e">
        <f>Consolidated!J35/Consolidated!J29</f>
        <v>#DIV/0!</v>
      </c>
      <c r="Q33" t="e">
        <f>Consolidated!K35/Consolidated!K29</f>
        <v>#DIV/0!</v>
      </c>
    </row>
    <row r="34" spans="1:17">
      <c r="A34" t="s">
        <v>171</v>
      </c>
      <c r="B34" s="14">
        <f>(StandAlone!E100)/StandAlone!E29</f>
        <v>2.8680480539461191</v>
      </c>
      <c r="C34" s="14">
        <f>(StandAlone!F100)/StandAlone!F29</f>
        <v>1.1289032348607115</v>
      </c>
      <c r="D34" s="14">
        <f>(StandAlone!G100)/StandAlone!G29</f>
        <v>2.9836071201743994</v>
      </c>
      <c r="E34" s="14">
        <f>(StandAlone!H100)/StandAlone!H29</f>
        <v>1.6638422278380658</v>
      </c>
      <c r="F34" s="14">
        <f>(StandAlone!I100)/StandAlone!I29</f>
        <v>-0.31924761103561339</v>
      </c>
      <c r="G34" s="14">
        <f>(StandAlone!J100)/StandAlone!J29</f>
        <v>3.14030695548057</v>
      </c>
      <c r="H34" s="14">
        <f>(StandAlone!K100)/StandAlone!K29</f>
        <v>-4.7662976629766298</v>
      </c>
      <c r="K34" t="e">
        <f>(Consolidated!E100)/Consolidated!E29</f>
        <v>#DIV/0!</v>
      </c>
      <c r="L34" t="e">
        <f>(Consolidated!F100)/Consolidated!F29</f>
        <v>#DIV/0!</v>
      </c>
      <c r="M34" t="e">
        <f>(Consolidated!G100)/Consolidated!G29</f>
        <v>#DIV/0!</v>
      </c>
      <c r="N34" t="e">
        <f>(Consolidated!H100)/Consolidated!H29</f>
        <v>#DIV/0!</v>
      </c>
      <c r="O34" t="e">
        <f>(Consolidated!I100)/Consolidated!I29</f>
        <v>#DIV/0!</v>
      </c>
      <c r="P34" t="e">
        <f>(Consolidated!J100)/Consolidated!J29</f>
        <v>#DIV/0!</v>
      </c>
      <c r="Q34" t="e">
        <f>(Consolidated!K100)/Consolidated!K29</f>
        <v>#DIV/0!</v>
      </c>
    </row>
    <row r="35" spans="1:17">
      <c r="A35" t="s">
        <v>196</v>
      </c>
      <c r="B35" s="14">
        <f>StandAlone!E35/(0.1*StandAlone!E90)</f>
        <v>3.5747826841646049</v>
      </c>
      <c r="C35" s="14">
        <f>StandAlone!F35/(0.1*StandAlone!F90)</f>
        <v>3.1286106659563617</v>
      </c>
      <c r="D35" s="14">
        <f>StandAlone!G35/(0.1*StandAlone!G90)</f>
        <v>3.5670480071044213</v>
      </c>
      <c r="E35" s="14">
        <f>StandAlone!H35/(0.1*StandAlone!H90)</f>
        <v>0.83309631780256288</v>
      </c>
      <c r="F35" s="14">
        <f>StandAlone!I35/(0.1*StandAlone!I90)</f>
        <v>0.65442502386649115</v>
      </c>
      <c r="G35" s="14">
        <f>StandAlone!J35/(0.1*StandAlone!J90)</f>
        <v>0.39679176919859294</v>
      </c>
      <c r="H35" s="14">
        <f>StandAlone!K35/(0.1*StandAlone!K90)</f>
        <v>0.72132083279820736</v>
      </c>
      <c r="K35" t="e">
        <f>Consolidated!E35/(0.1*Consolidated!E90)</f>
        <v>#DIV/0!</v>
      </c>
      <c r="L35" t="e">
        <f>Consolidated!F35/(0.1*Consolidated!F90)</f>
        <v>#DIV/0!</v>
      </c>
      <c r="M35" t="e">
        <f>Consolidated!G35/(0.1*Consolidated!G90)</f>
        <v>#DIV/0!</v>
      </c>
      <c r="N35" t="e">
        <f>Consolidated!H35/(0.1*Consolidated!H90)</f>
        <v>#DIV/0!</v>
      </c>
      <c r="O35" t="e">
        <f>Consolidated!I35/(0.1*Consolidated!I90)</f>
        <v>#DIV/0!</v>
      </c>
      <c r="P35" t="e">
        <f>Consolidated!J35/(0.1*Consolidated!J90)</f>
        <v>#DIV/0!</v>
      </c>
      <c r="Q35" t="e">
        <f>Consolidated!K35/(0.1*Consolidated!K90)</f>
        <v>#DIV/0!</v>
      </c>
    </row>
    <row r="36" spans="1:17">
      <c r="B36" s="14"/>
      <c r="C36" s="14"/>
      <c r="D36" s="14"/>
      <c r="E36" s="14"/>
      <c r="F36" s="14"/>
      <c r="G36" s="14"/>
      <c r="H36" s="14"/>
    </row>
    <row r="37" spans="1:17">
      <c r="A37" t="s">
        <v>91</v>
      </c>
      <c r="B37" s="41">
        <f>(StandAlone!E36 + StandAlone!E29)*(1-'StandAlone %'!D37)/(StandAlone!F51+StandAlone!F57+StandAlone!F59+StandAlone!F63+StandAlone!F66)</f>
        <v>0.18199745128399569</v>
      </c>
      <c r="C37" s="41">
        <f>(StandAlone!F36 + StandAlone!F29)*(1-'StandAlone %'!E37)/(StandAlone!G51+StandAlone!G57+StandAlone!G59+StandAlone!G63+StandAlone!G66)</f>
        <v>0.18863960825865958</v>
      </c>
      <c r="D37" s="41">
        <f>(StandAlone!G36 + StandAlone!G29)*(1-'StandAlone %'!F37)/(StandAlone!H51+StandAlone!H57+StandAlone!H59+StandAlone!H63+StandAlone!H66)</f>
        <v>0.18779162193453536</v>
      </c>
      <c r="E37" s="41">
        <f>(StandAlone!H36 + StandAlone!H29)*(1-'StandAlone %'!G37)/(StandAlone!I51+StandAlone!I57+StandAlone!I59+StandAlone!I63+StandAlone!I66)</f>
        <v>0.11011153248764906</v>
      </c>
      <c r="F37" s="41">
        <f>(StandAlone!I36 + StandAlone!I29)*(1-'StandAlone %'!H37)/(StandAlone!J51+StandAlone!J57+StandAlone!J59+StandAlone!J63+StandAlone!J66)</f>
        <v>9.2174251949331876E-2</v>
      </c>
      <c r="G37" s="41">
        <f>(StandAlone!J36 + StandAlone!J29)*(1-'StandAlone %'!I37)/(StandAlone!K51+StandAlone!K57+StandAlone!K59+StandAlone!K63+StandAlone!K66)</f>
        <v>6.6062025789636353E-2</v>
      </c>
      <c r="H37" s="41" t="e">
        <f>(StandAlone!K36 + StandAlone!K29)*(1-'StandAlone %'!J37)/(StandAlone!L51+StandAlone!L57+StandAlone!L59+StandAlone!L63+StandAlone!L66)</f>
        <v>#DIV/0!</v>
      </c>
      <c r="K37" s="41" t="e">
        <f>(Consolidated!E36+ Consolidated!E29)*(1-'Consolidated %'!D37)/(Consolidated!F51+Consolidated!F57+Consolidated!F59+Consolidated!F63+Consolidated!F66)</f>
        <v>#DIV/0!</v>
      </c>
      <c r="L37" s="41" t="e">
        <f>(Consolidated!F36+ Consolidated!F29)*(1-'Consolidated %'!E37)/(Consolidated!G51+Consolidated!G57+Consolidated!G59+Consolidated!G63+Consolidated!G66)</f>
        <v>#DIV/0!</v>
      </c>
      <c r="M37" s="41" t="e">
        <f>(Consolidated!G36+ Consolidated!G29)*(1-'Consolidated %'!F37)/(Consolidated!H51+Consolidated!H57+Consolidated!H59+Consolidated!H63+Consolidated!H66)</f>
        <v>#DIV/0!</v>
      </c>
      <c r="N37" s="41" t="e">
        <f>(Consolidated!H36+ Consolidated!H29)*(1-'Consolidated %'!G37)/(Consolidated!I51+Consolidated!I57+Consolidated!I59+Consolidated!I63+Consolidated!I66)</f>
        <v>#DIV/0!</v>
      </c>
      <c r="O37" s="41" t="e">
        <f>(Consolidated!I36+ Consolidated!I29)*(1-'Consolidated %'!H37)/(Consolidated!J51+Consolidated!J57+Consolidated!J59+Consolidated!J63+Consolidated!J66)</f>
        <v>#DIV/0!</v>
      </c>
      <c r="P37" s="41" t="e">
        <f>(Consolidated!J36+ Consolidated!J29)*(1-'Consolidated %'!I37)/(Consolidated!K51+Consolidated!K57+Consolidated!K59+Consolidated!K63+Consolidated!K66)</f>
        <v>#DIV/0!</v>
      </c>
      <c r="Q37" s="41" t="e">
        <f>(Consolidated!K36+ Consolidated!K29)*(1-'Consolidated %'!J37)/(Consolidated!L51+Consolidated!L57+Consolidated!L59+Consolidated!L63+Consolidated!L66)</f>
        <v>#DIV/0!</v>
      </c>
    </row>
    <row r="38" spans="1:17">
      <c r="B38" s="14"/>
      <c r="C38" s="14"/>
      <c r="D38" s="14"/>
      <c r="E38" s="14"/>
      <c r="F38" s="14"/>
      <c r="G38" s="14"/>
      <c r="H38" s="14"/>
    </row>
    <row r="39" spans="1:17">
      <c r="A39" t="s">
        <v>200</v>
      </c>
      <c r="B39" s="14">
        <f>StandAlone!E94/StandAlone!E63</f>
        <v>1.883241054355026</v>
      </c>
      <c r="C39" s="14">
        <f>StandAlone!F94/StandAlone!F63</f>
        <v>1.6945205649311197</v>
      </c>
      <c r="D39" s="14">
        <f>StandAlone!G94/StandAlone!G63</f>
        <v>2.1026750498816762</v>
      </c>
      <c r="E39" s="14">
        <f>StandAlone!H94/StandAlone!H63</f>
        <v>1.7277299914554256</v>
      </c>
      <c r="F39" s="14">
        <f>StandAlone!I94/StandAlone!I63</f>
        <v>1.3891758274884947</v>
      </c>
      <c r="G39" s="14">
        <f>StandAlone!J94/StandAlone!J63</f>
        <v>1.1957900721989587</v>
      </c>
      <c r="H39" s="14">
        <f>StandAlone!K94/StandAlone!K63</f>
        <v>1.2560392714119624</v>
      </c>
      <c r="K39" t="e">
        <f>Consolidated!E94/Consolidated!E63</f>
        <v>#DIV/0!</v>
      </c>
      <c r="L39" t="e">
        <f>Consolidated!F94/Consolidated!F63</f>
        <v>#DIV/0!</v>
      </c>
      <c r="M39" t="e">
        <f>Consolidated!G94/Consolidated!G63</f>
        <v>#DIV/0!</v>
      </c>
      <c r="N39" t="e">
        <f>Consolidated!H94/Consolidated!H63</f>
        <v>#DIV/0!</v>
      </c>
      <c r="O39" t="e">
        <f>Consolidated!I94/Consolidated!I63</f>
        <v>#DIV/0!</v>
      </c>
      <c r="P39" t="e">
        <f>Consolidated!J94/Consolidated!J63</f>
        <v>#DIV/0!</v>
      </c>
      <c r="Q39" t="e">
        <f>Consolidated!K94/Consolidated!K63</f>
        <v>#DIV/0!</v>
      </c>
    </row>
    <row r="40" spans="1:17">
      <c r="B40" s="14"/>
      <c r="C40" s="14"/>
      <c r="D40" s="14"/>
      <c r="E40" s="14"/>
      <c r="F40" s="14"/>
      <c r="G40" s="14"/>
      <c r="H40" s="14"/>
    </row>
    <row r="41" spans="1:17">
      <c r="A41" t="s">
        <v>130</v>
      </c>
      <c r="B41" s="14">
        <f>StandAlone!E75/(StandAlone!E72+StandAlone!E73+StandAlone!E74)</f>
        <v>0</v>
      </c>
      <c r="C41" s="14">
        <f>StandAlone!F75/(StandAlone!F72+StandAlone!F73+StandAlone!F74)</f>
        <v>0</v>
      </c>
      <c r="D41" s="14">
        <f>StandAlone!G75/(StandAlone!G72+StandAlone!G73+StandAlone!G74)</f>
        <v>0</v>
      </c>
      <c r="E41" s="14">
        <f>StandAlone!H75/(StandAlone!H72+StandAlone!H73+StandAlone!H74)</f>
        <v>0</v>
      </c>
      <c r="F41" s="14">
        <f>StandAlone!I75/(StandAlone!I72+StandAlone!I73+StandAlone!I74)</f>
        <v>0</v>
      </c>
      <c r="G41" s="14">
        <f>StandAlone!J75/(StandAlone!J72+StandAlone!J73+StandAlone!J74)</f>
        <v>0</v>
      </c>
      <c r="H41" s="14">
        <f>StandAlone!K75/(StandAlone!K72+StandAlone!K73+StandAlone!K74)</f>
        <v>0</v>
      </c>
      <c r="K41" t="e">
        <f>Consolidated!E75/(Consolidated!E72+Consolidated!E73+Consolidated!E74)</f>
        <v>#DIV/0!</v>
      </c>
      <c r="L41" t="e">
        <f>Consolidated!F75/(Consolidated!F72+Consolidated!F73+Consolidated!F74)</f>
        <v>#DIV/0!</v>
      </c>
      <c r="M41" t="e">
        <f>Consolidated!G75/(Consolidated!G72+Consolidated!G73+Consolidated!G74)</f>
        <v>#DIV/0!</v>
      </c>
      <c r="N41" t="e">
        <f>Consolidated!H75/(Consolidated!H72+Consolidated!H73+Consolidated!H74)</f>
        <v>#DIV/0!</v>
      </c>
      <c r="O41" t="e">
        <f>Consolidated!I75/(Consolidated!I72+Consolidated!I73+Consolidated!I74)</f>
        <v>#DIV/0!</v>
      </c>
      <c r="P41" t="e">
        <f>Consolidated!J75/(Consolidated!J72+Consolidated!J73+Consolidated!J74)</f>
        <v>#DIV/0!</v>
      </c>
      <c r="Q41" t="e">
        <f>Consolidated!K75/(Consolidated!K72+Consolidated!K73+Consolidated!K74)</f>
        <v>#DIV/0!</v>
      </c>
    </row>
    <row r="42" spans="1:17">
      <c r="B42" s="14"/>
      <c r="C42" s="14"/>
      <c r="D42" s="14"/>
      <c r="E42" s="14"/>
      <c r="F42" s="14"/>
      <c r="G42" s="14"/>
      <c r="H42" s="14"/>
    </row>
    <row r="43" spans="1:17">
      <c r="A43" t="s">
        <v>154</v>
      </c>
      <c r="B43" s="14">
        <f t="shared" ref="B43:H43" si="10">(B3/$H$3)^(1/(B2-$H$2))-1</f>
        <v>0.22417517061689463</v>
      </c>
      <c r="C43" s="14">
        <f t="shared" si="10"/>
        <v>0.24419139915782639</v>
      </c>
      <c r="D43" s="14">
        <f t="shared" si="10"/>
        <v>0.26896953188261197</v>
      </c>
      <c r="E43" s="14">
        <f t="shared" si="10"/>
        <v>0.27214272912490722</v>
      </c>
      <c r="F43" s="14">
        <f t="shared" si="10"/>
        <v>0.33375797028726861</v>
      </c>
      <c r="G43" s="14">
        <f t="shared" si="10"/>
        <v>0.46413149188926872</v>
      </c>
      <c r="H43" s="14" t="e">
        <f t="shared" si="10"/>
        <v>#DIV/0!</v>
      </c>
      <c r="K43" t="e">
        <f t="shared" ref="K43:Q43" si="11">(K3/$Q$3)^(1/(K2-$Q$2))-1</f>
        <v>#DIV/0!</v>
      </c>
      <c r="L43" t="e">
        <f t="shared" si="11"/>
        <v>#DIV/0!</v>
      </c>
      <c r="M43" t="e">
        <f t="shared" si="11"/>
        <v>#DIV/0!</v>
      </c>
      <c r="N43" t="e">
        <f t="shared" si="11"/>
        <v>#DIV/0!</v>
      </c>
      <c r="O43" t="e">
        <f t="shared" si="11"/>
        <v>#DIV/0!</v>
      </c>
      <c r="P43" t="e">
        <f t="shared" si="11"/>
        <v>#DIV/0!</v>
      </c>
      <c r="Q43" t="e">
        <f t="shared" si="11"/>
        <v>#DIV/0!</v>
      </c>
    </row>
    <row r="44" spans="1:17">
      <c r="A44" t="s">
        <v>155</v>
      </c>
      <c r="B44" s="14">
        <f t="shared" ref="B44:H44" si="12">(B11/$H$11)^(1/(B2-$H$2))-1</f>
        <v>0.30110655609050041</v>
      </c>
      <c r="C44" s="14">
        <f t="shared" si="12"/>
        <v>0.34303940710312597</v>
      </c>
      <c r="D44" s="14">
        <f t="shared" si="12"/>
        <v>0.43341289479941203</v>
      </c>
      <c r="E44" s="14">
        <f t="shared" si="12"/>
        <v>0.29770115890879834</v>
      </c>
      <c r="F44" s="14">
        <f t="shared" si="12"/>
        <v>0.29920578326790293</v>
      </c>
      <c r="G44" s="14">
        <f t="shared" si="12"/>
        <v>0.22798784999415811</v>
      </c>
      <c r="H44" s="14" t="e">
        <f t="shared" si="12"/>
        <v>#DIV/0!</v>
      </c>
      <c r="K44" t="e">
        <f t="shared" ref="K44:Q44" si="13">(K11/$Q$11)^(1/(K2-$Q$2))-1</f>
        <v>#DIV/0!</v>
      </c>
      <c r="L44" t="e">
        <f t="shared" si="13"/>
        <v>#DIV/0!</v>
      </c>
      <c r="M44" t="e">
        <f t="shared" si="13"/>
        <v>#DIV/0!</v>
      </c>
      <c r="N44" t="e">
        <f t="shared" si="13"/>
        <v>#DIV/0!</v>
      </c>
      <c r="O44" t="e">
        <f t="shared" si="13"/>
        <v>#DIV/0!</v>
      </c>
      <c r="P44" t="e">
        <f t="shared" si="13"/>
        <v>#DIV/0!</v>
      </c>
      <c r="Q44" t="e">
        <f t="shared" si="13"/>
        <v>#DIV/0!</v>
      </c>
    </row>
    <row r="45" spans="1:17">
      <c r="A45" t="s">
        <v>156</v>
      </c>
      <c r="B45" s="14">
        <f t="shared" ref="B45:H45" si="14">(B17/$H$17)^(1/(B2-$H$2))-1</f>
        <v>0.35961405214398456</v>
      </c>
      <c r="C45" s="14">
        <f t="shared" si="14"/>
        <v>0.40058553384422124</v>
      </c>
      <c r="D45" s="14">
        <f t="shared" si="14"/>
        <v>0.49921383228708249</v>
      </c>
      <c r="E45" s="14">
        <f t="shared" si="14"/>
        <v>0.14947192027021061</v>
      </c>
      <c r="F45" s="14">
        <f t="shared" si="14"/>
        <v>2.9698922418030627E-2</v>
      </c>
      <c r="G45" s="14">
        <f t="shared" si="14"/>
        <v>-0.43929522406662713</v>
      </c>
      <c r="H45" s="14" t="e">
        <f t="shared" si="14"/>
        <v>#DIV/0!</v>
      </c>
      <c r="K45" t="e">
        <f t="shared" ref="K45:Q45" si="15">(K17/$Q$17)^(1/(K2-$Q$2))-1</f>
        <v>#DIV/0!</v>
      </c>
      <c r="L45" t="e">
        <f t="shared" si="15"/>
        <v>#DIV/0!</v>
      </c>
      <c r="M45" t="e">
        <f t="shared" si="15"/>
        <v>#DIV/0!</v>
      </c>
      <c r="N45" t="e">
        <f t="shared" si="15"/>
        <v>#DIV/0!</v>
      </c>
      <c r="O45" t="e">
        <f t="shared" si="15"/>
        <v>#DIV/0!</v>
      </c>
      <c r="P45" t="e">
        <f t="shared" si="15"/>
        <v>#DIV/0!</v>
      </c>
      <c r="Q45" t="e">
        <f t="shared" si="15"/>
        <v>#DIV/0!</v>
      </c>
    </row>
    <row r="46" spans="1:17">
      <c r="A46" t="s">
        <v>201</v>
      </c>
      <c r="B46" s="14">
        <f>(B20/$H$20)^(1/(B2-$H$2))-1</f>
        <v>0.35961405214398456</v>
      </c>
      <c r="C46" s="14">
        <f t="shared" ref="C46:H46" si="16">(C20/$H$20)^(1/(C2-$H$2))-1</f>
        <v>0.40058553384422124</v>
      </c>
      <c r="D46" s="14">
        <f t="shared" si="16"/>
        <v>0.49921383228708249</v>
      </c>
      <c r="E46" s="14">
        <f t="shared" si="16"/>
        <v>0.14947192027021061</v>
      </c>
      <c r="F46" s="14">
        <f t="shared" si="16"/>
        <v>2.9698922418030627E-2</v>
      </c>
      <c r="G46" s="14">
        <f t="shared" si="16"/>
        <v>-0.43929522406662713</v>
      </c>
      <c r="H46" s="14" t="e">
        <f t="shared" si="16"/>
        <v>#DIV/0!</v>
      </c>
      <c r="K46" t="e">
        <f>(K20/$Q$20)^(1/(K2-$Q$2))-1</f>
        <v>#DIV/0!</v>
      </c>
      <c r="L46" t="e">
        <f t="shared" ref="L46:Q46" si="17">(L20/$Q$20)^(1/(L2-$Q$2))-1</f>
        <v>#DIV/0!</v>
      </c>
      <c r="M46" t="e">
        <f t="shared" si="17"/>
        <v>#DIV/0!</v>
      </c>
      <c r="N46" t="e">
        <f t="shared" si="17"/>
        <v>#DIV/0!</v>
      </c>
      <c r="O46" t="e">
        <f t="shared" si="17"/>
        <v>#DIV/0!</v>
      </c>
      <c r="P46" t="e">
        <f t="shared" si="17"/>
        <v>#DIV/0!</v>
      </c>
      <c r="Q46" t="e">
        <f t="shared" si="17"/>
        <v>#DIV/0!</v>
      </c>
    </row>
    <row r="47" spans="1:17">
      <c r="B47" s="14"/>
      <c r="C47" s="14"/>
      <c r="D47" s="14"/>
      <c r="E47" s="14"/>
      <c r="F47" s="14"/>
      <c r="G47" s="14"/>
      <c r="H47" s="14"/>
    </row>
    <row r="48" spans="1:17">
      <c r="A48" t="s">
        <v>158</v>
      </c>
      <c r="B48" s="14">
        <f>StandAlone!E46/StandAlone!E44</f>
        <v>0.14215629120066023</v>
      </c>
      <c r="C48" s="14">
        <f>StandAlone!F46/StandAlone!F44</f>
        <v>0.15053085251760734</v>
      </c>
      <c r="D48" s="14">
        <f>StandAlone!G46/StandAlone!G44</f>
        <v>0.14915163001424248</v>
      </c>
      <c r="E48" s="14">
        <f>StandAlone!H46/StandAlone!H44</f>
        <v>0.57445538645180161</v>
      </c>
      <c r="F48" s="14">
        <f>StandAlone!I46/StandAlone!I44</f>
        <v>0.51830082821266132</v>
      </c>
      <c r="G48" s="14">
        <f>StandAlone!J46/StandAlone!J44</f>
        <v>0.70728503586945846</v>
      </c>
      <c r="H48" s="14">
        <f>StandAlone!K46/StandAlone!K44</f>
        <v>0.60053254773100717</v>
      </c>
      <c r="K48" t="e">
        <f>Consolidated!E66/Consolidated!E44</f>
        <v>#DIV/0!</v>
      </c>
      <c r="L48" t="e">
        <f>Consolidated!F66/Consolidated!F44</f>
        <v>#DIV/0!</v>
      </c>
      <c r="M48" t="e">
        <f>Consolidated!G66/Consolidated!G44</f>
        <v>#DIV/0!</v>
      </c>
      <c r="N48" t="e">
        <f>Consolidated!H66/Consolidated!H44</f>
        <v>#DIV/0!</v>
      </c>
      <c r="O48" t="e">
        <f>Consolidated!I66/Consolidated!I44</f>
        <v>#DIV/0!</v>
      </c>
      <c r="P48" t="e">
        <f>Consolidated!J66/Consolidated!J44</f>
        <v>#DIV/0!</v>
      </c>
      <c r="Q48" t="e">
        <f>Consolidated!K66/Consolidated!K44</f>
        <v>#DIV/0!</v>
      </c>
    </row>
    <row r="49" spans="1:17">
      <c r="A49" t="s">
        <v>160</v>
      </c>
      <c r="B49" s="14">
        <f>(StandAlone!E46-StandAlone!F46)/StandAlone!F46*100</f>
        <v>10.68435754189945</v>
      </c>
      <c r="C49" s="14">
        <f>(StandAlone!F46-StandAlone!G46)/StandAlone!G46*100</f>
        <v>7.6691729323308184</v>
      </c>
      <c r="D49" s="14">
        <f>(StandAlone!G46-StandAlone!H46)/StandAlone!H46*100</f>
        <v>-13.636363636363635</v>
      </c>
      <c r="E49" s="14">
        <f>(StandAlone!H46-StandAlone!I46)/StandAlone!I46*100</f>
        <v>58.762886597938149</v>
      </c>
      <c r="F49" s="14">
        <f>(StandAlone!I46-StandAlone!J46)/StandAlone!J46*100</f>
        <v>38.571428571428577</v>
      </c>
      <c r="G49" s="14">
        <f>(StandAlone!J46-StandAlone!K46)/StandAlone!K46*100</f>
        <v>-33.962264150943398</v>
      </c>
      <c r="H49" s="14"/>
      <c r="K49" t="e">
        <f>(Consolidated!E46-Consolidated!F46)/Consolidated!F46*100</f>
        <v>#DIV/0!</v>
      </c>
      <c r="L49" t="e">
        <f>(Consolidated!F46-Consolidated!G46)/Consolidated!G46*100</f>
        <v>#DIV/0!</v>
      </c>
      <c r="M49" t="e">
        <f>(Consolidated!G46-Consolidated!H46)/Consolidated!H46*100</f>
        <v>#DIV/0!</v>
      </c>
      <c r="N49" t="e">
        <f>(Consolidated!H46-Consolidated!I46)/Consolidated!I46*100</f>
        <v>#DIV/0!</v>
      </c>
      <c r="O49" t="e">
        <f>(Consolidated!I46-Consolidated!J46)/Consolidated!J46*100</f>
        <v>#DIV/0!</v>
      </c>
      <c r="P49" t="e">
        <f>(Consolidated!J46-Consolidated!K46)/Consolidated!K46*100</f>
        <v>#DIV/0!</v>
      </c>
    </row>
    <row r="50" spans="1:17">
      <c r="A50" t="s">
        <v>159</v>
      </c>
      <c r="B50" s="14">
        <f>(StandAlone!E46/StandAlone!$K$46)^(1/('Evaluation Ratios'!B2-'Evaluation Ratios'!$H$2))-1</f>
        <v>6.9351706631850085E-2</v>
      </c>
      <c r="C50" s="14">
        <f>(StandAlone!F46/StandAlone!$K$46)^(1/('Evaluation Ratios'!C2-'Evaluation Ratios'!$H$2))-1</f>
        <v>6.2007125261366314E-2</v>
      </c>
      <c r="D50" s="14">
        <f>(StandAlone!G46/StandAlone!$K$46)^(1/('Evaluation Ratios'!D2-'Evaluation Ratios'!$H$2))-1</f>
        <v>5.8367375014647394E-2</v>
      </c>
      <c r="E50" s="14">
        <f>(StandAlone!H46/StandAlone!$K$46)^(1/('Evaluation Ratios'!E2-'Evaluation Ratios'!$H$2))-1</f>
        <v>0.13258712022488539</v>
      </c>
      <c r="F50" s="14">
        <f>(StandAlone!I46/StandAlone!$K$46)^(1/('Evaluation Ratios'!F2-'Evaluation Ratios'!$H$2))-1</f>
        <v>-4.3394365674840119E-2</v>
      </c>
      <c r="G50" s="14">
        <f>(StandAlone!J46/StandAlone!$K$46)^(1/('Evaluation Ratios'!G2-'Evaluation Ratios'!$H$2))-1</f>
        <v>-0.339622641509434</v>
      </c>
      <c r="H50" s="14" t="e">
        <f>(StandAlone!K46/StandAlone!$K$46)^(1/('Evaluation Ratios'!H2-'Evaluation Ratios'!$H$2))-1</f>
        <v>#DIV/0!</v>
      </c>
      <c r="K50" t="e">
        <f>(Consolidated!E46/Consolidated!$K$46)^(1/('Evaluation Ratios'!K2-'Evaluation Ratios'!$Q$2))-1</f>
        <v>#DIV/0!</v>
      </c>
      <c r="L50" t="e">
        <f>(Consolidated!F46/Consolidated!$K$46)^(1/('Evaluation Ratios'!L2-'Evaluation Ratios'!$Q$2))-1</f>
        <v>#DIV/0!</v>
      </c>
      <c r="M50" t="e">
        <f>(Consolidated!G46/Consolidated!$K$46)^(1/('Evaluation Ratios'!M2-'Evaluation Ratios'!$Q$2))-1</f>
        <v>#DIV/0!</v>
      </c>
      <c r="N50" t="e">
        <f>(Consolidated!H46/Consolidated!$K$46)^(1/('Evaluation Ratios'!N2-'Evaluation Ratios'!$Q$2))-1</f>
        <v>#DIV/0!</v>
      </c>
      <c r="O50" t="e">
        <f>(Consolidated!I46/Consolidated!$K$46)^(1/('Evaluation Ratios'!O2-'Evaluation Ratios'!$Q$2))-1</f>
        <v>#DIV/0!</v>
      </c>
      <c r="P50" t="e">
        <f>(Consolidated!J46/Consolidated!$K$46)^(1/('Evaluation Ratios'!P2-'Evaluation Ratios'!$Q$2))-1</f>
        <v>#DIV/0!</v>
      </c>
      <c r="Q50" t="e">
        <f>(Consolidated!K46/Consolidated!$K$46)^(1/('Evaluation Ratios'!Q2-'Evaluation Ratios'!$Q$2))-1</f>
        <v>#DIV/0!</v>
      </c>
    </row>
    <row r="51" spans="1:17">
      <c r="B51" s="14"/>
      <c r="C51" s="14"/>
      <c r="D51" s="14"/>
      <c r="E51" s="14"/>
      <c r="F51" s="14"/>
      <c r="G51" s="14"/>
      <c r="H51" s="14"/>
    </row>
    <row r="52" spans="1:17">
      <c r="A52" t="s">
        <v>177</v>
      </c>
      <c r="B52" s="14">
        <f>(StandAlone!E93-StandAlone!F93)/(StandAlone!E93+StandAlone!F93)*2</f>
        <v>0.40656512731358163</v>
      </c>
      <c r="C52" s="14">
        <f>(StandAlone!F93-StandAlone!G93)/(StandAlone!F93+StandAlone!G93)*2</f>
        <v>-0.31017250833939108</v>
      </c>
      <c r="D52" s="14">
        <f>(StandAlone!G93-StandAlone!H93)/(StandAlone!G93+StandAlone!H93)*2</f>
        <v>1.1866708550606264</v>
      </c>
      <c r="E52" s="14">
        <f>(StandAlone!H93-StandAlone!I93)/(StandAlone!H93+StandAlone!I93)*2</f>
        <v>1.6466107806021264</v>
      </c>
      <c r="F52" s="14">
        <f>(StandAlone!I93-StandAlone!J93)/(StandAlone!I93+StandAlone!J93)*2</f>
        <v>-4.3070246414122808</v>
      </c>
      <c r="G52" s="14">
        <f>(StandAlone!J93-StandAlone!K93)/(StandAlone!J93+StandAlone!K93)*2</f>
        <v>-0.8883904842159801</v>
      </c>
      <c r="H52" s="14"/>
      <c r="K52" t="e">
        <f>(Consolidated!E93-Consolidated!F93)/(Consolidated!E93+Consolidated!F93)*2</f>
        <v>#DIV/0!</v>
      </c>
      <c r="L52" t="e">
        <f>(Consolidated!F93-Consolidated!G93)/(Consolidated!F93+Consolidated!G93)*2</f>
        <v>#DIV/0!</v>
      </c>
      <c r="M52" t="e">
        <f>(Consolidated!G93-Consolidated!H93)/(Consolidated!G93+Consolidated!H93)*2</f>
        <v>#DIV/0!</v>
      </c>
      <c r="N52" t="e">
        <f>(Consolidated!H93-Consolidated!I93)/(Consolidated!H93+Consolidated!I93)*2</f>
        <v>#DIV/0!</v>
      </c>
      <c r="O52" t="e">
        <f>(Consolidated!I93-Consolidated!J93)/(Consolidated!I93+Consolidated!J93)*2</f>
        <v>#DIV/0!</v>
      </c>
      <c r="P52" t="e">
        <f>(Consolidated!J93-Consolidated!K93)/(Consolidated!J93+Consolidated!K93)*2</f>
        <v>#DIV/0!</v>
      </c>
    </row>
    <row r="53" spans="1:17">
      <c r="A53" t="s">
        <v>178</v>
      </c>
      <c r="B53" s="14">
        <f>(StandAlone!E40-StandAlone!E100-StandAlone!E103)/(StandAlone!E93+StandAlone!F93)*2</f>
        <v>-5.4941883437036952E-2</v>
      </c>
      <c r="C53" s="14">
        <f>(StandAlone!F40-StandAlone!F100-StandAlone!F103)/(StandAlone!F93+StandAlone!G93)*2</f>
        <v>-0.44430962960533876</v>
      </c>
      <c r="D53" s="14">
        <f>(StandAlone!G40-StandAlone!G100-StandAlone!G103)/(StandAlone!G93+StandAlone!H93)*2</f>
        <v>0.26641201231387868</v>
      </c>
      <c r="E53" s="14">
        <f>(StandAlone!H40-StandAlone!H100-StandAlone!H103)/(StandAlone!H93+StandAlone!I93)*2</f>
        <v>0.95285740039660516</v>
      </c>
      <c r="F53" s="14">
        <f>(StandAlone!I40-StandAlone!I100-StandAlone!I103)/(StandAlone!I93+StandAlone!J93)*2</f>
        <v>13.149834497977139</v>
      </c>
      <c r="G53" s="14">
        <f>(StandAlone!J40-StandAlone!J100-StandAlone!J103)/(StandAlone!J93+StandAlone!K93)*2</f>
        <v>-1.3093926233227464</v>
      </c>
      <c r="H53" s="14"/>
      <c r="K53" t="e">
        <f>(Consolidated!E40-Consolidated!E100-Consolidated!E103)/(Consolidated!E93+Consolidated!F93)*2</f>
        <v>#DIV/0!</v>
      </c>
      <c r="L53" t="e">
        <f>(Consolidated!F40-Consolidated!F100-Consolidated!F103)/(Consolidated!F93+Consolidated!G93)*2</f>
        <v>#DIV/0!</v>
      </c>
      <c r="M53" t="e">
        <f>(Consolidated!G40-Consolidated!G100-Consolidated!G103)/(Consolidated!G93+Consolidated!H93)*2</f>
        <v>#DIV/0!</v>
      </c>
      <c r="N53" t="e">
        <f>(Consolidated!H40-Consolidated!H100-Consolidated!H103)/(Consolidated!H93+Consolidated!I93)*2</f>
        <v>#DIV/0!</v>
      </c>
      <c r="O53" t="e">
        <f>(Consolidated!I40-Consolidated!I100-Consolidated!I103)/(Consolidated!I93+Consolidated!J93)*2</f>
        <v>#DIV/0!</v>
      </c>
      <c r="P53" t="e">
        <f>(Consolidated!J40-Consolidated!J100-Consolidated!J103)/(Consolidated!J93+Consolidated!K93)*2</f>
        <v>#DIV/0!</v>
      </c>
    </row>
    <row r="54" spans="1:17">
      <c r="B54" s="14"/>
      <c r="C54" s="14"/>
      <c r="D54" s="14"/>
      <c r="E54" s="14"/>
      <c r="F54" s="14"/>
      <c r="G54" s="14"/>
      <c r="H54" s="14"/>
    </row>
    <row r="55" spans="1:17">
      <c r="A55" t="s">
        <v>183</v>
      </c>
      <c r="B55" s="14">
        <f>StandAlone!E102/StandAlone!E38</f>
        <v>1.0046421749366976</v>
      </c>
      <c r="C55" s="14">
        <f>StandAlone!F102/StandAlone!F38</f>
        <v>0.94431756840925118</v>
      </c>
      <c r="D55" s="14">
        <f>StandAlone!G102/StandAlone!G38</f>
        <v>0.71339958225204125</v>
      </c>
      <c r="E55" s="14">
        <f>StandAlone!H102/StandAlone!H38</f>
        <v>0.4920456863145013</v>
      </c>
      <c r="F55" s="14">
        <f>StandAlone!I102/StandAlone!I38</f>
        <v>0.51900972590627759</v>
      </c>
      <c r="G55" s="14">
        <f>StandAlone!J102/StandAlone!J38</f>
        <v>0.92232597623089985</v>
      </c>
      <c r="H55" s="14">
        <f>StandAlone!K102/StandAlone!K38</f>
        <v>0.56093401547946997</v>
      </c>
      <c r="K55" t="e">
        <f>Consolidated!E102/Consolidated!E38</f>
        <v>#DIV/0!</v>
      </c>
      <c r="L55" t="e">
        <f>Consolidated!F102/Consolidated!F38</f>
        <v>#DIV/0!</v>
      </c>
      <c r="M55" t="e">
        <f>Consolidated!G102/Consolidated!G38</f>
        <v>#DIV/0!</v>
      </c>
      <c r="N55" t="e">
        <f>Consolidated!H102/Consolidated!H38</f>
        <v>#DIV/0!</v>
      </c>
      <c r="O55" t="e">
        <f>Consolidated!I102/Consolidated!I38</f>
        <v>#DIV/0!</v>
      </c>
      <c r="P55" t="e">
        <f>Consolidated!J102/Consolidated!J38</f>
        <v>#DIV/0!</v>
      </c>
      <c r="Q55" t="e">
        <f>Consolidated!K102/Consolidated!K38</f>
        <v>#DIV/0!</v>
      </c>
    </row>
    <row r="56" spans="1:17">
      <c r="A56" t="s">
        <v>191</v>
      </c>
      <c r="B56" s="14">
        <f>'StandAlone %'!D37</f>
        <v>0.28764558935336942</v>
      </c>
      <c r="C56" s="14">
        <f>'StandAlone %'!E37</f>
        <v>0.33612941045109401</v>
      </c>
      <c r="D56" s="14">
        <f>'StandAlone %'!F37</f>
        <v>0.34705787592993997</v>
      </c>
      <c r="E56" s="14">
        <f>'StandAlone %'!G37</f>
        <v>0.26782105205658907</v>
      </c>
      <c r="F56" s="14">
        <f>'StandAlone %'!H37</f>
        <v>0.32590137953391107</v>
      </c>
      <c r="G56" s="14">
        <f>'StandAlone %'!I37</f>
        <v>0.3225408994455482</v>
      </c>
      <c r="H56" s="14">
        <f>'StandAlone %'!J37</f>
        <v>0.30161430719316307</v>
      </c>
      <c r="K56" t="e">
        <f>'Consolidated %'!D37</f>
        <v>#DIV/0!</v>
      </c>
      <c r="L56" t="e">
        <f>'Consolidated %'!E37</f>
        <v>#DIV/0!</v>
      </c>
      <c r="M56" t="e">
        <f>'Consolidated %'!F37</f>
        <v>#DIV/0!</v>
      </c>
      <c r="N56" t="e">
        <f>'Consolidated %'!G37</f>
        <v>#DIV/0!</v>
      </c>
      <c r="O56" t="e">
        <f>'Consolidated %'!H37</f>
        <v>#DIV/0!</v>
      </c>
      <c r="P56" t="e">
        <f>'Consolidated %'!I37</f>
        <v>#DIV/0!</v>
      </c>
      <c r="Q56" t="e">
        <f>'Consolidated %'!J37</f>
        <v>#DIV/0!</v>
      </c>
    </row>
    <row r="57" spans="1:17">
      <c r="A57" t="s">
        <v>192</v>
      </c>
      <c r="B57" s="14">
        <f>StandAlone!E58/StandAlone!E3</f>
        <v>2.2914982747089981E-2</v>
      </c>
      <c r="C57" s="14">
        <f>StandAlone!F58/StandAlone!F3</f>
        <v>2.082653770802884E-2</v>
      </c>
      <c r="D57" s="14">
        <f>StandAlone!G58/StandAlone!G3</f>
        <v>2.0134611127214139E-2</v>
      </c>
      <c r="E57" s="14">
        <f>StandAlone!H58/StandAlone!H3</f>
        <v>2.086557247614822E-2</v>
      </c>
      <c r="F57" s="14">
        <f>StandAlone!I58/StandAlone!I3</f>
        <v>2.0099427013851694E-2</v>
      </c>
      <c r="G57" s="14">
        <f>StandAlone!J58/StandAlone!J3</f>
        <v>1.4913789967380716E-2</v>
      </c>
      <c r="H57" s="14">
        <f>StandAlone!K58/StandAlone!K3</f>
        <v>1.8561077564354208E-2</v>
      </c>
      <c r="K57" t="e">
        <f>Consolidated!E58/Consolidated!E3</f>
        <v>#DIV/0!</v>
      </c>
      <c r="L57" t="e">
        <f>Consolidated!F58/Consolidated!F3</f>
        <v>#DIV/0!</v>
      </c>
      <c r="M57" t="e">
        <f>Consolidated!G58/Consolidated!G3</f>
        <v>#DIV/0!</v>
      </c>
      <c r="N57" t="e">
        <f>Consolidated!H58/Consolidated!H3</f>
        <v>#DIV/0!</v>
      </c>
      <c r="O57" t="e">
        <f>Consolidated!I58/Consolidated!I3</f>
        <v>#DIV/0!</v>
      </c>
      <c r="P57" t="e">
        <f>Consolidated!J58/Consolidated!J3</f>
        <v>#DIV/0!</v>
      </c>
      <c r="Q57" t="e">
        <f>Consolidated!K58/Consolidated!K3</f>
        <v>#DIV/0!</v>
      </c>
    </row>
    <row r="58" spans="1:17">
      <c r="B58" s="14"/>
      <c r="C58" s="14"/>
      <c r="D58" s="14"/>
      <c r="E58" s="14"/>
      <c r="F58" s="14"/>
      <c r="G58" s="14"/>
      <c r="H58" s="14"/>
    </row>
    <row r="59" spans="1:17">
      <c r="A59" t="s">
        <v>190</v>
      </c>
      <c r="B59" s="14">
        <f>(B21+C21+D21)/3*(B27+C27+D27)/3*(1-(B48+C48+D48)/3)-('StandAlone %'!D28+'StandAlone %'!E28+'StandAlone %'!F28)/3</f>
        <v>0.14703566918304045</v>
      </c>
      <c r="C59" s="14">
        <f>(C21+D21+E21)/3*(C27+D27+E27)/3*(1-(C48+D48+E48)/3)-('StandAlone %'!E28+'StandAlone %'!F28+'StandAlone %'!G28)/3</f>
        <v>7.5548584749233316E-2</v>
      </c>
      <c r="D59" s="14">
        <f>(D21+E21+F21)/3*(D27+E27+F27)/3*(1-(D48+E48+F48)/3)-('StandAlone %'!F28+'StandAlone %'!G28+'StandAlone %'!H28)/3</f>
        <v>2.3288686008864579E-2</v>
      </c>
      <c r="E59" s="14">
        <f>(E21+F21+G21)/3*(E27+F27+G27)/3*(1-(E48+F48+G48)/3)-('StandAlone %'!G28+'StandAlone %'!H28+'StandAlone %'!I28)/3</f>
        <v>-1.9836752872160274E-2</v>
      </c>
      <c r="F59" s="14">
        <f>(F21+G21+H21)/3*(F27+G27+H27)/3*(1-(F48+G48+H48)/3)-('StandAlone %'!H28+'StandAlone %'!I28+'StandAlone %'!J28)/3</f>
        <v>-1.1222001153539902E-2</v>
      </c>
      <c r="G59" s="14"/>
      <c r="H59" s="14"/>
      <c r="K59" t="e">
        <f>(K21+L21+M21)/3*(K27+L27+M27)/3*(1-(K48+L48+M48)/3)-('Consolidated %'!D28+'Consolidated %'!E28+'Consolidated %'!F28)/3</f>
        <v>#DIV/0!</v>
      </c>
      <c r="L59" t="e">
        <f>(L21+M21+N21)/3*(L27+M27+N27)/3*(1-(L48+M48+N48)/3)-('Consolidated %'!E28+'Consolidated %'!F28+'Consolidated %'!G28)/3</f>
        <v>#DIV/0!</v>
      </c>
      <c r="M59" t="e">
        <f>(M21+N21+O21)/3*(M27+N27+O27)/3*(1-(M48+N48+O48)/3)-('Consolidated %'!F28+'Consolidated %'!G28+'Consolidated %'!H28)/3</f>
        <v>#DIV/0!</v>
      </c>
      <c r="N59" t="e">
        <f>(N21+O21+P21)/3*(N27+O27+P27)/3*(1-(N48+O48+P48)/3)-('Consolidated %'!G28+'Consolidated %'!H28+'Consolidated %'!I28)/3</f>
        <v>#DIV/0!</v>
      </c>
      <c r="O59" t="e">
        <f>(O21+P21+Q21)/3*(O27+P27+Q27)/3*(1-(O48+P48+Q48)/3)-('Consolidated %'!H28+'Consolidated %'!I28+'Consolidated %'!J28)/3</f>
        <v>#DIV/0!</v>
      </c>
    </row>
    <row r="60" spans="1:17">
      <c r="B60" s="14"/>
      <c r="C60" s="14"/>
      <c r="D60" s="14"/>
      <c r="E60" s="14"/>
      <c r="F60" s="14"/>
      <c r="G60" s="14"/>
      <c r="H60" s="14"/>
    </row>
    <row r="61" spans="1:17">
      <c r="A61" t="s">
        <v>204</v>
      </c>
      <c r="B61" s="17">
        <f>StandAlone!E108/StandAlone!E44</f>
        <v>0.11390440998412522</v>
      </c>
      <c r="C61" s="17">
        <f>StandAlone!F108/StandAlone!F44</f>
        <v>8.3643435299064359E-2</v>
      </c>
      <c r="D61" s="17">
        <f>StandAlone!G108/StandAlone!G44</f>
        <v>4.3971694833522167E-2</v>
      </c>
      <c r="E61" s="17">
        <f>StandAlone!H108/StandAlone!H44</f>
        <v>1.0071620411817301E-2</v>
      </c>
      <c r="F61" s="14">
        <f>StandAlone!I108/StandAlone!I44</f>
        <v>0</v>
      </c>
      <c r="G61" s="14">
        <f>StandAlone!J108/StandAlone!J44</f>
        <v>0</v>
      </c>
      <c r="H61" s="14">
        <f>StandAlone!K108/StandAlone!K44</f>
        <v>0</v>
      </c>
      <c r="K61" t="e">
        <f>Consolidated!E108/Consolidated!E44</f>
        <v>#DIV/0!</v>
      </c>
      <c r="L61" t="e">
        <f>Consolidated!F108/Consolidated!F44</f>
        <v>#DIV/0!</v>
      </c>
      <c r="M61" t="e">
        <f>Consolidated!G108/Consolidated!G44</f>
        <v>#DIV/0!</v>
      </c>
      <c r="N61" t="e">
        <f>Consolidated!H108/Consolidated!H44</f>
        <v>#DIV/0!</v>
      </c>
      <c r="O61" t="e">
        <f>Consolidated!I108/Consolidated!I44</f>
        <v>#DIV/0!</v>
      </c>
      <c r="P61" t="e">
        <f>Consolidated!J108/Consolidated!J44</f>
        <v>#DIV/0!</v>
      </c>
      <c r="Q61" t="e">
        <f>Consolidated!K108/Consolidated!K44</f>
        <v>#DIV/0!</v>
      </c>
    </row>
  </sheetData>
  <mergeCells count="3">
    <mergeCell ref="U1:Z1"/>
    <mergeCell ref="B1:H1"/>
    <mergeCell ref="K1:Q1"/>
  </mergeCells>
  <phoneticPr fontId="4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A1:Q25"/>
  <sheetViews>
    <sheetView workbookViewId="0">
      <selection activeCell="H36" sqref="H36"/>
    </sheetView>
  </sheetViews>
  <sheetFormatPr defaultColWidth="11" defaultRowHeight="15.75"/>
  <cols>
    <col min="1" max="1" width="27" bestFit="1" customWidth="1"/>
    <col min="2" max="2" width="10.5" customWidth="1"/>
  </cols>
  <sheetData>
    <row r="1" spans="1:17">
      <c r="B1">
        <v>2017</v>
      </c>
      <c r="C1">
        <f>StandAlone!F1</f>
        <v>2016</v>
      </c>
      <c r="D1">
        <f>StandAlone!G1</f>
        <v>2015</v>
      </c>
      <c r="E1">
        <f>StandAlone!H1</f>
        <v>2014</v>
      </c>
      <c r="F1">
        <f>StandAlone!I1</f>
        <v>2013</v>
      </c>
      <c r="G1">
        <f>StandAlone!J1</f>
        <v>2012</v>
      </c>
      <c r="H1">
        <f>StandAlone!K1</f>
        <v>2011</v>
      </c>
      <c r="K1">
        <v>2017</v>
      </c>
      <c r="L1">
        <f>Consolidated!F1</f>
        <v>2016</v>
      </c>
      <c r="M1">
        <f>Consolidated!G1</f>
        <v>2015</v>
      </c>
      <c r="N1">
        <f>Consolidated!H1</f>
        <v>2014</v>
      </c>
      <c r="O1">
        <f>Consolidated!I1</f>
        <v>2013</v>
      </c>
      <c r="P1">
        <f>Consolidated!J1</f>
        <v>2012</v>
      </c>
      <c r="Q1">
        <f>Consolidated!K1</f>
        <v>2011</v>
      </c>
    </row>
    <row r="2" spans="1:17">
      <c r="A2" t="str">
        <f>StandAlone!B57</f>
        <v>Long term borrowings</v>
      </c>
      <c r="B2">
        <f>StandAlone!E57-StandAlone!F57</f>
        <v>-224.93000000000006</v>
      </c>
      <c r="C2">
        <f>StandAlone!F57-StandAlone!G57</f>
        <v>276.28999999999996</v>
      </c>
      <c r="D2">
        <f>StandAlone!G57-StandAlone!H57</f>
        <v>-599.87999999999988</v>
      </c>
      <c r="E2">
        <f>StandAlone!H57-StandAlone!I57</f>
        <v>320.81999999999994</v>
      </c>
      <c r="F2">
        <f>StandAlone!I57-StandAlone!J57</f>
        <v>235.59999999999991</v>
      </c>
      <c r="G2">
        <f>StandAlone!J57-StandAlone!K57</f>
        <v>378.79000000000019</v>
      </c>
      <c r="K2">
        <f>Consolidated!E57-Consolidated!F57</f>
        <v>0</v>
      </c>
      <c r="L2">
        <f>Consolidated!F57-Consolidated!G57</f>
        <v>0</v>
      </c>
      <c r="M2">
        <f>Consolidated!G57-Consolidated!H57</f>
        <v>0</v>
      </c>
      <c r="N2">
        <f>Consolidated!H57-Consolidated!I57</f>
        <v>0</v>
      </c>
      <c r="O2">
        <f>Consolidated!I57-Consolidated!J57</f>
        <v>0</v>
      </c>
      <c r="P2">
        <f>Consolidated!J57-Consolidated!K57</f>
        <v>0</v>
      </c>
    </row>
    <row r="3" spans="1:17">
      <c r="A3" t="str">
        <f>StandAlone!B58</f>
        <v>Deferred tax</v>
      </c>
      <c r="B3">
        <f>StandAlone!E58-StandAlone!F58</f>
        <v>76.180000000000007</v>
      </c>
      <c r="C3">
        <f>StandAlone!F58-StandAlone!G58</f>
        <v>50.109999999999957</v>
      </c>
      <c r="D3">
        <f>StandAlone!G58-StandAlone!H58</f>
        <v>46.900000000000034</v>
      </c>
      <c r="E3">
        <f>StandAlone!H58-StandAlone!I58</f>
        <v>36.509999999999991</v>
      </c>
      <c r="F3">
        <f>StandAlone!I58-StandAlone!J58</f>
        <v>70.56</v>
      </c>
      <c r="G3">
        <f>StandAlone!J58-StandAlone!K58</f>
        <v>16.599999999999994</v>
      </c>
      <c r="K3">
        <f>Consolidated!E58-Consolidated!F58</f>
        <v>0</v>
      </c>
      <c r="L3">
        <f>Consolidated!F58-Consolidated!G58</f>
        <v>0</v>
      </c>
      <c r="M3">
        <f>Consolidated!G58-Consolidated!H58</f>
        <v>0</v>
      </c>
      <c r="N3">
        <f>Consolidated!H58-Consolidated!I58</f>
        <v>0</v>
      </c>
      <c r="O3">
        <f>Consolidated!I58-Consolidated!J58</f>
        <v>0</v>
      </c>
      <c r="P3">
        <f>Consolidated!J58-Consolidated!K58</f>
        <v>0</v>
      </c>
    </row>
    <row r="4" spans="1:17">
      <c r="A4" t="str">
        <f>StandAlone!B59</f>
        <v>Other</v>
      </c>
      <c r="B4">
        <f>StandAlone!E59-StandAlone!F59</f>
        <v>0</v>
      </c>
      <c r="C4">
        <f>StandAlone!F59-StandAlone!G59</f>
        <v>0</v>
      </c>
      <c r="D4">
        <f>StandAlone!G59-StandAlone!H59</f>
        <v>-9.6999999999999993</v>
      </c>
      <c r="E4">
        <f>StandAlone!H59-StandAlone!I59</f>
        <v>-6.0400000000000009</v>
      </c>
      <c r="F4">
        <f>StandAlone!I59-StandAlone!J59</f>
        <v>15.74</v>
      </c>
      <c r="G4">
        <f>StandAlone!J59-StandAlone!K59</f>
        <v>0</v>
      </c>
      <c r="K4">
        <f>Consolidated!E59-Consolidated!F59</f>
        <v>0</v>
      </c>
      <c r="L4">
        <f>Consolidated!F59-Consolidated!G59</f>
        <v>0</v>
      </c>
      <c r="M4">
        <f>Consolidated!G59-Consolidated!H59</f>
        <v>0</v>
      </c>
      <c r="N4">
        <f>Consolidated!H59-Consolidated!I59</f>
        <v>0</v>
      </c>
      <c r="O4">
        <f>Consolidated!I59-Consolidated!J59</f>
        <v>0</v>
      </c>
      <c r="P4">
        <f>Consolidated!J59-Consolidated!K59</f>
        <v>0</v>
      </c>
    </row>
    <row r="5" spans="1:17">
      <c r="A5" t="str">
        <f>StandAlone!B60</f>
        <v>Long term provisions</v>
      </c>
      <c r="B5">
        <f>StandAlone!E60-StandAlone!F60</f>
        <v>8.4399999999999977</v>
      </c>
      <c r="C5">
        <f>StandAlone!F60-StandAlone!G60</f>
        <v>11.32</v>
      </c>
      <c r="D5">
        <f>StandAlone!G60-StandAlone!H60</f>
        <v>2.14</v>
      </c>
      <c r="E5">
        <f>StandAlone!H60-StandAlone!I60</f>
        <v>0</v>
      </c>
      <c r="F5">
        <f>StandAlone!I60-StandAlone!J60</f>
        <v>0</v>
      </c>
      <c r="G5">
        <f>StandAlone!J60-StandAlone!K60</f>
        <v>0</v>
      </c>
      <c r="K5">
        <f>Consolidated!E60-Consolidated!F60</f>
        <v>0</v>
      </c>
      <c r="L5">
        <f>Consolidated!F60-Consolidated!G60</f>
        <v>0</v>
      </c>
      <c r="M5">
        <f>Consolidated!G60-Consolidated!H60</f>
        <v>0</v>
      </c>
      <c r="N5">
        <f>Consolidated!H60-Consolidated!I60</f>
        <v>0</v>
      </c>
      <c r="O5">
        <f>Consolidated!I60-Consolidated!J60</f>
        <v>0</v>
      </c>
      <c r="P5">
        <f>Consolidated!J60-Consolidated!K60</f>
        <v>0</v>
      </c>
    </row>
    <row r="7" spans="1:17">
      <c r="A7" t="str">
        <f>StandAlone!B63</f>
        <v>Short term borrowings</v>
      </c>
      <c r="B7">
        <f>StandAlone!E63-StandAlone!F63</f>
        <v>-19.079999999999927</v>
      </c>
      <c r="C7">
        <f>StandAlone!F63-StandAlone!G63</f>
        <v>695.32999999999993</v>
      </c>
      <c r="D7">
        <f>StandAlone!G63-StandAlone!H63</f>
        <v>-31.420000000000073</v>
      </c>
      <c r="E7">
        <f>StandAlone!H63-StandAlone!I63</f>
        <v>-234.8599999999999</v>
      </c>
      <c r="F7">
        <f>StandAlone!I63-StandAlone!J63</f>
        <v>301.9699999999998</v>
      </c>
      <c r="G7">
        <f>StandAlone!J63-StandAlone!K63</f>
        <v>-246.8599999999999</v>
      </c>
      <c r="K7">
        <f>Consolidated!E63-Consolidated!F63</f>
        <v>0</v>
      </c>
      <c r="L7">
        <f>Consolidated!F63-Consolidated!G63</f>
        <v>0</v>
      </c>
      <c r="M7">
        <f>Consolidated!G63-Consolidated!H63</f>
        <v>0</v>
      </c>
      <c r="N7">
        <f>Consolidated!H63-Consolidated!I63</f>
        <v>0</v>
      </c>
      <c r="O7">
        <f>Consolidated!I63-Consolidated!J63</f>
        <v>0</v>
      </c>
      <c r="P7">
        <f>Consolidated!J63-Consolidated!K63</f>
        <v>0</v>
      </c>
    </row>
    <row r="8" spans="1:17">
      <c r="A8" t="str">
        <f>StandAlone!B64</f>
        <v>Trades payable</v>
      </c>
      <c r="B8">
        <f>StandAlone!E64-StandAlone!F64</f>
        <v>767.25999999999976</v>
      </c>
      <c r="C8">
        <f>StandAlone!F64-StandAlone!G64</f>
        <v>-291.23</v>
      </c>
      <c r="D8">
        <f>StandAlone!G64-StandAlone!H64</f>
        <v>839.75000000000023</v>
      </c>
      <c r="E8">
        <f>StandAlone!H64-StandAlone!I64</f>
        <v>413.67000000000007</v>
      </c>
      <c r="F8">
        <f>StandAlone!I64-StandAlone!J64</f>
        <v>41.8599999999999</v>
      </c>
      <c r="G8">
        <f>StandAlone!J64-StandAlone!K64</f>
        <v>869.29</v>
      </c>
      <c r="K8">
        <f>Consolidated!E64-Consolidated!F64</f>
        <v>0</v>
      </c>
      <c r="L8">
        <f>Consolidated!F64-Consolidated!G64</f>
        <v>0</v>
      </c>
      <c r="M8">
        <f>Consolidated!G64-Consolidated!H64</f>
        <v>0</v>
      </c>
      <c r="N8">
        <f>Consolidated!H64-Consolidated!I64</f>
        <v>0</v>
      </c>
      <c r="O8">
        <f>Consolidated!I64-Consolidated!J64</f>
        <v>0</v>
      </c>
      <c r="P8">
        <f>Consolidated!J64-Consolidated!K64</f>
        <v>0</v>
      </c>
    </row>
    <row r="9" spans="1:17">
      <c r="A9" t="str">
        <f>StandAlone!B65</f>
        <v>Other</v>
      </c>
      <c r="B9">
        <f>StandAlone!E65-StandAlone!F65</f>
        <v>-140</v>
      </c>
      <c r="C9">
        <f>StandAlone!F65-StandAlone!G65</f>
        <v>-237.84999999999991</v>
      </c>
      <c r="D9">
        <f>StandAlone!G65-StandAlone!H65</f>
        <v>657.00999999999988</v>
      </c>
      <c r="E9">
        <f>StandAlone!H65-StandAlone!I65</f>
        <v>159.03000000000003</v>
      </c>
      <c r="F9">
        <f>StandAlone!I65-StandAlone!J65</f>
        <v>107.23000000000002</v>
      </c>
      <c r="G9">
        <f>StandAlone!J65-StandAlone!K65</f>
        <v>129.36000000000001</v>
      </c>
      <c r="K9">
        <f>Consolidated!E65-Consolidated!F65</f>
        <v>0</v>
      </c>
      <c r="L9">
        <f>Consolidated!F65-Consolidated!G65</f>
        <v>0</v>
      </c>
      <c r="M9">
        <f>Consolidated!G65-Consolidated!H65</f>
        <v>0</v>
      </c>
      <c r="N9">
        <f>Consolidated!H65-Consolidated!I65</f>
        <v>0</v>
      </c>
      <c r="O9">
        <f>Consolidated!I65-Consolidated!J65</f>
        <v>0</v>
      </c>
      <c r="P9">
        <f>Consolidated!J65-Consolidated!K65</f>
        <v>0</v>
      </c>
    </row>
    <row r="10" spans="1:17">
      <c r="A10" t="str">
        <f>StandAlone!B67</f>
        <v>Short term provisions</v>
      </c>
      <c r="B10">
        <f>StandAlone!E67-StandAlone!F67</f>
        <v>-188.55</v>
      </c>
      <c r="C10">
        <f>StandAlone!F67-StandAlone!G67</f>
        <v>-14.859999999999985</v>
      </c>
      <c r="D10">
        <f>StandAlone!G67-StandAlone!H67</f>
        <v>189.94</v>
      </c>
      <c r="E10">
        <f>StandAlone!H67-StandAlone!I67</f>
        <v>6.6399999999999988</v>
      </c>
      <c r="F10">
        <f>StandAlone!I67-StandAlone!J67</f>
        <v>-23.799999999999997</v>
      </c>
      <c r="G10">
        <f>StandAlone!J67-StandAlone!K67</f>
        <v>22.79</v>
      </c>
      <c r="K10">
        <f>Consolidated!E67-Consolidated!F67</f>
        <v>0</v>
      </c>
      <c r="L10">
        <f>Consolidated!F67-Consolidated!G67</f>
        <v>0</v>
      </c>
      <c r="M10">
        <f>Consolidated!G67-Consolidated!H67</f>
        <v>0</v>
      </c>
      <c r="N10">
        <f>Consolidated!H67-Consolidated!I67</f>
        <v>0</v>
      </c>
      <c r="O10">
        <f>Consolidated!I67-Consolidated!J67</f>
        <v>0</v>
      </c>
      <c r="P10">
        <f>Consolidated!J67-Consolidated!K67</f>
        <v>0</v>
      </c>
    </row>
    <row r="12" spans="1:17">
      <c r="A12" t="str">
        <f>StandAlone!B72</f>
        <v>Fixed Tabgible</v>
      </c>
      <c r="B12">
        <f>-(StandAlone!E72-StandAlone!F72)</f>
        <v>-793.9399999999996</v>
      </c>
      <c r="C12">
        <f>-(StandAlone!F72-StandAlone!G72)</f>
        <v>-339.19000000000005</v>
      </c>
      <c r="D12">
        <f>-(StandAlone!G72-StandAlone!H72)</f>
        <v>-127.25999999999976</v>
      </c>
      <c r="E12">
        <f>-(StandAlone!H72-StandAlone!I72)</f>
        <v>-123.48000000000002</v>
      </c>
      <c r="F12">
        <f>-(StandAlone!I72-StandAlone!J72)</f>
        <v>-435.47000000000025</v>
      </c>
      <c r="G12">
        <f>-(StandAlone!J72-StandAlone!K72)</f>
        <v>-735.31</v>
      </c>
      <c r="K12">
        <f>-(Consolidated!E72-Consolidated!F72)</f>
        <v>0</v>
      </c>
      <c r="L12">
        <f>-(Consolidated!F72-Consolidated!G72)</f>
        <v>0</v>
      </c>
      <c r="M12">
        <f>-(Consolidated!G72-Consolidated!H72)</f>
        <v>0</v>
      </c>
      <c r="N12">
        <f>-(Consolidated!H72-Consolidated!I72)</f>
        <v>0</v>
      </c>
      <c r="O12">
        <f>-(Consolidated!I72-Consolidated!J72)</f>
        <v>0</v>
      </c>
      <c r="P12">
        <f>-(Consolidated!J72-Consolidated!K72)</f>
        <v>0</v>
      </c>
    </row>
    <row r="13" spans="1:17">
      <c r="A13" t="str">
        <f>StandAlone!B73</f>
        <v>Fixed Intangible</v>
      </c>
      <c r="B13">
        <f>-(StandAlone!E73-StandAlone!F73)</f>
        <v>3.99</v>
      </c>
      <c r="C13">
        <f>-(StandAlone!F73-StandAlone!G73)</f>
        <v>-0.5600000000000005</v>
      </c>
      <c r="D13">
        <f>-(StandAlone!G73-StandAlone!H73)</f>
        <v>-0.25</v>
      </c>
      <c r="E13">
        <f>-(StandAlone!H73-StandAlone!I73)</f>
        <v>0.40000000000000036</v>
      </c>
      <c r="F13">
        <f>-(StandAlone!I73-StandAlone!J73)</f>
        <v>1.08</v>
      </c>
      <c r="G13">
        <f>-(StandAlone!J73-StandAlone!K73)</f>
        <v>-11.4</v>
      </c>
      <c r="K13">
        <f>-(Consolidated!E73-Consolidated!F73)</f>
        <v>0</v>
      </c>
      <c r="L13">
        <f>-(Consolidated!F73-Consolidated!G73)</f>
        <v>0</v>
      </c>
      <c r="M13">
        <f>-(Consolidated!G73-Consolidated!H73)</f>
        <v>0</v>
      </c>
      <c r="N13">
        <f>-(Consolidated!H73-Consolidated!I73)</f>
        <v>0</v>
      </c>
      <c r="O13">
        <f>-(Consolidated!I73-Consolidated!J73)</f>
        <v>0</v>
      </c>
      <c r="P13">
        <f>-(Consolidated!J73-Consolidated!K73)</f>
        <v>0</v>
      </c>
    </row>
    <row r="14" spans="1:17">
      <c r="A14" t="str">
        <f>StandAlone!B74</f>
        <v>Capital work in progress</v>
      </c>
      <c r="B14">
        <f>-(StandAlone!E74-StandAlone!F74)</f>
        <v>255.83999999999997</v>
      </c>
      <c r="C14">
        <f>-(StandAlone!F74-StandAlone!G74)</f>
        <v>-364.78</v>
      </c>
      <c r="D14">
        <f>-(StandAlone!G74-StandAlone!H74)</f>
        <v>48.26</v>
      </c>
      <c r="E14">
        <f>-(StandAlone!H74-StandAlone!I74)</f>
        <v>-47.04</v>
      </c>
      <c r="F14">
        <f>-(StandAlone!I74-StandAlone!J74)</f>
        <v>-15.419999999999998</v>
      </c>
      <c r="G14">
        <f>-(StandAlone!J74-StandAlone!K74)</f>
        <v>314.38</v>
      </c>
      <c r="K14">
        <f>-(Consolidated!E74-Consolidated!F74)</f>
        <v>0</v>
      </c>
      <c r="L14">
        <f>-(Consolidated!F74-Consolidated!G74)</f>
        <v>0</v>
      </c>
      <c r="M14">
        <f>-(Consolidated!G74-Consolidated!H74)</f>
        <v>0</v>
      </c>
      <c r="N14">
        <f>-(Consolidated!H74-Consolidated!I74)</f>
        <v>0</v>
      </c>
      <c r="O14">
        <f>-(Consolidated!I74-Consolidated!J74)</f>
        <v>0</v>
      </c>
      <c r="P14">
        <f>-(Consolidated!J74-Consolidated!K74)</f>
        <v>0</v>
      </c>
    </row>
    <row r="15" spans="1:17">
      <c r="A15" t="str">
        <f>StandAlone!B75</f>
        <v>Goodwill</v>
      </c>
      <c r="B15">
        <f>-(StandAlone!E75-StandAlone!F75)</f>
        <v>0</v>
      </c>
      <c r="C15">
        <f>-(StandAlone!F75-StandAlone!G75)</f>
        <v>0</v>
      </c>
      <c r="D15">
        <f>-(StandAlone!G75-StandAlone!H75)</f>
        <v>0</v>
      </c>
      <c r="E15">
        <f>-(StandAlone!H75-StandAlone!I75)</f>
        <v>0</v>
      </c>
      <c r="F15">
        <f>-(StandAlone!I75-StandAlone!J75)</f>
        <v>0</v>
      </c>
      <c r="G15">
        <f>-(StandAlone!J75-StandAlone!K75)</f>
        <v>0</v>
      </c>
      <c r="K15">
        <f>-(Consolidated!E75-Consolidated!F75)</f>
        <v>0</v>
      </c>
      <c r="L15">
        <f>-(Consolidated!F75-Consolidated!G75)</f>
        <v>0</v>
      </c>
      <c r="M15">
        <f>-(Consolidated!G75-Consolidated!H75)</f>
        <v>0</v>
      </c>
      <c r="N15">
        <f>-(Consolidated!H75-Consolidated!I75)</f>
        <v>0</v>
      </c>
      <c r="O15">
        <f>-(Consolidated!I75-Consolidated!J75)</f>
        <v>0</v>
      </c>
      <c r="P15">
        <f>-(Consolidated!J75-Consolidated!K75)</f>
        <v>0</v>
      </c>
    </row>
    <row r="16" spans="1:17">
      <c r="A16" t="str">
        <f>StandAlone!B76</f>
        <v>Non current Investments</v>
      </c>
      <c r="B16">
        <f>-(StandAlone!E76-StandAlone!F76)</f>
        <v>0</v>
      </c>
      <c r="C16">
        <f>-(StandAlone!F76-StandAlone!G76)</f>
        <v>0</v>
      </c>
      <c r="D16">
        <f>-(StandAlone!G76-StandAlone!H76)</f>
        <v>21.11</v>
      </c>
      <c r="E16">
        <f>-(StandAlone!H76-StandAlone!I76)</f>
        <v>-12.41</v>
      </c>
      <c r="F16">
        <f>-(StandAlone!I76-StandAlone!J76)</f>
        <v>-8.6999999999999993</v>
      </c>
      <c r="G16">
        <f>-(StandAlone!J76-StandAlone!K76)</f>
        <v>0</v>
      </c>
      <c r="K16">
        <f>-(Consolidated!E76-Consolidated!F76)</f>
        <v>0</v>
      </c>
      <c r="L16">
        <f>-(Consolidated!F76-Consolidated!G76)</f>
        <v>0</v>
      </c>
      <c r="M16">
        <f>-(Consolidated!G76-Consolidated!H76)</f>
        <v>0</v>
      </c>
      <c r="N16">
        <f>-(Consolidated!H76-Consolidated!I76)</f>
        <v>0</v>
      </c>
      <c r="O16">
        <f>-(Consolidated!I76-Consolidated!J76)</f>
        <v>0</v>
      </c>
      <c r="P16">
        <f>-(Consolidated!J76-Consolidated!K76)</f>
        <v>0</v>
      </c>
    </row>
    <row r="17" spans="1:16">
      <c r="A17" t="str">
        <f>StandAlone!B77</f>
        <v>Deferred tax assets</v>
      </c>
      <c r="B17">
        <f>-(StandAlone!E77-StandAlone!F77)</f>
        <v>0</v>
      </c>
      <c r="C17">
        <f>-(StandAlone!F77-StandAlone!G77)</f>
        <v>0</v>
      </c>
      <c r="D17">
        <f>-(StandAlone!G77-StandAlone!H77)</f>
        <v>0</v>
      </c>
      <c r="E17">
        <f>-(StandAlone!H77-StandAlone!I77)</f>
        <v>0</v>
      </c>
      <c r="F17">
        <f>-(StandAlone!I77-StandAlone!J77)</f>
        <v>0</v>
      </c>
      <c r="G17">
        <f>-(StandAlone!J77-StandAlone!K77)</f>
        <v>0</v>
      </c>
      <c r="K17">
        <f>-(Consolidated!E77-Consolidated!F77)</f>
        <v>0</v>
      </c>
      <c r="L17">
        <f>-(Consolidated!F77-Consolidated!G77)</f>
        <v>0</v>
      </c>
      <c r="M17">
        <f>-(Consolidated!G77-Consolidated!H77)</f>
        <v>0</v>
      </c>
      <c r="N17">
        <f>-(Consolidated!H77-Consolidated!I77)</f>
        <v>0</v>
      </c>
      <c r="O17">
        <f>-(Consolidated!I77-Consolidated!J77)</f>
        <v>0</v>
      </c>
      <c r="P17">
        <f>-(Consolidated!J77-Consolidated!K77)</f>
        <v>0</v>
      </c>
    </row>
    <row r="18" spans="1:16">
      <c r="A18" t="str">
        <f>StandAlone!B78</f>
        <v>Loans and Advances</v>
      </c>
      <c r="B18">
        <f>-(StandAlone!E78-StandAlone!F78)</f>
        <v>-128.21</v>
      </c>
      <c r="C18">
        <f>-(StandAlone!F78-StandAlone!G78)</f>
        <v>8.82</v>
      </c>
      <c r="D18">
        <f>-(StandAlone!G78-StandAlone!H78)</f>
        <v>-30.6</v>
      </c>
      <c r="E18">
        <f>-(StandAlone!H78-StandAlone!I78)</f>
        <v>0</v>
      </c>
      <c r="F18">
        <f>-(StandAlone!I78-StandAlone!J78)</f>
        <v>0</v>
      </c>
      <c r="G18">
        <f>-(StandAlone!J78-StandAlone!K78)</f>
        <v>0</v>
      </c>
      <c r="K18">
        <f>-(Consolidated!E78-Consolidated!F78)</f>
        <v>0</v>
      </c>
      <c r="L18">
        <f>-(Consolidated!F78-Consolidated!G78)</f>
        <v>0</v>
      </c>
      <c r="M18">
        <f>-(Consolidated!G78-Consolidated!H78)</f>
        <v>0</v>
      </c>
      <c r="N18">
        <f>-(Consolidated!H78-Consolidated!I78)</f>
        <v>0</v>
      </c>
      <c r="O18">
        <f>-(Consolidated!I78-Consolidated!J78)</f>
        <v>0</v>
      </c>
      <c r="P18">
        <f>-(Consolidated!J78-Consolidated!K78)</f>
        <v>0</v>
      </c>
    </row>
    <row r="19" spans="1:16">
      <c r="A19" t="str">
        <f>StandAlone!B79</f>
        <v>Other</v>
      </c>
      <c r="B19">
        <f>-(StandAlone!E79-StandAlone!F79)</f>
        <v>0</v>
      </c>
      <c r="C19">
        <f>-(StandAlone!F79-StandAlone!G79)</f>
        <v>0</v>
      </c>
      <c r="D19">
        <f>-(StandAlone!G79-StandAlone!H79)</f>
        <v>0</v>
      </c>
      <c r="E19">
        <f>-(StandAlone!H79-StandAlone!I79)</f>
        <v>0</v>
      </c>
      <c r="F19">
        <f>-(StandAlone!I79-StandAlone!J79)</f>
        <v>6.99</v>
      </c>
      <c r="G19">
        <f>-(StandAlone!J79-StandAlone!K79)</f>
        <v>1.5600000000000005</v>
      </c>
      <c r="K19">
        <f>-(Consolidated!E79-Consolidated!F79)</f>
        <v>0</v>
      </c>
      <c r="L19">
        <f>-(Consolidated!F79-Consolidated!G79)</f>
        <v>0</v>
      </c>
      <c r="M19">
        <f>-(Consolidated!G79-Consolidated!H79)</f>
        <v>0</v>
      </c>
      <c r="N19">
        <f>-(Consolidated!H79-Consolidated!I79)</f>
        <v>0</v>
      </c>
      <c r="O19">
        <f>-(Consolidated!I79-Consolidated!J79)</f>
        <v>0</v>
      </c>
      <c r="P19">
        <f>-(Consolidated!J79-Consolidated!K79)</f>
        <v>0</v>
      </c>
    </row>
    <row r="21" spans="1:16">
      <c r="A21" t="str">
        <f>StandAlone!B82</f>
        <v>Current Investments</v>
      </c>
      <c r="B21">
        <f>-(StandAlone!E82-StandAlone!F82)</f>
        <v>0</v>
      </c>
      <c r="C21">
        <f>-(StandAlone!F82-StandAlone!G82)</f>
        <v>0</v>
      </c>
      <c r="D21">
        <f>-(StandAlone!G82-StandAlone!H82)</f>
        <v>0</v>
      </c>
      <c r="E21">
        <f>-(StandAlone!H82-StandAlone!I82)</f>
        <v>0</v>
      </c>
      <c r="F21">
        <f>-(StandAlone!I82-StandAlone!J82)</f>
        <v>0</v>
      </c>
      <c r="G21">
        <f>-(StandAlone!J82-StandAlone!K82)</f>
        <v>0</v>
      </c>
      <c r="K21">
        <f>-(Consolidated!E82-Consolidated!F82)</f>
        <v>0</v>
      </c>
      <c r="L21">
        <f>-(Consolidated!F82-Consolidated!G82)</f>
        <v>0</v>
      </c>
      <c r="M21">
        <f>-(Consolidated!G82-Consolidated!H82)</f>
        <v>0</v>
      </c>
      <c r="N21">
        <f>-(Consolidated!H82-Consolidated!I82)</f>
        <v>0</v>
      </c>
      <c r="O21">
        <f>-(Consolidated!I82-Consolidated!J82)</f>
        <v>0</v>
      </c>
      <c r="P21">
        <f>-(Consolidated!J82-Consolidated!K82)</f>
        <v>0</v>
      </c>
    </row>
    <row r="22" spans="1:16">
      <c r="A22" t="str">
        <f>StandAlone!B83</f>
        <v>Inventories</v>
      </c>
      <c r="B22">
        <f>-(StandAlone!E83-StandAlone!F83)</f>
        <v>-1181.9300000000003</v>
      </c>
      <c r="C22">
        <f>-(StandAlone!F83-StandAlone!G83)</f>
        <v>-217.4699999999998</v>
      </c>
      <c r="D22">
        <f>-(StandAlone!G83-StandAlone!H83)</f>
        <v>7.7100000000000364</v>
      </c>
      <c r="E22">
        <f>-(StandAlone!H83-StandAlone!I83)</f>
        <v>87.75</v>
      </c>
      <c r="F22">
        <f>-(StandAlone!I83-StandAlone!J83)</f>
        <v>-688.59000000000015</v>
      </c>
      <c r="G22">
        <f>-(StandAlone!J83-StandAlone!K83)</f>
        <v>71.180000000000064</v>
      </c>
      <c r="K22">
        <f>-(Consolidated!E83-Consolidated!F83)</f>
        <v>0</v>
      </c>
      <c r="L22">
        <f>-(Consolidated!F83-Consolidated!G83)</f>
        <v>0</v>
      </c>
      <c r="M22">
        <f>-(Consolidated!G83-Consolidated!H83)</f>
        <v>0</v>
      </c>
      <c r="N22">
        <f>-(Consolidated!H83-Consolidated!I83)</f>
        <v>0</v>
      </c>
      <c r="O22">
        <f>-(Consolidated!I83-Consolidated!J83)</f>
        <v>0</v>
      </c>
      <c r="P22">
        <f>-(Consolidated!J83-Consolidated!K83)</f>
        <v>0</v>
      </c>
    </row>
    <row r="23" spans="1:16">
      <c r="A23" t="str">
        <f>StandAlone!B84</f>
        <v>Receivables</v>
      </c>
      <c r="B23">
        <f>-(StandAlone!E84-StandAlone!F84)</f>
        <v>-5.9899999999997817</v>
      </c>
      <c r="C23">
        <f>-(StandAlone!F84-StandAlone!G84)</f>
        <v>34.139999999999873</v>
      </c>
      <c r="D23">
        <f>-(StandAlone!G84-StandAlone!H84)</f>
        <v>-1439.6100000000001</v>
      </c>
      <c r="E23">
        <f>-(StandAlone!H84-StandAlone!I84)</f>
        <v>-769.48999999999978</v>
      </c>
      <c r="F23">
        <f>-(StandAlone!I84-StandAlone!J84)</f>
        <v>-99.269999999999982</v>
      </c>
      <c r="G23">
        <f>-(StandAlone!J84-StandAlone!K84)</f>
        <v>-528.68000000000006</v>
      </c>
      <c r="K23">
        <f>-(Consolidated!E84-Consolidated!F84)</f>
        <v>0</v>
      </c>
      <c r="L23">
        <f>-(Consolidated!F84-Consolidated!G84)</f>
        <v>0</v>
      </c>
      <c r="M23">
        <f>-(Consolidated!G84-Consolidated!H84)</f>
        <v>0</v>
      </c>
      <c r="N23">
        <f>-(Consolidated!H84-Consolidated!I84)</f>
        <v>0</v>
      </c>
      <c r="O23">
        <f>-(Consolidated!I84-Consolidated!J84)</f>
        <v>0</v>
      </c>
      <c r="P23">
        <f>-(Consolidated!J84-Consolidated!K84)</f>
        <v>0</v>
      </c>
    </row>
    <row r="24" spans="1:16">
      <c r="A24" t="str">
        <f>StandAlone!B85</f>
        <v>Cash and Bank Balance</v>
      </c>
      <c r="B24">
        <f>-(StandAlone!E85-StandAlone!F85)</f>
        <v>248.60999999999999</v>
      </c>
      <c r="C24">
        <f>-(StandAlone!F85-StandAlone!G85)</f>
        <v>62.980000000000075</v>
      </c>
      <c r="D24">
        <f>-(StandAlone!G85-StandAlone!H85)</f>
        <v>-297.86000000000007</v>
      </c>
      <c r="E24">
        <f>-(StandAlone!H85-StandAlone!I85)</f>
        <v>-134.88</v>
      </c>
      <c r="F24">
        <f>-(StandAlone!I85-StandAlone!J85)</f>
        <v>-42.499999999999986</v>
      </c>
      <c r="G24">
        <f>-(StandAlone!J85-StandAlone!K85)</f>
        <v>-17.060000000000002</v>
      </c>
      <c r="K24">
        <f>-(Consolidated!E85-Consolidated!F85)</f>
        <v>0</v>
      </c>
      <c r="L24">
        <f>-(Consolidated!F85-Consolidated!G85)</f>
        <v>0</v>
      </c>
      <c r="M24">
        <f>-(Consolidated!G85-Consolidated!H85)</f>
        <v>0</v>
      </c>
      <c r="N24">
        <f>-(Consolidated!H85-Consolidated!I85)</f>
        <v>0</v>
      </c>
      <c r="O24">
        <f>-(Consolidated!I85-Consolidated!J85)</f>
        <v>0</v>
      </c>
      <c r="P24">
        <f>-(Consolidated!J85-Consolidated!K85)</f>
        <v>0</v>
      </c>
    </row>
    <row r="25" spans="1:16">
      <c r="A25" t="str">
        <f>StandAlone!B86</f>
        <v>Short term Loans and Advances</v>
      </c>
      <c r="B25">
        <f>-(StandAlone!E86-StandAlone!F86)</f>
        <v>194.55999999999995</v>
      </c>
      <c r="C25">
        <f>-(StandAlone!F86-StandAlone!G86)</f>
        <v>-449.61999999999995</v>
      </c>
      <c r="D25">
        <f>-(StandAlone!G86-StandAlone!H86)</f>
        <v>-3.1700000000000159</v>
      </c>
      <c r="E25">
        <f>-(StandAlone!H86-StandAlone!I86)</f>
        <v>52.590000000000032</v>
      </c>
      <c r="F25">
        <f>-(StandAlone!I86-StandAlone!J86)</f>
        <v>107.13</v>
      </c>
      <c r="G25">
        <f>-(StandAlone!J86-StandAlone!K86)</f>
        <v>-328.19</v>
      </c>
      <c r="K25">
        <f>-(Consolidated!E86-Consolidated!F86)</f>
        <v>0</v>
      </c>
      <c r="L25">
        <f>-(Consolidated!F86-Consolidated!G86)</f>
        <v>0</v>
      </c>
      <c r="M25">
        <f>-(Consolidated!G86-Consolidated!H86)</f>
        <v>0</v>
      </c>
      <c r="N25">
        <f>-(Consolidated!H86-Consolidated!I86)</f>
        <v>0</v>
      </c>
      <c r="O25">
        <f>-(Consolidated!I86-Consolidated!J86)</f>
        <v>0</v>
      </c>
      <c r="P25">
        <f>-(Consolidated!J86-Consolidated!K86)</f>
        <v>0</v>
      </c>
    </row>
  </sheetData>
  <conditionalFormatting sqref="C2:Q25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B2:B25">
    <cfRule type="cellIs" dxfId="1" priority="1" operator="lessThan">
      <formula>0</formula>
    </cfRule>
    <cfRule type="cellIs" dxfId="0" priority="2" operator="greaterThan">
      <formula>0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dimension ref="A1:I36"/>
  <sheetViews>
    <sheetView workbookViewId="0">
      <selection activeCell="C11" sqref="C11"/>
    </sheetView>
  </sheetViews>
  <sheetFormatPr defaultColWidth="11" defaultRowHeight="15.75"/>
  <cols>
    <col min="1" max="1" width="23.125" customWidth="1"/>
    <col min="2" max="2" width="16.5" customWidth="1"/>
    <col min="3" max="3" width="23.875" customWidth="1"/>
    <col min="4" max="4" width="19.875" customWidth="1"/>
    <col min="5" max="5" width="21.875" customWidth="1"/>
    <col min="6" max="6" width="16.875" customWidth="1"/>
    <col min="7" max="7" width="25.375" customWidth="1"/>
    <col min="8" max="8" width="21" customWidth="1"/>
    <col min="9" max="9" width="22.125" customWidth="1"/>
  </cols>
  <sheetData>
    <row r="1" spans="1:9">
      <c r="A1" s="3" t="s">
        <v>126</v>
      </c>
      <c r="B1" t="s">
        <v>137</v>
      </c>
      <c r="F1" t="s">
        <v>138</v>
      </c>
    </row>
    <row r="2" spans="1:9">
      <c r="A2" t="s">
        <v>127</v>
      </c>
      <c r="B2" s="1"/>
      <c r="D2" t="s">
        <v>139</v>
      </c>
      <c r="E2" t="s">
        <v>140</v>
      </c>
      <c r="F2" s="1"/>
      <c r="H2" t="s">
        <v>139</v>
      </c>
      <c r="I2" t="s">
        <v>140</v>
      </c>
    </row>
    <row r="3" spans="1:9">
      <c r="A3" t="s">
        <v>128</v>
      </c>
      <c r="B3" s="1"/>
      <c r="D3" t="e">
        <f>Depreciation!D2+'Earnings Projection'!B3*(1-'Trendline Projection Calculatio'!K15)</f>
        <v>#DIV/0!</v>
      </c>
      <c r="E3" t="e">
        <f>Depreciation!D13+'Earnings Projection'!B3*'Trendline Projection Calculatio'!K15</f>
        <v>#DIV/0!</v>
      </c>
      <c r="F3" s="1"/>
      <c r="H3" t="e">
        <f>Depreciation!D33+'Earnings Projection'!F3*(1-'Trendline Projection Calculatio'!K38)</f>
        <v>#DIV/0!</v>
      </c>
      <c r="I3" t="e">
        <f>Depreciation!D44+'Earnings Projection'!F3*'Trendline Projection Calculatio'!K38</f>
        <v>#DIV/0!</v>
      </c>
    </row>
    <row r="4" spans="1:9">
      <c r="A4" t="s">
        <v>129</v>
      </c>
      <c r="B4" s="1"/>
      <c r="F4" s="1"/>
    </row>
    <row r="5" spans="1:9">
      <c r="A5" t="s">
        <v>131</v>
      </c>
      <c r="B5" s="1"/>
      <c r="F5" s="1"/>
    </row>
    <row r="6" spans="1:9">
      <c r="A6" t="s">
        <v>173</v>
      </c>
      <c r="B6" s="1"/>
      <c r="F6" s="1"/>
    </row>
    <row r="8" spans="1:9">
      <c r="C8" t="s">
        <v>126</v>
      </c>
      <c r="D8" t="s">
        <v>132</v>
      </c>
      <c r="E8" t="s">
        <v>133</v>
      </c>
      <c r="G8" t="s">
        <v>126</v>
      </c>
      <c r="H8" t="s">
        <v>132</v>
      </c>
      <c r="I8" t="s">
        <v>133</v>
      </c>
    </row>
    <row r="10" spans="1:9">
      <c r="A10" t="s">
        <v>2</v>
      </c>
      <c r="C10">
        <f>StandAlone!F4*(1+'Earnings Projection'!B2/100)</f>
        <v>16067.17</v>
      </c>
      <c r="D10">
        <f>'Trendline Projection Calculatio'!K3</f>
        <v>19652.583428571423</v>
      </c>
      <c r="E10">
        <f>StandAlone!F4*(1+'Trendline Projection Calculatio'!K4/100)</f>
        <v>19998.197574583181</v>
      </c>
      <c r="G10">
        <f>Consolidated!F4*(1+'Earnings Projection'!F2/100)</f>
        <v>0</v>
      </c>
      <c r="H10" t="e">
        <f>'Trendline Projection Calculatio'!K26</f>
        <v>#DIV/0!</v>
      </c>
      <c r="I10" t="e">
        <f>Consolidated!F4*(1+'Trendline Projection Calculatio'!K27/100)</f>
        <v>#DIV/0!</v>
      </c>
    </row>
    <row r="11" spans="1:9">
      <c r="A11" t="s">
        <v>3</v>
      </c>
      <c r="C11" t="e">
        <f>C10*'Trendline Projection Calculatio'!$K$5</f>
        <v>#NUM!</v>
      </c>
      <c r="D11" t="e">
        <f>D10*'Trendline Projection Calculatio'!$K$5</f>
        <v>#NUM!</v>
      </c>
      <c r="E11" t="e">
        <f>E10*'Trendline Projection Calculatio'!$K$5</f>
        <v>#NUM!</v>
      </c>
      <c r="G11" t="e">
        <f>G10*'Trendline Projection Calculatio'!$K$28</f>
        <v>#DIV/0!</v>
      </c>
      <c r="H11" t="e">
        <f>H10*'Trendline Projection Calculatio'!$K$28</f>
        <v>#DIV/0!</v>
      </c>
      <c r="I11" t="e">
        <f>I10*'Trendline Projection Calculatio'!$K$28</f>
        <v>#DIV/0!</v>
      </c>
    </row>
    <row r="12" spans="1:9">
      <c r="A12" t="s">
        <v>134</v>
      </c>
      <c r="C12" t="e">
        <f>C10*'Trendline Projection Calculatio'!$K$6</f>
        <v>#DIV/0!</v>
      </c>
      <c r="D12" t="e">
        <f>D10*'Trendline Projection Calculatio'!$K$6</f>
        <v>#DIV/0!</v>
      </c>
      <c r="E12" t="e">
        <f>E10*'Trendline Projection Calculatio'!$K$6</f>
        <v>#DIV/0!</v>
      </c>
      <c r="G12" t="e">
        <f>G10*'Trendline Projection Calculatio'!$K$29</f>
        <v>#DIV/0!</v>
      </c>
      <c r="H12" t="e">
        <f>H10*'Trendline Projection Calculatio'!$K$29</f>
        <v>#DIV/0!</v>
      </c>
      <c r="I12" t="e">
        <f>I10*'Trendline Projection Calculatio'!$K$29</f>
        <v>#DIV/0!</v>
      </c>
    </row>
    <row r="13" spans="1:9">
      <c r="A13" t="s">
        <v>116</v>
      </c>
      <c r="C13">
        <f>C10*'Trendline Projection Calculatio'!$K$7</f>
        <v>202.84669087907801</v>
      </c>
      <c r="D13">
        <f>D10*'Trendline Projection Calculatio'!$K$7</f>
        <v>248.11223854049709</v>
      </c>
      <c r="E13">
        <f>E10*'Trendline Projection Calculatio'!$K$7</f>
        <v>252.47558851684536</v>
      </c>
      <c r="G13" t="e">
        <f>G10*'Trendline Projection Calculatio'!$K$30</f>
        <v>#DIV/0!</v>
      </c>
      <c r="H13" t="e">
        <f>H10*'Trendline Projection Calculatio'!$K$30</f>
        <v>#DIV/0!</v>
      </c>
      <c r="I13" t="e">
        <f>I10*'Trendline Projection Calculatio'!$K$30</f>
        <v>#DIV/0!</v>
      </c>
    </row>
    <row r="14" spans="1:9" s="2" customFormat="1">
      <c r="A14" s="2" t="s">
        <v>135</v>
      </c>
      <c r="C14" s="2" t="e">
        <f>C10-C11+C12+C13</f>
        <v>#NUM!</v>
      </c>
      <c r="D14" s="2" t="e">
        <f>D10-D11+D12+D13</f>
        <v>#NUM!</v>
      </c>
      <c r="E14" s="2" t="e">
        <f>E10-E11+E12+E13</f>
        <v>#NUM!</v>
      </c>
      <c r="G14" s="2" t="e">
        <f>G10-G11+G12+G13</f>
        <v>#DIV/0!</v>
      </c>
      <c r="H14" s="2" t="e">
        <f>H10-H11+H12+H13</f>
        <v>#DIV/0!</v>
      </c>
      <c r="I14" s="2" t="e">
        <f>I10-I11+I12+I13</f>
        <v>#DIV/0!</v>
      </c>
    </row>
    <row r="16" spans="1:9">
      <c r="A16" t="s">
        <v>16</v>
      </c>
      <c r="C16">
        <f>C10*'Trendline Projection Calculatio'!$K$9</f>
        <v>8968.7323734440979</v>
      </c>
      <c r="D16">
        <f>D10*'Trendline Projection Calculatio'!$K$9</f>
        <v>10970.118646758547</v>
      </c>
      <c r="E16">
        <f>E10*'Trendline Projection Calculatio'!$K$9</f>
        <v>11163.041282173239</v>
      </c>
      <c r="G16" t="e">
        <f>G10*'Trendline Projection Calculatio'!$K$32</f>
        <v>#DIV/0!</v>
      </c>
      <c r="H16" t="e">
        <f>H10*'Trendline Projection Calculatio'!$K$32</f>
        <v>#DIV/0!</v>
      </c>
      <c r="I16" t="e">
        <f>I10*'Trendline Projection Calculatio'!$K$32</f>
        <v>#DIV/0!</v>
      </c>
    </row>
    <row r="18" spans="1:9" s="2" customFormat="1">
      <c r="A18" s="2" t="s">
        <v>17</v>
      </c>
      <c r="C18" s="2" t="e">
        <f>C14-C16</f>
        <v>#NUM!</v>
      </c>
      <c r="D18" s="2" t="e">
        <f t="shared" ref="D18:I18" si="0">D14-D16</f>
        <v>#NUM!</v>
      </c>
      <c r="E18" s="2" t="e">
        <f t="shared" si="0"/>
        <v>#NUM!</v>
      </c>
      <c r="G18" s="2" t="e">
        <f t="shared" si="0"/>
        <v>#DIV/0!</v>
      </c>
      <c r="H18" s="2" t="e">
        <f t="shared" si="0"/>
        <v>#DIV/0!</v>
      </c>
      <c r="I18" s="2" t="e">
        <f t="shared" si="0"/>
        <v>#DIV/0!</v>
      </c>
    </row>
    <row r="20" spans="1:9">
      <c r="A20" t="s">
        <v>136</v>
      </c>
      <c r="C20">
        <f>C10*'Trendline Projection Calculatio'!$K$10</f>
        <v>764.27084307876044</v>
      </c>
      <c r="D20">
        <f>D10*'Trendline Projection Calculatio'!$K$10</f>
        <v>934.81904440109599</v>
      </c>
      <c r="E20">
        <f>E10*'Trendline Projection Calculatio'!$K$10</f>
        <v>951.25895352960788</v>
      </c>
      <c r="G20" t="e">
        <f>G10*'Trendline Projection Calculatio'!$K$33</f>
        <v>#DIV/0!</v>
      </c>
      <c r="H20" t="e">
        <f>H10*'Trendline Projection Calculatio'!$K$33</f>
        <v>#DIV/0!</v>
      </c>
      <c r="I20" t="e">
        <f>I10*'Trendline Projection Calculatio'!$K$33</f>
        <v>#DIV/0!</v>
      </c>
    </row>
    <row r="21" spans="1:9">
      <c r="A21" t="s">
        <v>117</v>
      </c>
      <c r="C21">
        <f>C10*'Trendline Projection Calculatio'!$K$11</f>
        <v>3814.1167903994547</v>
      </c>
      <c r="D21">
        <f>D10*'Trendline Projection Calculatio'!$K$11</f>
        <v>4665.2427546133104</v>
      </c>
      <c r="E21">
        <f>E10*'Trendline Projection Calculatio'!$K$11</f>
        <v>4747.2866190463756</v>
      </c>
      <c r="G21" t="e">
        <f>G10*'Trendline Projection Calculatio'!$K$34</f>
        <v>#DIV/0!</v>
      </c>
      <c r="H21" t="e">
        <f>H10*'Trendline Projection Calculatio'!$K$34</f>
        <v>#DIV/0!</v>
      </c>
      <c r="I21" t="e">
        <f>I10*'Trendline Projection Calculatio'!$K$34</f>
        <v>#DIV/0!</v>
      </c>
    </row>
    <row r="23" spans="1:9" s="2" customFormat="1">
      <c r="A23" s="2" t="s">
        <v>20</v>
      </c>
      <c r="C23" s="2" t="e">
        <f>C18-C20-C21</f>
        <v>#NUM!</v>
      </c>
      <c r="D23" s="2" t="e">
        <f t="shared" ref="D23:I23" si="1">D18-D20-D21</f>
        <v>#NUM!</v>
      </c>
      <c r="E23" s="2" t="e">
        <f t="shared" si="1"/>
        <v>#NUM!</v>
      </c>
      <c r="G23" s="2" t="e">
        <f t="shared" si="1"/>
        <v>#DIV/0!</v>
      </c>
      <c r="H23" s="2" t="e">
        <f t="shared" si="1"/>
        <v>#DIV/0!</v>
      </c>
      <c r="I23" s="2" t="e">
        <f t="shared" si="1"/>
        <v>#DIV/0!</v>
      </c>
    </row>
    <row r="25" spans="1:9">
      <c r="A25" t="s">
        <v>21</v>
      </c>
      <c r="C25" t="e">
        <f>D3*'Trendline Projection Calculatio'!K13+'Earnings Projection'!E3*'Trendline Projection Calculatio'!K14</f>
        <v>#DIV/0!</v>
      </c>
      <c r="D25" t="e">
        <f>D3*'Trendline Projection Calculatio'!K13+'Earnings Projection'!E3*'Trendline Projection Calculatio'!K14</f>
        <v>#DIV/0!</v>
      </c>
      <c r="E25" t="e">
        <f>D3*'Trendline Projection Calculatio'!K13+'Earnings Projection'!E3*'Trendline Projection Calculatio'!K14</f>
        <v>#DIV/0!</v>
      </c>
      <c r="G25" t="e">
        <f>H3*'Trendline Projection Calculatio'!K36+'Earnings Projection'!I3*'Trendline Projection Calculatio'!K37</f>
        <v>#DIV/0!</v>
      </c>
      <c r="H25" t="e">
        <f>H3*'Trendline Projection Calculatio'!K36+'Earnings Projection'!I3*'Trendline Projection Calculatio'!K37</f>
        <v>#DIV/0!</v>
      </c>
      <c r="I25" t="e">
        <f>H3*'Trendline Projection Calculatio'!K36+'Earnings Projection'!I3*'Trendline Projection Calculatio'!K37</f>
        <v>#DIV/0!</v>
      </c>
    </row>
    <row r="26" spans="1:9">
      <c r="A26" t="s">
        <v>22</v>
      </c>
      <c r="C26">
        <f>(B4+StandAlone!F57+StandAlone!F63+StandAlone!F66)*'Trendline Projection Calculatio'!K17/2+'Earnings Projection'!C10*'Trendline Projection Calculatio'!K18</f>
        <v>282.72588100932995</v>
      </c>
      <c r="D26">
        <f>(B4+StandAlone!F57+StandAlone!F63+StandAlone!F66)*'Trendline Projection Calculatio'!K17/2+'Earnings Projection'!D10*'Trendline Projection Calculatio'!K18</f>
        <v>294.44870406991083</v>
      </c>
      <c r="E26">
        <f>(B4+StandAlone!F57+StandAlone!F63+StandAlone!F66)*'Trendline Projection Calculatio'!K17/2+'Earnings Projection'!E10*'Trendline Projection Calculatio'!K18</f>
        <v>295.57871977427658</v>
      </c>
      <c r="G26" t="e">
        <f>(F4+Consolidated!F57+Consolidated!F63+Consolidated!F66)*'Trendline Projection Calculatio'!K40/2+'Earnings Projection'!G10*'Trendline Projection Calculatio'!K41</f>
        <v>#DIV/0!</v>
      </c>
      <c r="H26" t="e">
        <f>(F4+Consolidated!F57+Consolidated!F63+Consolidated!F66)*'Trendline Projection Calculatio'!K40/2+'Earnings Projection'!H10*'Trendline Projection Calculatio'!K41</f>
        <v>#DIV/0!</v>
      </c>
      <c r="I26" t="e">
        <f>(F4+Consolidated!F57+Consolidated!F63+Consolidated!F66)*'Trendline Projection Calculatio'!K40/2+'Earnings Projection'!I10*'Trendline Projection Calculatio'!K41</f>
        <v>#DIV/0!</v>
      </c>
    </row>
    <row r="28" spans="1:9" s="2" customFormat="1">
      <c r="A28" s="2" t="s">
        <v>25</v>
      </c>
      <c r="C28" s="2" t="e">
        <f>C23-C25-C26</f>
        <v>#NUM!</v>
      </c>
      <c r="D28" s="2" t="e">
        <f t="shared" ref="D28:I28" si="2">D23-D25-D26</f>
        <v>#NUM!</v>
      </c>
      <c r="E28" s="2" t="e">
        <f t="shared" si="2"/>
        <v>#NUM!</v>
      </c>
      <c r="G28" s="2" t="e">
        <f t="shared" si="2"/>
        <v>#DIV/0!</v>
      </c>
      <c r="H28" s="2" t="e">
        <f t="shared" si="2"/>
        <v>#DIV/0!</v>
      </c>
      <c r="I28" s="2" t="e">
        <f t="shared" si="2"/>
        <v>#DIV/0!</v>
      </c>
    </row>
    <row r="30" spans="1:9">
      <c r="A30" t="s">
        <v>26</v>
      </c>
      <c r="C30">
        <f>C29*'Trendline Projection Calculatio'!$K$20</f>
        <v>0</v>
      </c>
      <c r="D30">
        <f>D29*'Trendline Projection Calculatio'!$K$20</f>
        <v>0</v>
      </c>
      <c r="E30">
        <f>E29*'Trendline Projection Calculatio'!$K$20</f>
        <v>0</v>
      </c>
      <c r="G30" t="e">
        <f>G28*'Trendline Projection Calculatio'!$K$43</f>
        <v>#DIV/0!</v>
      </c>
      <c r="H30" t="e">
        <f>H28*'Trendline Projection Calculatio'!$K$43</f>
        <v>#DIV/0!</v>
      </c>
      <c r="I30" t="e">
        <f>I28*'Trendline Projection Calculatio'!$K$43</f>
        <v>#DIV/0!</v>
      </c>
    </row>
    <row r="32" spans="1:9" s="2" customFormat="1">
      <c r="A32" s="2" t="s">
        <v>27</v>
      </c>
      <c r="C32" s="2" t="e">
        <f>C28-C30</f>
        <v>#NUM!</v>
      </c>
      <c r="D32" s="2" t="e">
        <f t="shared" ref="D32:I32" si="3">D28-D30</f>
        <v>#NUM!</v>
      </c>
      <c r="E32" s="2" t="e">
        <f t="shared" si="3"/>
        <v>#NUM!</v>
      </c>
      <c r="G32" s="2" t="e">
        <f t="shared" si="3"/>
        <v>#DIV/0!</v>
      </c>
      <c r="H32" s="2" t="e">
        <f t="shared" si="3"/>
        <v>#DIV/0!</v>
      </c>
      <c r="I32" s="2" t="e">
        <f t="shared" si="3"/>
        <v>#DIV/0!</v>
      </c>
    </row>
    <row r="34" spans="1:9">
      <c r="A34" t="s">
        <v>28</v>
      </c>
      <c r="C34">
        <v>0</v>
      </c>
      <c r="D34">
        <v>0</v>
      </c>
      <c r="E34">
        <v>0</v>
      </c>
      <c r="G34" t="e">
        <f>(G32-C32)*'Trendline Projection Calculatio'!$K$45</f>
        <v>#DIV/0!</v>
      </c>
      <c r="H34" t="e">
        <f>(H32-D32)*'Trendline Projection Calculatio'!$K$45</f>
        <v>#DIV/0!</v>
      </c>
      <c r="I34" t="e">
        <f>(I32-E32)*'Trendline Projection Calculatio'!$K$45</f>
        <v>#DIV/0!</v>
      </c>
    </row>
    <row r="36" spans="1:9" s="2" customFormat="1">
      <c r="A36" s="2" t="s">
        <v>29</v>
      </c>
      <c r="C36" s="2" t="e">
        <f>C32-C34</f>
        <v>#NUM!</v>
      </c>
      <c r="D36" s="2" t="e">
        <f t="shared" ref="D36:I36" si="4">D32-D34</f>
        <v>#NUM!</v>
      </c>
      <c r="E36" s="2" t="e">
        <f t="shared" si="4"/>
        <v>#NUM!</v>
      </c>
      <c r="G36" s="2" t="e">
        <f t="shared" si="4"/>
        <v>#DIV/0!</v>
      </c>
      <c r="H36" s="2" t="e">
        <f t="shared" si="4"/>
        <v>#DIV/0!</v>
      </c>
      <c r="I36" s="2" t="e">
        <f t="shared" si="4"/>
        <v>#DIV/0!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dimension ref="A1:I60"/>
  <sheetViews>
    <sheetView workbookViewId="0">
      <selection activeCell="D24" sqref="D24"/>
    </sheetView>
  </sheetViews>
  <sheetFormatPr defaultColWidth="11" defaultRowHeight="15.75"/>
  <cols>
    <col min="1" max="1" width="14.125" customWidth="1"/>
    <col min="3" max="3" width="21.375" customWidth="1"/>
  </cols>
  <sheetData>
    <row r="1" spans="1:9">
      <c r="A1" s="3" t="s">
        <v>93</v>
      </c>
      <c r="D1">
        <v>2016</v>
      </c>
      <c r="E1">
        <v>2015</v>
      </c>
      <c r="F1">
        <v>2014</v>
      </c>
      <c r="G1">
        <v>2013</v>
      </c>
      <c r="H1">
        <v>2012</v>
      </c>
      <c r="I1">
        <v>2011</v>
      </c>
    </row>
    <row r="2" spans="1:9" s="2" customFormat="1">
      <c r="B2" s="2" t="s">
        <v>94</v>
      </c>
      <c r="D2" s="2">
        <f>E2+D3+D5-D4</f>
        <v>0</v>
      </c>
      <c r="E2" s="2">
        <f>F2+E3+E5-E4</f>
        <v>0</v>
      </c>
      <c r="F2" s="2">
        <f>G2+F3+F5-F4</f>
        <v>0</v>
      </c>
      <c r="G2" s="2">
        <f>H2+G3+G5-G4</f>
        <v>0</v>
      </c>
      <c r="H2" s="2">
        <f>I2+H3+H5-H4</f>
        <v>0</v>
      </c>
    </row>
    <row r="3" spans="1:9">
      <c r="C3" t="s">
        <v>95</v>
      </c>
    </row>
    <row r="4" spans="1:9">
      <c r="C4" t="s">
        <v>96</v>
      </c>
    </row>
    <row r="5" spans="1:9">
      <c r="C5" t="s">
        <v>97</v>
      </c>
    </row>
    <row r="6" spans="1:9" s="2" customFormat="1">
      <c r="B6" s="2" t="s">
        <v>21</v>
      </c>
      <c r="D6" s="2">
        <f>E6+D7+D10-D9</f>
        <v>0</v>
      </c>
      <c r="E6" s="2">
        <f>F6+E7+E10-E9</f>
        <v>0</v>
      </c>
      <c r="F6" s="2">
        <f>G6+F7+F10-F9</f>
        <v>0</v>
      </c>
      <c r="G6" s="2">
        <f>H6+G7+G10-G9</f>
        <v>0</v>
      </c>
      <c r="H6" s="2">
        <f>I6+H7+H10-H9</f>
        <v>0</v>
      </c>
    </row>
    <row r="7" spans="1:9">
      <c r="C7" t="s">
        <v>95</v>
      </c>
    </row>
    <row r="8" spans="1:9">
      <c r="C8" t="s">
        <v>104</v>
      </c>
      <c r="D8" t="e">
        <f>D7/D2*100</f>
        <v>#DIV/0!</v>
      </c>
      <c r="E8" t="e">
        <f>E7/E2*100</f>
        <v>#DIV/0!</v>
      </c>
      <c r="F8" t="e">
        <f>F7/F2*100</f>
        <v>#DIV/0!</v>
      </c>
      <c r="G8" t="e">
        <f>G7/G2*100</f>
        <v>#DIV/0!</v>
      </c>
      <c r="H8" t="e">
        <f>H7/H2*100</f>
        <v>#DIV/0!</v>
      </c>
    </row>
    <row r="9" spans="1:9">
      <c r="C9" t="s">
        <v>96</v>
      </c>
    </row>
    <row r="10" spans="1:9">
      <c r="C10" t="s">
        <v>97</v>
      </c>
    </row>
    <row r="11" spans="1:9" s="2" customFormat="1">
      <c r="B11" s="2" t="s">
        <v>98</v>
      </c>
      <c r="D11" s="2">
        <f t="shared" ref="D11:I11" si="0">D2-D6</f>
        <v>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</row>
    <row r="13" spans="1:9" s="2" customFormat="1">
      <c r="B13" s="2" t="s">
        <v>99</v>
      </c>
      <c r="D13" s="2">
        <f>E13+D14+D16-D15</f>
        <v>70.66</v>
      </c>
      <c r="E13" s="2">
        <f>F13+E14+E16-E15</f>
        <v>70.66</v>
      </c>
      <c r="F13" s="2">
        <f>G13+F14+F16-F15</f>
        <v>70.66</v>
      </c>
      <c r="G13" s="2">
        <f>H13+G14+G16-G15</f>
        <v>70.66</v>
      </c>
      <c r="H13" s="2">
        <f>I13+H14+H16-H15</f>
        <v>70.66</v>
      </c>
      <c r="I13" s="2">
        <v>70.66</v>
      </c>
    </row>
    <row r="14" spans="1:9">
      <c r="C14" t="s">
        <v>95</v>
      </c>
    </row>
    <row r="15" spans="1:9">
      <c r="C15" t="s">
        <v>96</v>
      </c>
    </row>
    <row r="16" spans="1:9">
      <c r="C16" t="s">
        <v>97</v>
      </c>
    </row>
    <row r="17" spans="1:9" s="2" customFormat="1">
      <c r="B17" s="2" t="s">
        <v>21</v>
      </c>
      <c r="D17" s="2">
        <f>E17+D18+D21-D20</f>
        <v>47.55</v>
      </c>
      <c r="E17" s="2">
        <f>F17+E18+E21-E20</f>
        <v>47.55</v>
      </c>
      <c r="F17" s="2">
        <f>G17+F18+F21-F20</f>
        <v>47.55</v>
      </c>
      <c r="G17" s="2">
        <f>H17+G18+G21-G20</f>
        <v>47.55</v>
      </c>
      <c r="H17" s="2">
        <f>I17+H18+H21-H20</f>
        <v>47.55</v>
      </c>
      <c r="I17" s="2">
        <v>47.55</v>
      </c>
    </row>
    <row r="18" spans="1:9">
      <c r="C18" t="s">
        <v>95</v>
      </c>
    </row>
    <row r="19" spans="1:9">
      <c r="C19" t="s">
        <v>105</v>
      </c>
      <c r="D19">
        <f>D18/D13*100</f>
        <v>0</v>
      </c>
      <c r="E19">
        <f>E18/E13*100</f>
        <v>0</v>
      </c>
      <c r="F19">
        <f>F18/F13*100</f>
        <v>0</v>
      </c>
      <c r="G19">
        <f>G18/G13*100</f>
        <v>0</v>
      </c>
      <c r="H19">
        <f>H18/H13*100</f>
        <v>0</v>
      </c>
    </row>
    <row r="20" spans="1:9">
      <c r="C20" t="s">
        <v>96</v>
      </c>
    </row>
    <row r="21" spans="1:9">
      <c r="C21" t="s">
        <v>97</v>
      </c>
    </row>
    <row r="22" spans="1:9" s="2" customFormat="1">
      <c r="B22" s="2" t="s">
        <v>98</v>
      </c>
      <c r="D22" s="2">
        <f t="shared" ref="D22:I22" si="1">D13-D17</f>
        <v>23.11</v>
      </c>
      <c r="E22" s="2">
        <f t="shared" si="1"/>
        <v>23.11</v>
      </c>
      <c r="F22" s="2">
        <f t="shared" si="1"/>
        <v>23.11</v>
      </c>
      <c r="G22" s="2">
        <f t="shared" si="1"/>
        <v>23.11</v>
      </c>
      <c r="H22" s="2">
        <f t="shared" si="1"/>
        <v>23.11</v>
      </c>
      <c r="I22" s="2">
        <f t="shared" si="1"/>
        <v>23.11</v>
      </c>
    </row>
    <row r="24" spans="1:9">
      <c r="B24" t="s">
        <v>100</v>
      </c>
      <c r="D24">
        <f t="shared" ref="D24:I24" si="2">D13/(D13+D2)*100</f>
        <v>100</v>
      </c>
      <c r="E24">
        <f t="shared" si="2"/>
        <v>100</v>
      </c>
      <c r="F24">
        <f t="shared" si="2"/>
        <v>100</v>
      </c>
      <c r="G24">
        <f t="shared" si="2"/>
        <v>100</v>
      </c>
      <c r="H24">
        <f t="shared" si="2"/>
        <v>100</v>
      </c>
      <c r="I24">
        <f t="shared" si="2"/>
        <v>100</v>
      </c>
    </row>
    <row r="26" spans="1:9" s="5" customFormat="1">
      <c r="B26" s="5" t="s">
        <v>101</v>
      </c>
      <c r="D26" s="5">
        <v>13.45</v>
      </c>
      <c r="E26" s="5">
        <v>14.64</v>
      </c>
      <c r="F26" s="5">
        <v>18.59</v>
      </c>
      <c r="G26" s="5">
        <v>9</v>
      </c>
      <c r="H26" s="5">
        <v>11.47</v>
      </c>
      <c r="I26" s="5">
        <v>11.26</v>
      </c>
    </row>
    <row r="28" spans="1:9" s="2" customFormat="1">
      <c r="B28" s="2" t="s">
        <v>102</v>
      </c>
      <c r="D28" s="2">
        <f>D7+D18+D26-E26</f>
        <v>-1.1900000000000013</v>
      </c>
      <c r="E28" s="2">
        <f>E7+E18+E26-F26</f>
        <v>-3.9499999999999993</v>
      </c>
      <c r="F28" s="2">
        <f>F7+F18+F26-G26</f>
        <v>9.59</v>
      </c>
      <c r="G28" s="2">
        <f>G7+G18+G26-H26</f>
        <v>-2.4700000000000006</v>
      </c>
      <c r="H28" s="2">
        <f>H7+H18+H26-I26</f>
        <v>0.21000000000000085</v>
      </c>
    </row>
    <row r="29" spans="1:9" s="2" customFormat="1">
      <c r="B29" s="2" t="s">
        <v>103</v>
      </c>
      <c r="D29" s="2">
        <f t="shared" ref="D29:I29" si="3">D11+D22-D26</f>
        <v>9.66</v>
      </c>
      <c r="E29" s="2">
        <f t="shared" si="3"/>
        <v>8.4699999999999989</v>
      </c>
      <c r="F29" s="2">
        <f t="shared" si="3"/>
        <v>4.5199999999999996</v>
      </c>
      <c r="G29" s="2">
        <f t="shared" si="3"/>
        <v>14.11</v>
      </c>
      <c r="H29" s="2">
        <f t="shared" si="3"/>
        <v>11.639999999999999</v>
      </c>
      <c r="I29" s="2">
        <f t="shared" si="3"/>
        <v>11.85</v>
      </c>
    </row>
    <row r="32" spans="1:9">
      <c r="A32" s="3" t="s">
        <v>138</v>
      </c>
      <c r="D32">
        <v>2016</v>
      </c>
      <c r="E32">
        <v>2015</v>
      </c>
      <c r="F32">
        <v>2014</v>
      </c>
      <c r="G32">
        <v>2013</v>
      </c>
      <c r="H32">
        <v>2012</v>
      </c>
      <c r="I32">
        <v>2011</v>
      </c>
    </row>
    <row r="33" spans="2:9" s="2" customFormat="1">
      <c r="B33" s="2" t="s">
        <v>94</v>
      </c>
      <c r="D33" s="2">
        <f>E33+D34+D36-D35</f>
        <v>0</v>
      </c>
      <c r="E33" s="2">
        <f>F33+E34+E36-E35</f>
        <v>0</v>
      </c>
      <c r="F33" s="2">
        <f>G33+F34+F36-F35</f>
        <v>0</v>
      </c>
      <c r="G33" s="2">
        <f>H33+G34+G36-G35</f>
        <v>0</v>
      </c>
      <c r="H33" s="2">
        <f>I33+H34+H36-H35</f>
        <v>0</v>
      </c>
    </row>
    <row r="34" spans="2:9">
      <c r="C34" t="s">
        <v>95</v>
      </c>
    </row>
    <row r="35" spans="2:9">
      <c r="C35" t="s">
        <v>96</v>
      </c>
    </row>
    <row r="36" spans="2:9">
      <c r="C36" t="s">
        <v>97</v>
      </c>
    </row>
    <row r="37" spans="2:9" s="2" customFormat="1">
      <c r="B37" s="2" t="s">
        <v>21</v>
      </c>
      <c r="D37" s="2">
        <f>E37+D38+D41-D40</f>
        <v>0</v>
      </c>
      <c r="E37" s="2">
        <f>F37+E38+E41-E40</f>
        <v>0</v>
      </c>
      <c r="F37" s="2">
        <f>G37+F38+F41-F40</f>
        <v>0</v>
      </c>
      <c r="G37" s="2">
        <f>H37+G38+G41-G40</f>
        <v>0</v>
      </c>
      <c r="H37" s="2">
        <f>I37+H38+H41-H40</f>
        <v>0</v>
      </c>
    </row>
    <row r="38" spans="2:9">
      <c r="C38" t="s">
        <v>95</v>
      </c>
    </row>
    <row r="39" spans="2:9">
      <c r="C39" t="s">
        <v>104</v>
      </c>
      <c r="D39" t="e">
        <f>D38/D33*100</f>
        <v>#DIV/0!</v>
      </c>
      <c r="E39" t="e">
        <f>E38/E33*100</f>
        <v>#DIV/0!</v>
      </c>
      <c r="F39" t="e">
        <f>F38/F33*100</f>
        <v>#DIV/0!</v>
      </c>
      <c r="G39" t="e">
        <f>G38/G33*100</f>
        <v>#DIV/0!</v>
      </c>
      <c r="H39" t="e">
        <f>H38/H33*100</f>
        <v>#DIV/0!</v>
      </c>
    </row>
    <row r="40" spans="2:9">
      <c r="C40" t="s">
        <v>96</v>
      </c>
    </row>
    <row r="41" spans="2:9">
      <c r="C41" t="s">
        <v>97</v>
      </c>
    </row>
    <row r="42" spans="2:9" s="2" customFormat="1">
      <c r="B42" s="2" t="s">
        <v>98</v>
      </c>
      <c r="D42" s="2">
        <f t="shared" ref="D42:I42" si="4">D33-D37</f>
        <v>0</v>
      </c>
      <c r="E42" s="2">
        <f t="shared" si="4"/>
        <v>0</v>
      </c>
      <c r="F42" s="2">
        <f t="shared" si="4"/>
        <v>0</v>
      </c>
      <c r="G42" s="2">
        <f t="shared" si="4"/>
        <v>0</v>
      </c>
      <c r="H42" s="2">
        <f t="shared" si="4"/>
        <v>0</v>
      </c>
      <c r="I42" s="2">
        <f t="shared" si="4"/>
        <v>0</v>
      </c>
    </row>
    <row r="44" spans="2:9" s="2" customFormat="1">
      <c r="B44" s="2" t="s">
        <v>99</v>
      </c>
      <c r="D44" s="2">
        <f>E44+D45+D47-D46</f>
        <v>70.66</v>
      </c>
      <c r="E44" s="2">
        <f>F44+E45+E47-E46</f>
        <v>70.66</v>
      </c>
      <c r="F44" s="2">
        <f>G44+F45+F47-F46</f>
        <v>70.66</v>
      </c>
      <c r="G44" s="2">
        <f>H44+G45+G47-G46</f>
        <v>70.66</v>
      </c>
      <c r="H44" s="2">
        <f>I44+H45+H47-H46</f>
        <v>70.66</v>
      </c>
      <c r="I44" s="2">
        <v>70.66</v>
      </c>
    </row>
    <row r="45" spans="2:9">
      <c r="C45" t="s">
        <v>95</v>
      </c>
    </row>
    <row r="46" spans="2:9">
      <c r="C46" t="s">
        <v>96</v>
      </c>
    </row>
    <row r="47" spans="2:9">
      <c r="C47" t="s">
        <v>97</v>
      </c>
    </row>
    <row r="48" spans="2:9" s="2" customFormat="1">
      <c r="B48" s="2" t="s">
        <v>21</v>
      </c>
      <c r="D48" s="2">
        <f>E48+D49+D52-D51</f>
        <v>47.55</v>
      </c>
      <c r="E48" s="2">
        <f>F48+E49+E52-E51</f>
        <v>47.55</v>
      </c>
      <c r="F48" s="2">
        <f>G48+F49+F52-F51</f>
        <v>47.55</v>
      </c>
      <c r="G48" s="2">
        <f>H48+G49+G52-G51</f>
        <v>47.55</v>
      </c>
      <c r="H48" s="2">
        <f>I48+H49+H52-H51</f>
        <v>47.55</v>
      </c>
      <c r="I48" s="2">
        <v>47.55</v>
      </c>
    </row>
    <row r="49" spans="1:9">
      <c r="C49" t="s">
        <v>95</v>
      </c>
    </row>
    <row r="50" spans="1:9">
      <c r="C50" t="s">
        <v>105</v>
      </c>
      <c r="D50">
        <f>D49/D44*100</f>
        <v>0</v>
      </c>
      <c r="E50">
        <f>E49/E44*100</f>
        <v>0</v>
      </c>
      <c r="F50">
        <f>F49/F44*100</f>
        <v>0</v>
      </c>
      <c r="G50">
        <f>G49/G44*100</f>
        <v>0</v>
      </c>
      <c r="H50">
        <f>H49/H44*100</f>
        <v>0</v>
      </c>
    </row>
    <row r="51" spans="1:9">
      <c r="C51" t="s">
        <v>96</v>
      </c>
    </row>
    <row r="52" spans="1:9">
      <c r="C52" t="s">
        <v>97</v>
      </c>
    </row>
    <row r="53" spans="1:9" s="2" customFormat="1">
      <c r="B53" s="2" t="s">
        <v>98</v>
      </c>
      <c r="D53" s="2">
        <f t="shared" ref="D53:I53" si="5">D44-D48</f>
        <v>23.11</v>
      </c>
      <c r="E53" s="2">
        <f t="shared" si="5"/>
        <v>23.11</v>
      </c>
      <c r="F53" s="2">
        <f t="shared" si="5"/>
        <v>23.11</v>
      </c>
      <c r="G53" s="2">
        <f t="shared" si="5"/>
        <v>23.11</v>
      </c>
      <c r="H53" s="2">
        <f t="shared" si="5"/>
        <v>23.11</v>
      </c>
      <c r="I53" s="2">
        <f t="shared" si="5"/>
        <v>23.11</v>
      </c>
    </row>
    <row r="55" spans="1:9">
      <c r="B55" t="s">
        <v>100</v>
      </c>
      <c r="D55">
        <f t="shared" ref="D55:I55" si="6">D44/(D44+D33)*100</f>
        <v>100</v>
      </c>
      <c r="E55">
        <f t="shared" si="6"/>
        <v>100</v>
      </c>
      <c r="F55">
        <f t="shared" si="6"/>
        <v>100</v>
      </c>
      <c r="G55">
        <f t="shared" si="6"/>
        <v>100</v>
      </c>
      <c r="H55">
        <f t="shared" si="6"/>
        <v>100</v>
      </c>
      <c r="I55">
        <f t="shared" si="6"/>
        <v>100</v>
      </c>
    </row>
    <row r="57" spans="1:9">
      <c r="A57" s="5"/>
      <c r="B57" s="5" t="s">
        <v>101</v>
      </c>
      <c r="C57" s="5"/>
      <c r="D57" s="5">
        <v>13.45</v>
      </c>
      <c r="E57" s="5">
        <v>14.64</v>
      </c>
      <c r="F57" s="5">
        <v>18.59</v>
      </c>
      <c r="G57" s="5">
        <v>9</v>
      </c>
      <c r="H57" s="5">
        <v>11.47</v>
      </c>
      <c r="I57" s="5">
        <v>11.26</v>
      </c>
    </row>
    <row r="59" spans="1:9" s="2" customFormat="1">
      <c r="B59" s="2" t="s">
        <v>102</v>
      </c>
      <c r="D59" s="2">
        <f>D38+D49+D57-E57</f>
        <v>-1.1900000000000013</v>
      </c>
      <c r="E59" s="2">
        <f>E38+E49+E57-F57</f>
        <v>-3.9499999999999993</v>
      </c>
      <c r="F59" s="2">
        <f>F38+F49+F57-G57</f>
        <v>9.59</v>
      </c>
      <c r="G59" s="2">
        <f>G38+G49+G57-H57</f>
        <v>-2.4700000000000006</v>
      </c>
      <c r="H59" s="2">
        <f>H38+H49+H57-I57</f>
        <v>0.21000000000000085</v>
      </c>
    </row>
    <row r="60" spans="1:9" s="2" customFormat="1">
      <c r="B60" s="2" t="s">
        <v>103</v>
      </c>
      <c r="D60" s="2">
        <f t="shared" ref="D60:I60" si="7">D42+D53-D57</f>
        <v>9.66</v>
      </c>
      <c r="E60" s="2">
        <f t="shared" si="7"/>
        <v>8.4699999999999989</v>
      </c>
      <c r="F60" s="2">
        <f t="shared" si="7"/>
        <v>4.5199999999999996</v>
      </c>
      <c r="G60" s="2">
        <f t="shared" si="7"/>
        <v>14.11</v>
      </c>
      <c r="H60" s="2">
        <f t="shared" si="7"/>
        <v>11.639999999999999</v>
      </c>
      <c r="I60" s="2">
        <f t="shared" si="7"/>
        <v>11.85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dimension ref="A1:H4"/>
  <sheetViews>
    <sheetView workbookViewId="0">
      <selection activeCell="J9" sqref="J9"/>
    </sheetView>
  </sheetViews>
  <sheetFormatPr defaultColWidth="11" defaultRowHeight="15.75"/>
  <cols>
    <col min="1" max="1" width="20.875" customWidth="1"/>
  </cols>
  <sheetData>
    <row r="1" spans="1:8">
      <c r="A1" s="3" t="s">
        <v>161</v>
      </c>
      <c r="D1" s="43" t="s">
        <v>166</v>
      </c>
      <c r="E1" s="43"/>
      <c r="G1" s="43" t="s">
        <v>138</v>
      </c>
      <c r="H1" s="43"/>
    </row>
    <row r="2" spans="1:8">
      <c r="A2" t="s">
        <v>162</v>
      </c>
      <c r="B2" s="1"/>
      <c r="C2" s="6"/>
      <c r="D2" t="s">
        <v>164</v>
      </c>
      <c r="E2" t="s">
        <v>165</v>
      </c>
      <c r="G2" t="s">
        <v>164</v>
      </c>
      <c r="H2" t="s">
        <v>165</v>
      </c>
    </row>
    <row r="3" spans="1:8">
      <c r="A3" t="s">
        <v>167</v>
      </c>
      <c r="B3" s="1"/>
      <c r="C3" s="6"/>
    </row>
    <row r="4" spans="1:8">
      <c r="A4" t="s">
        <v>163</v>
      </c>
      <c r="D4">
        <f>StandAlone!F46/StandAlone!F52*'Pricing Model'!B3*(1+'Evaluation Ratios'!C50)/('Evaluation Ratios'!C50-'Pricing Model'!B2/100)</f>
        <v>0</v>
      </c>
      <c r="E4" t="e">
        <f>StandAlone!F46/StandAlone!F52*'Pricing Model'!B3*(1+'Trendline Projection Calculatio'!K22/100)/('Trendline Projection Calculatio'!K22/100-'Pricing Model'!B2/100)</f>
        <v>#NUM!</v>
      </c>
      <c r="G4" t="e">
        <f>Consolidated!F46/Consolidated!F52*'Pricing Model'!B3*(1+'Evaluation Ratios'!L50)/('Evaluation Ratios'!L50-'Pricing Model'!B2/100)</f>
        <v>#DIV/0!</v>
      </c>
      <c r="H4" t="e">
        <f>Consolidated!F46/Consolidated!F52*'Pricing Model'!B3*(1+'Trendline Projection Calculatio'!K47/100)/('Trendline Projection Calculatio'!K47/100-'Pricing Model'!B2/100)</f>
        <v>#DIV/0!</v>
      </c>
    </row>
  </sheetData>
  <mergeCells count="2">
    <mergeCell ref="D1:E1"/>
    <mergeCell ref="G1:H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StandAlone</vt:lpstr>
      <vt:lpstr>StandAlone %</vt:lpstr>
      <vt:lpstr>Consolidated</vt:lpstr>
      <vt:lpstr>Consolidated %</vt:lpstr>
      <vt:lpstr>Evaluation Ratios</vt:lpstr>
      <vt:lpstr>Fund Flow Analysis</vt:lpstr>
      <vt:lpstr>Earnings Projection</vt:lpstr>
      <vt:lpstr>Depreciation</vt:lpstr>
      <vt:lpstr>Pricing Model</vt:lpstr>
      <vt:lpstr>Trendline Projection Calculatio</vt:lpstr>
      <vt:lpstr>Research Report Data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 Agarwal</dc:creator>
  <cp:lastModifiedBy>admin</cp:lastModifiedBy>
  <cp:lastPrinted>2017-08-28T16:42:00Z</cp:lastPrinted>
  <dcterms:created xsi:type="dcterms:W3CDTF">2016-12-25T06:53:12Z</dcterms:created>
  <dcterms:modified xsi:type="dcterms:W3CDTF">2017-12-27T12:58:41Z</dcterms:modified>
</cp:coreProperties>
</file>