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PERSONAL\STOCKS\Kovai\"/>
    </mc:Choice>
  </mc:AlternateContent>
  <bookViews>
    <workbookView xWindow="240" yWindow="75" windowWidth="19440" windowHeight="7935" tabRatio="856" firstSheet="5" activeTab="5"/>
  </bookViews>
  <sheets>
    <sheet name="Profit &amp; Loss" sheetId="1" state="hidden" r:id="rId1"/>
    <sheet name="Quarters" sheetId="3" state="hidden" r:id="rId2"/>
    <sheet name="Balance Sheet" sheetId="2" state="hidden" r:id="rId3"/>
    <sheet name="Cash Flow" sheetId="4" state="hidden" r:id="rId4"/>
    <sheet name="Customization" sheetId="5" state="hidden" r:id="rId5"/>
    <sheet name="Scorecard" sheetId="14" r:id="rId6"/>
    <sheet name="Financial Analysis" sheetId="7" r:id="rId7"/>
    <sheet name="Analysis2" sheetId="13" r:id="rId8"/>
    <sheet name="Market_scope" sheetId="15" r:id="rId9"/>
    <sheet name="Data Sheet" sheetId="6" r:id="rId10"/>
    <sheet name="Other_input_data" sheetId="12" r:id="rId11"/>
    <sheet name="DCF" sheetId="9" state="hidden" r:id="rId12"/>
    <sheet name="Fair Value" sheetId="10" state="hidden" r:id="rId13"/>
    <sheet name="Expected Return Model" sheetId="11" state="hidden" r:id="rId14"/>
  </sheets>
  <externalReferences>
    <externalReference r:id="rId15"/>
  </externalReferences>
  <definedNames>
    <definedName name="UPDATE">'Data Sheet'!$E$1</definedName>
  </definedNames>
  <calcPr calcId="152511"/>
</workbook>
</file>

<file path=xl/calcChain.xml><?xml version="1.0" encoding="utf-8"?>
<calcChain xmlns="http://schemas.openxmlformats.org/spreadsheetml/2006/main">
  <c r="E58" i="14" l="1"/>
  <c r="L93" i="6"/>
  <c r="K93" i="6"/>
  <c r="J93" i="6"/>
  <c r="I93" i="6"/>
  <c r="H93" i="6"/>
  <c r="G93" i="6"/>
  <c r="F93" i="6"/>
  <c r="E93" i="6"/>
  <c r="D93" i="6"/>
  <c r="C93" i="6"/>
  <c r="B93" i="6"/>
  <c r="B6" i="6"/>
  <c r="D36" i="14" l="1"/>
  <c r="F43" i="14"/>
  <c r="G43" i="14" s="1"/>
  <c r="H43" i="14" s="1"/>
  <c r="D43" i="14"/>
  <c r="H63" i="14"/>
  <c r="H54" i="14"/>
  <c r="H45" i="14"/>
  <c r="H46" i="14"/>
  <c r="E53" i="14"/>
  <c r="E52" i="14"/>
  <c r="E51" i="14"/>
  <c r="E57" i="14"/>
  <c r="M6" i="15"/>
  <c r="M5" i="15"/>
  <c r="M4" i="15"/>
  <c r="F58" i="14" s="1"/>
  <c r="G58" i="14" s="1"/>
  <c r="H58" i="14" s="1"/>
  <c r="M2" i="15"/>
  <c r="F51" i="14"/>
  <c r="G51" i="14" s="1"/>
  <c r="H51" i="14" s="1"/>
  <c r="F48" i="14"/>
  <c r="F46" i="14"/>
  <c r="G46" i="14" s="1"/>
  <c r="F45" i="14"/>
  <c r="G45" i="14" s="1"/>
  <c r="G48" i="14"/>
  <c r="H48" i="14" s="1"/>
  <c r="D62" i="14"/>
  <c r="D63" i="14"/>
  <c r="D61" i="14"/>
  <c r="D58" i="14"/>
  <c r="D57" i="14"/>
  <c r="D52" i="14"/>
  <c r="D53" i="14"/>
  <c r="D54" i="14"/>
  <c r="D51" i="14"/>
  <c r="D42" i="14"/>
  <c r="D44" i="14"/>
  <c r="D45" i="14"/>
  <c r="D46" i="14"/>
  <c r="D47" i="14"/>
  <c r="D48" i="14"/>
  <c r="D41" i="14"/>
  <c r="D31" i="14"/>
  <c r="D32" i="14"/>
  <c r="D33" i="14"/>
  <c r="D34" i="14"/>
  <c r="D35" i="14"/>
  <c r="D37" i="14"/>
  <c r="D38" i="14"/>
  <c r="D30" i="14"/>
  <c r="D19" i="14"/>
  <c r="D20" i="14"/>
  <c r="D21" i="14"/>
  <c r="D22" i="14"/>
  <c r="D23" i="14"/>
  <c r="D24" i="14"/>
  <c r="D25" i="14"/>
  <c r="D26" i="14"/>
  <c r="D27" i="14"/>
  <c r="D18" i="14"/>
  <c r="B1" i="14"/>
  <c r="B8" i="14"/>
  <c r="B7" i="14"/>
  <c r="B6" i="14"/>
  <c r="B5" i="14"/>
  <c r="B4" i="14"/>
  <c r="B3" i="14"/>
  <c r="A8" i="14"/>
  <c r="A7" i="14"/>
  <c r="A6" i="14"/>
  <c r="A5" i="14"/>
  <c r="A4" i="14"/>
  <c r="A3" i="14"/>
  <c r="F63" i="14"/>
  <c r="F57" i="14"/>
  <c r="G57" i="14" s="1"/>
  <c r="H57" i="14" s="1"/>
  <c r="F52" i="14"/>
  <c r="G52" i="14" s="1"/>
  <c r="H52" i="14" s="1"/>
  <c r="F53" i="14"/>
  <c r="G53" i="14" s="1"/>
  <c r="H53" i="14" s="1"/>
  <c r="F54" i="14"/>
  <c r="G54" i="14" s="1"/>
  <c r="F47" i="14"/>
  <c r="J60" i="14"/>
  <c r="J56" i="14"/>
  <c r="J50" i="14"/>
  <c r="J40" i="14"/>
  <c r="J29" i="14"/>
  <c r="J17" i="14"/>
  <c r="L18" i="1"/>
  <c r="C88" i="7"/>
  <c r="C18" i="13"/>
  <c r="C52" i="13" s="1"/>
  <c r="D18" i="13"/>
  <c r="D52" i="13" s="1"/>
  <c r="E18" i="13"/>
  <c r="E52" i="13" s="1"/>
  <c r="F18" i="13"/>
  <c r="F52" i="13" s="1"/>
  <c r="G18" i="13"/>
  <c r="G52" i="13" s="1"/>
  <c r="H18" i="13"/>
  <c r="H52" i="13" s="1"/>
  <c r="I18" i="13"/>
  <c r="I52" i="13" s="1"/>
  <c r="J18" i="13"/>
  <c r="J52" i="13" s="1"/>
  <c r="K18" i="13"/>
  <c r="K52" i="13" s="1"/>
  <c r="L18" i="13"/>
  <c r="L52" i="13" s="1"/>
  <c r="B18" i="13"/>
  <c r="B52" i="13" s="1"/>
  <c r="B37" i="12"/>
  <c r="A18" i="13"/>
  <c r="A12" i="13"/>
  <c r="A1" i="13"/>
  <c r="J8" i="13"/>
  <c r="I8" i="13"/>
  <c r="G47" i="14" l="1"/>
  <c r="H47" i="14" s="1"/>
  <c r="I56" i="14"/>
  <c r="C7" i="14" s="1"/>
  <c r="D7" i="14" s="1"/>
  <c r="G63" i="14"/>
  <c r="I50" i="14"/>
  <c r="C6" i="14" s="1"/>
  <c r="D6" i="14" s="1"/>
  <c r="C59" i="12"/>
  <c r="D59" i="12"/>
  <c r="E59" i="12"/>
  <c r="F59" i="12"/>
  <c r="G59" i="12"/>
  <c r="H59" i="12"/>
  <c r="I59" i="12"/>
  <c r="J59" i="12"/>
  <c r="K59" i="12"/>
  <c r="L59" i="12"/>
  <c r="B59" i="12"/>
  <c r="C58" i="12"/>
  <c r="D58" i="12"/>
  <c r="E58" i="12"/>
  <c r="F58" i="12"/>
  <c r="G58" i="12"/>
  <c r="H58" i="12"/>
  <c r="I58" i="12"/>
  <c r="J58" i="12"/>
  <c r="K58" i="12"/>
  <c r="L58" i="12"/>
  <c r="B58" i="12"/>
  <c r="C48" i="12"/>
  <c r="D48" i="12"/>
  <c r="E48" i="12"/>
  <c r="F48" i="12"/>
  <c r="G48" i="12"/>
  <c r="H48" i="12"/>
  <c r="I48" i="12"/>
  <c r="J48" i="12"/>
  <c r="K48" i="12"/>
  <c r="L48" i="12"/>
  <c r="B48" i="12"/>
  <c r="C46" i="12"/>
  <c r="C9" i="12" s="1"/>
  <c r="D46" i="12"/>
  <c r="D9" i="12" s="1"/>
  <c r="D30" i="13" s="1"/>
  <c r="E46" i="12"/>
  <c r="E9" i="12" s="1"/>
  <c r="F46" i="12"/>
  <c r="F9" i="12" s="1"/>
  <c r="G46" i="12"/>
  <c r="G9" i="12" s="1"/>
  <c r="H46" i="12"/>
  <c r="H9" i="12" s="1"/>
  <c r="H30" i="13" s="1"/>
  <c r="I46" i="12"/>
  <c r="I9" i="12" s="1"/>
  <c r="J46" i="12"/>
  <c r="J9" i="12" s="1"/>
  <c r="K46" i="12"/>
  <c r="K9" i="12" s="1"/>
  <c r="L46" i="12"/>
  <c r="L9" i="12" s="1"/>
  <c r="L30" i="13" s="1"/>
  <c r="C47" i="12"/>
  <c r="C10" i="12" s="1"/>
  <c r="D47" i="12"/>
  <c r="D10" i="12" s="1"/>
  <c r="E47" i="12"/>
  <c r="E10" i="12" s="1"/>
  <c r="F47" i="12"/>
  <c r="F57" i="12" s="1"/>
  <c r="G47" i="12"/>
  <c r="G10" i="12" s="1"/>
  <c r="H47" i="12"/>
  <c r="H10" i="12" s="1"/>
  <c r="I47" i="12"/>
  <c r="I10" i="12" s="1"/>
  <c r="J47" i="12"/>
  <c r="J57" i="12" s="1"/>
  <c r="K47" i="12"/>
  <c r="K10" i="12" s="1"/>
  <c r="L47" i="12"/>
  <c r="L10" i="12" s="1"/>
  <c r="B47" i="12"/>
  <c r="B10" i="12" s="1"/>
  <c r="B46" i="12"/>
  <c r="B9" i="12" s="1"/>
  <c r="B30" i="13" s="1"/>
  <c r="M30" i="13" s="1"/>
  <c r="C44" i="12"/>
  <c r="D44" i="12"/>
  <c r="E44" i="12"/>
  <c r="F44" i="12"/>
  <c r="G44" i="12"/>
  <c r="H44" i="12"/>
  <c r="I44" i="12"/>
  <c r="J44" i="12"/>
  <c r="K44" i="12"/>
  <c r="L44" i="12"/>
  <c r="C45" i="12"/>
  <c r="D45" i="12"/>
  <c r="E45" i="12"/>
  <c r="F45" i="12"/>
  <c r="G45" i="12"/>
  <c r="H45" i="12"/>
  <c r="I45" i="12"/>
  <c r="J45" i="12"/>
  <c r="K45" i="12"/>
  <c r="L45" i="12"/>
  <c r="B45" i="12"/>
  <c r="B44" i="12"/>
  <c r="C54" i="12"/>
  <c r="C8" i="12" s="1"/>
  <c r="D54" i="12"/>
  <c r="D8" i="12" s="1"/>
  <c r="D60" i="13" s="1"/>
  <c r="E54" i="12"/>
  <c r="E8" i="12" s="1"/>
  <c r="E60" i="13" s="1"/>
  <c r="F54" i="12"/>
  <c r="F8" i="12" s="1"/>
  <c r="F60" i="13" s="1"/>
  <c r="G54" i="12"/>
  <c r="G8" i="12" s="1"/>
  <c r="H54" i="12"/>
  <c r="H8" i="12" s="1"/>
  <c r="H60" i="13" s="1"/>
  <c r="I54" i="12"/>
  <c r="I8" i="12" s="1"/>
  <c r="I60" i="13" s="1"/>
  <c r="J54" i="12"/>
  <c r="J8" i="12" s="1"/>
  <c r="J60" i="13" s="1"/>
  <c r="K54" i="12"/>
  <c r="K8" i="12" s="1"/>
  <c r="L54" i="12"/>
  <c r="L8" i="12" s="1"/>
  <c r="B54" i="12"/>
  <c r="B8" i="12" s="1"/>
  <c r="B60" i="13" s="1"/>
  <c r="C52" i="12"/>
  <c r="C7" i="12" s="1"/>
  <c r="C29" i="13" s="1"/>
  <c r="D52" i="12"/>
  <c r="D7" i="12" s="1"/>
  <c r="E52" i="12"/>
  <c r="E7" i="12" s="1"/>
  <c r="E29" i="13" s="1"/>
  <c r="F52" i="12"/>
  <c r="F7" i="12" s="1"/>
  <c r="G52" i="12"/>
  <c r="G7" i="12" s="1"/>
  <c r="G29" i="13" s="1"/>
  <c r="H52" i="12"/>
  <c r="H7" i="12" s="1"/>
  <c r="I52" i="12"/>
  <c r="I7" i="12" s="1"/>
  <c r="I29" i="13" s="1"/>
  <c r="J52" i="12"/>
  <c r="J7" i="12" s="1"/>
  <c r="K52" i="12"/>
  <c r="K7" i="12" s="1"/>
  <c r="K29" i="13" s="1"/>
  <c r="L52" i="12"/>
  <c r="L7" i="12" s="1"/>
  <c r="C53" i="12"/>
  <c r="C6" i="12" s="1"/>
  <c r="D53" i="12"/>
  <c r="D6" i="12" s="1"/>
  <c r="E53" i="12"/>
  <c r="E6" i="12" s="1"/>
  <c r="F53" i="12"/>
  <c r="F6" i="12" s="1"/>
  <c r="G53" i="12"/>
  <c r="G6" i="12" s="1"/>
  <c r="H53" i="12"/>
  <c r="H6" i="12" s="1"/>
  <c r="I53" i="12"/>
  <c r="I6" i="12" s="1"/>
  <c r="J53" i="12"/>
  <c r="J6" i="12" s="1"/>
  <c r="K53" i="12"/>
  <c r="K6" i="12" s="1"/>
  <c r="L53" i="12"/>
  <c r="L6" i="12" s="1"/>
  <c r="L27" i="13" s="1"/>
  <c r="L28" i="13" s="1"/>
  <c r="B53" i="12"/>
  <c r="B6" i="12" s="1"/>
  <c r="B52" i="12"/>
  <c r="B7" i="12" s="1"/>
  <c r="B29" i="13" s="1"/>
  <c r="C51" i="12"/>
  <c r="D51" i="12"/>
  <c r="D78" i="12" s="1"/>
  <c r="E51" i="12"/>
  <c r="E78" i="12" s="1"/>
  <c r="F51" i="12"/>
  <c r="G51" i="12"/>
  <c r="H51" i="12"/>
  <c r="H78" i="12" s="1"/>
  <c r="I51" i="12"/>
  <c r="J51" i="12"/>
  <c r="K51" i="12"/>
  <c r="L51" i="12"/>
  <c r="B51" i="12"/>
  <c r="C17" i="12"/>
  <c r="D17" i="12"/>
  <c r="E17" i="12"/>
  <c r="F17" i="12"/>
  <c r="G17" i="12"/>
  <c r="H17" i="12"/>
  <c r="I17" i="12"/>
  <c r="J17" i="12"/>
  <c r="K17" i="12"/>
  <c r="L17" i="12"/>
  <c r="C20" i="12"/>
  <c r="D20" i="12"/>
  <c r="E20" i="12"/>
  <c r="F20" i="12"/>
  <c r="G20" i="12"/>
  <c r="H20" i="12"/>
  <c r="I20" i="12"/>
  <c r="J20" i="12"/>
  <c r="K20" i="12"/>
  <c r="L20" i="12"/>
  <c r="C21" i="12"/>
  <c r="D21" i="12"/>
  <c r="E21" i="12"/>
  <c r="F21" i="12"/>
  <c r="G21" i="12"/>
  <c r="H21" i="12"/>
  <c r="I21" i="12"/>
  <c r="J21" i="12"/>
  <c r="K21" i="12"/>
  <c r="L21" i="12"/>
  <c r="B21" i="12"/>
  <c r="B20" i="12"/>
  <c r="B17" i="12"/>
  <c r="C28" i="12"/>
  <c r="C36" i="13" s="1"/>
  <c r="D28" i="12"/>
  <c r="D36" i="13" s="1"/>
  <c r="E28" i="12"/>
  <c r="F28" i="12"/>
  <c r="F36" i="13" s="1"/>
  <c r="G28" i="12"/>
  <c r="G36" i="13" s="1"/>
  <c r="H28" i="12"/>
  <c r="H36" i="13" s="1"/>
  <c r="I28" i="12"/>
  <c r="J28" i="12"/>
  <c r="J36" i="13" s="1"/>
  <c r="K28" i="12"/>
  <c r="K36" i="13" s="1"/>
  <c r="L28" i="12"/>
  <c r="L36" i="13" s="1"/>
  <c r="B28" i="12"/>
  <c r="F15" i="6"/>
  <c r="D15" i="6"/>
  <c r="E15" i="6"/>
  <c r="C61" i="12"/>
  <c r="D61" i="12"/>
  <c r="E61" i="12"/>
  <c r="F61" i="12"/>
  <c r="G61" i="12"/>
  <c r="H61" i="12"/>
  <c r="I61" i="12"/>
  <c r="I15" i="13" s="1"/>
  <c r="J61" i="12"/>
  <c r="K61" i="12"/>
  <c r="L61" i="12"/>
  <c r="B61" i="12"/>
  <c r="I13" i="13" s="1"/>
  <c r="E26" i="14" s="1"/>
  <c r="F26" i="14" s="1"/>
  <c r="G26" i="14" s="1"/>
  <c r="H26" i="14" s="1"/>
  <c r="C50" i="12"/>
  <c r="D50" i="12"/>
  <c r="E50" i="12"/>
  <c r="F50" i="12"/>
  <c r="G50" i="12"/>
  <c r="H50" i="12"/>
  <c r="I50" i="12"/>
  <c r="J50" i="12"/>
  <c r="K50" i="12"/>
  <c r="L50" i="12"/>
  <c r="B50" i="12"/>
  <c r="C49" i="12"/>
  <c r="D49" i="12"/>
  <c r="E49" i="12"/>
  <c r="F49" i="12"/>
  <c r="G49" i="12"/>
  <c r="H49" i="12"/>
  <c r="I49" i="12"/>
  <c r="J49" i="12"/>
  <c r="K49" i="12"/>
  <c r="L49" i="12"/>
  <c r="L41" i="13" s="1"/>
  <c r="B49" i="12"/>
  <c r="C40" i="12"/>
  <c r="D40" i="12"/>
  <c r="E40" i="12"/>
  <c r="F40" i="12"/>
  <c r="G40" i="12"/>
  <c r="H40" i="12"/>
  <c r="I40" i="12"/>
  <c r="J40" i="12"/>
  <c r="K40" i="12"/>
  <c r="L40" i="12"/>
  <c r="B40" i="12"/>
  <c r="C39" i="12"/>
  <c r="D39" i="12"/>
  <c r="E39" i="12"/>
  <c r="E55" i="13" s="1"/>
  <c r="F39" i="12"/>
  <c r="G39" i="12"/>
  <c r="G55" i="13" s="1"/>
  <c r="H39" i="12"/>
  <c r="I39" i="12"/>
  <c r="I55" i="13" s="1"/>
  <c r="J39" i="12"/>
  <c r="K39" i="12"/>
  <c r="L39" i="12"/>
  <c r="B39" i="12"/>
  <c r="M39" i="12" s="1"/>
  <c r="E44" i="14" s="1"/>
  <c r="F44" i="14" s="1"/>
  <c r="G44" i="14" s="1"/>
  <c r="H44" i="14" s="1"/>
  <c r="C35" i="12"/>
  <c r="D35" i="12"/>
  <c r="E35" i="12"/>
  <c r="F35" i="12"/>
  <c r="G35" i="12"/>
  <c r="H35" i="12"/>
  <c r="I35" i="12"/>
  <c r="J35" i="12"/>
  <c r="K35" i="12"/>
  <c r="L35" i="12"/>
  <c r="B35" i="12"/>
  <c r="C33" i="12"/>
  <c r="D33" i="12"/>
  <c r="E33" i="12"/>
  <c r="F33" i="12"/>
  <c r="G33" i="12"/>
  <c r="H33" i="12"/>
  <c r="I33" i="12"/>
  <c r="J33" i="12"/>
  <c r="K33" i="12"/>
  <c r="L33" i="12"/>
  <c r="B33" i="12"/>
  <c r="C31" i="12"/>
  <c r="D31" i="12"/>
  <c r="E31" i="12"/>
  <c r="F31" i="12"/>
  <c r="G31" i="12"/>
  <c r="H31" i="12"/>
  <c r="I31" i="12"/>
  <c r="J31" i="12"/>
  <c r="K31" i="12"/>
  <c r="L31" i="12"/>
  <c r="B31" i="12"/>
  <c r="C29" i="12"/>
  <c r="D29" i="12"/>
  <c r="E29" i="12"/>
  <c r="F29" i="12"/>
  <c r="G29" i="12"/>
  <c r="H29" i="12"/>
  <c r="I29" i="12"/>
  <c r="J29" i="12"/>
  <c r="K29" i="12"/>
  <c r="L29" i="12"/>
  <c r="B29" i="12"/>
  <c r="C16" i="12"/>
  <c r="D16" i="12"/>
  <c r="E16" i="12"/>
  <c r="F16" i="12"/>
  <c r="G16" i="12"/>
  <c r="H16" i="12"/>
  <c r="I16" i="12"/>
  <c r="J16" i="12"/>
  <c r="K16" i="12"/>
  <c r="L16" i="12"/>
  <c r="B16" i="12"/>
  <c r="C15" i="12"/>
  <c r="C26" i="12" s="1"/>
  <c r="D15" i="12"/>
  <c r="D26" i="12" s="1"/>
  <c r="E15" i="12"/>
  <c r="E26" i="12" s="1"/>
  <c r="F15" i="12"/>
  <c r="F26" i="12" s="1"/>
  <c r="G15" i="12"/>
  <c r="G26" i="12" s="1"/>
  <c r="H15" i="12"/>
  <c r="H26" i="12" s="1"/>
  <c r="I15" i="12"/>
  <c r="I26" i="12" s="1"/>
  <c r="J15" i="12"/>
  <c r="J26" i="12" s="1"/>
  <c r="K15" i="12"/>
  <c r="K26" i="12" s="1"/>
  <c r="L15" i="12"/>
  <c r="L26" i="12" s="1"/>
  <c r="B15" i="12"/>
  <c r="B26" i="12" s="1"/>
  <c r="C25" i="12"/>
  <c r="D25" i="12"/>
  <c r="E25" i="12"/>
  <c r="F25" i="12"/>
  <c r="G25" i="12"/>
  <c r="H25" i="12"/>
  <c r="I25" i="12"/>
  <c r="J25" i="12"/>
  <c r="K25" i="12"/>
  <c r="L25" i="12"/>
  <c r="B25" i="12"/>
  <c r="L4" i="12"/>
  <c r="L14" i="12" s="1"/>
  <c r="L24" i="12" s="1"/>
  <c r="C4" i="12"/>
  <c r="C14" i="12" s="1"/>
  <c r="C24" i="12" s="1"/>
  <c r="D4" i="12"/>
  <c r="D14" i="12" s="1"/>
  <c r="D24" i="12" s="1"/>
  <c r="E4" i="12"/>
  <c r="E14" i="12" s="1"/>
  <c r="E24" i="12" s="1"/>
  <c r="F4" i="12"/>
  <c r="F14" i="12" s="1"/>
  <c r="F24" i="12" s="1"/>
  <c r="G4" i="12"/>
  <c r="G14" i="12" s="1"/>
  <c r="G24" i="12" s="1"/>
  <c r="H4" i="12"/>
  <c r="H14" i="12" s="1"/>
  <c r="H24" i="12" s="1"/>
  <c r="I4" i="12"/>
  <c r="I14" i="12" s="1"/>
  <c r="I24" i="12" s="1"/>
  <c r="J4" i="12"/>
  <c r="J14" i="12" s="1"/>
  <c r="J24" i="12" s="1"/>
  <c r="K4" i="12"/>
  <c r="K14" i="12" s="1"/>
  <c r="K24" i="12" s="1"/>
  <c r="B4" i="12"/>
  <c r="B14" i="12" s="1"/>
  <c r="B24" i="12" s="1"/>
  <c r="A1" i="12"/>
  <c r="A24" i="12"/>
  <c r="A4" i="12"/>
  <c r="A26" i="12"/>
  <c r="I16" i="13" l="1"/>
  <c r="I14" i="13"/>
  <c r="L25" i="13"/>
  <c r="L60" i="13"/>
  <c r="L26" i="13"/>
  <c r="L29" i="13"/>
  <c r="M29" i="13" s="1"/>
  <c r="L19" i="13"/>
  <c r="L42" i="13"/>
  <c r="J55" i="13"/>
  <c r="F55" i="13"/>
  <c r="I30" i="13"/>
  <c r="E30" i="13"/>
  <c r="J19" i="13"/>
  <c r="F19" i="13"/>
  <c r="B19" i="13"/>
  <c r="I19" i="13"/>
  <c r="E19" i="13"/>
  <c r="H55" i="13"/>
  <c r="D55" i="13"/>
  <c r="H29" i="13"/>
  <c r="D29" i="13"/>
  <c r="K60" i="13"/>
  <c r="G60" i="13"/>
  <c r="C60" i="13"/>
  <c r="K30" i="13"/>
  <c r="G30" i="13"/>
  <c r="C30" i="13"/>
  <c r="H19" i="13"/>
  <c r="D19" i="13"/>
  <c r="K55" i="13"/>
  <c r="L55" i="13"/>
  <c r="M55" i="13" s="1"/>
  <c r="C55" i="13"/>
  <c r="K19" i="13"/>
  <c r="G19" i="13"/>
  <c r="C19" i="13"/>
  <c r="B76" i="13"/>
  <c r="B42" i="13"/>
  <c r="B25" i="13"/>
  <c r="B13" i="13"/>
  <c r="E18" i="14" s="1"/>
  <c r="F18" i="14" s="1"/>
  <c r="G18" i="14" s="1"/>
  <c r="H18" i="14" s="1"/>
  <c r="B41" i="13"/>
  <c r="B38" i="13"/>
  <c r="B27" i="13"/>
  <c r="B26" i="13"/>
  <c r="I42" i="13"/>
  <c r="I25" i="13"/>
  <c r="I26" i="13"/>
  <c r="B15" i="13"/>
  <c r="I57" i="13"/>
  <c r="I56" i="13"/>
  <c r="I41" i="13"/>
  <c r="I27" i="13"/>
  <c r="I28" i="13" s="1"/>
  <c r="E42" i="13"/>
  <c r="E25" i="13"/>
  <c r="E26" i="13"/>
  <c r="E57" i="13"/>
  <c r="E56" i="13"/>
  <c r="E27" i="13"/>
  <c r="E28" i="13" s="1"/>
  <c r="E41" i="13"/>
  <c r="H82" i="12"/>
  <c r="H27" i="13"/>
  <c r="H28" i="13" s="1"/>
  <c r="H26" i="13"/>
  <c r="H57" i="13"/>
  <c r="H56" i="13"/>
  <c r="H42" i="13"/>
  <c r="H41" i="13"/>
  <c r="H25" i="13"/>
  <c r="D82" i="12"/>
  <c r="D27" i="13"/>
  <c r="D28" i="13" s="1"/>
  <c r="D26" i="13"/>
  <c r="D57" i="13"/>
  <c r="D56" i="13"/>
  <c r="D42" i="13"/>
  <c r="D25" i="13"/>
  <c r="D41" i="13"/>
  <c r="C54" i="13"/>
  <c r="K56" i="13"/>
  <c r="L57" i="13"/>
  <c r="L56" i="13"/>
  <c r="K27" i="13"/>
  <c r="K28" i="13" s="1"/>
  <c r="K41" i="13"/>
  <c r="K26" i="13"/>
  <c r="K25" i="13"/>
  <c r="B16" i="13"/>
  <c r="K57" i="13"/>
  <c r="K42" i="13"/>
  <c r="G56" i="13"/>
  <c r="G57" i="13"/>
  <c r="G42" i="13"/>
  <c r="G41" i="13"/>
  <c r="G25" i="13"/>
  <c r="G27" i="13"/>
  <c r="G28" i="13" s="1"/>
  <c r="G26" i="13"/>
  <c r="B14" i="13"/>
  <c r="C56" i="13"/>
  <c r="C26" i="13"/>
  <c r="C57" i="13"/>
  <c r="C42" i="13"/>
  <c r="C41" i="13"/>
  <c r="C27" i="13"/>
  <c r="C28" i="13" s="1"/>
  <c r="C25" i="13"/>
  <c r="I59" i="13"/>
  <c r="B75" i="13"/>
  <c r="J57" i="13"/>
  <c r="J41" i="13"/>
  <c r="J27" i="13"/>
  <c r="J28" i="13" s="1"/>
  <c r="J42" i="13"/>
  <c r="J56" i="13"/>
  <c r="J26" i="13"/>
  <c r="J25" i="13"/>
  <c r="F57" i="13"/>
  <c r="F41" i="13"/>
  <c r="F56" i="13"/>
  <c r="F27" i="13"/>
  <c r="F28" i="13" s="1"/>
  <c r="F42" i="13"/>
  <c r="F26" i="13"/>
  <c r="F25" i="13"/>
  <c r="I54" i="13"/>
  <c r="B36" i="13"/>
  <c r="I36" i="13"/>
  <c r="E36" i="13"/>
  <c r="F16" i="13"/>
  <c r="F14" i="13"/>
  <c r="F15" i="13"/>
  <c r="F13" i="13"/>
  <c r="J78" i="12"/>
  <c r="L27" i="12"/>
  <c r="L35" i="13" s="1"/>
  <c r="F78" i="12"/>
  <c r="I11" i="12"/>
  <c r="E11" i="12"/>
  <c r="K11" i="12"/>
  <c r="G11" i="12"/>
  <c r="C11" i="12"/>
  <c r="B11" i="12"/>
  <c r="I78" i="12"/>
  <c r="B57" i="12"/>
  <c r="I57" i="12"/>
  <c r="E57" i="12"/>
  <c r="L41" i="12"/>
  <c r="L56" i="12" s="1"/>
  <c r="J82" i="12"/>
  <c r="F82" i="12"/>
  <c r="L11" i="12"/>
  <c r="H11" i="12"/>
  <c r="D11" i="12"/>
  <c r="K78" i="12"/>
  <c r="G78" i="12"/>
  <c r="C78" i="12"/>
  <c r="K57" i="12"/>
  <c r="G57" i="12"/>
  <c r="C57" i="12"/>
  <c r="L57" i="12"/>
  <c r="H57" i="12"/>
  <c r="D57" i="12"/>
  <c r="J10" i="12"/>
  <c r="J11" i="12" s="1"/>
  <c r="F10" i="12"/>
  <c r="F11" i="12" s="1"/>
  <c r="K82" i="12"/>
  <c r="G82" i="12"/>
  <c r="C82" i="12"/>
  <c r="I82" i="12"/>
  <c r="E82" i="12"/>
  <c r="H41" i="12"/>
  <c r="H56" i="12" s="1"/>
  <c r="H40" i="13" s="1"/>
  <c r="D41" i="12"/>
  <c r="D56" i="12" s="1"/>
  <c r="D40" i="13" s="1"/>
  <c r="K30" i="12"/>
  <c r="G30" i="12"/>
  <c r="C30" i="12"/>
  <c r="B30" i="12"/>
  <c r="I30" i="12"/>
  <c r="E30" i="12"/>
  <c r="L30" i="12"/>
  <c r="L24" i="13" s="1"/>
  <c r="D30" i="12"/>
  <c r="I32" i="12"/>
  <c r="I34" i="12" s="1"/>
  <c r="H30" i="12"/>
  <c r="E41" i="12"/>
  <c r="E56" i="12" s="1"/>
  <c r="E40" i="13" s="1"/>
  <c r="L23" i="12"/>
  <c r="H23" i="12"/>
  <c r="D23" i="12"/>
  <c r="F41" i="12"/>
  <c r="F23" i="13" s="1"/>
  <c r="J23" i="12"/>
  <c r="F23" i="12"/>
  <c r="C23" i="12"/>
  <c r="I23" i="12"/>
  <c r="E23" i="12"/>
  <c r="H62" i="12"/>
  <c r="D62" i="12"/>
  <c r="C32" i="12"/>
  <c r="C34" i="12" s="1"/>
  <c r="K23" i="12"/>
  <c r="G23" i="12"/>
  <c r="K27" i="12"/>
  <c r="J30" i="12"/>
  <c r="F30" i="12"/>
  <c r="I63" i="12"/>
  <c r="I41" i="12"/>
  <c r="G27" i="12"/>
  <c r="C27" i="12"/>
  <c r="C35" i="13" s="1"/>
  <c r="B82" i="12"/>
  <c r="D27" i="12"/>
  <c r="D35" i="13" s="1"/>
  <c r="C41" i="12"/>
  <c r="K41" i="12"/>
  <c r="E27" i="12"/>
  <c r="E35" i="13" s="1"/>
  <c r="I27" i="12"/>
  <c r="B78" i="12"/>
  <c r="B27" i="12"/>
  <c r="F27" i="12"/>
  <c r="F35" i="13" s="1"/>
  <c r="J27" i="12"/>
  <c r="J35" i="13" s="1"/>
  <c r="H27" i="12"/>
  <c r="H35" i="13" s="1"/>
  <c r="G41" i="12"/>
  <c r="B41" i="12"/>
  <c r="B56" i="12" s="1"/>
  <c r="B40" i="13" s="1"/>
  <c r="J41" i="12"/>
  <c r="J23" i="13" s="1"/>
  <c r="B13" i="11"/>
  <c r="C2" i="11"/>
  <c r="D2" i="11"/>
  <c r="E2" i="11"/>
  <c r="F2" i="11"/>
  <c r="G2" i="11"/>
  <c r="H2" i="11"/>
  <c r="I2" i="11"/>
  <c r="J2" i="11"/>
  <c r="K2" i="11"/>
  <c r="B2" i="11"/>
  <c r="B18" i="10"/>
  <c r="C3" i="10"/>
  <c r="D3" i="10"/>
  <c r="E3" i="10"/>
  <c r="F3" i="10"/>
  <c r="G3" i="10"/>
  <c r="H3" i="10"/>
  <c r="I3" i="10"/>
  <c r="J3" i="10"/>
  <c r="K3" i="10"/>
  <c r="B3" i="10"/>
  <c r="B27" i="2"/>
  <c r="C27" i="2"/>
  <c r="D27" i="2"/>
  <c r="E27" i="2"/>
  <c r="F27" i="2"/>
  <c r="G27" i="2"/>
  <c r="H27" i="2"/>
  <c r="I27" i="2"/>
  <c r="J27" i="2"/>
  <c r="K27" i="2"/>
  <c r="L27" i="2"/>
  <c r="A27" i="2"/>
  <c r="C25" i="9"/>
  <c r="C24" i="9"/>
  <c r="C23" i="9"/>
  <c r="C22" i="9"/>
  <c r="C21" i="9"/>
  <c r="C20" i="9"/>
  <c r="C19" i="9"/>
  <c r="C18" i="9"/>
  <c r="C17" i="9"/>
  <c r="C16" i="9"/>
  <c r="C42" i="7"/>
  <c r="K14" i="13" l="1"/>
  <c r="K16" i="13"/>
  <c r="K13" i="13"/>
  <c r="L45" i="13"/>
  <c r="M26" i="13"/>
  <c r="M25" i="13"/>
  <c r="E25" i="14" s="1"/>
  <c r="F25" i="14" s="1"/>
  <c r="G25" i="14" s="1"/>
  <c r="H25" i="14" s="1"/>
  <c r="L40" i="13"/>
  <c r="L61" i="13"/>
  <c r="M19" i="13"/>
  <c r="L23" i="13"/>
  <c r="E30" i="14" s="1"/>
  <c r="F30" i="14" s="1"/>
  <c r="G30" i="14" s="1"/>
  <c r="H30" i="14" s="1"/>
  <c r="I56" i="12"/>
  <c r="I40" i="13" s="1"/>
  <c r="K15" i="13"/>
  <c r="D23" i="13"/>
  <c r="I23" i="13"/>
  <c r="F29" i="13"/>
  <c r="H23" i="13"/>
  <c r="C23" i="13"/>
  <c r="J29" i="13"/>
  <c r="L62" i="12"/>
  <c r="L31" i="13" s="1"/>
  <c r="L58" i="13"/>
  <c r="E37" i="14"/>
  <c r="F37" i="14" s="1"/>
  <c r="G37" i="14" s="1"/>
  <c r="H37" i="14" s="1"/>
  <c r="F30" i="13"/>
  <c r="B23" i="13"/>
  <c r="M23" i="13" s="1"/>
  <c r="G23" i="13"/>
  <c r="J30" i="13"/>
  <c r="E23" i="13"/>
  <c r="K23" i="13"/>
  <c r="C15" i="13"/>
  <c r="I35" i="13"/>
  <c r="K35" i="13"/>
  <c r="C16" i="13"/>
  <c r="D38" i="13"/>
  <c r="C62" i="12"/>
  <c r="C31" i="13" s="1"/>
  <c r="C58" i="13"/>
  <c r="B73" i="13"/>
  <c r="B69" i="13"/>
  <c r="D31" i="13"/>
  <c r="D58" i="13"/>
  <c r="H45" i="13"/>
  <c r="H24" i="13"/>
  <c r="H61" i="13"/>
  <c r="E61" i="13"/>
  <c r="E45" i="13"/>
  <c r="E24" i="13"/>
  <c r="G61" i="13"/>
  <c r="G24" i="13"/>
  <c r="D14" i="13"/>
  <c r="G45" i="13"/>
  <c r="G62" i="12"/>
  <c r="G31" i="13" s="1"/>
  <c r="G58" i="13"/>
  <c r="H38" i="13"/>
  <c r="F62" i="12"/>
  <c r="B70" i="13"/>
  <c r="F58" i="13"/>
  <c r="H31" i="13"/>
  <c r="B71" i="13"/>
  <c r="H58" i="13"/>
  <c r="I67" i="12"/>
  <c r="I79" i="12" s="1"/>
  <c r="I37" i="13"/>
  <c r="I21" i="13"/>
  <c r="I33" i="13"/>
  <c r="I22" i="13"/>
  <c r="I20" i="13"/>
  <c r="I45" i="13"/>
  <c r="I24" i="13"/>
  <c r="D15" i="13"/>
  <c r="D16" i="13"/>
  <c r="K45" i="13"/>
  <c r="K24" i="13"/>
  <c r="C13" i="13"/>
  <c r="B35" i="13"/>
  <c r="F24" i="13"/>
  <c r="F45" i="13"/>
  <c r="K62" i="12"/>
  <c r="K58" i="13"/>
  <c r="K31" i="13"/>
  <c r="E62" i="12"/>
  <c r="E31" i="13" s="1"/>
  <c r="E58" i="13"/>
  <c r="J62" i="12"/>
  <c r="J58" i="13"/>
  <c r="B72" i="13"/>
  <c r="D45" i="13"/>
  <c r="D61" i="13"/>
  <c r="D24" i="13"/>
  <c r="B32" i="12"/>
  <c r="B45" i="13"/>
  <c r="B61" i="13"/>
  <c r="B24" i="13"/>
  <c r="M24" i="13" s="1"/>
  <c r="D13" i="13"/>
  <c r="E35" i="14"/>
  <c r="F35" i="14" s="1"/>
  <c r="G35" i="14" s="1"/>
  <c r="H35" i="14" s="1"/>
  <c r="B28" i="13"/>
  <c r="M28" i="13" s="1"/>
  <c r="M27" i="13"/>
  <c r="G35" i="13"/>
  <c r="C14" i="13"/>
  <c r="J24" i="13"/>
  <c r="J45" i="13"/>
  <c r="C67" i="12"/>
  <c r="C79" i="12" s="1"/>
  <c r="C33" i="13"/>
  <c r="C37" i="13"/>
  <c r="C22" i="13"/>
  <c r="C21" i="13"/>
  <c r="C20" i="13"/>
  <c r="I62" i="12"/>
  <c r="I31" i="13"/>
  <c r="I58" i="13"/>
  <c r="C61" i="13"/>
  <c r="C46" i="13" s="1"/>
  <c r="C63" i="13" s="1"/>
  <c r="C64" i="13" s="1"/>
  <c r="C45" i="13"/>
  <c r="C24" i="13"/>
  <c r="C59" i="13"/>
  <c r="B9" i="13"/>
  <c r="B7" i="13"/>
  <c r="B5" i="13"/>
  <c r="B8" i="13"/>
  <c r="B6" i="13"/>
  <c r="I80" i="12"/>
  <c r="I64" i="12"/>
  <c r="J56" i="12"/>
  <c r="K56" i="12"/>
  <c r="K40" i="13" s="1"/>
  <c r="J32" i="12"/>
  <c r="J80" i="12"/>
  <c r="F56" i="12"/>
  <c r="F40" i="13" s="1"/>
  <c r="L32" i="12"/>
  <c r="C80" i="12"/>
  <c r="K32" i="12"/>
  <c r="K80" i="12"/>
  <c r="F32" i="12"/>
  <c r="F80" i="12"/>
  <c r="D32" i="12"/>
  <c r="D80" i="12"/>
  <c r="G56" i="12"/>
  <c r="C56" i="12"/>
  <c r="C40" i="13" s="1"/>
  <c r="H32" i="12"/>
  <c r="H80" i="12"/>
  <c r="E32" i="12"/>
  <c r="E80" i="12"/>
  <c r="G32" i="12"/>
  <c r="G80" i="12"/>
  <c r="B80" i="12"/>
  <c r="C63" i="12"/>
  <c r="C64" i="12" s="1"/>
  <c r="L34" i="12" l="1"/>
  <c r="L54" i="13"/>
  <c r="L46" i="13" s="1"/>
  <c r="L63" i="13" s="1"/>
  <c r="M31" i="13"/>
  <c r="B81" i="13"/>
  <c r="J40" i="13"/>
  <c r="B82" i="13"/>
  <c r="G40" i="13"/>
  <c r="J61" i="13"/>
  <c r="F61" i="13"/>
  <c r="K61" i="13"/>
  <c r="I61" i="13"/>
  <c r="I46" i="13" s="1"/>
  <c r="I63" i="13" s="1"/>
  <c r="L38" i="13"/>
  <c r="L32" i="13"/>
  <c r="J13" i="13"/>
  <c r="E27" i="14" s="1"/>
  <c r="F27" i="14" s="1"/>
  <c r="G27" i="14" s="1"/>
  <c r="H27" i="14" s="1"/>
  <c r="J38" i="13"/>
  <c r="I32" i="13"/>
  <c r="J15" i="13"/>
  <c r="I38" i="13"/>
  <c r="C43" i="13"/>
  <c r="C44" i="13"/>
  <c r="B63" i="12"/>
  <c r="B64" i="12" s="1"/>
  <c r="B54" i="13"/>
  <c r="B46" i="13" s="1"/>
  <c r="B63" i="13" s="1"/>
  <c r="I43" i="13"/>
  <c r="I44" i="13"/>
  <c r="F38" i="13"/>
  <c r="C47" i="13"/>
  <c r="G63" i="12"/>
  <c r="G64" i="12" s="1"/>
  <c r="G54" i="13"/>
  <c r="H63" i="12"/>
  <c r="H64" i="12" s="1"/>
  <c r="H54" i="13"/>
  <c r="H46" i="13" s="1"/>
  <c r="H63" i="13" s="1"/>
  <c r="H64" i="13" s="1"/>
  <c r="D63" i="12"/>
  <c r="D64" i="12" s="1"/>
  <c r="D47" i="13" s="1"/>
  <c r="D54" i="13"/>
  <c r="K34" i="12"/>
  <c r="K54" i="13"/>
  <c r="K46" i="13" s="1"/>
  <c r="K63" i="13" s="1"/>
  <c r="I49" i="13"/>
  <c r="I47" i="13"/>
  <c r="I48" i="13"/>
  <c r="J16" i="13"/>
  <c r="K38" i="13"/>
  <c r="K32" i="13"/>
  <c r="F31" i="13"/>
  <c r="G38" i="13"/>
  <c r="J14" i="13"/>
  <c r="G46" i="13"/>
  <c r="G63" i="13" s="1"/>
  <c r="B34" i="12"/>
  <c r="J34" i="12"/>
  <c r="J54" i="13"/>
  <c r="J46" i="13" s="1"/>
  <c r="D46" i="13"/>
  <c r="D63" i="13" s="1"/>
  <c r="D64" i="13" s="1"/>
  <c r="J31" i="13"/>
  <c r="E34" i="14" s="1"/>
  <c r="F34" i="14" s="1"/>
  <c r="G34" i="14" s="1"/>
  <c r="H34" i="14" s="1"/>
  <c r="E32" i="13"/>
  <c r="E38" i="13"/>
  <c r="I64" i="13"/>
  <c r="C32" i="13"/>
  <c r="C38" i="13"/>
  <c r="E34" i="12"/>
  <c r="E54" i="13"/>
  <c r="E46" i="13" s="1"/>
  <c r="E63" i="13" s="1"/>
  <c r="E64" i="13" s="1"/>
  <c r="F63" i="12"/>
  <c r="F64" i="12" s="1"/>
  <c r="F54" i="13"/>
  <c r="F46" i="13" s="1"/>
  <c r="F63" i="13" s="1"/>
  <c r="F64" i="13" s="1"/>
  <c r="E63" i="12"/>
  <c r="E64" i="12" s="1"/>
  <c r="K63" i="12"/>
  <c r="K64" i="12" s="1"/>
  <c r="D34" i="12"/>
  <c r="L63" i="12"/>
  <c r="L64" i="12" s="1"/>
  <c r="L48" i="13" s="1"/>
  <c r="F34" i="12"/>
  <c r="G34" i="12"/>
  <c r="H34" i="12"/>
  <c r="J63" i="12"/>
  <c r="J64" i="12" s="1"/>
  <c r="L50" i="13" l="1"/>
  <c r="L64" i="13"/>
  <c r="G15" i="13"/>
  <c r="L67" i="12"/>
  <c r="L37" i="13"/>
  <c r="L21" i="13"/>
  <c r="L33" i="13"/>
  <c r="L22" i="13"/>
  <c r="L59" i="13"/>
  <c r="L20" i="13"/>
  <c r="E15" i="13"/>
  <c r="M32" i="13"/>
  <c r="B77" i="13"/>
  <c r="B78" i="13"/>
  <c r="B64" i="13"/>
  <c r="G13" i="13"/>
  <c r="B80" i="13"/>
  <c r="J63" i="13"/>
  <c r="J64" i="13" s="1"/>
  <c r="B79" i="13"/>
  <c r="G67" i="12"/>
  <c r="G79" i="12" s="1"/>
  <c r="G22" i="13"/>
  <c r="G20" i="13"/>
  <c r="E14" i="13"/>
  <c r="G37" i="13"/>
  <c r="G33" i="13"/>
  <c r="G21" i="13"/>
  <c r="G59" i="13"/>
  <c r="L47" i="13"/>
  <c r="K48" i="13"/>
  <c r="K49" i="13"/>
  <c r="K47" i="13"/>
  <c r="G64" i="13"/>
  <c r="G14" i="13"/>
  <c r="K64" i="13"/>
  <c r="G16" i="13"/>
  <c r="F67" i="12"/>
  <c r="F79" i="12" s="1"/>
  <c r="F20" i="13"/>
  <c r="F21" i="13"/>
  <c r="F37" i="13"/>
  <c r="F33" i="13"/>
  <c r="F22" i="13"/>
  <c r="F59" i="13"/>
  <c r="E47" i="13"/>
  <c r="E48" i="13"/>
  <c r="E67" i="12"/>
  <c r="E79" i="12" s="1"/>
  <c r="E37" i="13"/>
  <c r="E21" i="13"/>
  <c r="E20" i="13"/>
  <c r="E33" i="13"/>
  <c r="E22" i="13"/>
  <c r="E59" i="13"/>
  <c r="J67" i="12"/>
  <c r="J79" i="12" s="1"/>
  <c r="J20" i="13"/>
  <c r="J37" i="13"/>
  <c r="J22" i="13"/>
  <c r="J21" i="13"/>
  <c r="J33" i="13"/>
  <c r="J59" i="13"/>
  <c r="K67" i="12"/>
  <c r="K79" i="12" s="1"/>
  <c r="K21" i="13"/>
  <c r="K20" i="13"/>
  <c r="K37" i="13"/>
  <c r="K33" i="13"/>
  <c r="E16" i="13"/>
  <c r="K22" i="13"/>
  <c r="K59" i="13"/>
  <c r="H49" i="13"/>
  <c r="H48" i="13"/>
  <c r="H47" i="13"/>
  <c r="J49" i="13"/>
  <c r="J47" i="13"/>
  <c r="J48" i="13"/>
  <c r="B67" i="12"/>
  <c r="B79" i="12" s="1"/>
  <c r="B33" i="13"/>
  <c r="E13" i="13"/>
  <c r="E19" i="14" s="1"/>
  <c r="F19" i="14" s="1"/>
  <c r="G19" i="14" s="1"/>
  <c r="H19" i="14" s="1"/>
  <c r="B37" i="13"/>
  <c r="B21" i="13"/>
  <c r="B22" i="13"/>
  <c r="B20" i="13"/>
  <c r="B59" i="13"/>
  <c r="H67" i="12"/>
  <c r="H79" i="12" s="1"/>
  <c r="H33" i="13"/>
  <c r="H22" i="13"/>
  <c r="H21" i="13"/>
  <c r="H20" i="13"/>
  <c r="H37" i="13"/>
  <c r="H59" i="13"/>
  <c r="H32" i="13"/>
  <c r="D67" i="12"/>
  <c r="D79" i="12" s="1"/>
  <c r="D33" i="13"/>
  <c r="D22" i="13"/>
  <c r="D37" i="13"/>
  <c r="D20" i="13"/>
  <c r="D21" i="13"/>
  <c r="D59" i="13"/>
  <c r="D32" i="13"/>
  <c r="F48" i="13"/>
  <c r="F47" i="13"/>
  <c r="G32" i="13"/>
  <c r="G48" i="13"/>
  <c r="G47" i="13"/>
  <c r="L49" i="13"/>
  <c r="G49" i="13"/>
  <c r="F32" i="13"/>
  <c r="J32" i="13"/>
  <c r="E33" i="14" s="1"/>
  <c r="F33" i="14" s="1"/>
  <c r="G33" i="14" s="1"/>
  <c r="H33" i="14" s="1"/>
  <c r="B18" i="1"/>
  <c r="B15" i="1"/>
  <c r="B12" i="1"/>
  <c r="B3" i="11" s="1"/>
  <c r="B5" i="11" s="1"/>
  <c r="B11" i="1"/>
  <c r="B10" i="1"/>
  <c r="B9" i="1"/>
  <c r="B8" i="1"/>
  <c r="B7" i="1"/>
  <c r="B5" i="1"/>
  <c r="B4" i="1"/>
  <c r="K36" i="12"/>
  <c r="J36" i="12"/>
  <c r="I36" i="12"/>
  <c r="H36" i="12"/>
  <c r="G36" i="12"/>
  <c r="F36" i="12"/>
  <c r="E36" i="12"/>
  <c r="D36" i="12"/>
  <c r="C36" i="12"/>
  <c r="B36" i="12"/>
  <c r="M21" i="13" l="1"/>
  <c r="M20" i="13"/>
  <c r="L43" i="13"/>
  <c r="L44" i="13"/>
  <c r="M22" i="13"/>
  <c r="M33" i="13"/>
  <c r="M59" i="13"/>
  <c r="E42" i="14" s="1"/>
  <c r="F42" i="14" s="1"/>
  <c r="G42" i="14" s="1"/>
  <c r="H42" i="14" s="1"/>
  <c r="E32" i="14"/>
  <c r="F32" i="14" s="1"/>
  <c r="G32" i="14" s="1"/>
  <c r="H32" i="14" s="1"/>
  <c r="D43" i="13"/>
  <c r="D44" i="13"/>
  <c r="B43" i="13"/>
  <c r="B44" i="13"/>
  <c r="G44" i="13"/>
  <c r="G43" i="13"/>
  <c r="F43" i="13"/>
  <c r="F44" i="13"/>
  <c r="B6" i="1"/>
  <c r="B19" i="1" s="1"/>
  <c r="H43" i="13"/>
  <c r="H44" i="13"/>
  <c r="K44" i="13"/>
  <c r="K43" i="13"/>
  <c r="E41" i="14"/>
  <c r="F41" i="14" s="1"/>
  <c r="G41" i="14" s="1"/>
  <c r="J43" i="13"/>
  <c r="E38" i="14"/>
  <c r="F38" i="14" s="1"/>
  <c r="G38" i="14" s="1"/>
  <c r="H38" i="14" s="1"/>
  <c r="J44" i="13"/>
  <c r="E43" i="13"/>
  <c r="E44" i="13"/>
  <c r="B83" i="13"/>
  <c r="B84" i="13"/>
  <c r="B65" i="13"/>
  <c r="B75" i="12"/>
  <c r="B74" i="12"/>
  <c r="B72" i="12"/>
  <c r="B76" i="12"/>
  <c r="B81" i="12"/>
  <c r="B66" i="12"/>
  <c r="B71" i="12"/>
  <c r="F65" i="13"/>
  <c r="F66" i="12"/>
  <c r="F75" i="12"/>
  <c r="F74" i="12"/>
  <c r="F76" i="12"/>
  <c r="F81" i="12"/>
  <c r="F72" i="12"/>
  <c r="F73" i="12"/>
  <c r="F71" i="12"/>
  <c r="J81" i="12"/>
  <c r="J65" i="13"/>
  <c r="J75" i="12"/>
  <c r="J74" i="12"/>
  <c r="J66" i="12"/>
  <c r="J72" i="12"/>
  <c r="J76" i="12"/>
  <c r="J71" i="12"/>
  <c r="J73" i="12"/>
  <c r="C65" i="13"/>
  <c r="C76" i="12"/>
  <c r="C81" i="12"/>
  <c r="C66" i="12"/>
  <c r="C72" i="12"/>
  <c r="C75" i="12"/>
  <c r="C74" i="12"/>
  <c r="C73" i="12"/>
  <c r="C71" i="12"/>
  <c r="G72" i="12"/>
  <c r="G65" i="13"/>
  <c r="G66" i="13" s="1"/>
  <c r="G67" i="13" s="1"/>
  <c r="G81" i="12"/>
  <c r="G75" i="12"/>
  <c r="G76" i="12"/>
  <c r="G74" i="12"/>
  <c r="G66" i="12"/>
  <c r="G73" i="12"/>
  <c r="G71" i="12"/>
  <c r="K72" i="12"/>
  <c r="K65" i="13"/>
  <c r="K75" i="12"/>
  <c r="K74" i="12"/>
  <c r="K66" i="12"/>
  <c r="K76" i="12"/>
  <c r="K81" i="12"/>
  <c r="K73" i="12"/>
  <c r="K71" i="12"/>
  <c r="B13" i="1"/>
  <c r="D81" i="12"/>
  <c r="D65" i="13"/>
  <c r="D66" i="13" s="1"/>
  <c r="D67" i="13" s="1"/>
  <c r="D72" i="12"/>
  <c r="D76" i="12"/>
  <c r="D66" i="12"/>
  <c r="D75" i="12"/>
  <c r="D74" i="12"/>
  <c r="D73" i="12"/>
  <c r="D71" i="12"/>
  <c r="H81" i="12"/>
  <c r="H65" i="13"/>
  <c r="H66" i="13" s="1"/>
  <c r="H67" i="13" s="1"/>
  <c r="H76" i="12"/>
  <c r="H66" i="12"/>
  <c r="H75" i="12"/>
  <c r="H72" i="12"/>
  <c r="H74" i="12"/>
  <c r="H71" i="12"/>
  <c r="H73" i="12"/>
  <c r="E65" i="13"/>
  <c r="E72" i="12"/>
  <c r="E81" i="12"/>
  <c r="E76" i="12"/>
  <c r="E66" i="12"/>
  <c r="E75" i="12"/>
  <c r="E74" i="12"/>
  <c r="E73" i="12"/>
  <c r="E71" i="12"/>
  <c r="I65" i="13"/>
  <c r="I66" i="13" s="1"/>
  <c r="I67" i="13" s="1"/>
  <c r="I75" i="12"/>
  <c r="I76" i="12"/>
  <c r="I66" i="12"/>
  <c r="I81" i="12"/>
  <c r="I74" i="12"/>
  <c r="I72" i="12"/>
  <c r="I73" i="12"/>
  <c r="I71" i="12"/>
  <c r="D73" i="7"/>
  <c r="E73" i="7"/>
  <c r="F73" i="7"/>
  <c r="G73" i="7"/>
  <c r="H73" i="7"/>
  <c r="I73" i="7"/>
  <c r="J73" i="7"/>
  <c r="K73" i="7"/>
  <c r="L73" i="7"/>
  <c r="C73" i="7"/>
  <c r="D72" i="7"/>
  <c r="E72" i="7"/>
  <c r="F72" i="7"/>
  <c r="G72" i="7"/>
  <c r="H72" i="7"/>
  <c r="I72" i="7"/>
  <c r="J72" i="7"/>
  <c r="K72" i="7"/>
  <c r="L72" i="7"/>
  <c r="C72" i="7"/>
  <c r="O23" i="7"/>
  <c r="O22" i="7"/>
  <c r="O21" i="7"/>
  <c r="O20" i="7"/>
  <c r="O19" i="7"/>
  <c r="O18" i="7"/>
  <c r="O17" i="7"/>
  <c r="O16" i="7"/>
  <c r="O15" i="7"/>
  <c r="O14" i="7"/>
  <c r="O13" i="7"/>
  <c r="N13" i="7"/>
  <c r="N36" i="7"/>
  <c r="N23" i="7"/>
  <c r="N22" i="7"/>
  <c r="N21" i="7"/>
  <c r="N20" i="7"/>
  <c r="N19" i="7"/>
  <c r="N18" i="7"/>
  <c r="N17" i="7"/>
  <c r="N16" i="7"/>
  <c r="N15" i="7"/>
  <c r="N14" i="7"/>
  <c r="C66" i="13" l="1"/>
  <c r="C67" i="13" s="1"/>
  <c r="J66" i="13"/>
  <c r="J67" i="13" s="1"/>
  <c r="H41" i="14"/>
  <c r="I40" i="14"/>
  <c r="C5" i="14" s="1"/>
  <c r="D5" i="14" s="1"/>
  <c r="E31" i="14"/>
  <c r="F31" i="14" s="1"/>
  <c r="G31" i="14" s="1"/>
  <c r="H31" i="14" s="1"/>
  <c r="B14" i="1"/>
  <c r="B69" i="12"/>
  <c r="B4" i="10"/>
  <c r="B4" i="11"/>
  <c r="K66" i="13"/>
  <c r="K67" i="13" s="1"/>
  <c r="E66" i="13"/>
  <c r="E67" i="13" s="1"/>
  <c r="F66" i="13"/>
  <c r="F67" i="13" s="1"/>
  <c r="D74" i="7"/>
  <c r="E74" i="7"/>
  <c r="F74" i="7"/>
  <c r="G74" i="7"/>
  <c r="H74" i="7"/>
  <c r="I74" i="7"/>
  <c r="J74" i="7"/>
  <c r="K74" i="7"/>
  <c r="L74" i="7"/>
  <c r="C74" i="7"/>
  <c r="D71" i="7"/>
  <c r="E71" i="7"/>
  <c r="F71" i="7"/>
  <c r="G71" i="7"/>
  <c r="H71" i="7"/>
  <c r="I71" i="7"/>
  <c r="J71" i="7"/>
  <c r="K71" i="7"/>
  <c r="L71" i="7"/>
  <c r="C71" i="7"/>
  <c r="D70" i="7"/>
  <c r="E70" i="7"/>
  <c r="F70" i="7"/>
  <c r="G70" i="7"/>
  <c r="H70" i="7"/>
  <c r="I70" i="7"/>
  <c r="J70" i="7"/>
  <c r="K70" i="7"/>
  <c r="L70" i="7"/>
  <c r="C70" i="7"/>
  <c r="C101" i="7"/>
  <c r="D100" i="7"/>
  <c r="E100" i="7"/>
  <c r="F100" i="7"/>
  <c r="G100" i="7"/>
  <c r="H100" i="7"/>
  <c r="I100" i="7"/>
  <c r="J100" i="7"/>
  <c r="K100" i="7"/>
  <c r="L100" i="7"/>
  <c r="C100" i="7"/>
  <c r="D99" i="7"/>
  <c r="E99" i="7"/>
  <c r="F99" i="7"/>
  <c r="G99" i="7"/>
  <c r="H99" i="7"/>
  <c r="I99" i="7"/>
  <c r="J99" i="7"/>
  <c r="K99" i="7"/>
  <c r="L99" i="7"/>
  <c r="C99" i="7"/>
  <c r="D98" i="7"/>
  <c r="E98" i="7"/>
  <c r="F98" i="7"/>
  <c r="G98" i="7"/>
  <c r="H98" i="7"/>
  <c r="I98" i="7"/>
  <c r="J98" i="7"/>
  <c r="K98" i="7"/>
  <c r="L98" i="7"/>
  <c r="C98" i="7"/>
  <c r="D103" i="7"/>
  <c r="E103" i="7"/>
  <c r="F103" i="7"/>
  <c r="G103" i="7"/>
  <c r="H103" i="7"/>
  <c r="I103" i="7"/>
  <c r="J103" i="7"/>
  <c r="K103" i="7"/>
  <c r="L103" i="7"/>
  <c r="C103" i="7"/>
  <c r="D102" i="7"/>
  <c r="E102" i="7"/>
  <c r="F102" i="7"/>
  <c r="G102" i="7"/>
  <c r="H102" i="7"/>
  <c r="I102" i="7"/>
  <c r="J102" i="7"/>
  <c r="K102" i="7"/>
  <c r="L102" i="7"/>
  <c r="C102" i="7"/>
  <c r="D96" i="7"/>
  <c r="E96" i="7"/>
  <c r="F96" i="7"/>
  <c r="G96" i="7"/>
  <c r="H96" i="7"/>
  <c r="I96" i="7"/>
  <c r="J96" i="7"/>
  <c r="K96" i="7"/>
  <c r="L96" i="7"/>
  <c r="C96" i="7"/>
  <c r="D94" i="7"/>
  <c r="E94" i="7"/>
  <c r="F94" i="7"/>
  <c r="G94" i="7"/>
  <c r="H94" i="7"/>
  <c r="I94" i="7"/>
  <c r="J94" i="7"/>
  <c r="K94" i="7"/>
  <c r="L94" i="7"/>
  <c r="C94" i="7"/>
  <c r="D15" i="7"/>
  <c r="E15" i="7"/>
  <c r="F15" i="7"/>
  <c r="G15" i="7"/>
  <c r="H15" i="7"/>
  <c r="I15" i="7"/>
  <c r="J15" i="7"/>
  <c r="K15" i="7"/>
  <c r="L15" i="7"/>
  <c r="D16" i="7"/>
  <c r="E16" i="7"/>
  <c r="F16" i="7"/>
  <c r="G16" i="7"/>
  <c r="H16" i="7"/>
  <c r="I16" i="7"/>
  <c r="J16" i="7"/>
  <c r="K16" i="7"/>
  <c r="L16" i="7"/>
  <c r="D17" i="7"/>
  <c r="E17" i="7"/>
  <c r="F17" i="7"/>
  <c r="G17" i="7"/>
  <c r="H17" i="7"/>
  <c r="I17" i="7"/>
  <c r="J17" i="7"/>
  <c r="K17" i="7"/>
  <c r="L17" i="7"/>
  <c r="D18" i="7"/>
  <c r="E18" i="7"/>
  <c r="F18" i="7"/>
  <c r="G18" i="7"/>
  <c r="H18" i="7"/>
  <c r="I18" i="7"/>
  <c r="J18" i="7"/>
  <c r="K18" i="7"/>
  <c r="L18" i="7"/>
  <c r="D19" i="7"/>
  <c r="E19" i="7"/>
  <c r="F19" i="7"/>
  <c r="G19" i="7"/>
  <c r="H19" i="7"/>
  <c r="I19" i="7"/>
  <c r="J19" i="7"/>
  <c r="K19" i="7"/>
  <c r="L19" i="7"/>
  <c r="D20" i="7"/>
  <c r="E20" i="7"/>
  <c r="F20" i="7"/>
  <c r="G20" i="7"/>
  <c r="H20" i="7"/>
  <c r="I20" i="7"/>
  <c r="J20" i="7"/>
  <c r="K20" i="7"/>
  <c r="L20" i="7"/>
  <c r="D21" i="7"/>
  <c r="E21" i="7"/>
  <c r="F21" i="7"/>
  <c r="G21" i="7"/>
  <c r="H21" i="7"/>
  <c r="I21" i="7"/>
  <c r="J21" i="7"/>
  <c r="K21" i="7"/>
  <c r="L21" i="7"/>
  <c r="D22" i="7"/>
  <c r="E22" i="7"/>
  <c r="F22" i="7"/>
  <c r="G22" i="7"/>
  <c r="H22" i="7"/>
  <c r="I22" i="7"/>
  <c r="J22" i="7"/>
  <c r="K22" i="7"/>
  <c r="L22" i="7"/>
  <c r="D23" i="7"/>
  <c r="E23" i="7"/>
  <c r="F23" i="7"/>
  <c r="G23" i="7"/>
  <c r="H23" i="7"/>
  <c r="I23" i="7"/>
  <c r="J23" i="7"/>
  <c r="K23" i="7"/>
  <c r="L23" i="7"/>
  <c r="C23" i="7"/>
  <c r="C22" i="7"/>
  <c r="C17" i="7"/>
  <c r="C21" i="7"/>
  <c r="C20" i="7"/>
  <c r="C19" i="7"/>
  <c r="C18" i="7"/>
  <c r="C16" i="7"/>
  <c r="C15" i="7"/>
  <c r="C87" i="7"/>
  <c r="C67" i="7"/>
  <c r="D50" i="7"/>
  <c r="E50" i="7"/>
  <c r="F50" i="7"/>
  <c r="G50" i="7"/>
  <c r="H50" i="7"/>
  <c r="I50" i="7"/>
  <c r="J50" i="7"/>
  <c r="K50" i="7"/>
  <c r="L50" i="7"/>
  <c r="C50" i="7"/>
  <c r="D49" i="7"/>
  <c r="E49" i="7"/>
  <c r="F49" i="7"/>
  <c r="G49" i="7"/>
  <c r="H49" i="7"/>
  <c r="I49" i="7"/>
  <c r="J49" i="7"/>
  <c r="K49" i="7"/>
  <c r="L49" i="7"/>
  <c r="C49" i="7"/>
  <c r="D45" i="7"/>
  <c r="D46" i="7" s="1"/>
  <c r="E45" i="7"/>
  <c r="E46" i="7" s="1"/>
  <c r="F45" i="7"/>
  <c r="F46" i="7" s="1"/>
  <c r="G45" i="7"/>
  <c r="G46" i="7" s="1"/>
  <c r="H45" i="7"/>
  <c r="H46" i="7" s="1"/>
  <c r="I45" i="7"/>
  <c r="I46" i="7" s="1"/>
  <c r="J45" i="7"/>
  <c r="J46" i="7" s="1"/>
  <c r="K45" i="7"/>
  <c r="K46" i="7" s="1"/>
  <c r="L45" i="7"/>
  <c r="C45" i="7"/>
  <c r="C46" i="7" s="1"/>
  <c r="D39" i="7"/>
  <c r="E39" i="7"/>
  <c r="F39" i="7"/>
  <c r="G39" i="7"/>
  <c r="H39" i="7"/>
  <c r="I39" i="7"/>
  <c r="J39" i="7"/>
  <c r="K39" i="7"/>
  <c r="L39" i="7"/>
  <c r="C39" i="7"/>
  <c r="C38" i="7"/>
  <c r="J38" i="7"/>
  <c r="K38" i="7"/>
  <c r="L38" i="7"/>
  <c r="D37" i="7"/>
  <c r="D113" i="7" s="1"/>
  <c r="D114" i="7" s="1"/>
  <c r="E37" i="7"/>
  <c r="E113" i="7" s="1"/>
  <c r="E114" i="7" s="1"/>
  <c r="F37" i="7"/>
  <c r="F113" i="7" s="1"/>
  <c r="F114" i="7" s="1"/>
  <c r="G37" i="7"/>
  <c r="G113" i="7" s="1"/>
  <c r="G114" i="7" s="1"/>
  <c r="H37" i="7"/>
  <c r="H113" i="7" s="1"/>
  <c r="H114" i="7" s="1"/>
  <c r="I37" i="7"/>
  <c r="I113" i="7" s="1"/>
  <c r="I114" i="7" s="1"/>
  <c r="J37" i="7"/>
  <c r="J113" i="7" s="1"/>
  <c r="J114" i="7" s="1"/>
  <c r="K37" i="7"/>
  <c r="L37" i="7"/>
  <c r="C37" i="7"/>
  <c r="C113" i="7" s="1"/>
  <c r="C114" i="7" s="1"/>
  <c r="L41" i="7"/>
  <c r="D41" i="7"/>
  <c r="D42" i="7" s="1"/>
  <c r="E41" i="7"/>
  <c r="F41" i="7"/>
  <c r="G41" i="7"/>
  <c r="H41" i="7"/>
  <c r="I41" i="7"/>
  <c r="J41" i="7"/>
  <c r="K41" i="7"/>
  <c r="K101" i="7" l="1"/>
  <c r="K42" i="7"/>
  <c r="G101" i="7"/>
  <c r="G42" i="7"/>
  <c r="I101" i="7"/>
  <c r="I42" i="7"/>
  <c r="E101" i="7"/>
  <c r="E42" i="7"/>
  <c r="N99" i="7"/>
  <c r="L101" i="7"/>
  <c r="L42" i="7"/>
  <c r="J101" i="7"/>
  <c r="J42" i="7"/>
  <c r="F101" i="7"/>
  <c r="F42" i="7"/>
  <c r="H101" i="7"/>
  <c r="H42" i="7"/>
  <c r="K113" i="7"/>
  <c r="K114" i="7" s="1"/>
  <c r="B12" i="9"/>
  <c r="B32" i="9" s="1"/>
  <c r="N96" i="7"/>
  <c r="N103" i="7"/>
  <c r="N39" i="7"/>
  <c r="N94" i="7"/>
  <c r="E23" i="14" s="1"/>
  <c r="F23" i="14" s="1"/>
  <c r="G23" i="14" s="1"/>
  <c r="H23" i="14" s="1"/>
  <c r="N98" i="7"/>
  <c r="N74" i="7"/>
  <c r="N102" i="7"/>
  <c r="N100" i="7"/>
  <c r="N70" i="7"/>
  <c r="L113" i="7"/>
  <c r="L114" i="7" s="1"/>
  <c r="N37" i="7"/>
  <c r="N49" i="7"/>
  <c r="N71" i="7"/>
  <c r="D101" i="7"/>
  <c r="N41" i="7"/>
  <c r="L112" i="7"/>
  <c r="L46" i="7"/>
  <c r="N46" i="7" s="1"/>
  <c r="N45" i="7"/>
  <c r="N50" i="7"/>
  <c r="K83" i="7"/>
  <c r="G83" i="7"/>
  <c r="J83" i="7"/>
  <c r="F83" i="7"/>
  <c r="I83" i="7"/>
  <c r="E83" i="7"/>
  <c r="L83" i="7"/>
  <c r="H83" i="7"/>
  <c r="D83" i="7"/>
  <c r="L66" i="7"/>
  <c r="H66" i="7"/>
  <c r="D66" i="7"/>
  <c r="J59" i="7"/>
  <c r="F59" i="7"/>
  <c r="K66" i="7"/>
  <c r="G66" i="7"/>
  <c r="C59" i="7"/>
  <c r="I59" i="7"/>
  <c r="E59" i="7"/>
  <c r="J66" i="7"/>
  <c r="F66" i="7"/>
  <c r="L59" i="7"/>
  <c r="H59" i="7"/>
  <c r="D59" i="7"/>
  <c r="C66" i="7"/>
  <c r="I66" i="7"/>
  <c r="E66" i="7"/>
  <c r="K59" i="7"/>
  <c r="G59" i="7"/>
  <c r="J54" i="7"/>
  <c r="F54" i="7"/>
  <c r="L53" i="7"/>
  <c r="H53" i="7"/>
  <c r="D53" i="7"/>
  <c r="C54" i="7"/>
  <c r="K54" i="7"/>
  <c r="G54" i="7"/>
  <c r="K53" i="7"/>
  <c r="G53" i="7"/>
  <c r="C53" i="7"/>
  <c r="I54" i="7"/>
  <c r="E54" i="7"/>
  <c r="J53" i="7"/>
  <c r="F53" i="7"/>
  <c r="H54" i="7"/>
  <c r="D54" i="7"/>
  <c r="I53" i="7"/>
  <c r="E53" i="7"/>
  <c r="B5" i="9" l="1"/>
  <c r="B16" i="9" s="1"/>
  <c r="D16" i="9" s="1"/>
  <c r="N101" i="7"/>
  <c r="N59" i="7"/>
  <c r="L54" i="7"/>
  <c r="N54" i="7" s="1"/>
  <c r="N53" i="7"/>
  <c r="C14" i="7"/>
  <c r="C13" i="7"/>
  <c r="L87" i="7"/>
  <c r="L88" i="7"/>
  <c r="L85" i="7"/>
  <c r="L84" i="7"/>
  <c r="L67" i="7"/>
  <c r="L64" i="7"/>
  <c r="L63" i="7"/>
  <c r="L61" i="7"/>
  <c r="L57" i="7"/>
  <c r="L13" i="7"/>
  <c r="L14" i="7"/>
  <c r="L3" i="4"/>
  <c r="L4" i="4"/>
  <c r="L40" i="7" s="1"/>
  <c r="L5" i="4"/>
  <c r="L6" i="4"/>
  <c r="L7" i="4"/>
  <c r="L3" i="2"/>
  <c r="L4" i="2"/>
  <c r="L5" i="2"/>
  <c r="L6" i="2"/>
  <c r="L7" i="2"/>
  <c r="L8" i="2"/>
  <c r="L10" i="2"/>
  <c r="L11" i="2"/>
  <c r="L12" i="2"/>
  <c r="L13" i="2"/>
  <c r="L14" i="2"/>
  <c r="L17" i="2"/>
  <c r="L18" i="2"/>
  <c r="L3" i="1"/>
  <c r="L75" i="7" l="1"/>
  <c r="L97" i="7" s="1"/>
  <c r="B17" i="9"/>
  <c r="L16" i="2"/>
  <c r="L43" i="7" s="1"/>
  <c r="L44" i="7" s="1"/>
  <c r="L48" i="7" s="1"/>
  <c r="L56" i="7" s="1"/>
  <c r="L28" i="2"/>
  <c r="L30" i="2" s="1"/>
  <c r="L31" i="2" s="1"/>
  <c r="D17" i="9"/>
  <c r="B18" i="9"/>
  <c r="L47" i="7" l="1"/>
  <c r="L55" i="7" s="1"/>
  <c r="D18" i="9"/>
  <c r="B19" i="9"/>
  <c r="L36" i="12" l="1"/>
  <c r="L65" i="13" s="1"/>
  <c r="B20" i="9"/>
  <c r="D19" i="9"/>
  <c r="D38" i="7"/>
  <c r="D112" i="7" s="1"/>
  <c r="E38" i="7"/>
  <c r="E112" i="7" s="1"/>
  <c r="F38" i="7"/>
  <c r="F112" i="7" s="1"/>
  <c r="G38" i="7"/>
  <c r="G112" i="7" s="1"/>
  <c r="H38" i="7"/>
  <c r="H112" i="7" s="1"/>
  <c r="I38" i="7"/>
  <c r="J112" i="7"/>
  <c r="K112" i="7"/>
  <c r="C112" i="7"/>
  <c r="C108" i="7"/>
  <c r="D87" i="7"/>
  <c r="E87" i="7"/>
  <c r="F87" i="7"/>
  <c r="G87" i="7"/>
  <c r="H87" i="7"/>
  <c r="I87" i="7"/>
  <c r="J87" i="7"/>
  <c r="K87" i="7"/>
  <c r="D88" i="7"/>
  <c r="E88" i="7"/>
  <c r="F88" i="7"/>
  <c r="G88" i="7"/>
  <c r="H88" i="7"/>
  <c r="I88" i="7"/>
  <c r="J88" i="7"/>
  <c r="K88" i="7"/>
  <c r="E13" i="7"/>
  <c r="F13" i="7"/>
  <c r="G13" i="7"/>
  <c r="H13" i="7"/>
  <c r="I13" i="7"/>
  <c r="J13" i="7"/>
  <c r="K13" i="7"/>
  <c r="D13" i="7"/>
  <c r="E14" i="7"/>
  <c r="F14" i="7"/>
  <c r="G14" i="7"/>
  <c r="H14" i="7"/>
  <c r="I14" i="7"/>
  <c r="J14" i="7"/>
  <c r="K14" i="7"/>
  <c r="D14" i="7"/>
  <c r="D85" i="7"/>
  <c r="E85" i="7"/>
  <c r="F85" i="7"/>
  <c r="G85" i="7"/>
  <c r="H85" i="7"/>
  <c r="I85" i="7"/>
  <c r="J85" i="7"/>
  <c r="K85" i="7"/>
  <c r="C85" i="7"/>
  <c r="D84" i="7"/>
  <c r="E84" i="7"/>
  <c r="F84" i="7"/>
  <c r="G84" i="7"/>
  <c r="H84" i="7"/>
  <c r="I84" i="7"/>
  <c r="J84" i="7"/>
  <c r="K84" i="7"/>
  <c r="C84" i="7"/>
  <c r="D67" i="7"/>
  <c r="E67" i="7"/>
  <c r="F67" i="7"/>
  <c r="G67" i="7"/>
  <c r="H67" i="7"/>
  <c r="I67" i="7"/>
  <c r="J67" i="7"/>
  <c r="K67" i="7"/>
  <c r="D64" i="7"/>
  <c r="E64" i="7"/>
  <c r="F64" i="7"/>
  <c r="G64" i="7"/>
  <c r="H64" i="7"/>
  <c r="I64" i="7"/>
  <c r="J64" i="7"/>
  <c r="K64" i="7"/>
  <c r="C64" i="7"/>
  <c r="N64" i="7" s="1"/>
  <c r="D63" i="7"/>
  <c r="E63" i="7"/>
  <c r="F63" i="7"/>
  <c r="G63" i="7"/>
  <c r="H63" i="7"/>
  <c r="I63" i="7"/>
  <c r="J63" i="7"/>
  <c r="K63" i="7"/>
  <c r="C63" i="7"/>
  <c r="N63" i="7" s="1"/>
  <c r="D61" i="7"/>
  <c r="D6" i="11" s="1"/>
  <c r="E61" i="7"/>
  <c r="E6" i="11" s="1"/>
  <c r="F61" i="7"/>
  <c r="F6" i="11" s="1"/>
  <c r="G61" i="7"/>
  <c r="G6" i="11" s="1"/>
  <c r="H61" i="7"/>
  <c r="H6" i="11" s="1"/>
  <c r="I61" i="7"/>
  <c r="I6" i="11" s="1"/>
  <c r="J61" i="7"/>
  <c r="J6" i="11" s="1"/>
  <c r="K61" i="7"/>
  <c r="K6" i="11" s="1"/>
  <c r="C61" i="7"/>
  <c r="D57" i="7"/>
  <c r="E57" i="7"/>
  <c r="F57" i="7"/>
  <c r="G57" i="7"/>
  <c r="H57" i="7"/>
  <c r="I57" i="7"/>
  <c r="J57" i="7"/>
  <c r="K57" i="7"/>
  <c r="C57" i="7"/>
  <c r="N57" i="7" s="1"/>
  <c r="E24" i="14" s="1"/>
  <c r="F24" i="14" s="1"/>
  <c r="G24" i="14" s="1"/>
  <c r="H24" i="14" s="1"/>
  <c r="L72" i="12" l="1"/>
  <c r="L75" i="12"/>
  <c r="I6" i="13" s="1"/>
  <c r="C5" i="13"/>
  <c r="D5" i="13" s="1"/>
  <c r="L76" i="12"/>
  <c r="E36" i="14" s="1"/>
  <c r="F36" i="14" s="1"/>
  <c r="G36" i="14" s="1"/>
  <c r="I29" i="14" s="1"/>
  <c r="C4" i="14" s="1"/>
  <c r="D4" i="14" s="1"/>
  <c r="L81" i="12"/>
  <c r="L83" i="12" s="1"/>
  <c r="L53" i="13" s="1"/>
  <c r="C6" i="13"/>
  <c r="D6" i="13" s="1"/>
  <c r="L66" i="12"/>
  <c r="L16" i="13" s="1"/>
  <c r="L71" i="12"/>
  <c r="H6" i="13" s="1"/>
  <c r="C8" i="13"/>
  <c r="D8" i="13" s="1"/>
  <c r="L73" i="12"/>
  <c r="L74" i="12"/>
  <c r="J7" i="13" s="1"/>
  <c r="C9" i="13"/>
  <c r="D9" i="13" s="1"/>
  <c r="C7" i="13"/>
  <c r="D7" i="13" s="1"/>
  <c r="N61" i="7"/>
  <c r="E21" i="14" s="1"/>
  <c r="F21" i="14" s="1"/>
  <c r="G21" i="14" s="1"/>
  <c r="H21" i="14" s="1"/>
  <c r="C6" i="11"/>
  <c r="I7" i="13"/>
  <c r="H15" i="13"/>
  <c r="H14" i="13"/>
  <c r="L66" i="13"/>
  <c r="L67" i="13" s="1"/>
  <c r="H16" i="13"/>
  <c r="H13" i="13"/>
  <c r="D83" i="12"/>
  <c r="D53" i="13" s="1"/>
  <c r="G83" i="12"/>
  <c r="G53" i="13" s="1"/>
  <c r="F83" i="12"/>
  <c r="F53" i="13" s="1"/>
  <c r="B21" i="9"/>
  <c r="D20" i="9"/>
  <c r="I112" i="7"/>
  <c r="N38" i="7"/>
  <c r="L1" i="7"/>
  <c r="C6" i="3"/>
  <c r="D6" i="3"/>
  <c r="E6" i="3"/>
  <c r="F6" i="3"/>
  <c r="G6" i="3"/>
  <c r="H6" i="3"/>
  <c r="I6" i="3"/>
  <c r="J6" i="3"/>
  <c r="K6" i="3"/>
  <c r="B6" i="3"/>
  <c r="C5" i="1"/>
  <c r="D5" i="1"/>
  <c r="E5" i="1"/>
  <c r="F5" i="1"/>
  <c r="G5" i="1"/>
  <c r="H5" i="1"/>
  <c r="I5" i="1"/>
  <c r="J5" i="1"/>
  <c r="K5" i="1"/>
  <c r="K6" i="13" l="1"/>
  <c r="H7" i="13"/>
  <c r="K7" i="13"/>
  <c r="I83" i="12"/>
  <c r="I53" i="13" s="1"/>
  <c r="H83" i="12"/>
  <c r="H53" i="13" s="1"/>
  <c r="C83" i="12"/>
  <c r="C53" i="13" s="1"/>
  <c r="H36" i="14"/>
  <c r="E83" i="12"/>
  <c r="E53" i="13" s="1"/>
  <c r="K83" i="12"/>
  <c r="K53" i="13" s="1"/>
  <c r="L14" i="13"/>
  <c r="J83" i="12"/>
  <c r="J53" i="13" s="1"/>
  <c r="B83" i="12"/>
  <c r="B53" i="13" s="1"/>
  <c r="L15" i="13"/>
  <c r="L13" i="13"/>
  <c r="J6" i="13"/>
  <c r="D21" i="9"/>
  <c r="B22" i="9"/>
  <c r="D4" i="7"/>
  <c r="G26" i="7"/>
  <c r="G27" i="7" s="1"/>
  <c r="G4" i="7"/>
  <c r="J4" i="7"/>
  <c r="F4" i="7"/>
  <c r="H4" i="7"/>
  <c r="K26" i="7"/>
  <c r="K27" i="7" s="1"/>
  <c r="K4" i="7"/>
  <c r="C26" i="7"/>
  <c r="C4" i="7"/>
  <c r="I4" i="7"/>
  <c r="E4" i="7"/>
  <c r="L32" i="7"/>
  <c r="L52" i="7" s="1"/>
  <c r="L69" i="7" s="1"/>
  <c r="L93" i="7" s="1"/>
  <c r="L25" i="7"/>
  <c r="C17" i="2"/>
  <c r="D17" i="2"/>
  <c r="E17" i="2"/>
  <c r="F17" i="2"/>
  <c r="G17" i="2"/>
  <c r="H17" i="2"/>
  <c r="I17" i="2"/>
  <c r="J17" i="2"/>
  <c r="K17" i="2"/>
  <c r="C18" i="2"/>
  <c r="D18" i="2"/>
  <c r="E18" i="2"/>
  <c r="F18" i="2"/>
  <c r="G18" i="2"/>
  <c r="H18" i="2"/>
  <c r="I18" i="2"/>
  <c r="J18" i="2"/>
  <c r="K18" i="2"/>
  <c r="B17" i="2"/>
  <c r="B20" i="2" s="1"/>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E28" i="2" s="1"/>
  <c r="F10" i="2"/>
  <c r="G10" i="2"/>
  <c r="H10" i="2"/>
  <c r="I10" i="2"/>
  <c r="I28" i="2" s="1"/>
  <c r="J10" i="2"/>
  <c r="K10" i="2"/>
  <c r="C11" i="2"/>
  <c r="D11" i="2"/>
  <c r="E11" i="2"/>
  <c r="F11" i="2"/>
  <c r="G11" i="2"/>
  <c r="H11" i="2"/>
  <c r="I11" i="2"/>
  <c r="J11" i="2"/>
  <c r="K11" i="2"/>
  <c r="C12" i="2"/>
  <c r="D12" i="2"/>
  <c r="E12" i="2"/>
  <c r="F12" i="2"/>
  <c r="G12" i="2"/>
  <c r="H12" i="2"/>
  <c r="I12" i="2"/>
  <c r="J12" i="2"/>
  <c r="K12" i="2"/>
  <c r="C13" i="2"/>
  <c r="C75" i="7" s="1"/>
  <c r="C97" i="7" s="1"/>
  <c r="N97" i="7" s="1"/>
  <c r="D13" i="2"/>
  <c r="E13" i="2"/>
  <c r="E75" i="7" s="1"/>
  <c r="E97" i="7" s="1"/>
  <c r="F13" i="2"/>
  <c r="F75" i="7" s="1"/>
  <c r="F97" i="7" s="1"/>
  <c r="G13" i="2"/>
  <c r="G75" i="7" s="1"/>
  <c r="G97" i="7" s="1"/>
  <c r="H13" i="2"/>
  <c r="I13" i="2"/>
  <c r="I75" i="7" s="1"/>
  <c r="I97" i="7" s="1"/>
  <c r="J13" i="2"/>
  <c r="J75" i="7" s="1"/>
  <c r="J97" i="7" s="1"/>
  <c r="K13" i="2"/>
  <c r="C14" i="2"/>
  <c r="D14" i="2"/>
  <c r="E14" i="2"/>
  <c r="E30" i="2" s="1"/>
  <c r="E31" i="2" s="1"/>
  <c r="F14" i="2"/>
  <c r="G14" i="2"/>
  <c r="H14" i="2"/>
  <c r="I14" i="2"/>
  <c r="I30" i="2" s="1"/>
  <c r="I31" i="2" s="1"/>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C4" i="1"/>
  <c r="D4" i="1"/>
  <c r="E4" i="1"/>
  <c r="E26" i="7" s="1"/>
  <c r="E27" i="7" s="1"/>
  <c r="F4" i="1"/>
  <c r="F26" i="7" s="1"/>
  <c r="F27" i="7" s="1"/>
  <c r="G4" i="1"/>
  <c r="H4" i="1"/>
  <c r="I4" i="1"/>
  <c r="I26" i="7" s="1"/>
  <c r="I27" i="7" s="1"/>
  <c r="J4" i="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F10" i="1"/>
  <c r="G10" i="1"/>
  <c r="H10" i="1"/>
  <c r="I10" i="1"/>
  <c r="J10" i="1"/>
  <c r="K10" i="1"/>
  <c r="C11" i="1"/>
  <c r="D11" i="1"/>
  <c r="E11" i="1"/>
  <c r="F11" i="1"/>
  <c r="G11" i="1"/>
  <c r="H11" i="1"/>
  <c r="I11" i="1"/>
  <c r="J11" i="1"/>
  <c r="K11" i="1"/>
  <c r="C12" i="1"/>
  <c r="C3" i="11" s="1"/>
  <c r="C5" i="11" s="1"/>
  <c r="D12" i="1"/>
  <c r="D3" i="11" s="1"/>
  <c r="D5" i="11" s="1"/>
  <c r="E12" i="1"/>
  <c r="E3" i="11" s="1"/>
  <c r="F12" i="1"/>
  <c r="F3" i="11" s="1"/>
  <c r="G12" i="1"/>
  <c r="H12" i="1"/>
  <c r="H3" i="11" s="1"/>
  <c r="H5" i="11" s="1"/>
  <c r="I12" i="1"/>
  <c r="J12" i="1"/>
  <c r="J3" i="11" s="1"/>
  <c r="K12" i="1"/>
  <c r="K3" i="11" s="1"/>
  <c r="C15" i="1"/>
  <c r="D15" i="1"/>
  <c r="E15" i="1"/>
  <c r="F15" i="1"/>
  <c r="G15" i="1"/>
  <c r="H15" i="1"/>
  <c r="I15" i="1"/>
  <c r="J15" i="1"/>
  <c r="K15" i="1"/>
  <c r="A1" i="1"/>
  <c r="E1" i="6"/>
  <c r="K75" i="7" l="1"/>
  <c r="K97" i="7" s="1"/>
  <c r="K29" i="2"/>
  <c r="J28" i="2"/>
  <c r="J30" i="2" s="1"/>
  <c r="J31" i="2" s="1"/>
  <c r="F28" i="2"/>
  <c r="F30" i="2" s="1"/>
  <c r="F31" i="2" s="1"/>
  <c r="H30" i="2"/>
  <c r="H31" i="2" s="1"/>
  <c r="H28" i="2"/>
  <c r="D28" i="2"/>
  <c r="D30" i="2" s="1"/>
  <c r="D31" i="2" s="1"/>
  <c r="C30" i="2"/>
  <c r="C31" i="2" s="1"/>
  <c r="K28" i="2"/>
  <c r="K30" i="2" s="1"/>
  <c r="K31" i="2" s="1"/>
  <c r="B13" i="9" s="1"/>
  <c r="G28" i="2"/>
  <c r="G30" i="2" s="1"/>
  <c r="G31" i="2" s="1"/>
  <c r="C28" i="2"/>
  <c r="K5" i="11"/>
  <c r="L3" i="11"/>
  <c r="M3" i="11"/>
  <c r="G3" i="11"/>
  <c r="G5" i="11" s="1"/>
  <c r="J5" i="11"/>
  <c r="F5" i="11"/>
  <c r="I3" i="11"/>
  <c r="I5" i="11" s="1"/>
  <c r="E5" i="11"/>
  <c r="B23" i="9"/>
  <c r="D22" i="9"/>
  <c r="J10" i="7"/>
  <c r="J40" i="7"/>
  <c r="F10" i="7"/>
  <c r="F40" i="7"/>
  <c r="I40" i="7"/>
  <c r="I10" i="7"/>
  <c r="E40" i="7"/>
  <c r="E10" i="7"/>
  <c r="H10" i="7"/>
  <c r="H40" i="7"/>
  <c r="D10" i="7"/>
  <c r="D40" i="7"/>
  <c r="K10" i="7"/>
  <c r="K40" i="7"/>
  <c r="L10" i="7"/>
  <c r="G10" i="7"/>
  <c r="G40" i="7"/>
  <c r="C40" i="7"/>
  <c r="N40" i="7" s="1"/>
  <c r="H75" i="7"/>
  <c r="H97" i="7" s="1"/>
  <c r="D75" i="7"/>
  <c r="D97" i="7" s="1"/>
  <c r="J30" i="7"/>
  <c r="J79" i="7"/>
  <c r="J7" i="7"/>
  <c r="H29" i="7"/>
  <c r="H6" i="7"/>
  <c r="I28" i="7"/>
  <c r="I95" i="7"/>
  <c r="H77" i="7"/>
  <c r="H3" i="7"/>
  <c r="I13" i="1"/>
  <c r="I30" i="7"/>
  <c r="I62" i="7" s="1"/>
  <c r="I65" i="7" s="1"/>
  <c r="I79" i="7"/>
  <c r="I7" i="7"/>
  <c r="G29" i="7"/>
  <c r="G6" i="7"/>
  <c r="C29" i="7"/>
  <c r="C6" i="7"/>
  <c r="D28" i="7"/>
  <c r="D95" i="7"/>
  <c r="K77" i="7"/>
  <c r="K3" i="7"/>
  <c r="C77" i="7"/>
  <c r="C3" i="7"/>
  <c r="H13" i="1"/>
  <c r="H30" i="7"/>
  <c r="H79" i="7"/>
  <c r="H7" i="7"/>
  <c r="D13" i="1"/>
  <c r="D30" i="7"/>
  <c r="D62" i="7" s="1"/>
  <c r="D65" i="7" s="1"/>
  <c r="D79" i="7"/>
  <c r="D7" i="7"/>
  <c r="J29" i="7"/>
  <c r="J6" i="7"/>
  <c r="F29" i="7"/>
  <c r="F6" i="7"/>
  <c r="K28" i="7"/>
  <c r="K95" i="7"/>
  <c r="G28" i="7"/>
  <c r="G95" i="7"/>
  <c r="C28" i="7"/>
  <c r="C95" i="7"/>
  <c r="J77" i="7"/>
  <c r="J3" i="7"/>
  <c r="F77" i="7"/>
  <c r="F3" i="7"/>
  <c r="H26" i="7"/>
  <c r="H27" i="7" s="1"/>
  <c r="J26" i="7"/>
  <c r="J27" i="7" s="1"/>
  <c r="F30" i="7"/>
  <c r="F62" i="7" s="1"/>
  <c r="F65" i="7" s="1"/>
  <c r="F79" i="7"/>
  <c r="F7" i="7"/>
  <c r="D29" i="7"/>
  <c r="D6" i="7"/>
  <c r="E28" i="7"/>
  <c r="E95" i="7"/>
  <c r="D77" i="7"/>
  <c r="D3" i="7"/>
  <c r="C27" i="7"/>
  <c r="E30" i="7"/>
  <c r="E62" i="7" s="1"/>
  <c r="E65" i="7" s="1"/>
  <c r="E79" i="7"/>
  <c r="E7" i="7"/>
  <c r="K29" i="7"/>
  <c r="K6" i="7"/>
  <c r="H28" i="7"/>
  <c r="H95" i="7"/>
  <c r="G77" i="7"/>
  <c r="G3" i="7"/>
  <c r="K30" i="7"/>
  <c r="K79" i="7"/>
  <c r="K7" i="7"/>
  <c r="G30" i="7"/>
  <c r="G62" i="7" s="1"/>
  <c r="G65" i="7" s="1"/>
  <c r="G79" i="7"/>
  <c r="G7" i="7"/>
  <c r="C30" i="7"/>
  <c r="C79" i="7"/>
  <c r="C7" i="7"/>
  <c r="I29" i="7"/>
  <c r="I6" i="7"/>
  <c r="E29" i="7"/>
  <c r="E6" i="7"/>
  <c r="J28" i="7"/>
  <c r="J95" i="7"/>
  <c r="F28" i="7"/>
  <c r="F95" i="7"/>
  <c r="I77" i="7"/>
  <c r="I3" i="7"/>
  <c r="E77" i="7"/>
  <c r="E3" i="7"/>
  <c r="D26" i="7"/>
  <c r="D27" i="7" s="1"/>
  <c r="E13" i="1"/>
  <c r="K13" i="1"/>
  <c r="G13" i="1"/>
  <c r="H62" i="7"/>
  <c r="H65" i="7" s="1"/>
  <c r="C13" i="1"/>
  <c r="I23" i="2"/>
  <c r="E23" i="2"/>
  <c r="J13" i="1"/>
  <c r="F13" i="1"/>
  <c r="J62" i="7"/>
  <c r="J65" i="7" s="1"/>
  <c r="J23" i="2"/>
  <c r="E1" i="2"/>
  <c r="E1" i="4"/>
  <c r="E1" i="3"/>
  <c r="H16" i="2"/>
  <c r="H43" i="7" s="1"/>
  <c r="H44" i="7" s="1"/>
  <c r="D16" i="2"/>
  <c r="D43" i="7" s="1"/>
  <c r="D44" i="7" s="1"/>
  <c r="K23" i="2"/>
  <c r="G16" i="2"/>
  <c r="G43" i="7" s="1"/>
  <c r="G44" i="7" s="1"/>
  <c r="F23" i="2"/>
  <c r="C23" i="2"/>
  <c r="I16" i="2"/>
  <c r="I43" i="7" s="1"/>
  <c r="I44" i="7" s="1"/>
  <c r="E16" i="2"/>
  <c r="E43" i="7" s="1"/>
  <c r="E44" i="7" s="1"/>
  <c r="K16" i="2"/>
  <c r="K43" i="7" s="1"/>
  <c r="K44" i="7" s="1"/>
  <c r="C16" i="2"/>
  <c r="C43" i="7" s="1"/>
  <c r="C78" i="7" s="1"/>
  <c r="G23" i="2"/>
  <c r="J16" i="2"/>
  <c r="J43" i="7" s="1"/>
  <c r="J44" i="7" s="1"/>
  <c r="F16" i="2"/>
  <c r="F43" i="7" s="1"/>
  <c r="F44" i="7" s="1"/>
  <c r="E6" i="1"/>
  <c r="H23" i="2"/>
  <c r="D23" i="2"/>
  <c r="I6" i="1"/>
  <c r="J6" i="1"/>
  <c r="J5" i="7" s="1"/>
  <c r="F6" i="1"/>
  <c r="K6" i="1"/>
  <c r="G6" i="1"/>
  <c r="C6" i="1"/>
  <c r="H6" i="1"/>
  <c r="D6" i="1"/>
  <c r="H1" i="1"/>
  <c r="D5" i="7" l="1"/>
  <c r="H5" i="7"/>
  <c r="F5" i="7"/>
  <c r="F69" i="12"/>
  <c r="F70" i="12" s="1"/>
  <c r="F4" i="11"/>
  <c r="F4" i="10"/>
  <c r="C69" i="12"/>
  <c r="C4" i="10"/>
  <c r="C4" i="11"/>
  <c r="E69" i="12"/>
  <c r="E70" i="12" s="1"/>
  <c r="E4" i="11"/>
  <c r="E4" i="10"/>
  <c r="J14" i="1"/>
  <c r="J69" i="12"/>
  <c r="J70" i="12" s="1"/>
  <c r="J4" i="11"/>
  <c r="J4" i="10"/>
  <c r="E108" i="7"/>
  <c r="D69" i="12"/>
  <c r="D70" i="12" s="1"/>
  <c r="D4" i="10"/>
  <c r="D4" i="11"/>
  <c r="I108" i="7"/>
  <c r="H69" i="12"/>
  <c r="H70" i="12" s="1"/>
  <c r="H4" i="10"/>
  <c r="H4" i="11"/>
  <c r="F14" i="1"/>
  <c r="G69" i="12"/>
  <c r="G70" i="12" s="1"/>
  <c r="G4" i="10"/>
  <c r="G4" i="11"/>
  <c r="G14" i="1"/>
  <c r="E14" i="1"/>
  <c r="K69" i="12"/>
  <c r="K70" i="12" s="1"/>
  <c r="K4" i="10"/>
  <c r="K4" i="11"/>
  <c r="I14" i="1"/>
  <c r="I69" i="12"/>
  <c r="I70" i="12" s="1"/>
  <c r="I4" i="11"/>
  <c r="I4" i="10"/>
  <c r="K14" i="1"/>
  <c r="C14" i="1"/>
  <c r="D76" i="7"/>
  <c r="E78" i="7"/>
  <c r="J78" i="7"/>
  <c r="G78" i="7"/>
  <c r="J76" i="7"/>
  <c r="B24" i="9"/>
  <c r="D23" i="9"/>
  <c r="D14" i="1"/>
  <c r="F8" i="7"/>
  <c r="H14" i="1"/>
  <c r="F47" i="7"/>
  <c r="F55" i="7" s="1"/>
  <c r="F48" i="7"/>
  <c r="F56" i="7" s="1"/>
  <c r="H76" i="7"/>
  <c r="E48" i="7"/>
  <c r="E56" i="7" s="1"/>
  <c r="E47" i="7"/>
  <c r="E55" i="7" s="1"/>
  <c r="K78" i="7"/>
  <c r="I48" i="7"/>
  <c r="I56" i="7" s="1"/>
  <c r="I47" i="7"/>
  <c r="I55" i="7" s="1"/>
  <c r="D8" i="7"/>
  <c r="I76" i="7"/>
  <c r="D78" i="7"/>
  <c r="I8" i="7"/>
  <c r="I111" i="7" s="1"/>
  <c r="K48" i="7"/>
  <c r="K56" i="7" s="1"/>
  <c r="K47" i="7"/>
  <c r="K55" i="7" s="1"/>
  <c r="H48" i="7"/>
  <c r="H56" i="7" s="1"/>
  <c r="H47" i="7"/>
  <c r="H55" i="7" s="1"/>
  <c r="F78" i="7"/>
  <c r="J47" i="7"/>
  <c r="J55" i="7" s="1"/>
  <c r="J48" i="7"/>
  <c r="J56" i="7" s="1"/>
  <c r="G48" i="7"/>
  <c r="G56" i="7" s="1"/>
  <c r="G47" i="7"/>
  <c r="G55" i="7" s="1"/>
  <c r="G76" i="7"/>
  <c r="F76" i="7"/>
  <c r="C44" i="7"/>
  <c r="N43" i="7"/>
  <c r="D48" i="7"/>
  <c r="D56" i="7" s="1"/>
  <c r="D47" i="7"/>
  <c r="D55" i="7" s="1"/>
  <c r="E76" i="7"/>
  <c r="H78" i="7"/>
  <c r="C76" i="7"/>
  <c r="K76" i="7"/>
  <c r="I78" i="7"/>
  <c r="K5" i="7"/>
  <c r="J8" i="7"/>
  <c r="E5" i="7"/>
  <c r="G108" i="7"/>
  <c r="J108" i="7"/>
  <c r="C19" i="1"/>
  <c r="C5" i="7"/>
  <c r="G5" i="7"/>
  <c r="I5" i="7"/>
  <c r="C62" i="7"/>
  <c r="G8" i="7"/>
  <c r="F108" i="7"/>
  <c r="E8" i="7"/>
  <c r="D108" i="7"/>
  <c r="C8" i="7"/>
  <c r="L108" i="7"/>
  <c r="K8" i="7"/>
  <c r="H8" i="7"/>
  <c r="K108" i="7"/>
  <c r="I24" i="2"/>
  <c r="H108" i="7"/>
  <c r="J19" i="1"/>
  <c r="E19" i="1"/>
  <c r="I19" i="1"/>
  <c r="K62" i="7"/>
  <c r="K65" i="7" s="1"/>
  <c r="H19" i="1"/>
  <c r="F19" i="1"/>
  <c r="C24" i="2"/>
  <c r="G19" i="1"/>
  <c r="D19" i="1"/>
  <c r="K19" i="1"/>
  <c r="D24" i="2"/>
  <c r="E24" i="2"/>
  <c r="G24" i="2"/>
  <c r="F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7" s="1"/>
  <c r="D3" i="1"/>
  <c r="D1" i="7" s="1"/>
  <c r="E3" i="1"/>
  <c r="E1" i="7" s="1"/>
  <c r="F3" i="1"/>
  <c r="F1" i="7" s="1"/>
  <c r="G3" i="1"/>
  <c r="G1" i="7" s="1"/>
  <c r="H3" i="1"/>
  <c r="H1" i="7" s="1"/>
  <c r="I3" i="1"/>
  <c r="I1" i="7" s="1"/>
  <c r="J3" i="1"/>
  <c r="J1" i="7" s="1"/>
  <c r="K3" i="1"/>
  <c r="K1" i="7" s="1"/>
  <c r="E111" i="7" l="1"/>
  <c r="G5" i="10"/>
  <c r="G6" i="10"/>
  <c r="H5" i="10"/>
  <c r="H6" i="10"/>
  <c r="D5" i="10"/>
  <c r="D6" i="10"/>
  <c r="C70" i="12"/>
  <c r="F5" i="10"/>
  <c r="F6" i="10"/>
  <c r="I5" i="10"/>
  <c r="I6" i="10"/>
  <c r="L4" i="11"/>
  <c r="B11" i="11"/>
  <c r="M4" i="11"/>
  <c r="B10" i="11"/>
  <c r="B12" i="11" s="1"/>
  <c r="B14" i="11" s="1"/>
  <c r="K5" i="10"/>
  <c r="K6" i="10"/>
  <c r="J5" i="10"/>
  <c r="J6" i="10"/>
  <c r="E5" i="10"/>
  <c r="E6" i="10"/>
  <c r="C6" i="10"/>
  <c r="C5" i="10"/>
  <c r="F111" i="7"/>
  <c r="D111" i="7"/>
  <c r="B25" i="9"/>
  <c r="D24" i="9"/>
  <c r="K111" i="7"/>
  <c r="C48" i="7"/>
  <c r="C47" i="7"/>
  <c r="N44" i="7"/>
  <c r="J111" i="7"/>
  <c r="G111" i="7"/>
  <c r="C65" i="7"/>
  <c r="H111" i="7"/>
  <c r="H32" i="7"/>
  <c r="H52" i="7" s="1"/>
  <c r="H69" i="7" s="1"/>
  <c r="H93" i="7" s="1"/>
  <c r="H25" i="7"/>
  <c r="K32" i="7"/>
  <c r="K52" i="7" s="1"/>
  <c r="K69" i="7" s="1"/>
  <c r="K93" i="7" s="1"/>
  <c r="K25" i="7"/>
  <c r="G32" i="7"/>
  <c r="G52" i="7" s="1"/>
  <c r="G69" i="7" s="1"/>
  <c r="G93" i="7" s="1"/>
  <c r="G25" i="7"/>
  <c r="C32" i="7"/>
  <c r="C52" i="7" s="1"/>
  <c r="C69" i="7" s="1"/>
  <c r="C93" i="7" s="1"/>
  <c r="C25" i="7"/>
  <c r="D32" i="7"/>
  <c r="D52" i="7" s="1"/>
  <c r="D69" i="7" s="1"/>
  <c r="D93" i="7" s="1"/>
  <c r="D25" i="7"/>
  <c r="J32" i="7"/>
  <c r="J52" i="7" s="1"/>
  <c r="J69" i="7" s="1"/>
  <c r="J93" i="7" s="1"/>
  <c r="J25" i="7"/>
  <c r="F32" i="7"/>
  <c r="F52" i="7" s="1"/>
  <c r="F69" i="7" s="1"/>
  <c r="F93" i="7" s="1"/>
  <c r="F25" i="7"/>
  <c r="I32" i="7"/>
  <c r="I52" i="7" s="1"/>
  <c r="I69" i="7" s="1"/>
  <c r="I93" i="7" s="1"/>
  <c r="I25" i="7"/>
  <c r="E32" i="7"/>
  <c r="E52" i="7" s="1"/>
  <c r="E69" i="7" s="1"/>
  <c r="E93" i="7" s="1"/>
  <c r="E25" i="7"/>
  <c r="B7" i="4"/>
  <c r="B6" i="4"/>
  <c r="B5" i="4"/>
  <c r="C11" i="7" s="1"/>
  <c r="B4" i="4"/>
  <c r="C10" i="7"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3" i="1"/>
  <c r="B28" i="2" l="1"/>
  <c r="B30" i="2" s="1"/>
  <c r="B31" i="2" s="1"/>
  <c r="J7" i="10"/>
  <c r="I7" i="10"/>
  <c r="H7" i="10"/>
  <c r="E7" i="10"/>
  <c r="K7" i="10"/>
  <c r="F7" i="10"/>
  <c r="C7" i="10"/>
  <c r="D7" i="10"/>
  <c r="G7" i="10"/>
  <c r="D25" i="9"/>
  <c r="B29" i="9" s="1"/>
  <c r="B28" i="9"/>
  <c r="B30" i="9" s="1"/>
  <c r="C55" i="7"/>
  <c r="N55" i="7" s="1"/>
  <c r="N47" i="7"/>
  <c r="C56" i="7"/>
  <c r="N56" i="7" s="1"/>
  <c r="N48" i="7"/>
  <c r="B23" i="2"/>
  <c r="B16" i="2"/>
  <c r="B24" i="2" s="1"/>
  <c r="B14" i="3"/>
  <c r="E14" i="3"/>
  <c r="I14" i="3"/>
  <c r="C14" i="3"/>
  <c r="G14" i="3"/>
  <c r="K14" i="3"/>
  <c r="K23" i="1"/>
  <c r="G20" i="2"/>
  <c r="I20" i="2"/>
  <c r="K20" i="2"/>
  <c r="D20" i="2"/>
  <c r="F20" i="2"/>
  <c r="H20" i="2"/>
  <c r="J20" i="2"/>
  <c r="C20" i="2"/>
  <c r="E20" i="2"/>
  <c r="L12" i="1"/>
  <c r="K24" i="1"/>
  <c r="L11" i="1"/>
  <c r="L10" i="1"/>
  <c r="L9" i="1"/>
  <c r="L8" i="1"/>
  <c r="L7" i="1"/>
  <c r="L6" i="1"/>
  <c r="L4" i="1"/>
  <c r="A1" i="3"/>
  <c r="A1" i="2"/>
  <c r="A1" i="4" s="1"/>
  <c r="H23" i="1"/>
  <c r="I24" i="1"/>
  <c r="I23" i="1"/>
  <c r="J24" i="1"/>
  <c r="J23" i="1"/>
  <c r="H24" i="1"/>
  <c r="B31" i="9" l="1"/>
  <c r="B33" i="9" s="1"/>
  <c r="B11" i="10" s="1"/>
  <c r="O7" i="7"/>
  <c r="P7" i="7"/>
  <c r="O5" i="7"/>
  <c r="P5" i="7"/>
  <c r="N7" i="13"/>
  <c r="N6" i="13"/>
  <c r="P6" i="7"/>
  <c r="O6" i="7"/>
  <c r="B10" i="10"/>
  <c r="B15" i="10" s="1"/>
  <c r="L28" i="7"/>
  <c r="N28" i="7" s="1"/>
  <c r="L95" i="7"/>
  <c r="N95" i="7" s="1"/>
  <c r="L29" i="7"/>
  <c r="N29" i="7" s="1"/>
  <c r="N6" i="7"/>
  <c r="Q6" i="7" s="1"/>
  <c r="L6" i="7"/>
  <c r="L23" i="1"/>
  <c r="L76" i="7"/>
  <c r="L77" i="7"/>
  <c r="L21" i="2"/>
  <c r="L20" i="2"/>
  <c r="P3" i="7"/>
  <c r="O3" i="7"/>
  <c r="L3" i="7"/>
  <c r="N3" i="7"/>
  <c r="L13" i="1"/>
  <c r="L30" i="7"/>
  <c r="L78" i="7"/>
  <c r="L79" i="7"/>
  <c r="L23" i="2"/>
  <c r="L7" i="7"/>
  <c r="N7" i="7"/>
  <c r="Q7" i="7" s="1"/>
  <c r="L24" i="2"/>
  <c r="L5" i="7"/>
  <c r="N5" i="7"/>
  <c r="Q5" i="7" s="1"/>
  <c r="L19" i="1"/>
  <c r="L24" i="1" s="1"/>
  <c r="L5" i="1"/>
  <c r="B14" i="10" l="1"/>
  <c r="B17" i="10" s="1"/>
  <c r="B19" i="10" s="1"/>
  <c r="O4" i="7"/>
  <c r="P4" i="7"/>
  <c r="G8" i="13"/>
  <c r="E62" i="14" s="1"/>
  <c r="F62" i="14" s="1"/>
  <c r="G62" i="14" s="1"/>
  <c r="H62" i="14" s="1"/>
  <c r="L69" i="12"/>
  <c r="P8" i="7"/>
  <c r="O8" i="7"/>
  <c r="L14" i="1"/>
  <c r="L25" i="1" s="1"/>
  <c r="L8" i="7"/>
  <c r="L111" i="7" s="1"/>
  <c r="E61" i="14" s="1"/>
  <c r="F61" i="14" s="1"/>
  <c r="G61" i="14" s="1"/>
  <c r="Q3" i="7"/>
  <c r="Q14" i="7"/>
  <c r="Q13" i="7"/>
  <c r="N8" i="7"/>
  <c r="L26" i="7"/>
  <c r="N4" i="7"/>
  <c r="Q4" i="7" s="1"/>
  <c r="L4" i="7"/>
  <c r="L62" i="7"/>
  <c r="N30" i="7"/>
  <c r="E22" i="14" s="1"/>
  <c r="F22" i="14" s="1"/>
  <c r="G22" i="14" s="1"/>
  <c r="H22" i="14" s="1"/>
  <c r="J25" i="1"/>
  <c r="K25" i="1" l="1"/>
  <c r="Q8" i="7"/>
  <c r="E20" i="14"/>
  <c r="F20" i="14" s="1"/>
  <c r="G20" i="14" s="1"/>
  <c r="H61" i="14"/>
  <c r="I60" i="14"/>
  <c r="C8" i="14" s="1"/>
  <c r="D8" i="14" s="1"/>
  <c r="L70" i="12"/>
  <c r="G6" i="13"/>
  <c r="G7" i="13"/>
  <c r="I25" i="1"/>
  <c r="H25" i="1"/>
  <c r="L65" i="7"/>
  <c r="N65" i="7" s="1"/>
  <c r="N62" i="7"/>
  <c r="L27" i="7"/>
  <c r="N27" i="7" s="1"/>
  <c r="N26" i="7"/>
  <c r="H20" i="14" l="1"/>
  <c r="I17" i="14"/>
  <c r="C3" i="14" s="1"/>
  <c r="D3" i="14" l="1"/>
  <c r="C1" i="14"/>
  <c r="D1" i="14" s="1"/>
</calcChain>
</file>

<file path=xl/comments1.xml><?xml version="1.0" encoding="utf-8"?>
<comments xmlns="http://schemas.openxmlformats.org/spreadsheetml/2006/main">
  <authors>
    <author>Kumar Saurabh</author>
  </authors>
  <commentList>
    <comment ref="A17" authorId="0" shapeId="0">
      <text>
        <r>
          <rPr>
            <b/>
            <sz val="9"/>
            <color indexed="81"/>
            <rFont val="Tahoma"/>
            <charset val="1"/>
          </rPr>
          <t>Kumar Saurabh:</t>
        </r>
        <r>
          <rPr>
            <sz val="9"/>
            <color indexed="81"/>
            <rFont val="Tahoma"/>
            <charset val="1"/>
          </rPr>
          <t xml:space="preserve">
Trades Receiavbles</t>
        </r>
      </text>
    </comment>
  </commentList>
</comments>
</file>

<file path=xl/comments2.xml><?xml version="1.0" encoding="utf-8"?>
<comments xmlns="http://schemas.openxmlformats.org/spreadsheetml/2006/main">
  <authors>
    <author>Kumar Saurabh</author>
  </authors>
  <commentList>
    <comment ref="B84" authorId="0" shapeId="0">
      <text>
        <r>
          <rPr>
            <b/>
            <sz val="9"/>
            <color indexed="81"/>
            <rFont val="Tahoma"/>
            <family val="2"/>
          </rPr>
          <t>Kumar Saurabh:</t>
        </r>
        <r>
          <rPr>
            <sz val="9"/>
            <color indexed="81"/>
            <rFont val="Tahoma"/>
            <family val="2"/>
          </rPr>
          <t xml:space="preserve">
COGS or Sales?</t>
        </r>
      </text>
    </comment>
    <comment ref="B87" authorId="0" shapeId="0">
      <text>
        <r>
          <rPr>
            <b/>
            <sz val="9"/>
            <color indexed="81"/>
            <rFont val="Tahoma"/>
            <family val="2"/>
          </rPr>
          <t>Kumar Saurabh:</t>
        </r>
        <r>
          <rPr>
            <sz val="9"/>
            <color indexed="81"/>
            <rFont val="Tahoma"/>
            <family val="2"/>
          </rPr>
          <t xml:space="preserve">
COGS or Sales?</t>
        </r>
      </text>
    </comment>
  </commentList>
</comments>
</file>

<file path=xl/comments3.xml><?xml version="1.0" encoding="utf-8"?>
<comments xmlns="http://schemas.openxmlformats.org/spreadsheetml/2006/main">
  <authors>
    <author/>
  </authors>
  <commentList>
    <comment ref="A22" authorId="0" shapeId="0">
      <text>
        <r>
          <rPr>
            <b/>
            <sz val="9"/>
            <color indexed="8"/>
            <rFont val="Tahoma"/>
            <family val="2"/>
            <charset val="1"/>
          </rPr>
          <t xml:space="preserve">Shrey Sao:
</t>
        </r>
        <r>
          <rPr>
            <sz val="9"/>
            <color indexed="8"/>
            <rFont val="Tahoma"/>
            <family val="2"/>
            <charset val="1"/>
          </rPr>
          <t>measures potential credit risk.</t>
        </r>
      </text>
    </comment>
    <comment ref="A23" authorId="0" shapeId="0">
      <text>
        <r>
          <rPr>
            <b/>
            <sz val="9"/>
            <color indexed="8"/>
            <rFont val="Tahoma"/>
            <family val="2"/>
            <charset val="1"/>
          </rPr>
          <t xml:space="preserve">Shrey Sao:
</t>
        </r>
        <r>
          <rPr>
            <sz val="9"/>
            <color indexed="8"/>
            <rFont val="Tahoma"/>
            <family val="2"/>
            <charset val="1"/>
          </rPr>
          <t>measures current credit risk</t>
        </r>
      </text>
    </comment>
    <comment ref="A25" authorId="0" shapeId="0">
      <text>
        <r>
          <rPr>
            <sz val="9"/>
            <color indexed="8"/>
            <rFont val="Tahoma"/>
            <family val="2"/>
            <charset val="1"/>
          </rPr>
          <t xml:space="preserve">
</t>
        </r>
      </text>
    </comment>
    <comment ref="A28" authorId="0"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40" authorId="0"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46" authorId="0"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Kumar Saurabh</author>
  </authors>
  <commentList>
    <comment ref="A52" authorId="0" shapeId="0">
      <text>
        <r>
          <rPr>
            <b/>
            <sz val="9"/>
            <color indexed="81"/>
            <rFont val="Tahoma"/>
            <charset val="1"/>
          </rPr>
          <t>Kumar Saurabh:</t>
        </r>
        <r>
          <rPr>
            <sz val="9"/>
            <color indexed="81"/>
            <rFont val="Tahoma"/>
            <charset val="1"/>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5.xml><?xml version="1.0" encoding="utf-8"?>
<comments xmlns="http://schemas.openxmlformats.org/spreadsheetml/2006/main">
  <authors>
    <author>Vishal</author>
    <author>Safal Niveshak</author>
  </authors>
  <commentList>
    <comment ref="A5" authorId="0" shapeId="0">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t>
        </r>
      </text>
    </comment>
    <comment ref="A7"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8"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1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6.xml><?xml version="1.0" encoding="utf-8"?>
<comments xmlns="http://schemas.openxmlformats.org/spreadsheetml/2006/main">
  <authors>
    <author>Vishal</author>
    <author>Safal Niveshak</author>
  </authors>
  <commentList>
    <comment ref="A3" authorId="0" shapeId="0">
      <text>
        <r>
          <rPr>
            <b/>
            <sz val="9"/>
            <color indexed="81"/>
            <rFont val="Tahoma"/>
            <family val="2"/>
          </rPr>
          <t xml:space="preserve">Safal Niveshak:
</t>
        </r>
        <r>
          <rPr>
            <sz val="9"/>
            <color indexed="81"/>
            <rFont val="Tahoma"/>
            <family val="2"/>
          </rPr>
          <t>L = Latest Year
L-1 = Previous year
…and so on</t>
        </r>
      </text>
    </comment>
    <comment ref="A16" authorId="0" shapeId="0">
      <text>
        <r>
          <rPr>
            <b/>
            <sz val="9"/>
            <color indexed="81"/>
            <rFont val="Tahoma"/>
            <family val="2"/>
          </rPr>
          <t xml:space="preserve">Safal Niveshak: </t>
        </r>
        <r>
          <rPr>
            <sz val="9"/>
            <color indexed="81"/>
            <rFont val="Tahoma"/>
            <family val="2"/>
          </rPr>
          <t>Valuation is an imprecise art (yes, however smart you may think you are!). Also, the future is inherently unpredictable.
Thus, it’s important to bring in the most-important investing concept of “margin of safety” into the picture.
This is what Graham wrote about margin of safety in The Intelligent Investor…
"</t>
        </r>
        <r>
          <rPr>
            <i/>
            <sz val="9"/>
            <color indexed="81"/>
            <rFont val="Tahoma"/>
            <family val="2"/>
          </rPr>
          <t xml:space="preserve">Confronted with the challenge to distill the secret of sound investment into three words, we venture the motto, MARGIN OF SAFETY."
</t>
        </r>
        <r>
          <rPr>
            <sz val="9"/>
            <color indexed="81"/>
            <rFont val="Tahoma"/>
            <family val="2"/>
          </rPr>
          <t xml:space="preserve">
Margin of safety is simply the discount factor that you use with your intrinsic value calculation. So if you arrive at an intrinsic value of Rs 100 for a stock that trades at Rs 80, you might think that you have found a bargain.
But what if your intrinsic value calculation is wrong? Yes, it will be wrong, at least 100% of the times!
Thus, you will do yourself a world of good by buying the stock only at say 50% discount to your intrinsic value calculation, or around Rs 50.
Now when you bring your intrinsic value assumption down to Rs 50 – by giving a 50% discount to the original calculated value of Rs 100, don’t think that you are trying to be ultra-conservative.
What you are doing is providing yourself protection against:
1. Bad luck
2. Bad timing, and
3. Bad judgment.
Margin of safety was, and will always be, the bedrock of value investing. You can’t ignore this at any cost…or it will turn out to be a costly affair!</t>
        </r>
      </text>
    </comment>
    <comment ref="A17" authorId="1" shapeId="0">
      <text>
        <r>
          <rPr>
            <b/>
            <sz val="9"/>
            <color indexed="81"/>
            <rFont val="Tahoma"/>
            <family val="2"/>
          </rPr>
          <t xml:space="preserve">Safal Niveshak: </t>
        </r>
        <r>
          <rPr>
            <sz val="9"/>
            <color indexed="81"/>
            <rFont val="Tahoma"/>
            <family val="2"/>
          </rPr>
          <t xml:space="preserve">This is the fair value or comfortable buying price of the stock after adjusting for Margin of Safety.
</t>
        </r>
      </text>
    </comment>
    <comment ref="A19" authorId="0" shapeId="0">
      <text>
        <r>
          <rPr>
            <b/>
            <sz val="9"/>
            <color indexed="81"/>
            <rFont val="Tahoma"/>
            <family val="2"/>
          </rPr>
          <t xml:space="preserve">Safal Niveshak: </t>
        </r>
        <r>
          <rPr>
            <sz val="9"/>
            <color indexed="81"/>
            <rFont val="Tahoma"/>
            <family val="2"/>
          </rPr>
          <t xml:space="preserve">Here are the definitions...
</t>
        </r>
        <r>
          <rPr>
            <b/>
            <sz val="9"/>
            <color indexed="81"/>
            <rFont val="Tahoma"/>
            <family val="2"/>
          </rPr>
          <t>Premium =</t>
        </r>
        <r>
          <rPr>
            <sz val="9"/>
            <color indexed="81"/>
            <rFont val="Tahoma"/>
            <family val="2"/>
          </rPr>
          <t xml:space="preserve"> Stock Price is more than the Fair Value, which means the stock is expensive.
</t>
        </r>
        <r>
          <rPr>
            <b/>
            <sz val="9"/>
            <color indexed="81"/>
            <rFont val="Tahoma"/>
            <family val="2"/>
          </rPr>
          <t>Discount =</t>
        </r>
        <r>
          <rPr>
            <sz val="9"/>
            <color indexed="81"/>
            <rFont val="Tahoma"/>
            <family val="2"/>
          </rPr>
          <t xml:space="preserve"> Stock Price is less than the Fair Value, which means the stock is cheap.
</t>
        </r>
        <r>
          <rPr>
            <b/>
            <sz val="9"/>
            <color indexed="81"/>
            <rFont val="Tahoma"/>
            <family val="2"/>
          </rPr>
          <t>Warning:</t>
        </r>
        <r>
          <rPr>
            <sz val="9"/>
            <color indexed="81"/>
            <rFont val="Tahoma"/>
            <family val="2"/>
          </rPr>
          <t xml:space="preserve"> Valuation must only be looked after assessing the quality of a business. Otherwise, if the business is bad, or getting bad, a cheap stock can be a "value trap".</t>
        </r>
      </text>
    </comment>
  </commentList>
</comments>
</file>

<file path=xl/sharedStrings.xml><?xml version="1.0" encoding="utf-8"?>
<sst xmlns="http://schemas.openxmlformats.org/spreadsheetml/2006/main" count="702" uniqueCount="550">
  <si>
    <t>COMPANY NAME</t>
  </si>
  <si>
    <t>SCREENER.IN</t>
  </si>
  <si>
    <t>Narration</t>
  </si>
  <si>
    <t>Sales</t>
  </si>
  <si>
    <t>Expenses</t>
  </si>
  <si>
    <t>Operating Profit</t>
  </si>
  <si>
    <t>Other Income</t>
  </si>
  <si>
    <t>Depreciation</t>
  </si>
  <si>
    <t>Interest</t>
  </si>
  <si>
    <t>Profit before tax</t>
  </si>
  <si>
    <t>Tax</t>
  </si>
  <si>
    <t>Net profit</t>
  </si>
  <si>
    <t>RATIOS:</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</si>
  <si>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</si>
  <si>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</si>
  <si>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</si>
  <si>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</si>
  <si>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</si>
  <si>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</si>
  <si>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</si>
  <si>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</si>
  <si>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</si>
  <si>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</si>
  <si>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</si>
  <si>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</si>
  <si>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</si>
  <si>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</si>
  <si>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</si>
  <si>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</si>
  <si>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</si>
  <si>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</si>
  <si>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</si>
  <si>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</si>
  <si>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</si>
  <si>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</si>
  <si>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</si>
  <si>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</si>
  <si>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</si>
  <si>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</si>
  <si>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</si>
  <si>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</si>
  <si>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</si>
  <si>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</si>
  <si>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</si>
  <si>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</si>
  <si>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</si>
  <si>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</si>
  <si>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</si>
  <si>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</si>
  <si>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</si>
  <si>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</si>
  <si>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</si>
  <si>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</si>
  <si>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</si>
  <si>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</si>
  <si>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</si>
  <si>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</si>
  <si>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</si>
  <si>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</si>
  <si>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</si>
  <si>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</si>
  <si>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</si>
  <si>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</si>
  <si>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</si>
  <si>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</si>
  <si>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</si>
  <si>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</si>
  <si>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</si>
  <si>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</si>
  <si>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</si>
  <si>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</si>
  <si>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</si>
  <si>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</si>
  <si>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</si>
  <si>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</si>
  <si>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</si>
  <si>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</si>
  <si>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</si>
  <si>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</si>
  <si>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</si>
  <si>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</si>
  <si>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</si>
  <si>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</si>
  <si>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</si>
  <si>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</si>
  <si>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</si>
  <si>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</si>
  <si>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</si>
  <si>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Revenue Growth Rate</t>
  </si>
  <si>
    <t>Expense Growth Rate</t>
  </si>
  <si>
    <t>Operating profit Growth Rate</t>
  </si>
  <si>
    <t>PBT Growth Rate</t>
  </si>
  <si>
    <t>PAT Growth Rate</t>
  </si>
  <si>
    <t>Expense as a % of Revenue</t>
  </si>
  <si>
    <t>Interest as a % of Revenue</t>
  </si>
  <si>
    <t>Operating profit Margin</t>
  </si>
  <si>
    <t>PBT Margin</t>
  </si>
  <si>
    <t>PAT Margin</t>
  </si>
  <si>
    <t>Return on Capital Employed</t>
  </si>
  <si>
    <t>Return on Invested Capital</t>
  </si>
  <si>
    <t>Profit Margin</t>
  </si>
  <si>
    <t>Asset turnover</t>
  </si>
  <si>
    <t>Financial Leverage</t>
  </si>
  <si>
    <t>Dividend Yield</t>
  </si>
  <si>
    <t>Dividend Payout Ratio</t>
  </si>
  <si>
    <t>EPS Growth Rate</t>
  </si>
  <si>
    <t>Debt Equity Ratio</t>
  </si>
  <si>
    <t>Interest Coverage Ratio</t>
  </si>
  <si>
    <t>Cashflow to Debt Ratio</t>
  </si>
  <si>
    <t>Return on Asset</t>
  </si>
  <si>
    <t>Current Ratio</t>
  </si>
  <si>
    <t>Quick Ratio</t>
  </si>
  <si>
    <t>Cash Ratio</t>
  </si>
  <si>
    <t>Cash Conversion Cycle</t>
  </si>
  <si>
    <t>Fixed Asset Turnover</t>
  </si>
  <si>
    <t>Revenue per Employee</t>
  </si>
  <si>
    <t>Operating Cycle</t>
  </si>
  <si>
    <t>Operating Cash flow to Sales Ratio</t>
  </si>
  <si>
    <t>Free Cash Flow to Sales Ratio</t>
  </si>
  <si>
    <t>P/E Ratio</t>
  </si>
  <si>
    <t>P/B Ratio</t>
  </si>
  <si>
    <t>EV/EBITDA</t>
  </si>
  <si>
    <t>PEG Ratio</t>
  </si>
  <si>
    <t>Market Cap to Sales Ratio</t>
  </si>
  <si>
    <t>Enterprise Value</t>
  </si>
  <si>
    <t>Book Value</t>
  </si>
  <si>
    <t>Inventory Growth</t>
  </si>
  <si>
    <t>Accounts Receivable Growth</t>
  </si>
  <si>
    <t>NIM</t>
  </si>
  <si>
    <t>Gross NPA %</t>
  </si>
  <si>
    <t>Net NPA %</t>
  </si>
  <si>
    <t>Capital Adequacy Ratio</t>
  </si>
  <si>
    <t>CEO Salary as a % of PAT</t>
  </si>
  <si>
    <t>CEO Salary as a % of OCF</t>
  </si>
  <si>
    <t>CEO Salary as a % of FCF</t>
  </si>
  <si>
    <t>Promoter's Share</t>
  </si>
  <si>
    <t>Pledged Share</t>
  </si>
  <si>
    <t>Unnecessary expenses</t>
  </si>
  <si>
    <t>Unnecessary Diversification</t>
  </si>
  <si>
    <t>Cash per Share</t>
  </si>
  <si>
    <t>Share Price</t>
  </si>
  <si>
    <t>ROE by Dupont Analysis</t>
  </si>
  <si>
    <t>Days Payable Outstanding</t>
  </si>
  <si>
    <t>Market Cap</t>
  </si>
  <si>
    <t>Indicator 1</t>
  </si>
  <si>
    <t>Indicator 2</t>
  </si>
  <si>
    <t>YoY Change</t>
  </si>
  <si>
    <t>COGS/Net Revenue from Operations</t>
  </si>
  <si>
    <t>Operating profit/Net Revenue from Operations</t>
  </si>
  <si>
    <t>Interest/Net Revenue from Operations</t>
  </si>
  <si>
    <t>PBT/Net Revenue from Operations</t>
  </si>
  <si>
    <t>PAT/Net Revenue from Operations</t>
  </si>
  <si>
    <t>PAT/Total Assets</t>
  </si>
  <si>
    <t>Return on Real Assets</t>
  </si>
  <si>
    <t>PAT/Shareholder's Equity</t>
  </si>
  <si>
    <t>Dividend Paid/Net Revenue from Operations</t>
  </si>
  <si>
    <t>Dividend Paid/Share Price</t>
  </si>
  <si>
    <t>Profit Margin*Asset Turnover*Financial Leverage</t>
  </si>
  <si>
    <t>Total Debt/Total Equity</t>
  </si>
  <si>
    <t>Share Price on Recorded Date</t>
  </si>
  <si>
    <t>Share Price* No. of Equity Shares</t>
  </si>
  <si>
    <t>Share Price/Diluted EPS</t>
  </si>
  <si>
    <t>(P/E)/EPS Growth Rate</t>
  </si>
  <si>
    <t>Market Capitalization/Net Revenue from Operations</t>
  </si>
  <si>
    <t>Cash and Bank Balance/no. of Outstanding Equity Shares</t>
  </si>
  <si>
    <t>PAT/Sales</t>
  </si>
  <si>
    <t>Sales/Asset</t>
  </si>
  <si>
    <t>Asset/Shareholder's Equity</t>
  </si>
  <si>
    <t>Capital Employed</t>
  </si>
  <si>
    <t>Working Capital as a % of Sales</t>
  </si>
  <si>
    <t>Capital Employed as a % of Sales</t>
  </si>
  <si>
    <t>Working Capital Growth Rate</t>
  </si>
  <si>
    <t>Capital Employed Growth Rate</t>
  </si>
  <si>
    <t>EBIT/Capital Employed</t>
  </si>
  <si>
    <t>(Total Asset - Current Liabilities) or (Shareholder's Equity + Debt Liabilities)</t>
  </si>
  <si>
    <t>Working Capital/Sales</t>
  </si>
  <si>
    <t>Capital Employed/Sales</t>
  </si>
  <si>
    <t>Working Capital as a % of PAT</t>
  </si>
  <si>
    <t>Capital Employed as a % of PAT</t>
  </si>
  <si>
    <t>Working Capital as a % of CFO</t>
  </si>
  <si>
    <t>Capital Employed as a % of CFO</t>
  </si>
  <si>
    <t>Working Capital/PAT</t>
  </si>
  <si>
    <t>Working Capital/CFO</t>
  </si>
  <si>
    <t>Capital Employed/CFO</t>
  </si>
  <si>
    <t>Working Capital Ratio</t>
  </si>
  <si>
    <t>Current Assets - Current Liabilities</t>
  </si>
  <si>
    <t>Current Assets/Current Liabilities</t>
  </si>
  <si>
    <t>EBIT/Interest Expense</t>
  </si>
  <si>
    <t>(Current Assets - Inventories)/Current Liabilities</t>
  </si>
  <si>
    <t>(Cash + Cash Equivalent + Invested Funds)/ Current Liabilities</t>
  </si>
  <si>
    <t>DIO+DSO-DPO</t>
  </si>
  <si>
    <t>(Inventory/COGS)*365</t>
  </si>
  <si>
    <t>Sales/Inventory</t>
  </si>
  <si>
    <t>(Sales/Net Block)*365</t>
  </si>
  <si>
    <t>Saless/No. of Employees</t>
  </si>
  <si>
    <t>(Accounts Receivable/Total Credit Sales)*365</t>
  </si>
  <si>
    <t>(Accounts Payable/Cost of Sales)*365</t>
  </si>
  <si>
    <t>CEO Salary/PAT</t>
  </si>
  <si>
    <t>CEO Salary/OCF</t>
  </si>
  <si>
    <t>CEO Salary/FCF</t>
  </si>
  <si>
    <t>Calculation</t>
  </si>
  <si>
    <t>Operating Cashflow/Total Debt</t>
  </si>
  <si>
    <t>Operating Cashflow/Net Sales</t>
  </si>
  <si>
    <t>Free Cashflow/Net Sales</t>
  </si>
  <si>
    <t>Operating Cashflow Growth Rate</t>
  </si>
  <si>
    <t>Free Cashflow Growth Rate</t>
  </si>
  <si>
    <t>Short Term Debt Coverage</t>
  </si>
  <si>
    <t>CAPEX Coverage</t>
  </si>
  <si>
    <t>Operating Cash flow/Short Term Debt</t>
  </si>
  <si>
    <t>Operating Cash Flow/CAPEX</t>
  </si>
  <si>
    <t>Market Value of Common Stock + Market Value of Preferred Stock + Market Value of Debt + Minority Interest - Cash and Investments</t>
  </si>
  <si>
    <t>Share Price/Book Value per Share</t>
  </si>
  <si>
    <t>Enterprise Value/EBITDA</t>
  </si>
  <si>
    <t>(Interest Return - Interest Expense)/Average Earning Assets</t>
  </si>
  <si>
    <t>As per Annual Report</t>
  </si>
  <si>
    <t>No. of Employees</t>
  </si>
  <si>
    <t>For IT Companies</t>
  </si>
  <si>
    <t>Operating Cash flow</t>
  </si>
  <si>
    <t>CAPEX</t>
  </si>
  <si>
    <t>Free Cash Flow</t>
  </si>
  <si>
    <t>Total Dividend Paid</t>
  </si>
  <si>
    <t>No. of Shares Outstanding(Crores)</t>
  </si>
  <si>
    <t>Value</t>
  </si>
  <si>
    <t>Working Capital1</t>
  </si>
  <si>
    <t>Working Capital2 (Without Cash)</t>
  </si>
  <si>
    <t>Invested Capital1 (Equity + Long Debt)</t>
  </si>
  <si>
    <t>Invested Capital2 (Equity + Long Debt- Cash)</t>
  </si>
  <si>
    <t>invested Capital3(Net Block + Work in Progress + WC w/o cash)</t>
  </si>
  <si>
    <t>invested Capital4(Net Block  + WC w/o cash)</t>
  </si>
  <si>
    <t>EBIT</t>
  </si>
  <si>
    <t>Return on Invested Capital1</t>
  </si>
  <si>
    <t>Return on Invested Capital2</t>
  </si>
  <si>
    <t>Return on Invested Capital3</t>
  </si>
  <si>
    <t>Return on Invested Capital4</t>
  </si>
  <si>
    <t>Days Inventory Outstanding/Inventory Days</t>
  </si>
  <si>
    <t>Days Sales Outstanding/Debtor Days</t>
  </si>
  <si>
    <t>Current Assets - Current Liabilities - Cash and Cash Equivalents</t>
  </si>
  <si>
    <t>Change in Net Block + Change in WIP + Depreciation</t>
  </si>
  <si>
    <t>Derived Numbers</t>
  </si>
  <si>
    <t>Return Ratios</t>
  </si>
  <si>
    <t>Operating Ratio</t>
  </si>
  <si>
    <t>Leverage Ratio</t>
  </si>
  <si>
    <t>Valuation Ratio</t>
  </si>
  <si>
    <t>Corporate Governance Ratio</t>
  </si>
  <si>
    <t>Banking Ratio</t>
  </si>
  <si>
    <t>Growth Ratio</t>
  </si>
  <si>
    <t>Margin Ratio</t>
  </si>
  <si>
    <t>PAT/Capital Employed</t>
  </si>
  <si>
    <t>P&amp;L Items</t>
  </si>
  <si>
    <t>Cash Flow Items</t>
  </si>
  <si>
    <t>Balance Sheet Items</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</si>
  <si>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</si>
  <si>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</si>
  <si>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</si>
  <si>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</si>
  <si>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</si>
  <si>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</si>
  <si>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</si>
  <si>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</si>
  <si>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</si>
  <si>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Cash as a % of Share Price</t>
  </si>
  <si>
    <t>Cash per Share/Share Price</t>
  </si>
  <si>
    <t>CAGR Overall</t>
  </si>
  <si>
    <t>CAGR 5 Years</t>
  </si>
  <si>
    <t>CAGR 3 Years</t>
  </si>
  <si>
    <t>Accounts Recievable as a % of Sales</t>
  </si>
  <si>
    <t>Accounts Receivable/Sales</t>
  </si>
  <si>
    <t>Inventory as a % of Sales</t>
  </si>
  <si>
    <t>Inventory/Sales</t>
  </si>
  <si>
    <t>Reciebales and Inventory as a % of Sales</t>
  </si>
  <si>
    <t>(Receivables+Inventory)/Sales</t>
  </si>
  <si>
    <t>Cash as a % of Long Term Debt</t>
  </si>
  <si>
    <t>Cash/Long Term Debt</t>
  </si>
  <si>
    <t>Interest as a % of Long Term Debt</t>
  </si>
  <si>
    <t>Historical Quick Resignations</t>
  </si>
  <si>
    <t>Hero Motocorp: 2-Stage DCF</t>
  </si>
  <si>
    <t>Figures in Rs Crore | Enter values only in red cells</t>
  </si>
  <si>
    <t>Initial Cash Flow</t>
  </si>
  <si>
    <t>Years</t>
  </si>
  <si>
    <t>FCF Growth Rate</t>
  </si>
  <si>
    <t>Discount Rate</t>
  </si>
  <si>
    <t>Terminal Growth Rate</t>
  </si>
  <si>
    <t>Shares Outstanding (Crore)</t>
  </si>
  <si>
    <t>Net Debt Level</t>
  </si>
  <si>
    <r>
      <rPr>
        <b/>
        <sz val="15"/>
        <color rgb="FFC00000"/>
        <rFont val="Arial"/>
        <family val="2"/>
      </rPr>
      <t xml:space="preserve">Why DCF?        </t>
    </r>
    <r>
      <rPr>
        <b/>
        <sz val="12"/>
        <color rgb="FFC00000"/>
        <rFont val="Arial"/>
        <family val="2"/>
      </rPr>
      <t xml:space="preserve">                                     </t>
    </r>
    <r>
      <rPr>
        <b/>
        <sz val="11"/>
        <color theme="1"/>
        <rFont val="Arial"/>
        <family val="2"/>
      </rPr>
      <t>The value of a business is simply the present value of cash that investors can take out of the business over its lifetime.</t>
    </r>
  </si>
  <si>
    <t>Year</t>
  </si>
  <si>
    <t>FCF</t>
  </si>
  <si>
    <t>Growth</t>
  </si>
  <si>
    <t>Present Value</t>
  </si>
  <si>
    <t>1-5</t>
  </si>
  <si>
    <t>6-10</t>
  </si>
  <si>
    <t>Cashflow from Operations - CAPEX</t>
  </si>
  <si>
    <t>Final Calculations</t>
  </si>
  <si>
    <t>Terminal Year</t>
  </si>
  <si>
    <t>PV of Year 1-10 Cash Flows</t>
  </si>
  <si>
    <t>Terminal Value</t>
  </si>
  <si>
    <t>Total PV of Cash Flows</t>
  </si>
  <si>
    <t>Number of Shares</t>
  </si>
  <si>
    <t>DCF Value / Share (Rs)</t>
  </si>
  <si>
    <t>Fixed Asset</t>
  </si>
  <si>
    <t>Non-Current Investment, Lona Advances, Other non-current asset an current assets</t>
  </si>
  <si>
    <t>Loans and Advances</t>
  </si>
  <si>
    <t>Hero Motocorp - Fair Value Calculation</t>
  </si>
  <si>
    <t>(Enter values only in red cells)</t>
  </si>
  <si>
    <t>Diluted EPS (Rs)</t>
  </si>
  <si>
    <t>High P/E (x)</t>
  </si>
  <si>
    <t>Low P/E (x)</t>
  </si>
  <si>
    <t>Average P/E (x)</t>
  </si>
  <si>
    <t>Valuation - Different Methods (Rs)</t>
  </si>
  <si>
    <t>Avg P/E Ratio Valuation</t>
  </si>
  <si>
    <t>DCF</t>
  </si>
  <si>
    <t>Fair Value Range (Rs/Share)</t>
  </si>
  <si>
    <t>High End</t>
  </si>
  <si>
    <t>Low End</t>
  </si>
  <si>
    <t>Margin of Safety (MoS)</t>
  </si>
  <si>
    <t>Fair Value after MoS</t>
  </si>
  <si>
    <t>Current Mkt. Price (CMP, Rs)</t>
  </si>
  <si>
    <t>Premium / (Discount)</t>
  </si>
  <si>
    <r>
      <rPr>
        <b/>
        <sz val="20"/>
        <color rgb="FFC00000"/>
        <rFont val="Arial"/>
        <family val="2"/>
      </rPr>
      <t xml:space="preserve">Remember!  </t>
    </r>
    <r>
      <rPr>
        <b/>
        <sz val="12"/>
        <color rgb="FFC00000"/>
        <rFont val="Arial"/>
        <family val="2"/>
      </rPr>
      <t xml:space="preserve"> </t>
    </r>
    <r>
      <rPr>
        <b/>
        <sz val="12"/>
        <color theme="1"/>
        <rFont val="Arial"/>
        <family val="2"/>
      </rPr>
      <t xml:space="preserve">                                                                                            Give importance to a stock's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t>
    </r>
    <r>
      <rPr>
        <b/>
        <sz val="12"/>
        <color rgb="FFC00000"/>
        <rFont val="Arial"/>
        <family val="2"/>
      </rPr>
      <t>Focus on decisions, not outcomes. Look for disconfirming evidence. Pray!</t>
    </r>
  </si>
  <si>
    <t>High Price</t>
  </si>
  <si>
    <t>Low Price</t>
  </si>
  <si>
    <t>Expected Return Model</t>
  </si>
  <si>
    <t>Hero Motocorp</t>
  </si>
  <si>
    <t>CAGR (10-Yr)</t>
  </si>
  <si>
    <t>CAGR (5-Yr)</t>
  </si>
  <si>
    <t>Profit After Tax (Rs Cr)</t>
  </si>
  <si>
    <t>Earnings per Share (Rs )</t>
  </si>
  <si>
    <t>Net Profit Margin</t>
  </si>
  <si>
    <t>Calculations</t>
  </si>
  <si>
    <t>Esti. CAGR in EPS over next 10 years</t>
  </si>
  <si>
    <t>Esti. EPS after 10 years</t>
  </si>
  <si>
    <t>Current P/E</t>
  </si>
  <si>
    <t>Esti. Stock Price @ 20x P/E</t>
  </si>
  <si>
    <t>CMP (Rs)</t>
  </si>
  <si>
    <t>Esti. CAGR Return in 10 Years</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</si>
  <si>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</si>
  <si>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</si>
  <si>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</si>
  <si>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</si>
  <si>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</si>
  <si>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</si>
  <si>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</si>
  <si>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</si>
  <si>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</si>
  <si>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</si>
  <si>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</si>
  <si>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</si>
  <si>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</si>
  <si>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</si>
  <si>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</si>
  <si>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</si>
  <si>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</si>
  <si>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</si>
  <si>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</si>
  <si>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</si>
  <si>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PBT</t>
  </si>
  <si>
    <t>PAT</t>
  </si>
  <si>
    <t>Dividends</t>
  </si>
  <si>
    <t>Current Market Cap</t>
  </si>
  <si>
    <t>Equity</t>
  </si>
  <si>
    <t>Reserves &amp; Surplus</t>
  </si>
  <si>
    <t>Networth</t>
  </si>
  <si>
    <t>Secured Loans</t>
  </si>
  <si>
    <t>Unsecured Loans</t>
  </si>
  <si>
    <t>Net Fixed Assets</t>
  </si>
  <si>
    <t>Net Other Assets</t>
  </si>
  <si>
    <t>Invested Capital</t>
  </si>
  <si>
    <t>Total Assets</t>
  </si>
  <si>
    <t>Operating Cash Flow</t>
  </si>
  <si>
    <t>Tax Rate</t>
  </si>
  <si>
    <t>MktCap+Dividend</t>
  </si>
  <si>
    <t>Retained Profit</t>
  </si>
  <si>
    <t>Price/Book</t>
  </si>
  <si>
    <t>Price/Sales</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</si>
  <si>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</si>
  <si>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</si>
  <si>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</si>
  <si>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</si>
  <si>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</si>
  <si>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</si>
  <si>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</si>
  <si>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</si>
  <si>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</si>
  <si>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</si>
  <si>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Cash</t>
  </si>
  <si>
    <t>Current Asset</t>
  </si>
  <si>
    <t>NOPAT</t>
  </si>
  <si>
    <t>Price/operating CashFlow</t>
  </si>
  <si>
    <t>Price/Free Cashflow</t>
  </si>
  <si>
    <t>Total Liability</t>
  </si>
  <si>
    <t xml:space="preserve"> </t>
  </si>
  <si>
    <t>DELTA NETWORTH</t>
  </si>
  <si>
    <t>DELTA MKTCAP</t>
  </si>
  <si>
    <t>IMPACT*</t>
  </si>
  <si>
    <t>HISTORICAL VALUATIONS</t>
  </si>
  <si>
    <t>PRE-TAX BOND</t>
  </si>
  <si>
    <t>10 YR</t>
  </si>
  <si>
    <t>P/E</t>
  </si>
  <si>
    <t>P/B</t>
  </si>
  <si>
    <t>P/SALES</t>
  </si>
  <si>
    <t>YIELD</t>
  </si>
  <si>
    <t>LongTerm Bond</t>
  </si>
  <si>
    <t>7 YR</t>
  </si>
  <si>
    <t>MIN</t>
  </si>
  <si>
    <t>LTB Quote</t>
  </si>
  <si>
    <t>5 YR</t>
  </si>
  <si>
    <t>MAX</t>
  </si>
  <si>
    <t>Quoting @</t>
  </si>
  <si>
    <t>3 YR</t>
  </si>
  <si>
    <t>TRAILING</t>
  </si>
  <si>
    <t>1 YR</t>
  </si>
  <si>
    <t>* IMPACT – Every Rupee retained added xx.yy in incremental market value</t>
  </si>
  <si>
    <t>SALES</t>
  </si>
  <si>
    <t>GROSS PROFIT</t>
  </si>
  <si>
    <t>DIVIDEND</t>
  </si>
  <si>
    <t>EPA</t>
  </si>
  <si>
    <t>MKTCAP</t>
  </si>
  <si>
    <t>CFO</t>
  </si>
  <si>
    <t>NETWORTH</t>
  </si>
  <si>
    <t>TOTAL RETURNS</t>
  </si>
  <si>
    <t>10 YR CAGR</t>
  </si>
  <si>
    <t>5 YR CAGR</t>
  </si>
  <si>
    <t>3 YR CAGR</t>
  </si>
  <si>
    <t>1 YR GROWTH</t>
  </si>
  <si>
    <t xml:space="preserve">    </t>
  </si>
  <si>
    <t>Long term debt/Earning</t>
  </si>
  <si>
    <t>Current liablility/Earning</t>
  </si>
  <si>
    <t>Total liability/Earning</t>
  </si>
  <si>
    <t>Debt/Equity</t>
  </si>
  <si>
    <t>Interest Coverage</t>
  </si>
  <si>
    <t>Inventory Days</t>
  </si>
  <si>
    <t>Inventory turnover</t>
  </si>
  <si>
    <t>Cash In/Cash Out Ratio</t>
  </si>
  <si>
    <t>CFO/PAT</t>
  </si>
  <si>
    <t>Gross Margin</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</si>
  <si>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</si>
  <si>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</si>
  <si>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</si>
  <si>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</si>
  <si>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</si>
  <si>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</si>
  <si>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</si>
  <si>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</si>
  <si>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</si>
  <si>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</si>
  <si>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</si>
  <si>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</si>
  <si>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</si>
  <si>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</si>
  <si>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</si>
  <si>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</si>
  <si>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</si>
  <si>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</si>
  <si>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</si>
  <si>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</si>
  <si>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</si>
  <si>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EPA/Sales</t>
  </si>
  <si>
    <t>MktCap</t>
  </si>
  <si>
    <t>MktCap Change</t>
  </si>
  <si>
    <t>MktCap Change - EPA</t>
  </si>
  <si>
    <t>Capex/Cash Flows 10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</si>
  <si>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</si>
  <si>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</si>
  <si>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</si>
  <si>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</si>
  <si>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</si>
  <si>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</si>
  <si>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</si>
  <si>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</si>
  <si>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</si>
  <si>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</si>
  <si>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</si>
  <si>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PEG</t>
  </si>
  <si>
    <t>Capex/Cash Flows 7 yr</t>
  </si>
  <si>
    <t>Capex/Cash Flows 5 yr</t>
  </si>
  <si>
    <t>Capex/Cash Flows 3 yr</t>
  </si>
  <si>
    <t>Financial Attractiveness</t>
  </si>
  <si>
    <t>Corporate Governance</t>
  </si>
  <si>
    <t>Dividend Increament History</t>
  </si>
  <si>
    <t>Equity Dilution</t>
  </si>
  <si>
    <t>Market Potential</t>
  </si>
  <si>
    <t>Valuation Attractiveness</t>
  </si>
  <si>
    <t>MOAT</t>
  </si>
  <si>
    <t>Business Performnce/Strength</t>
  </si>
  <si>
    <t>Industry Market Cap/Industry Market Size</t>
  </si>
  <si>
    <t>Cuurent Leverage</t>
  </si>
  <si>
    <t>Avg. Return on Equity (3 Years)</t>
  </si>
  <si>
    <t>Avg. Working Capital/Sales (3 Years)</t>
  </si>
  <si>
    <t>Avg. Asset turnover (3 Years)</t>
  </si>
  <si>
    <t>Increase in Market Share CAGR (3 Years)</t>
  </si>
  <si>
    <t>Industry Projecte Growth Rate for next 5 Years</t>
  </si>
  <si>
    <t>Avg. Net Profit Margin (3 Years)</t>
  </si>
  <si>
    <t>Historic Revenue Growth</t>
  </si>
  <si>
    <t>Historic PAT Growth</t>
  </si>
  <si>
    <t>Historic EPS Growth</t>
  </si>
  <si>
    <t>Historic Return on Equity Growth</t>
  </si>
  <si>
    <t>Historic Net Profit Margin Growth</t>
  </si>
  <si>
    <t>Historic Reduction in Leverage</t>
  </si>
  <si>
    <t>Historic Asset Utilization Growth</t>
  </si>
  <si>
    <t>Historic Increase in CFO</t>
  </si>
  <si>
    <t>Historic Increase in FCF</t>
  </si>
  <si>
    <t>Unrelated Diversificification</t>
  </si>
  <si>
    <t>Weightage</t>
  </si>
  <si>
    <t>Score</t>
  </si>
  <si>
    <t>Historic Financial Performance (CAGR 10 or 5 Years)</t>
  </si>
  <si>
    <t>Avg. Wrong Guidance (Deviation)</t>
  </si>
  <si>
    <t>Count of Wrong Guidance</t>
  </si>
  <si>
    <t>Misuse of Capital (% of Reserve)</t>
  </si>
  <si>
    <t>Trailing PEG</t>
  </si>
  <si>
    <t>Forward PEG</t>
  </si>
  <si>
    <t>Market Share Rank (Top percentile in Organized)</t>
  </si>
  <si>
    <t>Pricing Power(Avg. Price Hike per Unit)</t>
  </si>
  <si>
    <t>Choose Business Type (Growing/Moderate/Saturated)</t>
  </si>
  <si>
    <t>Company Projecte Growth Rate above industry for next 5 Years</t>
  </si>
  <si>
    <t>Avg. CFO/PAT (3 Years)</t>
  </si>
  <si>
    <t>Avg FCF/PAT (3 Years)</t>
  </si>
  <si>
    <t>Avg. CAPEX/FCF (3 Years)</t>
  </si>
  <si>
    <t>Higher the Score Better</t>
  </si>
  <si>
    <t>Max Score</t>
  </si>
  <si>
    <t>Parameters</t>
  </si>
  <si>
    <t>Allocated Score</t>
  </si>
  <si>
    <t>Achieved Score</t>
  </si>
  <si>
    <t>% Achieved</t>
  </si>
  <si>
    <t>Historic Improvement in Working Capital Utlization</t>
  </si>
  <si>
    <t>FCF/PAT</t>
  </si>
  <si>
    <t>CAPEX/FCF</t>
  </si>
  <si>
    <t>Average Dividend Payout</t>
  </si>
  <si>
    <t>Qualitative</t>
  </si>
  <si>
    <t>Quantitative</t>
  </si>
  <si>
    <t>Market Rank</t>
  </si>
  <si>
    <t>Company Expected Growth Rate</t>
  </si>
  <si>
    <t>Industry Expected Growth Rate</t>
  </si>
  <si>
    <t>PY5</t>
  </si>
  <si>
    <t>PY4</t>
  </si>
  <si>
    <t>PY3</t>
  </si>
  <si>
    <t>PY2</t>
  </si>
  <si>
    <t>CY</t>
  </si>
  <si>
    <t>FY1</t>
  </si>
  <si>
    <t>FY2</t>
  </si>
  <si>
    <t>FY3</t>
  </si>
  <si>
    <t>FY4</t>
  </si>
  <si>
    <t>FY5</t>
  </si>
  <si>
    <t>Market Share (Top Percentile)</t>
  </si>
  <si>
    <t>Price/Unit</t>
  </si>
  <si>
    <t>Industry Market Cap</t>
  </si>
  <si>
    <t>Industry Market Size</t>
  </si>
  <si>
    <t>Consolidated Score</t>
  </si>
  <si>
    <t>Achieved</t>
  </si>
  <si>
    <t>Reputation</t>
  </si>
  <si>
    <t>KOVAI MEDICAL CENTER &amp; HOSPITAL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</si>
</sst>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409]d\-mmm\-yy;@"/>
    <numFmt numFmtId="167" formatCode="0.0%"/>
    <numFmt numFmtId="168" formatCode="0.0"/>
    <numFmt numFmtId="169" formatCode="_(* #,##0_);_(* \(#,##0\);_(* &quot;-&quot;??_);_(@_)"/>
    <numFmt numFmtId="170" formatCode="_(* #,##0.0_);_(* \(#,##0.0\);_(* &quot;-&quot;??_);_(@_)"/>
    <numFmt numFmtId="171" formatCode="[$-409]mmm/yy;@"/>
    <numFmt numFmtId="172" formatCode="dd/mm/yy"/>
  </numFmts>
  <fonts count="51"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sz val="9"/>
      <color indexed="81"/>
      <name val="Tahoma"/>
      <family val="2"/>
    </font>
    <font>
      <b/>
      <sz val="9"/>
      <color indexed="81"/>
      <name val="Tahoma"/>
      <family val="2"/>
    </font>
    <font>
      <b/>
      <u/>
      <sz val="14"/>
      <color theme="1"/>
      <name val="Calibri"/>
      <family val="2"/>
      <scheme val="minor"/>
    </font>
    <font>
      <b/>
      <u/>
      <sz val="13"/>
      <color theme="1"/>
      <name val="Calibri"/>
      <family val="2"/>
      <scheme val="minor"/>
    </font>
    <font>
      <b/>
      <sz val="15"/>
      <name val="Arial"/>
      <family val="2"/>
    </font>
    <font>
      <i/>
      <sz val="12"/>
      <color rgb="FFC00000"/>
      <name val="Arial"/>
      <family val="2"/>
    </font>
    <font>
      <sz val="12"/>
      <color theme="1"/>
      <name val="Arial"/>
      <family val="2"/>
    </font>
    <font>
      <sz val="12"/>
      <name val="Arial"/>
      <family val="2"/>
    </font>
    <font>
      <b/>
      <i/>
      <sz val="9"/>
      <color indexed="81"/>
      <name val="Tahoma"/>
      <family val="2"/>
    </font>
    <font>
      <b/>
      <sz val="12"/>
      <color theme="1"/>
      <name val="Arial"/>
      <family val="2"/>
    </font>
    <font>
      <b/>
      <sz val="15"/>
      <color rgb="FFC00000"/>
      <name val="Arial"/>
      <family val="2"/>
    </font>
    <font>
      <b/>
      <sz val="12"/>
      <color rgb="FFC00000"/>
      <name val="Arial"/>
      <family val="2"/>
    </font>
    <font>
      <b/>
      <sz val="11"/>
      <color theme="1"/>
      <name val="Arial"/>
      <family val="2"/>
    </font>
    <font>
      <b/>
      <sz val="12"/>
      <name val="Arial"/>
      <family val="2"/>
    </font>
    <font>
      <b/>
      <sz val="12"/>
      <color theme="0"/>
      <name val="Arial"/>
      <family val="2"/>
    </font>
    <font>
      <sz val="9"/>
      <color indexed="81"/>
      <name val="Tahoma"/>
      <charset val="1"/>
    </font>
    <font>
      <b/>
      <sz val="9"/>
      <color indexed="81"/>
      <name val="Tahoma"/>
      <charset val="1"/>
    </font>
    <font>
      <b/>
      <sz val="15"/>
      <color theme="1"/>
      <name val="Arial"/>
      <family val="2"/>
    </font>
    <font>
      <sz val="12"/>
      <color rgb="FF000000"/>
      <name val="Arial"/>
      <family val="2"/>
    </font>
    <font>
      <b/>
      <sz val="12"/>
      <color theme="0" tint="-4.9989318521683403E-2"/>
      <name val="Arial"/>
      <family val="2"/>
    </font>
    <font>
      <i/>
      <sz val="9"/>
      <color indexed="81"/>
      <name val="Tahoma"/>
      <family val="2"/>
    </font>
    <font>
      <b/>
      <sz val="20"/>
      <color rgb="FFC00000"/>
      <name val="Arial"/>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1"/>
      <color indexed="8"/>
      <name val="Calibri"/>
      <family val="2"/>
      <charset val="1"/>
    </font>
    <font>
      <sz val="10"/>
      <color indexed="8"/>
      <name val="Calibri"/>
      <family val="2"/>
      <charset val="1"/>
    </font>
    <font>
      <sz val="10"/>
      <name val="Arial"/>
      <family val="2"/>
    </font>
    <font>
      <b/>
      <sz val="11"/>
      <color indexed="8"/>
      <name val="Calibri"/>
      <family val="2"/>
      <charset val="1"/>
    </font>
    <font>
      <sz val="11"/>
      <color indexed="9"/>
      <name val="Calibri"/>
      <family val="2"/>
      <charset val="1"/>
    </font>
    <font>
      <b/>
      <sz val="9"/>
      <color indexed="8"/>
      <name val="Tahoma"/>
      <family val="2"/>
      <charset val="1"/>
    </font>
    <font>
      <sz val="9"/>
      <color indexed="8"/>
      <name val="Tahoma"/>
      <family val="2"/>
      <charset val="1"/>
    </font>
  </fonts>
  <fills count="22">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39997558519241921"/>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FF00"/>
        <bgColor indexed="64"/>
      </patternFill>
    </fill>
    <fill>
      <patternFill patternType="solid">
        <fgColor rgb="FFFFC000"/>
        <bgColor indexed="64"/>
      </patternFill>
    </fill>
    <fill>
      <patternFill patternType="solid">
        <fgColor indexed="61"/>
        <bgColor indexed="25"/>
      </patternFill>
    </fill>
    <fill>
      <patternFill patternType="solid">
        <fgColor indexed="19"/>
        <bgColor indexed="23"/>
      </patternFill>
    </fill>
    <fill>
      <patternFill patternType="solid">
        <fgColor indexed="9"/>
        <bgColor indexed="27"/>
      </patternFill>
    </fill>
    <fill>
      <patternFill patternType="solid">
        <fgColor rgb="FF0275D8"/>
        <bgColor indexed="31"/>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46" fillId="0" borderId="0"/>
    <xf numFmtId="9" fontId="44" fillId="0" borderId="0"/>
  </cellStyleXfs>
  <cellXfs count="298">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9" fontId="0" fillId="0" borderId="0" xfId="6"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167" fontId="0" fillId="0" borderId="0" xfId="6" applyNumberFormat="1" applyFont="1" applyAlignment="1">
      <alignment horizontal="center" vertical="center"/>
    </xf>
    <xf numFmtId="2" fontId="0" fillId="0" borderId="0" xfId="0" applyNumberFormat="1" applyAlignment="1">
      <alignment horizontal="center" vertical="center"/>
    </xf>
    <xf numFmtId="168" fontId="0" fillId="0" borderId="0" xfId="0" applyNumberFormat="1" applyAlignment="1">
      <alignment horizontal="center" vertical="center"/>
    </xf>
    <xf numFmtId="0" fontId="1" fillId="0" borderId="0" xfId="0" applyFont="1"/>
    <xf numFmtId="166" fontId="1" fillId="0" borderId="0" xfId="0" applyNumberFormat="1" applyFont="1"/>
    <xf numFmtId="1" fontId="0" fillId="0" borderId="0" xfId="0" applyNumberFormat="1" applyAlignment="1">
      <alignment horizontal="center" vertical="center"/>
    </xf>
    <xf numFmtId="0" fontId="12" fillId="0" borderId="0" xfId="0" applyFont="1" applyAlignment="1">
      <alignment wrapText="1"/>
    </xf>
    <xf numFmtId="0" fontId="1"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 fillId="0" borderId="0" xfId="0" applyFont="1" applyAlignment="1">
      <alignment horizontal="center" vertical="center"/>
    </xf>
    <xf numFmtId="2" fontId="0" fillId="0" borderId="0" xfId="6" applyNumberFormat="1" applyFont="1" applyAlignment="1">
      <alignment horizontal="center" vertical="center"/>
    </xf>
    <xf numFmtId="168" fontId="0" fillId="0" borderId="0" xfId="6" applyNumberFormat="1" applyFont="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1" fontId="0" fillId="0" borderId="0" xfId="0" applyNumberFormat="1" applyFill="1" applyAlignment="1">
      <alignment horizontal="center" vertical="center"/>
    </xf>
    <xf numFmtId="168" fontId="0" fillId="0" borderId="0" xfId="0" applyNumberFormat="1" applyFill="1" applyAlignment="1">
      <alignment horizontal="center" vertical="center"/>
    </xf>
    <xf numFmtId="166" fontId="1" fillId="0" borderId="0" xfId="6" applyNumberFormat="1" applyFont="1" applyAlignment="1">
      <alignment horizontal="center" vertical="center"/>
    </xf>
    <xf numFmtId="166" fontId="1" fillId="0" borderId="0" xfId="0" applyNumberFormat="1" applyFont="1" applyAlignment="1">
      <alignment horizontal="center" vertical="center"/>
    </xf>
    <xf numFmtId="9" fontId="3" fillId="0" borderId="0" xfId="6" applyFont="1" applyAlignment="1">
      <alignment horizontal="center" vertical="center"/>
    </xf>
    <xf numFmtId="1" fontId="0" fillId="0" borderId="0" xfId="6" applyNumberFormat="1"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21" fillId="0" borderId="0" xfId="0" applyFont="1"/>
    <xf numFmtId="0" fontId="21" fillId="0" borderId="0" xfId="0" applyFont="1" applyAlignment="1">
      <alignment horizontal="left"/>
    </xf>
    <xf numFmtId="0" fontId="22" fillId="0" borderId="0" xfId="0" applyFont="1"/>
    <xf numFmtId="0" fontId="28" fillId="7" borderId="1" xfId="0" applyFont="1" applyFill="1" applyBorder="1" applyAlignment="1">
      <alignment horizontal="center"/>
    </xf>
    <xf numFmtId="0" fontId="28" fillId="7" borderId="2" xfId="0" applyFont="1" applyFill="1" applyBorder="1" applyAlignment="1">
      <alignment horizontal="center"/>
    </xf>
    <xf numFmtId="0" fontId="28" fillId="7" borderId="3" xfId="0" applyFont="1" applyFill="1" applyBorder="1" applyAlignment="1">
      <alignment horizontal="center"/>
    </xf>
    <xf numFmtId="0" fontId="22" fillId="0" borderId="15" xfId="0" applyFont="1" applyBorder="1" applyAlignment="1">
      <alignment horizontal="center"/>
    </xf>
    <xf numFmtId="0" fontId="22" fillId="0" borderId="4" xfId="0" applyFont="1" applyBorder="1" applyAlignment="1">
      <alignment horizontal="center"/>
    </xf>
    <xf numFmtId="49" fontId="28" fillId="7" borderId="16" xfId="0" applyNumberFormat="1" applyFont="1" applyFill="1" applyBorder="1" applyAlignment="1">
      <alignment horizontal="center"/>
    </xf>
    <xf numFmtId="49" fontId="28" fillId="7" borderId="17" xfId="0" applyNumberFormat="1" applyFont="1" applyFill="1" applyBorder="1" applyAlignment="1">
      <alignment horizontal="center"/>
    </xf>
    <xf numFmtId="9" fontId="0" fillId="0" borderId="0" xfId="0" applyNumberFormat="1"/>
    <xf numFmtId="38" fontId="22" fillId="0" borderId="18" xfId="0" applyNumberFormat="1" applyFont="1" applyBorder="1" applyAlignment="1">
      <alignment horizontal="center"/>
    </xf>
    <xf numFmtId="9" fontId="22" fillId="0" borderId="18" xfId="0" applyNumberFormat="1" applyFont="1" applyBorder="1" applyAlignment="1">
      <alignment horizontal="center"/>
    </xf>
    <xf numFmtId="169" fontId="22" fillId="0" borderId="19" xfId="0" applyNumberFormat="1" applyFont="1" applyBorder="1" applyAlignment="1">
      <alignment horizontal="center"/>
    </xf>
    <xf numFmtId="38" fontId="22" fillId="0" borderId="5" xfId="0" applyNumberFormat="1" applyFont="1" applyBorder="1" applyAlignment="1">
      <alignment horizontal="center"/>
    </xf>
    <xf numFmtId="9" fontId="22" fillId="0" borderId="5" xfId="0" applyNumberFormat="1" applyFont="1" applyBorder="1" applyAlignment="1">
      <alignment horizontal="center"/>
    </xf>
    <xf numFmtId="170" fontId="22" fillId="0" borderId="19" xfId="0" applyNumberFormat="1" applyFont="1" applyBorder="1" applyAlignment="1">
      <alignment horizontal="center"/>
    </xf>
    <xf numFmtId="170" fontId="22" fillId="0" borderId="6" xfId="0" applyNumberFormat="1" applyFont="1" applyBorder="1" applyAlignment="1">
      <alignment horizontal="center"/>
    </xf>
    <xf numFmtId="0" fontId="22" fillId="0" borderId="15" xfId="0" applyFont="1" applyBorder="1" applyAlignment="1">
      <alignment horizontal="left"/>
    </xf>
    <xf numFmtId="0" fontId="22" fillId="0" borderId="15" xfId="0" quotePrefix="1" applyFont="1" applyBorder="1" applyAlignment="1">
      <alignment horizontal="left"/>
    </xf>
    <xf numFmtId="0" fontId="29" fillId="8" borderId="4" xfId="0" applyFont="1" applyFill="1" applyBorder="1" applyAlignment="1">
      <alignment horizontal="left"/>
    </xf>
    <xf numFmtId="169" fontId="29" fillId="8" borderId="6" xfId="0" applyNumberFormat="1" applyFont="1" applyFill="1"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left" vertical="center"/>
    </xf>
    <xf numFmtId="43" fontId="0" fillId="0" borderId="0" xfId="0" applyNumberFormat="1" applyBorder="1"/>
    <xf numFmtId="0" fontId="0" fillId="0" borderId="0" xfId="0" applyBorder="1" applyAlignment="1">
      <alignment wrapText="1"/>
    </xf>
    <xf numFmtId="43" fontId="0" fillId="0" borderId="0" xfId="0" applyNumberFormat="1"/>
    <xf numFmtId="0" fontId="24" fillId="7" borderId="1" xfId="0" applyFont="1" applyFill="1" applyBorder="1"/>
    <xf numFmtId="171" fontId="24" fillId="7" borderId="2" xfId="0" applyNumberFormat="1" applyFont="1" applyFill="1" applyBorder="1" applyAlignment="1">
      <alignment horizontal="right"/>
    </xf>
    <xf numFmtId="0" fontId="33" fillId="0" borderId="15" xfId="0" applyFont="1" applyFill="1" applyBorder="1"/>
    <xf numFmtId="0" fontId="33" fillId="0" borderId="4" xfId="0" applyFont="1" applyFill="1" applyBorder="1"/>
    <xf numFmtId="0" fontId="21" fillId="0" borderId="15" xfId="0" applyFont="1" applyFill="1" applyBorder="1"/>
    <xf numFmtId="169" fontId="21" fillId="0" borderId="19" xfId="1" applyNumberFormat="1" applyFont="1" applyFill="1" applyBorder="1"/>
    <xf numFmtId="0" fontId="21" fillId="0" borderId="0" xfId="0" applyFont="1" applyBorder="1"/>
    <xf numFmtId="0" fontId="21" fillId="0" borderId="15" xfId="0" applyFont="1" applyFill="1" applyBorder="1" applyAlignment="1">
      <alignment horizontal="left"/>
    </xf>
    <xf numFmtId="0" fontId="26" fillId="0" borderId="15" xfId="0" applyFont="1" applyBorder="1"/>
    <xf numFmtId="9" fontId="26" fillId="0" borderId="19" xfId="0" applyNumberFormat="1" applyFont="1" applyBorder="1"/>
    <xf numFmtId="0" fontId="34" fillId="8" borderId="15" xfId="0" applyFont="1" applyFill="1" applyBorder="1"/>
    <xf numFmtId="169" fontId="34" fillId="8" borderId="19" xfId="1" applyNumberFormat="1" applyFont="1" applyFill="1" applyBorder="1"/>
    <xf numFmtId="0" fontId="24" fillId="0" borderId="15" xfId="0" applyFont="1" applyBorder="1"/>
    <xf numFmtId="169" fontId="24" fillId="0" borderId="19" xfId="1" applyNumberFormat="1" applyFont="1" applyBorder="1"/>
    <xf numFmtId="0" fontId="21" fillId="0" borderId="4" xfId="0" applyFont="1" applyFill="1" applyBorder="1"/>
    <xf numFmtId="167" fontId="24" fillId="0" borderId="6" xfId="6" applyNumberFormat="1" applyFont="1" applyFill="1" applyBorder="1"/>
    <xf numFmtId="168" fontId="0" fillId="0" borderId="0" xfId="0" applyNumberFormat="1"/>
    <xf numFmtId="1" fontId="3" fillId="0" borderId="0" xfId="6" applyNumberFormat="1" applyFont="1" applyAlignment="1">
      <alignment horizontal="center" vertical="center"/>
    </xf>
    <xf numFmtId="1" fontId="0" fillId="0" borderId="0" xfId="0" applyNumberFormat="1"/>
    <xf numFmtId="0" fontId="32" fillId="0" borderId="0" xfId="0" applyFont="1"/>
    <xf numFmtId="0" fontId="24" fillId="6" borderId="2" xfId="0" applyFont="1" applyFill="1" applyBorder="1" applyAlignment="1">
      <alignment horizontal="right"/>
    </xf>
    <xf numFmtId="0" fontId="24" fillId="6" borderId="3" xfId="0" applyFont="1" applyFill="1" applyBorder="1" applyAlignment="1">
      <alignment horizontal="right"/>
    </xf>
    <xf numFmtId="0" fontId="21" fillId="0" borderId="15" xfId="0" applyFont="1" applyBorder="1" applyAlignment="1">
      <alignment wrapText="1"/>
    </xf>
    <xf numFmtId="0" fontId="21" fillId="0" borderId="23" xfId="0" applyFont="1" applyBorder="1" applyAlignment="1">
      <alignment wrapText="1"/>
    </xf>
    <xf numFmtId="0" fontId="21" fillId="0" borderId="4" xfId="0" applyFont="1" applyBorder="1" applyAlignment="1">
      <alignment wrapText="1"/>
    </xf>
    <xf numFmtId="0" fontId="24" fillId="0" borderId="0" xfId="0" applyFont="1"/>
    <xf numFmtId="0" fontId="21" fillId="0" borderId="1" xfId="0" applyFont="1" applyBorder="1"/>
    <xf numFmtId="0" fontId="21" fillId="0" borderId="15" xfId="0" applyFont="1" applyBorder="1"/>
    <xf numFmtId="0" fontId="24" fillId="9" borderId="4" xfId="0" applyFont="1" applyFill="1" applyBorder="1"/>
    <xf numFmtId="167" fontId="0" fillId="0" borderId="0" xfId="6" applyNumberFormat="1" applyFont="1"/>
    <xf numFmtId="9" fontId="21" fillId="6" borderId="18" xfId="6" applyNumberFormat="1" applyFont="1" applyFill="1" applyBorder="1" applyAlignment="1">
      <alignment horizontal="right"/>
    </xf>
    <xf numFmtId="9" fontId="21" fillId="6" borderId="19" xfId="6" applyNumberFormat="1" applyFont="1" applyFill="1" applyBorder="1" applyAlignment="1">
      <alignment horizontal="right"/>
    </xf>
    <xf numFmtId="169" fontId="21" fillId="0" borderId="19" xfId="1" applyNumberFormat="1" applyFont="1" applyBorder="1"/>
    <xf numFmtId="167" fontId="24" fillId="9" borderId="6" xfId="6" applyNumberFormat="1" applyFont="1" applyFill="1" applyBorder="1"/>
    <xf numFmtId="0" fontId="37" fillId="0" borderId="0" xfId="0" applyFont="1" applyBorder="1"/>
    <xf numFmtId="0" fontId="38" fillId="0" borderId="0" xfId="0" applyFont="1" applyBorder="1"/>
    <xf numFmtId="0" fontId="40" fillId="11" borderId="0" xfId="0" applyFont="1" applyFill="1"/>
    <xf numFmtId="0" fontId="40" fillId="0" borderId="0" xfId="0" applyFont="1"/>
    <xf numFmtId="0" fontId="39" fillId="12" borderId="24" xfId="0" applyFont="1" applyFill="1" applyBorder="1" applyAlignment="1">
      <alignment horizontal="center"/>
    </xf>
    <xf numFmtId="172" fontId="39" fillId="12" borderId="24" xfId="0" applyNumberFormat="1" applyFont="1" applyFill="1" applyBorder="1" applyAlignment="1">
      <alignment horizontal="center"/>
    </xf>
    <xf numFmtId="0" fontId="41" fillId="0" borderId="24" xfId="0" applyFont="1" applyBorder="1"/>
    <xf numFmtId="0" fontId="40" fillId="0" borderId="24" xfId="0" applyFont="1" applyBorder="1"/>
    <xf numFmtId="0" fontId="43" fillId="14" borderId="25" xfId="0" applyFont="1" applyFill="1" applyBorder="1" applyAlignment="1">
      <alignment horizontal="right" vertical="center" wrapText="1"/>
    </xf>
    <xf numFmtId="0" fontId="39" fillId="15" borderId="25" xfId="0" applyFont="1" applyFill="1" applyBorder="1"/>
    <xf numFmtId="172" fontId="39" fillId="12" borderId="25" xfId="0" applyNumberFormat="1" applyFont="1" applyFill="1" applyBorder="1" applyAlignment="1">
      <alignment horizontal="center"/>
    </xf>
    <xf numFmtId="10" fontId="40" fillId="0" borderId="0" xfId="0" applyNumberFormat="1" applyFont="1" applyFill="1"/>
    <xf numFmtId="0" fontId="39" fillId="12" borderId="26" xfId="0" applyFont="1" applyFill="1" applyBorder="1" applyAlignment="1">
      <alignment horizontal="center"/>
    </xf>
    <xf numFmtId="172" fontId="39" fillId="12" borderId="26" xfId="0" applyNumberFormat="1" applyFont="1" applyFill="1" applyBorder="1" applyAlignment="1">
      <alignment horizontal="center"/>
    </xf>
    <xf numFmtId="0" fontId="40" fillId="0" borderId="18" xfId="0" applyFont="1" applyBorder="1"/>
    <xf numFmtId="0" fontId="40" fillId="11" borderId="27" xfId="0" applyFont="1" applyFill="1" applyBorder="1"/>
    <xf numFmtId="0" fontId="40" fillId="0" borderId="18" xfId="0" applyFont="1" applyFill="1" applyBorder="1"/>
    <xf numFmtId="0" fontId="40" fillId="16" borderId="18" xfId="0" applyFont="1" applyFill="1" applyBorder="1"/>
    <xf numFmtId="0" fontId="38" fillId="0" borderId="18" xfId="0" applyFont="1" applyBorder="1"/>
    <xf numFmtId="2" fontId="40" fillId="0" borderId="18" xfId="0" applyNumberFormat="1" applyFont="1" applyBorder="1"/>
    <xf numFmtId="9" fontId="45" fillId="0" borderId="18" xfId="6" applyFont="1" applyBorder="1"/>
    <xf numFmtId="0" fontId="40" fillId="0" borderId="25" xfId="0" applyFont="1" applyBorder="1"/>
    <xf numFmtId="43" fontId="40" fillId="0" borderId="18" xfId="0" applyNumberFormat="1" applyFont="1" applyBorder="1"/>
    <xf numFmtId="0" fontId="40" fillId="0" borderId="24" xfId="0" applyFont="1" applyFill="1" applyBorder="1" applyAlignment="1">
      <alignment horizontal="left" wrapText="1"/>
    </xf>
    <xf numFmtId="4" fontId="42" fillId="0" borderId="18" xfId="0" applyNumberFormat="1" applyFont="1" applyFill="1" applyBorder="1" applyAlignment="1">
      <alignment horizontal="right" vertical="center" wrapText="1"/>
    </xf>
    <xf numFmtId="0" fontId="40" fillId="0" borderId="25" xfId="0" applyFont="1" applyFill="1" applyBorder="1"/>
    <xf numFmtId="2" fontId="40" fillId="0" borderId="25" xfId="0" applyNumberFormat="1" applyFont="1" applyFill="1" applyBorder="1"/>
    <xf numFmtId="2" fontId="40" fillId="0" borderId="25" xfId="0" applyNumberFormat="1" applyFont="1" applyFill="1" applyBorder="1" applyAlignment="1">
      <alignment horizontal="right"/>
    </xf>
    <xf numFmtId="0" fontId="40" fillId="17" borderId="25" xfId="0" applyFont="1" applyFill="1" applyBorder="1"/>
    <xf numFmtId="0" fontId="40" fillId="17" borderId="18" xfId="0" applyFont="1" applyFill="1" applyBorder="1"/>
    <xf numFmtId="0" fontId="40" fillId="0" borderId="25" xfId="0" applyFont="1" applyFill="1" applyBorder="1" applyAlignment="1">
      <alignment horizontal="left"/>
    </xf>
    <xf numFmtId="0" fontId="0" fillId="16" borderId="0" xfId="0" applyFill="1"/>
    <xf numFmtId="0" fontId="37" fillId="0" borderId="0" xfId="7" applyFont="1" applyBorder="1"/>
    <xf numFmtId="0" fontId="38" fillId="0" borderId="0" xfId="7" applyFont="1" applyBorder="1"/>
    <xf numFmtId="0" fontId="38" fillId="0" borderId="0" xfId="7" applyFont="1"/>
    <xf numFmtId="0" fontId="37" fillId="0" borderId="0" xfId="7" applyFont="1"/>
    <xf numFmtId="0" fontId="39" fillId="12" borderId="25" xfId="7" applyFont="1" applyFill="1" applyBorder="1" applyAlignment="1">
      <alignment horizontal="center"/>
    </xf>
    <xf numFmtId="0" fontId="39" fillId="12" borderId="25" xfId="7" applyFont="1" applyFill="1" applyBorder="1" applyAlignment="1">
      <alignment horizontal="center" wrapText="1"/>
    </xf>
    <xf numFmtId="0" fontId="47" fillId="0" borderId="25" xfId="7" applyFont="1" applyFill="1" applyBorder="1" applyAlignment="1">
      <alignment horizontal="right"/>
    </xf>
    <xf numFmtId="0" fontId="38" fillId="0" borderId="25" xfId="7" applyFont="1" applyBorder="1"/>
    <xf numFmtId="0" fontId="48" fillId="18" borderId="25" xfId="7" applyFont="1" applyFill="1" applyBorder="1" applyAlignment="1">
      <alignment horizontal="center" wrapText="1"/>
    </xf>
    <xf numFmtId="0" fontId="48" fillId="18" borderId="25" xfId="7" applyFont="1" applyFill="1" applyBorder="1" applyAlignment="1">
      <alignment horizontal="center"/>
    </xf>
    <xf numFmtId="0" fontId="48" fillId="18" borderId="25" xfId="7" applyFont="1" applyFill="1" applyBorder="1"/>
    <xf numFmtId="9" fontId="48" fillId="18" borderId="25" xfId="7" applyNumberFormat="1" applyFont="1" applyFill="1" applyBorder="1" applyAlignment="1">
      <alignment horizontal="center"/>
    </xf>
    <xf numFmtId="0" fontId="37" fillId="0" borderId="25" xfId="7" applyFont="1" applyBorder="1"/>
    <xf numFmtId="2" fontId="48" fillId="18" borderId="25" xfId="7" applyNumberFormat="1" applyFont="1" applyFill="1" applyBorder="1" applyAlignment="1">
      <alignment horizontal="center"/>
    </xf>
    <xf numFmtId="10" fontId="48" fillId="18" borderId="25" xfId="7" applyNumberFormat="1" applyFont="1" applyFill="1" applyBorder="1" applyAlignment="1">
      <alignment horizontal="center"/>
    </xf>
    <xf numFmtId="0" fontId="48" fillId="18" borderId="0" xfId="7" applyFont="1" applyFill="1"/>
    <xf numFmtId="0" fontId="48" fillId="18" borderId="25" xfId="7" applyFont="1" applyFill="1" applyBorder="1" applyAlignment="1">
      <alignment horizontal="left"/>
    </xf>
    <xf numFmtId="0" fontId="38" fillId="18" borderId="0" xfId="7" applyFont="1" applyFill="1"/>
    <xf numFmtId="2" fontId="38" fillId="0" borderId="25" xfId="7" applyNumberFormat="1" applyFont="1" applyBorder="1"/>
    <xf numFmtId="0" fontId="48" fillId="0" borderId="25" xfId="7" applyFont="1" applyBorder="1" applyAlignment="1">
      <alignment horizontal="center"/>
    </xf>
    <xf numFmtId="0" fontId="38" fillId="0" borderId="29" xfId="7" applyFont="1" applyBorder="1" applyAlignment="1">
      <alignment horizontal="left"/>
    </xf>
    <xf numFmtId="0" fontId="39" fillId="12" borderId="24" xfId="7" applyFont="1" applyFill="1" applyBorder="1" applyAlignment="1">
      <alignment horizontal="center"/>
    </xf>
    <xf numFmtId="0" fontId="39" fillId="12" borderId="24" xfId="7" applyFont="1" applyFill="1" applyBorder="1" applyAlignment="1">
      <alignment horizontal="center" wrapText="1"/>
    </xf>
    <xf numFmtId="0" fontId="37" fillId="0" borderId="24" xfId="7" applyFont="1" applyBorder="1" applyAlignment="1">
      <alignment horizontal="right"/>
    </xf>
    <xf numFmtId="10" fontId="39" fillId="19" borderId="24" xfId="7" applyNumberFormat="1" applyFont="1" applyFill="1" applyBorder="1"/>
    <xf numFmtId="10" fontId="48" fillId="19" borderId="25" xfId="7" applyNumberFormat="1" applyFont="1" applyFill="1" applyBorder="1"/>
    <xf numFmtId="10" fontId="39" fillId="19" borderId="25" xfId="7" applyNumberFormat="1" applyFont="1" applyFill="1" applyBorder="1"/>
    <xf numFmtId="10" fontId="37" fillId="0" borderId="0" xfId="7" applyNumberFormat="1" applyFont="1" applyBorder="1"/>
    <xf numFmtId="14" fontId="39" fillId="12" borderId="24" xfId="7" applyNumberFormat="1" applyFont="1" applyFill="1" applyBorder="1" applyAlignment="1">
      <alignment horizontal="center"/>
    </xf>
    <xf numFmtId="0" fontId="37" fillId="20" borderId="24" xfId="7" applyFont="1" applyFill="1" applyBorder="1" applyAlignment="1">
      <alignment horizontal="right"/>
    </xf>
    <xf numFmtId="0" fontId="37" fillId="0" borderId="0" xfId="7" applyFont="1" applyAlignment="1">
      <alignment horizontal="right"/>
    </xf>
    <xf numFmtId="0" fontId="37" fillId="0" borderId="24" xfId="7" applyFont="1" applyFill="1" applyBorder="1" applyAlignment="1">
      <alignment horizontal="right"/>
    </xf>
    <xf numFmtId="10" fontId="38" fillId="0" borderId="0" xfId="7" applyNumberFormat="1" applyFont="1"/>
    <xf numFmtId="10" fontId="39" fillId="19" borderId="36" xfId="7" applyNumberFormat="1" applyFont="1" applyFill="1" applyBorder="1" applyAlignment="1">
      <alignment horizontal="center"/>
    </xf>
    <xf numFmtId="10" fontId="39" fillId="19" borderId="37" xfId="7" applyNumberFormat="1" applyFont="1" applyFill="1" applyBorder="1" applyAlignment="1">
      <alignment horizontal="center"/>
    </xf>
    <xf numFmtId="0" fontId="38" fillId="0" borderId="24" xfId="7" applyFont="1" applyFill="1" applyBorder="1" applyAlignment="1">
      <alignment horizontal="left"/>
    </xf>
    <xf numFmtId="0" fontId="38" fillId="0" borderId="24" xfId="7" applyFont="1" applyBorder="1"/>
    <xf numFmtId="0" fontId="38" fillId="0" borderId="24" xfId="7" applyFont="1" applyFill="1" applyBorder="1" applyAlignment="1"/>
    <xf numFmtId="0" fontId="38" fillId="0" borderId="25" xfId="7" applyFont="1" applyFill="1" applyBorder="1" applyAlignment="1"/>
    <xf numFmtId="2" fontId="38" fillId="0" borderId="0" xfId="7" applyNumberFormat="1" applyFont="1" applyBorder="1"/>
    <xf numFmtId="0" fontId="38" fillId="0" borderId="25" xfId="7" applyFont="1" applyFill="1" applyBorder="1"/>
    <xf numFmtId="2" fontId="38" fillId="0" borderId="0" xfId="7" applyNumberFormat="1" applyFont="1" applyFill="1" applyBorder="1" applyAlignment="1"/>
    <xf numFmtId="2" fontId="38" fillId="0" borderId="0" xfId="7" applyNumberFormat="1" applyFont="1" applyFill="1"/>
    <xf numFmtId="10" fontId="38" fillId="0" borderId="0" xfId="7" applyNumberFormat="1" applyFont="1" applyFill="1"/>
    <xf numFmtId="0" fontId="38" fillId="0" borderId="0" xfId="7" applyFont="1" applyFill="1"/>
    <xf numFmtId="0" fontId="38" fillId="0" borderId="18" xfId="7" applyFont="1" applyBorder="1"/>
    <xf numFmtId="10" fontId="40" fillId="0" borderId="18" xfId="0" applyNumberFormat="1" applyFont="1" applyBorder="1"/>
    <xf numFmtId="0" fontId="40" fillId="0" borderId="18" xfId="0" applyFont="1" applyFill="1" applyBorder="1" applyAlignment="1"/>
    <xf numFmtId="2" fontId="40" fillId="0" borderId="18" xfId="0" applyNumberFormat="1" applyFont="1" applyFill="1" applyBorder="1" applyAlignment="1">
      <alignment horizontal="center" vertical="center"/>
    </xf>
    <xf numFmtId="10" fontId="39" fillId="19" borderId="35" xfId="7" applyNumberFormat="1" applyFont="1" applyFill="1" applyBorder="1" applyAlignment="1">
      <alignment horizontal="center"/>
    </xf>
    <xf numFmtId="0" fontId="38" fillId="21" borderId="24" xfId="7" applyFont="1" applyFill="1" applyBorder="1" applyAlignment="1"/>
    <xf numFmtId="14" fontId="38" fillId="21" borderId="24" xfId="7" applyNumberFormat="1" applyFont="1" applyFill="1" applyBorder="1" applyAlignment="1"/>
    <xf numFmtId="9" fontId="38" fillId="0" borderId="0" xfId="6" applyFont="1" applyFill="1" applyBorder="1" applyAlignment="1"/>
    <xf numFmtId="2" fontId="39" fillId="18" borderId="24" xfId="7" applyNumberFormat="1" applyFont="1" applyFill="1" applyBorder="1" applyAlignment="1">
      <alignment horizontal="center" vertical="center"/>
    </xf>
    <xf numFmtId="10" fontId="39" fillId="18" borderId="24" xfId="7" applyNumberFormat="1" applyFont="1" applyFill="1" applyBorder="1" applyAlignment="1">
      <alignment horizontal="center" vertical="center"/>
    </xf>
    <xf numFmtId="1" fontId="39" fillId="18" borderId="24" xfId="7" applyNumberFormat="1" applyFont="1" applyFill="1" applyBorder="1" applyAlignment="1">
      <alignment horizontal="center" vertical="center"/>
    </xf>
    <xf numFmtId="10" fontId="48" fillId="19" borderId="24" xfId="7" applyNumberFormat="1" applyFont="1" applyFill="1" applyBorder="1" applyAlignment="1">
      <alignment horizontal="center" vertical="center"/>
    </xf>
    <xf numFmtId="10" fontId="39" fillId="19" borderId="24" xfId="7" applyNumberFormat="1" applyFont="1" applyFill="1" applyBorder="1" applyAlignment="1">
      <alignment horizontal="center" vertical="center"/>
    </xf>
    <xf numFmtId="0" fontId="38" fillId="0" borderId="0" xfId="7" applyFont="1" applyAlignment="1">
      <alignment horizontal="center" vertical="center"/>
    </xf>
    <xf numFmtId="2" fontId="38" fillId="0" borderId="24" xfId="7" applyNumberFormat="1" applyFont="1" applyFill="1" applyBorder="1" applyAlignment="1">
      <alignment horizontal="center" vertical="center"/>
    </xf>
    <xf numFmtId="10" fontId="38" fillId="0" borderId="24" xfId="7" applyNumberFormat="1" applyFont="1" applyBorder="1" applyAlignment="1">
      <alignment horizontal="center" vertical="center"/>
    </xf>
    <xf numFmtId="2" fontId="38" fillId="0" borderId="24" xfId="7" applyNumberFormat="1" applyFont="1" applyBorder="1" applyAlignment="1">
      <alignment horizontal="center" vertical="center"/>
    </xf>
    <xf numFmtId="9" fontId="38" fillId="0" borderId="24" xfId="6" applyFont="1" applyBorder="1" applyAlignment="1">
      <alignment horizontal="center" vertical="center"/>
    </xf>
    <xf numFmtId="9" fontId="38" fillId="0" borderId="0" xfId="7" applyNumberFormat="1" applyFont="1" applyAlignment="1">
      <alignment horizontal="center" vertical="center"/>
    </xf>
    <xf numFmtId="43" fontId="38" fillId="0" borderId="24" xfId="7" applyNumberFormat="1" applyFont="1" applyFill="1" applyBorder="1" applyAlignment="1">
      <alignment horizontal="center" vertical="center"/>
    </xf>
    <xf numFmtId="0" fontId="38" fillId="0" borderId="25" xfId="7" applyFont="1" applyFill="1" applyBorder="1" applyAlignment="1">
      <alignment horizontal="center" vertical="center"/>
    </xf>
    <xf numFmtId="43" fontId="38" fillId="0" borderId="25" xfId="7" applyNumberFormat="1" applyFont="1" applyFill="1" applyBorder="1" applyAlignment="1">
      <alignment horizontal="center" vertical="center"/>
    </xf>
    <xf numFmtId="2" fontId="38" fillId="0" borderId="25" xfId="7" applyNumberFormat="1" applyFont="1" applyBorder="1" applyAlignment="1">
      <alignment horizontal="center" vertical="center"/>
    </xf>
    <xf numFmtId="10" fontId="38" fillId="0" borderId="25" xfId="7" applyNumberFormat="1" applyFont="1" applyFill="1" applyBorder="1" applyAlignment="1">
      <alignment horizontal="center" vertical="center"/>
    </xf>
    <xf numFmtId="10" fontId="38" fillId="0" borderId="18" xfId="7" applyNumberFormat="1" applyFont="1" applyBorder="1" applyAlignment="1">
      <alignment horizontal="center" vertical="center"/>
    </xf>
    <xf numFmtId="2" fontId="38" fillId="0" borderId="18" xfId="7" applyNumberFormat="1" applyFont="1" applyBorder="1" applyAlignment="1">
      <alignment horizontal="center" vertical="center"/>
    </xf>
    <xf numFmtId="10" fontId="44" fillId="0" borderId="18" xfId="8" applyNumberFormat="1" applyBorder="1" applyAlignment="1">
      <alignment horizontal="center" vertical="center"/>
    </xf>
    <xf numFmtId="10" fontId="39" fillId="19" borderId="37" xfId="7" applyNumberFormat="1" applyFont="1" applyFill="1" applyBorder="1" applyAlignment="1">
      <alignment vertical="center"/>
    </xf>
    <xf numFmtId="10" fontId="39" fillId="19" borderId="25" xfId="7" applyNumberFormat="1" applyFont="1" applyFill="1" applyBorder="1" applyAlignment="1">
      <alignment horizontal="center" vertical="center"/>
    </xf>
    <xf numFmtId="10" fontId="48" fillId="19" borderId="25" xfId="7" applyNumberFormat="1" applyFont="1" applyFill="1" applyBorder="1" applyAlignment="1">
      <alignment horizontal="center" vertical="center"/>
    </xf>
    <xf numFmtId="1" fontId="48" fillId="18" borderId="25" xfId="7" applyNumberFormat="1" applyFont="1" applyFill="1" applyBorder="1" applyAlignment="1">
      <alignment horizontal="center" vertical="center"/>
    </xf>
    <xf numFmtId="2" fontId="48" fillId="18" borderId="25" xfId="7" applyNumberFormat="1" applyFont="1" applyFill="1" applyBorder="1" applyAlignment="1">
      <alignment horizontal="center" vertical="center"/>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left" vertical="center"/>
    </xf>
    <xf numFmtId="10" fontId="0" fillId="0" borderId="0" xfId="0" applyNumberFormat="1"/>
    <xf numFmtId="167" fontId="0" fillId="0" borderId="0" xfId="0" applyNumberFormat="1"/>
    <xf numFmtId="2" fontId="0" fillId="0" borderId="0" xfId="0" applyNumberFormat="1"/>
    <xf numFmtId="9" fontId="0" fillId="0" borderId="0" xfId="6" applyFont="1"/>
    <xf numFmtId="2" fontId="0" fillId="0" borderId="0" xfId="6" applyNumberFormat="1" applyFont="1"/>
    <xf numFmtId="0" fontId="0" fillId="5" borderId="0" xfId="0" applyFill="1"/>
    <xf numFmtId="1" fontId="0" fillId="0" borderId="0" xfId="6" applyNumberFormat="1" applyFont="1"/>
    <xf numFmtId="0" fontId="0" fillId="5" borderId="0" xfId="0" applyFill="1" applyAlignment="1">
      <alignment horizontal="right"/>
    </xf>
    <xf numFmtId="9" fontId="38" fillId="0" borderId="0" xfId="6" applyFont="1"/>
    <xf numFmtId="0" fontId="37" fillId="0" borderId="0" xfId="7" applyFont="1" applyBorder="1" applyAlignment="1">
      <alignment horizontal="right"/>
    </xf>
    <xf numFmtId="0" fontId="11" fillId="0" borderId="0" xfId="0" applyFont="1"/>
    <xf numFmtId="0" fontId="11" fillId="0" borderId="18" xfId="0" applyFont="1" applyBorder="1"/>
    <xf numFmtId="0" fontId="1" fillId="0" borderId="18" xfId="0" applyFont="1" applyBorder="1"/>
    <xf numFmtId="0" fontId="0" fillId="0" borderId="18" xfId="0" applyBorder="1"/>
    <xf numFmtId="0" fontId="11" fillId="0" borderId="18" xfId="0" applyFont="1" applyBorder="1" applyAlignment="1">
      <alignment horizontal="center" vertical="center"/>
    </xf>
    <xf numFmtId="9" fontId="11" fillId="0" borderId="18" xfId="6" applyFont="1" applyBorder="1" applyAlignment="1">
      <alignment horizontal="center" vertical="center"/>
    </xf>
    <xf numFmtId="0" fontId="1" fillId="0" borderId="18" xfId="0" applyFont="1" applyBorder="1" applyAlignment="1">
      <alignment horizontal="center" vertical="center"/>
    </xf>
    <xf numFmtId="0" fontId="0" fillId="0" borderId="18" xfId="0" applyBorder="1" applyAlignment="1">
      <alignment horizontal="center" vertical="center"/>
    </xf>
    <xf numFmtId="9" fontId="0" fillId="0" borderId="18" xfId="6" applyFont="1" applyBorder="1" applyAlignment="1">
      <alignment horizontal="center" vertical="center"/>
    </xf>
    <xf numFmtId="10" fontId="39" fillId="19" borderId="35" xfId="7" applyNumberFormat="1" applyFont="1" applyFill="1" applyBorder="1" applyAlignment="1">
      <alignment horizontal="center" vertical="center"/>
    </xf>
    <xf numFmtId="10" fontId="39" fillId="19" borderId="36" xfId="7" applyNumberFormat="1" applyFont="1" applyFill="1" applyBorder="1" applyAlignment="1">
      <alignment horizontal="center" vertical="center"/>
    </xf>
    <xf numFmtId="10" fontId="39" fillId="19" borderId="37" xfId="7" applyNumberFormat="1" applyFont="1" applyFill="1" applyBorder="1" applyAlignment="1">
      <alignment horizontal="center" vertical="center"/>
    </xf>
    <xf numFmtId="0" fontId="39" fillId="12" borderId="32" xfId="7" applyFont="1" applyFill="1" applyBorder="1" applyAlignment="1">
      <alignment horizontal="center"/>
    </xf>
    <xf numFmtId="0" fontId="39" fillId="12" borderId="33" xfId="7" applyFont="1" applyFill="1" applyBorder="1" applyAlignment="1">
      <alignment horizontal="center"/>
    </xf>
    <xf numFmtId="0" fontId="39" fillId="12" borderId="34" xfId="7" applyFont="1" applyFill="1" applyBorder="1" applyAlignment="1">
      <alignment horizontal="center"/>
    </xf>
    <xf numFmtId="0" fontId="39" fillId="12" borderId="18" xfId="7" applyFont="1" applyFill="1" applyBorder="1" applyAlignment="1">
      <alignment horizontal="center" wrapText="1"/>
    </xf>
    <xf numFmtId="0" fontId="38" fillId="0" borderId="0" xfId="7" applyFont="1" applyBorder="1" applyAlignment="1">
      <alignment horizontal="left"/>
    </xf>
    <xf numFmtId="0" fontId="38" fillId="13" borderId="24" xfId="7" applyFont="1" applyFill="1" applyBorder="1" applyAlignment="1">
      <alignment horizontal="right"/>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40" fillId="13" borderId="27" xfId="0" applyFont="1" applyFill="1" applyBorder="1" applyAlignment="1"/>
    <xf numFmtId="0" fontId="40" fillId="13" borderId="26" xfId="0" applyFont="1" applyFill="1" applyBorder="1" applyAlignment="1"/>
    <xf numFmtId="0" fontId="39" fillId="10" borderId="0" xfId="0" applyFont="1" applyFill="1" applyBorder="1" applyAlignment="1">
      <alignment horizontal="center"/>
    </xf>
    <xf numFmtId="0" fontId="40" fillId="13" borderId="24" xfId="0" applyFont="1" applyFill="1" applyBorder="1" applyAlignment="1"/>
    <xf numFmtId="0" fontId="40" fillId="0" borderId="28" xfId="0" applyFont="1" applyBorder="1" applyAlignment="1">
      <alignment horizontal="center"/>
    </xf>
    <xf numFmtId="0" fontId="40" fillId="0" borderId="29" xfId="0" applyFont="1" applyBorder="1" applyAlignment="1">
      <alignment horizontal="center"/>
    </xf>
    <xf numFmtId="0" fontId="40" fillId="0" borderId="30" xfId="0" applyFont="1" applyBorder="1" applyAlignment="1">
      <alignment horizontal="center"/>
    </xf>
    <xf numFmtId="0" fontId="40" fillId="13" borderId="31" xfId="0" applyFont="1" applyFill="1" applyBorder="1" applyAlignment="1"/>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0" fillId="0" borderId="0" xfId="0" applyFont="1" applyBorder="1" applyAlignment="1">
      <alignment horizontal="center"/>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8" fillId="7" borderId="1" xfId="0" applyFont="1" applyFill="1" applyBorder="1" applyAlignment="1">
      <alignment horizontal="center"/>
    </xf>
    <xf numFmtId="0" fontId="28" fillId="7" borderId="3" xfId="0" applyFont="1" applyFill="1" applyBorder="1" applyAlignment="1">
      <alignment horizontal="center"/>
    </xf>
    <xf numFmtId="0" fontId="32" fillId="6" borderId="20" xfId="0" applyFont="1" applyFill="1" applyBorder="1" applyAlignment="1">
      <alignment horizontal="center"/>
    </xf>
    <xf numFmtId="0" fontId="32" fillId="6" borderId="21" xfId="0" applyFont="1" applyFill="1" applyBorder="1" applyAlignment="1">
      <alignment horizontal="center"/>
    </xf>
    <xf numFmtId="0" fontId="32" fillId="6" borderId="22" xfId="0" applyFont="1" applyFill="1" applyBorder="1" applyAlignment="1">
      <alignment horizontal="center"/>
    </xf>
    <xf numFmtId="0" fontId="20" fillId="0" borderId="0" xfId="0" applyFont="1" applyFill="1" applyBorder="1" applyAlignment="1">
      <alignment horizontal="center"/>
    </xf>
    <xf numFmtId="0" fontId="24" fillId="7" borderId="1" xfId="0" applyFont="1" applyFill="1" applyBorder="1" applyAlignment="1">
      <alignment horizontal="center"/>
    </xf>
    <xf numFmtId="0" fontId="24" fillId="7" borderId="3" xfId="0" applyFont="1" applyFill="1" applyBorder="1" applyAlignment="1">
      <alignment horizontal="center"/>
    </xf>
    <xf numFmtId="0" fontId="1" fillId="0" borderId="0" xfId="0" applyFont="1" applyAlignment="1">
      <alignment horizontal="right"/>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41">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PERSONAL/STOCKS/Ambika-Cotton-Mills-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ow r="4">
          <cell r="L4">
            <v>491.39000000000004</v>
          </cell>
        </row>
      </sheetData>
      <sheetData sheetId="1"/>
      <sheetData sheetId="2"/>
      <sheetData sheetId="3"/>
      <sheetData sheetId="4"/>
      <sheetData sheetId="5">
        <row r="8">
          <cell r="B8"/>
        </row>
        <row r="28">
          <cell r="B28">
            <v>103.3</v>
          </cell>
        </row>
        <row r="37">
          <cell r="B37">
            <v>513.005</v>
          </cell>
        </row>
        <row r="42">
          <cell r="B42">
            <v>69.540000000000006</v>
          </cell>
        </row>
        <row r="43">
          <cell r="B43">
            <v>0</v>
          </cell>
        </row>
      </sheetData>
      <sheetData sheetId="6"/>
      <sheetData sheetId="7"/>
    </sheetDataSet>
  </externalBook>
</externalLink>
</file>

<file path=xl/tables/table1.xml><?xml version="1.0" encoding="utf-8"?>
<table xmlns="http://schemas.openxmlformats.org/spreadsheetml/2006/main" id="1" name="Annual" displayName="Annual" ref="A3:O19" headerRowCount="0" totalsRowShown="0" headerRowDxfId="40">
  <tableColumns count="15">
    <tableColumn id="1" name="Column1" headerRowDxfId="39" dataDxfId="38"/>
    <tableColumn id="2" name="Column2" headerRowDxfId="37"/>
    <tableColumn id="3" name="Column3" headerRowDxfId="36"/>
    <tableColumn id="4" name="Column4" headerRowDxfId="35"/>
    <tableColumn id="5" name="Column5" headerRowDxfId="34"/>
    <tableColumn id="6" name="Column6" headerRowDxfId="33"/>
    <tableColumn id="7" name="Column7" headerRowDxfId="32"/>
    <tableColumn id="8" name="Column8" headerRowDxfId="31"/>
    <tableColumn id="9" name="Column9" headerRowDxfId="30"/>
    <tableColumn id="10" name="Column10" headerRowDxfId="29"/>
    <tableColumn id="11" name="Column11" headerRowDxfId="28"/>
    <tableColumn id="12" name="Column12" headerRowDxfId="27"/>
    <tableColumn id="13" name="Column13" headerRowDxfId="26" dataDxfId="25"/>
    <tableColumn id="14" name="Column14" headerRowDxfId="24" dataDxfId="23"/>
    <tableColumn id="15" name="Column15" headerRowDxfId="22" dataDxfId="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20">
  <tableColumns count="11">
    <tableColumn id="1" name="Column1" headerRowDxfId="19"/>
    <tableColumn id="2" name="Column2" headerRowDxfId="18"/>
    <tableColumn id="3" name="Column3" headerRowDxfId="17"/>
    <tableColumn id="4" name="Column4" headerRowDxfId="16"/>
    <tableColumn id="5" name="Column5" headerRowDxfId="15"/>
    <tableColumn id="6" name="Column6" headerRowDxfId="14"/>
    <tableColumn id="7" name="Column7" headerRowDxfId="13"/>
    <tableColumn id="8" name="Column8" headerRowDxfId="12"/>
    <tableColumn id="9" name="Column9" headerRowDxfId="11"/>
    <tableColumn id="10" name="Column10" headerRowDxfId="10"/>
    <tableColumn id="11" name="Column11" headerRowDxfId="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G24" sqref="G24"/>
    </sheetView>
  </sheetViews>
  <sheetFormatPr defaultRowHeight="15" x14ac:dyDescent="0.25"/>
  <cols>
    <col min="1" max="1" width="20.7109375" style="6" customWidth="1"/>
    <col min="2" max="6" width="13.5703125" style="6" customWidth="1"/>
    <col min="7" max="7" width="14.85546875" style="6" bestFit="1" customWidth="1"/>
    <col min="8" max="11" width="13.5703125" style="6" customWidth="1"/>
    <col min="12" max="12" width="13.28515625" style="6" customWidth="1"/>
    <col min="13" max="13" width="12.140625" style="6" customWidth="1"/>
    <col min="14" max="14" width="9.42578125" style="6" bestFit="1" customWidth="1"/>
    <col min="15" max="16384" width="9.140625" style="6"/>
  </cols>
  <sheetData>
    <row r="1" spans="1:15" s="8" customFormat="1" x14ac:dyDescent="0.25">
      <c r="A1" s="8" t="str">
        <f>'Data Sheet'!B1</f>
        <v>KOVAI MEDICAL CENTER &amp; HOSPITAL LTD</v>
      </c>
      <c r="H1" t="str">
        <f>UPDATE</f>
        <v/>
      </c>
      <c r="J1" s="3"/>
      <c r="K1" s="3"/>
      <c r="M1" s="8" t="s">
        <v>1</v>
      </c>
    </row>
    <row r="3" spans="1:15" s="2" customFormat="1" x14ac:dyDescent="0.25">
      <c r="A3" s="15" t="s">
        <v>2</v>
      </c>
      <c r="B3" s="16">
        <f>'Data Sheet'!B16</f>
        <v>38807</v>
      </c>
      <c r="C3" s="16">
        <f>'Data Sheet'!C16</f>
        <v>39172</v>
      </c>
      <c r="D3" s="16">
        <f>'Data Sheet'!D16</f>
        <v>39538</v>
      </c>
      <c r="E3" s="16">
        <f>'Data Sheet'!E16</f>
        <v>39903</v>
      </c>
      <c r="F3" s="16">
        <f>'Data Sheet'!F16</f>
        <v>40268</v>
      </c>
      <c r="G3" s="16">
        <f>'Data Sheet'!G16</f>
        <v>40633</v>
      </c>
      <c r="H3" s="16">
        <f>'Data Sheet'!H16</f>
        <v>40999</v>
      </c>
      <c r="I3" s="16">
        <f>'Data Sheet'!I16</f>
        <v>41364</v>
      </c>
      <c r="J3" s="16">
        <f>'Data Sheet'!J16</f>
        <v>41729</v>
      </c>
      <c r="K3" s="16">
        <f>'Data Sheet'!K16</f>
        <v>42094</v>
      </c>
      <c r="L3" s="16">
        <f>'Data Sheet'!L16</f>
        <v>42430</v>
      </c>
      <c r="M3" s="17"/>
      <c r="N3" s="17"/>
      <c r="O3" s="17"/>
    </row>
    <row r="4" spans="1:15" s="8" customFormat="1" x14ac:dyDescent="0.25">
      <c r="A4" s="8" t="s">
        <v>3</v>
      </c>
      <c r="B4" s="1">
        <f>'Data Sheet'!B17</f>
        <v>51.18</v>
      </c>
      <c r="C4" s="1">
        <f>'Data Sheet'!C17</f>
        <v>72.540000000000006</v>
      </c>
      <c r="D4" s="1">
        <f>'Data Sheet'!D17</f>
        <v>87.54</v>
      </c>
      <c r="E4" s="1">
        <f>'Data Sheet'!E17</f>
        <v>110.36</v>
      </c>
      <c r="F4" s="1">
        <f>'Data Sheet'!F17</f>
        <v>130.07</v>
      </c>
      <c r="G4" s="1">
        <f>'Data Sheet'!G17</f>
        <v>174.72</v>
      </c>
      <c r="H4" s="1">
        <f>'Data Sheet'!H17</f>
        <v>222.37</v>
      </c>
      <c r="I4" s="1">
        <f>'Data Sheet'!I17</f>
        <v>297.13</v>
      </c>
      <c r="J4" s="1">
        <f>'Data Sheet'!J17</f>
        <v>334.06</v>
      </c>
      <c r="K4" s="1">
        <f>'Data Sheet'!K17</f>
        <v>401.62</v>
      </c>
      <c r="L4" s="1">
        <f>SUM(Quarters!H4:K4)</f>
        <v>465.31</v>
      </c>
      <c r="M4" s="1"/>
      <c r="N4" s="1"/>
    </row>
    <row r="5" spans="1:15" x14ac:dyDescent="0.25">
      <c r="A5" s="6" t="s">
        <v>4</v>
      </c>
      <c r="B5" s="9">
        <f>SUM('Data Sheet'!B18,'Data Sheet'!B20:B24, -1*'Data Sheet'!B19)</f>
        <v>41.86</v>
      </c>
      <c r="C5" s="9">
        <f>SUM('Data Sheet'!C18,'Data Sheet'!C20:C24, -1*'Data Sheet'!C19)</f>
        <v>58.210000000000008</v>
      </c>
      <c r="D5" s="9">
        <f>SUM('Data Sheet'!D18,'Data Sheet'!D20:D24, -1*'Data Sheet'!D19)</f>
        <v>73.820000000000007</v>
      </c>
      <c r="E5" s="9">
        <f>SUM('Data Sheet'!E18,'Data Sheet'!E20:E24, -1*'Data Sheet'!E19)</f>
        <v>92.15</v>
      </c>
      <c r="F5" s="9">
        <f>SUM('Data Sheet'!F18,'Data Sheet'!F20:F24, -1*'Data Sheet'!F19)</f>
        <v>105.18</v>
      </c>
      <c r="G5" s="9">
        <f>SUM('Data Sheet'!G18,'Data Sheet'!G20:G24, -1*'Data Sheet'!G19)</f>
        <v>138.68</v>
      </c>
      <c r="H5" s="9">
        <f>SUM('Data Sheet'!H18,'Data Sheet'!H20:H24, -1*'Data Sheet'!H19)</f>
        <v>178.98000000000002</v>
      </c>
      <c r="I5" s="9">
        <f>SUM('Data Sheet'!I18,'Data Sheet'!I20:I24, -1*'Data Sheet'!I19)</f>
        <v>226.87</v>
      </c>
      <c r="J5" s="9">
        <f>SUM('Data Sheet'!J18,'Data Sheet'!J20:J24, -1*'Data Sheet'!J19)</f>
        <v>261.2</v>
      </c>
      <c r="K5" s="9">
        <f>SUM('Data Sheet'!K18,'Data Sheet'!K20:K24, -1*'Data Sheet'!K19)</f>
        <v>307.34999999999997</v>
      </c>
      <c r="L5" s="9">
        <f>SUM(Quarters!H5:K5)</f>
        <v>373.58</v>
      </c>
      <c r="M5" s="9"/>
      <c r="N5" s="9"/>
    </row>
    <row r="6" spans="1:15" s="8" customFormat="1" x14ac:dyDescent="0.25">
      <c r="A6" s="8" t="s">
        <v>5</v>
      </c>
      <c r="B6" s="1">
        <f t="shared" ref="B6" si="0">B4-B5</f>
        <v>9.32</v>
      </c>
      <c r="C6" s="1">
        <f t="shared" ref="C6:K6" si="1">C4-C5</f>
        <v>14.329999999999998</v>
      </c>
      <c r="D6" s="1">
        <f t="shared" si="1"/>
        <v>13.719999999999999</v>
      </c>
      <c r="E6" s="1">
        <f t="shared" si="1"/>
        <v>18.209999999999994</v>
      </c>
      <c r="F6" s="1">
        <f t="shared" si="1"/>
        <v>24.889999999999986</v>
      </c>
      <c r="G6" s="1">
        <f t="shared" si="1"/>
        <v>36.039999999999992</v>
      </c>
      <c r="H6" s="1">
        <f t="shared" si="1"/>
        <v>43.389999999999986</v>
      </c>
      <c r="I6" s="1">
        <f t="shared" si="1"/>
        <v>70.259999999999991</v>
      </c>
      <c r="J6" s="1">
        <f t="shared" si="1"/>
        <v>72.860000000000014</v>
      </c>
      <c r="K6" s="1">
        <f t="shared" si="1"/>
        <v>94.270000000000039</v>
      </c>
      <c r="L6" s="1">
        <f>SUM(Quarters!H6:K6)</f>
        <v>91.73</v>
      </c>
      <c r="M6" s="1"/>
      <c r="N6" s="1"/>
    </row>
    <row r="7" spans="1:15" x14ac:dyDescent="0.25">
      <c r="A7" s="6" t="s">
        <v>6</v>
      </c>
      <c r="B7" s="9">
        <f>'Data Sheet'!B25</f>
        <v>0.59</v>
      </c>
      <c r="C7" s="9">
        <f>'Data Sheet'!C25</f>
        <v>0.67</v>
      </c>
      <c r="D7" s="9">
        <f>'Data Sheet'!D25</f>
        <v>1.38</v>
      </c>
      <c r="E7" s="9">
        <f>'Data Sheet'!E25</f>
        <v>1.17</v>
      </c>
      <c r="F7" s="9">
        <f>'Data Sheet'!F25</f>
        <v>1.86</v>
      </c>
      <c r="G7" s="9">
        <f>'Data Sheet'!G25</f>
        <v>1.23</v>
      </c>
      <c r="H7" s="9">
        <f>'Data Sheet'!H25</f>
        <v>1.56</v>
      </c>
      <c r="I7" s="9">
        <f>'Data Sheet'!I25</f>
        <v>3.06</v>
      </c>
      <c r="J7" s="9">
        <f>'Data Sheet'!J25</f>
        <v>4.7</v>
      </c>
      <c r="K7" s="9">
        <f>'Data Sheet'!K25</f>
        <v>6.73</v>
      </c>
      <c r="L7" s="9">
        <f>SUM(Quarters!H7:K7)</f>
        <v>7.74</v>
      </c>
      <c r="M7" s="9"/>
      <c r="N7" s="9"/>
    </row>
    <row r="8" spans="1:15" x14ac:dyDescent="0.25">
      <c r="A8" s="6" t="s">
        <v>7</v>
      </c>
      <c r="B8" s="9">
        <f>'Data Sheet'!B26</f>
        <v>3.07</v>
      </c>
      <c r="C8" s="9">
        <f>'Data Sheet'!C26</f>
        <v>3.52</v>
      </c>
      <c r="D8" s="9">
        <f>'Data Sheet'!D26</f>
        <v>3.85</v>
      </c>
      <c r="E8" s="9">
        <f>'Data Sheet'!E26</f>
        <v>3.92</v>
      </c>
      <c r="F8" s="9">
        <f>'Data Sheet'!F26</f>
        <v>4.6900000000000004</v>
      </c>
      <c r="G8" s="9">
        <f>'Data Sheet'!G26</f>
        <v>6.63</v>
      </c>
      <c r="H8" s="9">
        <f>'Data Sheet'!H26</f>
        <v>12.13</v>
      </c>
      <c r="I8" s="9">
        <f>'Data Sheet'!I26</f>
        <v>14.51</v>
      </c>
      <c r="J8" s="9">
        <f>'Data Sheet'!J26</f>
        <v>16.3</v>
      </c>
      <c r="K8" s="9">
        <f>'Data Sheet'!K26</f>
        <v>21.2</v>
      </c>
      <c r="L8" s="9">
        <f>SUM(Quarters!H8:K8)</f>
        <v>20.64</v>
      </c>
      <c r="M8" s="9"/>
      <c r="N8" s="9"/>
    </row>
    <row r="9" spans="1:15" x14ac:dyDescent="0.25">
      <c r="A9" s="6" t="s">
        <v>8</v>
      </c>
      <c r="B9" s="9">
        <f>'Data Sheet'!B27</f>
        <v>0.96</v>
      </c>
      <c r="C9" s="9">
        <f>'Data Sheet'!C27</f>
        <v>1.23</v>
      </c>
      <c r="D9" s="9">
        <f>'Data Sheet'!D27</f>
        <v>3.12</v>
      </c>
      <c r="E9" s="9">
        <f>'Data Sheet'!E27</f>
        <v>4.43</v>
      </c>
      <c r="F9" s="9">
        <f>'Data Sheet'!F27</f>
        <v>4.84</v>
      </c>
      <c r="G9" s="9">
        <f>'Data Sheet'!G27</f>
        <v>11.11</v>
      </c>
      <c r="H9" s="9">
        <f>'Data Sheet'!H27</f>
        <v>16.579999999999998</v>
      </c>
      <c r="I9" s="9">
        <f>'Data Sheet'!I27</f>
        <v>27.46</v>
      </c>
      <c r="J9" s="9">
        <f>'Data Sheet'!J27</f>
        <v>23.94</v>
      </c>
      <c r="K9" s="9">
        <f>'Data Sheet'!K27</f>
        <v>20.38</v>
      </c>
      <c r="L9" s="9">
        <f>SUM(Quarters!H9:K9)</f>
        <v>16.649999999999999</v>
      </c>
      <c r="M9" s="9"/>
      <c r="N9" s="9"/>
    </row>
    <row r="10" spans="1:15" x14ac:dyDescent="0.25">
      <c r="A10" s="6" t="s">
        <v>9</v>
      </c>
      <c r="B10" s="9">
        <f>'Data Sheet'!B28</f>
        <v>5.88</v>
      </c>
      <c r="C10" s="9">
        <f>'Data Sheet'!C28</f>
        <v>10.25</v>
      </c>
      <c r="D10" s="9">
        <f>'Data Sheet'!D28</f>
        <v>8.1300000000000008</v>
      </c>
      <c r="E10" s="9">
        <f>'Data Sheet'!E28</f>
        <v>11.03</v>
      </c>
      <c r="F10" s="9">
        <f>'Data Sheet'!F28</f>
        <v>17.22</v>
      </c>
      <c r="G10" s="9">
        <f>'Data Sheet'!G28</f>
        <v>19.53</v>
      </c>
      <c r="H10" s="9">
        <f>'Data Sheet'!H28</f>
        <v>16.239999999999998</v>
      </c>
      <c r="I10" s="9">
        <f>'Data Sheet'!I28</f>
        <v>31.33</v>
      </c>
      <c r="J10" s="9">
        <f>'Data Sheet'!J28</f>
        <v>37.32</v>
      </c>
      <c r="K10" s="9">
        <f>'Data Sheet'!K28</f>
        <v>59.43</v>
      </c>
      <c r="L10" s="9">
        <f>SUM(Quarters!H10:K10)</f>
        <v>62.15</v>
      </c>
      <c r="M10" s="9"/>
      <c r="N10" s="9"/>
    </row>
    <row r="11" spans="1:15" x14ac:dyDescent="0.25">
      <c r="A11" s="6" t="s">
        <v>10</v>
      </c>
      <c r="B11" s="9">
        <f>'Data Sheet'!B29</f>
        <v>2</v>
      </c>
      <c r="C11" s="9">
        <f>'Data Sheet'!C29</f>
        <v>3.69</v>
      </c>
      <c r="D11" s="9">
        <f>'Data Sheet'!D29</f>
        <v>2.88</v>
      </c>
      <c r="E11" s="9">
        <f>'Data Sheet'!E29</f>
        <v>3.89</v>
      </c>
      <c r="F11" s="9">
        <f>'Data Sheet'!F29</f>
        <v>5.64</v>
      </c>
      <c r="G11" s="9">
        <f>'Data Sheet'!G29</f>
        <v>7.44</v>
      </c>
      <c r="H11" s="9">
        <f>'Data Sheet'!H29</f>
        <v>4.29</v>
      </c>
      <c r="I11" s="9">
        <f>'Data Sheet'!I29</f>
        <v>10.08</v>
      </c>
      <c r="J11" s="9">
        <f>'Data Sheet'!J29</f>
        <v>13.6</v>
      </c>
      <c r="K11" s="9">
        <f>'Data Sheet'!K29</f>
        <v>20.73</v>
      </c>
      <c r="L11" s="9">
        <f>SUM(Quarters!H11:K11)</f>
        <v>21.73</v>
      </c>
      <c r="M11" s="10"/>
      <c r="N11" s="10"/>
    </row>
    <row r="12" spans="1:15" s="8" customFormat="1" x14ac:dyDescent="0.25">
      <c r="A12" s="8" t="s">
        <v>11</v>
      </c>
      <c r="B12" s="1">
        <f>'Data Sheet'!B30</f>
        <v>3.88</v>
      </c>
      <c r="C12" s="1">
        <f>'Data Sheet'!C30</f>
        <v>6.56</v>
      </c>
      <c r="D12" s="1">
        <f>'Data Sheet'!D30</f>
        <v>5.25</v>
      </c>
      <c r="E12" s="1">
        <f>'Data Sheet'!E30</f>
        <v>7.14</v>
      </c>
      <c r="F12" s="1">
        <f>'Data Sheet'!F30</f>
        <v>11.58</v>
      </c>
      <c r="G12" s="1">
        <f>'Data Sheet'!G30</f>
        <v>12.09</v>
      </c>
      <c r="H12" s="1">
        <f>'Data Sheet'!H30</f>
        <v>11.95</v>
      </c>
      <c r="I12" s="1">
        <f>'Data Sheet'!I30</f>
        <v>21.25</v>
      </c>
      <c r="J12" s="1">
        <f>'Data Sheet'!J30</f>
        <v>23.72</v>
      </c>
      <c r="K12" s="1">
        <f>'Data Sheet'!K30</f>
        <v>38.700000000000003</v>
      </c>
      <c r="L12" s="1">
        <f>SUM(Quarters!H12:K12)</f>
        <v>40.43</v>
      </c>
      <c r="M12" s="1"/>
      <c r="N12" s="1"/>
    </row>
    <row r="13" spans="1:15" x14ac:dyDescent="0.25">
      <c r="A13" s="11" t="s">
        <v>53</v>
      </c>
      <c r="B13" s="9">
        <f>IF('Data Sheet'!B93&gt;0,B12/'Data Sheet'!B93,0)</f>
        <v>3.5458847539932785</v>
      </c>
      <c r="C13" s="9">
        <f>IF('Data Sheet'!C93&gt;0,C12/'Data Sheet'!C93,0)</f>
        <v>5.9951041201535835</v>
      </c>
      <c r="D13" s="9">
        <f>IF('Data Sheet'!D93&gt;0,D12/'Data Sheet'!D93,0)</f>
        <v>4.7979110717692555</v>
      </c>
      <c r="E13" s="9">
        <f>IF('Data Sheet'!E93&gt;0,E12/'Data Sheet'!E93,0)</f>
        <v>6.5251590576061878</v>
      </c>
      <c r="F13" s="9">
        <f>IF('Data Sheet'!F93&gt;0,F12/'Data Sheet'!F93,0)</f>
        <v>10.582820992588188</v>
      </c>
      <c r="G13" s="9">
        <f>IF('Data Sheet'!G93&gt;0,G12/'Data Sheet'!G93,0)</f>
        <v>11.048903782417201</v>
      </c>
      <c r="H13" s="9">
        <f>IF('Data Sheet'!H93&gt;0,H12/'Data Sheet'!H93,0)</f>
        <v>10.92095948717002</v>
      </c>
      <c r="I13" s="9">
        <f>IF('Data Sheet'!I93&gt;0,I12/'Data Sheet'!I93,0)</f>
        <v>19.420116242875558</v>
      </c>
      <c r="J13" s="9">
        <f>IF('Data Sheet'!J93&gt;0,J12/'Data Sheet'!J93,0)</f>
        <v>21.677419166165091</v>
      </c>
      <c r="K13" s="9">
        <f>IF('Data Sheet'!K93&gt;0,K12/'Data Sheet'!K93,0)</f>
        <v>35.36745875761337</v>
      </c>
      <c r="L13" s="9">
        <f>IF('Data Sheet'!$B6&gt;0,'Profit &amp; Loss'!L12/'Data Sheet'!$B6,0)</f>
        <v>36.956124314442413</v>
      </c>
      <c r="M13" s="9"/>
      <c r="N13" s="9"/>
    </row>
    <row r="14" spans="1:15" x14ac:dyDescent="0.25">
      <c r="A14" s="6" t="s">
        <v>13</v>
      </c>
      <c r="B14" s="9">
        <f t="shared" ref="B14" si="2">IF(B15&gt;0,B15/B13,"")</f>
        <v>17.022549853608247</v>
      </c>
      <c r="C14" s="9">
        <f t="shared" ref="C14:K14" si="3">IF(C15&gt;0,C15/C13,"")</f>
        <v>8.3084461923780495</v>
      </c>
      <c r="D14" s="9">
        <f t="shared" si="3"/>
        <v>9.5166415794285708</v>
      </c>
      <c r="E14" s="9">
        <f t="shared" si="3"/>
        <v>9.8265803843137256</v>
      </c>
      <c r="F14" s="9">
        <f t="shared" si="3"/>
        <v>13.824291283246978</v>
      </c>
      <c r="G14" s="9">
        <f t="shared" si="3"/>
        <v>11.108794357981802</v>
      </c>
      <c r="H14" s="9">
        <f t="shared" si="3"/>
        <v>9.8581081750627622</v>
      </c>
      <c r="I14" s="9">
        <f t="shared" si="3"/>
        <v>8.4283738548705891</v>
      </c>
      <c r="J14" s="9">
        <f t="shared" si="3"/>
        <v>7.0838691092748745</v>
      </c>
      <c r="K14" s="9">
        <f t="shared" si="3"/>
        <v>17.926365712196382</v>
      </c>
      <c r="L14" s="9">
        <f t="shared" ref="L14" si="4">IF(L13&gt;0,L15/L13,0)</f>
        <v>18.670789018055899</v>
      </c>
      <c r="M14" s="9"/>
      <c r="N14" s="9"/>
    </row>
    <row r="15" spans="1:15" s="8" customFormat="1" x14ac:dyDescent="0.25">
      <c r="A15" s="8" t="s">
        <v>54</v>
      </c>
      <c r="B15" s="1">
        <f>'Data Sheet'!B90</f>
        <v>60.36</v>
      </c>
      <c r="C15" s="1">
        <f>'Data Sheet'!C90</f>
        <v>49.81</v>
      </c>
      <c r="D15" s="1">
        <f>'Data Sheet'!D90</f>
        <v>45.66</v>
      </c>
      <c r="E15" s="1">
        <f>'Data Sheet'!E90</f>
        <v>64.12</v>
      </c>
      <c r="F15" s="1">
        <f>'Data Sheet'!F90</f>
        <v>146.30000000000001</v>
      </c>
      <c r="G15" s="1">
        <f>'Data Sheet'!G90</f>
        <v>122.74</v>
      </c>
      <c r="H15" s="1">
        <f>'Data Sheet'!H90</f>
        <v>107.66</v>
      </c>
      <c r="I15" s="1">
        <f>'Data Sheet'!I90</f>
        <v>163.68</v>
      </c>
      <c r="J15" s="1">
        <f>'Data Sheet'!J90</f>
        <v>153.56</v>
      </c>
      <c r="K15" s="1">
        <f>'Data Sheet'!K90</f>
        <v>634.01</v>
      </c>
      <c r="L15" s="1">
        <f>'Data Sheet'!B8</f>
        <v>690</v>
      </c>
      <c r="M15" s="12"/>
      <c r="N15" s="13"/>
    </row>
    <row r="17" spans="1:14" s="8" customFormat="1" x14ac:dyDescent="0.25">
      <c r="A17" s="8" t="s">
        <v>12</v>
      </c>
    </row>
    <row r="18" spans="1:14" x14ac:dyDescent="0.25">
      <c r="A18" s="6" t="s">
        <v>14</v>
      </c>
      <c r="B18" s="7">
        <f>IF('Data Sheet'!B30&gt;0, 'Data Sheet'!B31/'Data Sheet'!B30, 0)</f>
        <v>0.28092783505154639</v>
      </c>
      <c r="C18" s="7">
        <f>IF('Data Sheet'!C30&gt;0, 'Data Sheet'!C31/'Data Sheet'!C30, 0)</f>
        <v>0.20884146341463417</v>
      </c>
      <c r="D18" s="7">
        <f>IF('Data Sheet'!D30&gt;0, 'Data Sheet'!D31/'Data Sheet'!D30, 0)</f>
        <v>0.26095238095238099</v>
      </c>
      <c r="E18" s="7">
        <f>IF('Data Sheet'!E30&gt;0, 'Data Sheet'!E31/'Data Sheet'!E30, 0)</f>
        <v>0.19187675070028012</v>
      </c>
      <c r="F18" s="7">
        <f>IF('Data Sheet'!F30&gt;0, 'Data Sheet'!F31/'Data Sheet'!F30, 0)</f>
        <v>0.11830742659758205</v>
      </c>
      <c r="G18" s="7">
        <f>IF('Data Sheet'!G30&gt;0, 'Data Sheet'!G31/'Data Sheet'!G30, 0)</f>
        <v>0.11331679073614559</v>
      </c>
      <c r="H18" s="7">
        <f>IF('Data Sheet'!H30&gt;0, 'Data Sheet'!H31/'Data Sheet'!H30, 0)</f>
        <v>0.11464435146443516</v>
      </c>
      <c r="I18" s="7">
        <f>IF('Data Sheet'!I30&gt;0, 'Data Sheet'!I31/'Data Sheet'!I30, 0)</f>
        <v>7.7176470588235291E-2</v>
      </c>
      <c r="J18" s="7">
        <f>IF('Data Sheet'!J30&gt;0, 'Data Sheet'!J31/'Data Sheet'!J30, 0)</f>
        <v>6.9139966273187178E-2</v>
      </c>
      <c r="K18" s="7">
        <f>IF('Data Sheet'!K30&gt;0, 'Data Sheet'!K31/'Data Sheet'!K30, 0)</f>
        <v>4.2377260981912142E-2</v>
      </c>
      <c r="L18" s="7">
        <f>IF('Data Sheet'!L30&gt;0, 'Data Sheet'!L31/'Data Sheet'!L30, 0)</f>
        <v>4.0019521717911177E-2</v>
      </c>
    </row>
    <row r="19" spans="1:14" x14ac:dyDescent="0.25">
      <c r="A19" s="6" t="s">
        <v>15</v>
      </c>
      <c r="B19" s="7">
        <f t="shared" ref="B19" si="5">IF(B6&gt;0,B6/B4,0)</f>
        <v>0.18210238374364987</v>
      </c>
      <c r="C19" s="7">
        <f t="shared" ref="C19:K19" si="6">IF(C6&gt;0,C6/C4,0)</f>
        <v>0.19754618141714911</v>
      </c>
      <c r="D19" s="7">
        <f t="shared" si="6"/>
        <v>0.15672835275302716</v>
      </c>
      <c r="E19" s="7">
        <f t="shared" si="6"/>
        <v>0.16500543675244647</v>
      </c>
      <c r="F19" s="7">
        <f t="shared" si="6"/>
        <v>0.19135849926962395</v>
      </c>
      <c r="G19" s="7">
        <f t="shared" si="6"/>
        <v>0.20627289377289373</v>
      </c>
      <c r="H19" s="7">
        <f t="shared" si="6"/>
        <v>0.19512524171425996</v>
      </c>
      <c r="I19" s="7">
        <f t="shared" si="6"/>
        <v>0.23646215461245917</v>
      </c>
      <c r="J19" s="7">
        <f t="shared" si="6"/>
        <v>0.21810453211997849</v>
      </c>
      <c r="K19" s="7">
        <f t="shared" si="6"/>
        <v>0.2347243663164186</v>
      </c>
      <c r="L19" s="7">
        <f t="shared" ref="L19" si="7">IF(L6&gt;0,L6/L4,0)</f>
        <v>0.19713739227611701</v>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16</v>
      </c>
      <c r="H22" s="16" t="s">
        <v>60</v>
      </c>
      <c r="I22" s="16" t="s">
        <v>61</v>
      </c>
      <c r="J22" s="16" t="s">
        <v>62</v>
      </c>
      <c r="K22" s="16" t="s">
        <v>63</v>
      </c>
      <c r="L22" s="17" t="s">
        <v>64</v>
      </c>
      <c r="M22" s="17"/>
      <c r="N22" s="17"/>
    </row>
    <row r="23" spans="1:14" s="8" customFormat="1" x14ac:dyDescent="0.25">
      <c r="A23" s="6"/>
      <c r="B23" s="6"/>
      <c r="C23" s="6"/>
      <c r="D23" s="6"/>
      <c r="E23" s="6"/>
      <c r="F23" s="6"/>
      <c r="G23" s="6" t="s">
        <v>17</v>
      </c>
      <c r="H23" s="7">
        <f>IF(B4=0,"",POWER($K4/B4,1/9)-1)</f>
        <v>0.2572243485303185</v>
      </c>
      <c r="I23" s="7">
        <f>IF(D4=0,"",POWER($K4/D4,1/7)-1)</f>
        <v>0.24312712073556408</v>
      </c>
      <c r="J23" s="7">
        <f>IF(F4=0,"",POWER($K4/F4,1/5)-1)</f>
        <v>0.25293239527887335</v>
      </c>
      <c r="K23" s="7">
        <f>IF(H4=0,"",POWER($K4/H4, 1/3)-1)</f>
        <v>0.21781049348924619</v>
      </c>
      <c r="L23" s="7">
        <f>IF(ISERROR(MAX(IF(J4=0,"",(K4-J4)/J4),IF(K4=0,"",(L4-K4)/K4))),"",MAX(IF(J4=0,"",(K4-J4)/J4),IF(K4=0,"",(L4-K4)/K4)))</f>
        <v>0.20223911872118783</v>
      </c>
      <c r="M23" s="22"/>
      <c r="N23" s="22"/>
    </row>
    <row r="24" spans="1:14" x14ac:dyDescent="0.25">
      <c r="G24" s="6" t="s">
        <v>15</v>
      </c>
      <c r="H24" s="7">
        <f>IF(SUM(B4:$K$4)=0,"",SUMPRODUCT(B19:$K$19,B4:$K$4)/SUM(B4:$K$4))</f>
        <v>0.21114589256958216</v>
      </c>
      <c r="I24" s="7">
        <f>IF(SUM(E4:$K$4)=0,"",SUMPRODUCT(E19:$K$19,E4:$K$4)/SUM(E4:$K$4))</f>
        <v>0.21547837852400425</v>
      </c>
      <c r="J24" s="7">
        <f>IF(SUM(G4:$K$4)=0,"",SUMPRODUCT(G19:$K$19,G4:$K$4)/SUM(G4:$K$4))</f>
        <v>0.22156794181411291</v>
      </c>
      <c r="K24" s="7">
        <f>IF(SUM(I4:$K$4)=0, "", SUMPRODUCT(I19:$K$19,I4:$K$4)/SUM(I4:$K$4))</f>
        <v>0.22984866529177686</v>
      </c>
      <c r="L24" s="7">
        <f>L19</f>
        <v>0.19713739227611701</v>
      </c>
      <c r="M24" s="22"/>
      <c r="N24" s="22"/>
    </row>
    <row r="25" spans="1:14" x14ac:dyDescent="0.25">
      <c r="G25" s="6" t="s">
        <v>18</v>
      </c>
      <c r="H25" s="9">
        <f>IF(ISERROR(AVERAGEIF(B14:$L14,"&gt;0")),"",AVERAGEIF(B14:$L14,"&gt;0"))</f>
        <v>11.96134632003799</v>
      </c>
      <c r="I25" s="9">
        <f>IF(ISERROR(AVERAGEIF(E14:$L14,"&gt;0")),"",AVERAGEIF(E14:$L14,"&gt;0"))</f>
        <v>12.090896486875376</v>
      </c>
      <c r="J25" s="9">
        <f>IF(ISERROR(AVERAGEIF(G14:$L14,"&gt;0")),"",AVERAGEIF(G14:$L14,"&gt;0"))</f>
        <v>12.179383371240384</v>
      </c>
      <c r="K25" s="9">
        <f>IF(ISERROR(AVERAGEIF(I14:$L14,"&gt;0")),"",AVERAGEIF(I14:$L14,"&gt;0"))</f>
        <v>13.027349423599436</v>
      </c>
      <c r="L25" s="9">
        <f>L14</f>
        <v>18.670789018055899</v>
      </c>
      <c r="M25" s="1"/>
      <c r="N25" s="1"/>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1" ySplit="1" topLeftCell="B89" activePane="bottomRight" state="frozen"/>
      <selection activeCell="C4" sqref="C4"/>
      <selection pane="topRight" activeCell="C4" sqref="C4"/>
      <selection pane="bottomLeft" activeCell="C4" sqref="C4"/>
      <selection pane="bottomRight" activeCell="L90" sqref="L90"/>
    </sheetView>
  </sheetViews>
  <sheetFormatPr defaultRowHeight="15" x14ac:dyDescent="0.25"/>
  <cols>
    <col min="1" max="1" width="27.7109375" style="5" bestFit="1" customWidth="1"/>
    <col min="2" max="11" width="13.5703125" style="5" bestFit="1" customWidth="1"/>
    <col min="12" max="12" width="10" style="5" bestFit="1" customWidth="1"/>
    <col min="13" max="16384" width="9.140625" style="5"/>
  </cols>
  <sheetData>
    <row r="1" spans="1:12" s="1" customFormat="1" x14ac:dyDescent="0.25">
      <c r="A1" s="1" t="s">
        <v>0</v>
      </c>
      <c r="B1" s="1" t="s">
        <v>549</v>
      </c>
      <c r="E1" s="263" t="str">
        <f>IF(B2&lt;&gt;B3, "A NEW VERSION OF THE WORKSHEET IS AVAILABLE", "")</f>
        <v/>
      </c>
      <c r="F1" s="263"/>
      <c r="G1" s="263"/>
      <c r="H1" s="263"/>
      <c r="I1" s="263"/>
      <c r="J1" s="263"/>
      <c r="K1" s="263"/>
    </row>
    <row r="2" spans="1:12" x14ac:dyDescent="0.25">
      <c r="A2" s="1" t="s">
        <v>57</v>
      </c>
      <c r="B2" s="5">
        <v>2.1</v>
      </c>
      <c r="E2" s="264" t="s">
        <v>31</v>
      </c>
      <c r="F2" s="264"/>
      <c r="G2" s="264"/>
      <c r="H2" s="264"/>
      <c r="I2" s="264"/>
      <c r="J2" s="264"/>
      <c r="K2" s="264"/>
    </row>
    <row r="3" spans="1:12" x14ac:dyDescent="0.25">
      <c r="A3" s="1" t="s">
        <v>58</v>
      </c>
      <c r="B3" s="5">
        <v>2.1</v>
      </c>
    </row>
    <row r="4" spans="1:12" x14ac:dyDescent="0.25">
      <c r="A4" s="1"/>
    </row>
    <row r="5" spans="1:12" x14ac:dyDescent="0.25">
      <c r="A5" s="1" t="s">
        <v>59</v>
      </c>
    </row>
    <row r="6" spans="1:12" x14ac:dyDescent="0.25">
      <c r="A6" s="5" t="s">
        <v>37</v>
      </c>
      <c r="B6" s="5">
        <f>IF(B9&gt;0, B9/B8, 0)</f>
        <v>1.0940000000000001</v>
      </c>
    </row>
    <row r="7" spans="1:12" x14ac:dyDescent="0.25">
      <c r="A7" s="5" t="s">
        <v>26</v>
      </c>
      <c r="B7">
        <v>10</v>
      </c>
    </row>
    <row r="8" spans="1:12" x14ac:dyDescent="0.25">
      <c r="A8" s="5" t="s">
        <v>38</v>
      </c>
      <c r="B8">
        <v>690</v>
      </c>
    </row>
    <row r="9" spans="1:12" x14ac:dyDescent="0.25">
      <c r="A9" s="5" t="s">
        <v>74</v>
      </c>
      <c r="B9">
        <v>754.86</v>
      </c>
    </row>
    <row r="15" spans="1:12" x14ac:dyDescent="0.25">
      <c r="A15" s="1" t="s">
        <v>32</v>
      </c>
      <c r="D15" s="5">
        <f>D17-D18-D20-D21-D22-D23-D24+D19+D25</f>
        <v>15.100000000000001</v>
      </c>
      <c r="E15" s="5">
        <f>E17-E18-E20-E21-E22-E23-E24+E19+E25</f>
        <v>19.380000000000003</v>
      </c>
      <c r="F15" s="5">
        <f>F17-F18-F20-F21-F22-F23-F24+F19+F25</f>
        <v>26.749999999999982</v>
      </c>
    </row>
    <row r="16" spans="1:12" s="24" customFormat="1" x14ac:dyDescent="0.25">
      <c r="A16" s="23" t="s">
        <v>33</v>
      </c>
      <c r="B16" s="16">
        <v>38807</v>
      </c>
      <c r="C16" s="16">
        <v>39172</v>
      </c>
      <c r="D16" s="16">
        <v>39538</v>
      </c>
      <c r="E16" s="16">
        <v>39903</v>
      </c>
      <c r="F16" s="16">
        <v>40268</v>
      </c>
      <c r="G16" s="16">
        <v>40633</v>
      </c>
      <c r="H16" s="16">
        <v>40999</v>
      </c>
      <c r="I16" s="16">
        <v>41364</v>
      </c>
      <c r="J16" s="16">
        <v>41729</v>
      </c>
      <c r="K16" s="16">
        <v>42094</v>
      </c>
      <c r="L16" s="16">
        <v>42430</v>
      </c>
    </row>
    <row r="17" spans="1:12" s="9" customFormat="1" x14ac:dyDescent="0.25">
      <c r="A17" s="9" t="s">
        <v>3</v>
      </c>
      <c r="B17">
        <v>51.18</v>
      </c>
      <c r="C17">
        <v>72.540000000000006</v>
      </c>
      <c r="D17">
        <v>87.54</v>
      </c>
      <c r="E17">
        <v>110.36</v>
      </c>
      <c r="F17">
        <v>130.07</v>
      </c>
      <c r="G17">
        <v>174.72</v>
      </c>
      <c r="H17">
        <v>222.37</v>
      </c>
      <c r="I17">
        <v>297.13</v>
      </c>
      <c r="J17">
        <v>334.06</v>
      </c>
      <c r="K17">
        <v>401.62</v>
      </c>
      <c r="L17">
        <v>465</v>
      </c>
    </row>
    <row r="18" spans="1:12" s="9" customFormat="1" x14ac:dyDescent="0.25">
      <c r="A18" s="5" t="s">
        <v>75</v>
      </c>
      <c r="D18">
        <v>30.45</v>
      </c>
      <c r="E18">
        <v>37.36</v>
      </c>
      <c r="F18">
        <v>43.03</v>
      </c>
      <c r="G18">
        <v>58.25</v>
      </c>
      <c r="H18">
        <v>74.33</v>
      </c>
      <c r="I18">
        <v>92.85</v>
      </c>
      <c r="J18">
        <v>106.28</v>
      </c>
      <c r="K18">
        <v>121.79</v>
      </c>
      <c r="L18">
        <v>143.69</v>
      </c>
    </row>
    <row r="19" spans="1:12" s="9" customFormat="1" x14ac:dyDescent="0.25">
      <c r="A19" s="5" t="s">
        <v>76</v>
      </c>
      <c r="D19">
        <v>1.35</v>
      </c>
      <c r="E19">
        <v>-7.0000000000000007E-2</v>
      </c>
      <c r="F19">
        <v>0.99</v>
      </c>
      <c r="G19">
        <v>0.66</v>
      </c>
      <c r="H19">
        <v>0.75</v>
      </c>
      <c r="I19">
        <v>1.1100000000000001</v>
      </c>
      <c r="J19">
        <v>0.45</v>
      </c>
      <c r="K19">
        <v>-0.63</v>
      </c>
      <c r="L19">
        <v>-0.21</v>
      </c>
    </row>
    <row r="20" spans="1:12" s="9" customFormat="1" x14ac:dyDescent="0.25">
      <c r="A20" s="5" t="s">
        <v>77</v>
      </c>
      <c r="B20">
        <v>2.97</v>
      </c>
      <c r="C20">
        <v>3.24</v>
      </c>
      <c r="D20">
        <v>3.99</v>
      </c>
      <c r="E20">
        <v>4.49</v>
      </c>
      <c r="F20">
        <v>4.79</v>
      </c>
      <c r="G20">
        <v>6.75</v>
      </c>
      <c r="H20">
        <v>8.36</v>
      </c>
      <c r="I20">
        <v>10.26</v>
      </c>
      <c r="J20">
        <v>9.49</v>
      </c>
      <c r="K20">
        <v>9.74</v>
      </c>
      <c r="L20"/>
    </row>
    <row r="21" spans="1:12" s="9" customFormat="1" x14ac:dyDescent="0.25">
      <c r="A21" s="5" t="s">
        <v>78</v>
      </c>
      <c r="B21">
        <v>36.99</v>
      </c>
      <c r="C21">
        <v>43.84</v>
      </c>
      <c r="D21">
        <v>25.03</v>
      </c>
      <c r="E21">
        <v>31.39</v>
      </c>
      <c r="F21">
        <v>36.14</v>
      </c>
      <c r="G21">
        <v>45.16</v>
      </c>
      <c r="H21">
        <v>55.3</v>
      </c>
      <c r="I21">
        <v>67.14</v>
      </c>
      <c r="J21">
        <v>81.849999999999994</v>
      </c>
      <c r="K21">
        <v>98.13</v>
      </c>
      <c r="L21"/>
    </row>
    <row r="22" spans="1:12" s="9" customFormat="1" x14ac:dyDescent="0.25">
      <c r="A22" s="5" t="s">
        <v>79</v>
      </c>
      <c r="B22">
        <v>5.84</v>
      </c>
      <c r="C22">
        <v>7.32</v>
      </c>
      <c r="D22">
        <v>10.15</v>
      </c>
      <c r="E22">
        <v>13.45</v>
      </c>
      <c r="F22">
        <v>17.02</v>
      </c>
      <c r="G22">
        <v>22.72</v>
      </c>
      <c r="H22">
        <v>32.5</v>
      </c>
      <c r="I22">
        <v>48.68</v>
      </c>
      <c r="J22">
        <v>52.69</v>
      </c>
      <c r="K22">
        <v>64.599999999999994</v>
      </c>
      <c r="L22">
        <v>79.36</v>
      </c>
    </row>
    <row r="23" spans="1:12" s="9" customFormat="1" x14ac:dyDescent="0.25">
      <c r="A23" s="5" t="s">
        <v>80</v>
      </c>
      <c r="B23">
        <v>3.08</v>
      </c>
      <c r="C23">
        <v>5.14</v>
      </c>
      <c r="D23">
        <v>5.55</v>
      </c>
      <c r="E23">
        <v>5.39</v>
      </c>
      <c r="F23">
        <v>5.12</v>
      </c>
      <c r="G23">
        <v>6.46</v>
      </c>
      <c r="H23">
        <v>9.24</v>
      </c>
      <c r="I23">
        <v>9.0500000000000007</v>
      </c>
      <c r="J23">
        <v>11.34</v>
      </c>
      <c r="K23">
        <v>12.46</v>
      </c>
      <c r="L23">
        <v>150</v>
      </c>
    </row>
    <row r="24" spans="1:12" s="9" customFormat="1" x14ac:dyDescent="0.25">
      <c r="A24" s="5" t="s">
        <v>81</v>
      </c>
      <c r="B24">
        <v>-7.02</v>
      </c>
      <c r="C24">
        <v>-1.33</v>
      </c>
      <c r="F24">
        <v>7.0000000000000007E-2</v>
      </c>
      <c r="L24"/>
    </row>
    <row r="25" spans="1:12" s="9" customFormat="1" x14ac:dyDescent="0.25">
      <c r="A25" s="9" t="s">
        <v>6</v>
      </c>
      <c r="B25">
        <v>0.59</v>
      </c>
      <c r="C25">
        <v>0.67</v>
      </c>
      <c r="D25">
        <v>1.38</v>
      </c>
      <c r="E25">
        <v>1.17</v>
      </c>
      <c r="F25">
        <v>1.86</v>
      </c>
      <c r="G25">
        <v>1.23</v>
      </c>
      <c r="H25">
        <v>1.56</v>
      </c>
      <c r="I25">
        <v>3.06</v>
      </c>
      <c r="J25">
        <v>4.7</v>
      </c>
      <c r="K25">
        <v>6.73</v>
      </c>
      <c r="L25" s="154">
        <v>7.59</v>
      </c>
    </row>
    <row r="26" spans="1:12" s="9" customFormat="1" x14ac:dyDescent="0.25">
      <c r="A26" s="9" t="s">
        <v>7</v>
      </c>
      <c r="B26">
        <v>3.07</v>
      </c>
      <c r="C26">
        <v>3.52</v>
      </c>
      <c r="D26">
        <v>3.85</v>
      </c>
      <c r="E26">
        <v>3.92</v>
      </c>
      <c r="F26">
        <v>4.6900000000000004</v>
      </c>
      <c r="G26">
        <v>6.63</v>
      </c>
      <c r="H26">
        <v>12.13</v>
      </c>
      <c r="I26">
        <v>14.51</v>
      </c>
      <c r="J26">
        <v>16.3</v>
      </c>
      <c r="K26">
        <v>21.2</v>
      </c>
      <c r="L26">
        <v>20.399999999999999</v>
      </c>
    </row>
    <row r="27" spans="1:12" s="9" customFormat="1" x14ac:dyDescent="0.25">
      <c r="A27" s="9" t="s">
        <v>8</v>
      </c>
      <c r="B27">
        <v>0.96</v>
      </c>
      <c r="C27">
        <v>1.23</v>
      </c>
      <c r="D27">
        <v>3.12</v>
      </c>
      <c r="E27">
        <v>4.43</v>
      </c>
      <c r="F27">
        <v>4.84</v>
      </c>
      <c r="G27">
        <v>11.11</v>
      </c>
      <c r="H27">
        <v>16.579999999999998</v>
      </c>
      <c r="I27">
        <v>27.46</v>
      </c>
      <c r="J27">
        <v>23.94</v>
      </c>
      <c r="K27">
        <v>20.38</v>
      </c>
      <c r="L27" s="154">
        <v>16.649999999999999</v>
      </c>
    </row>
    <row r="28" spans="1:12" s="9" customFormat="1" x14ac:dyDescent="0.25">
      <c r="A28" s="9" t="s">
        <v>9</v>
      </c>
      <c r="B28">
        <v>5.88</v>
      </c>
      <c r="C28">
        <v>10.25</v>
      </c>
      <c r="D28">
        <v>8.1300000000000008</v>
      </c>
      <c r="E28">
        <v>11.03</v>
      </c>
      <c r="F28">
        <v>17.22</v>
      </c>
      <c r="G28">
        <v>19.53</v>
      </c>
      <c r="H28">
        <v>16.239999999999998</v>
      </c>
      <c r="I28">
        <v>31.33</v>
      </c>
      <c r="J28">
        <v>37.32</v>
      </c>
      <c r="K28">
        <v>59.43</v>
      </c>
      <c r="L28">
        <v>62.7</v>
      </c>
    </row>
    <row r="29" spans="1:12" s="9" customFormat="1" x14ac:dyDescent="0.25">
      <c r="A29" s="9" t="s">
        <v>10</v>
      </c>
      <c r="B29">
        <v>2</v>
      </c>
      <c r="C29">
        <v>3.69</v>
      </c>
      <c r="D29">
        <v>2.88</v>
      </c>
      <c r="E29">
        <v>3.89</v>
      </c>
      <c r="F29">
        <v>5.64</v>
      </c>
      <c r="G29">
        <v>7.44</v>
      </c>
      <c r="H29">
        <v>4.29</v>
      </c>
      <c r="I29">
        <v>10.08</v>
      </c>
      <c r="J29">
        <v>13.6</v>
      </c>
      <c r="K29">
        <v>20.73</v>
      </c>
      <c r="L29">
        <v>21.72</v>
      </c>
    </row>
    <row r="30" spans="1:12" s="9" customFormat="1" x14ac:dyDescent="0.25">
      <c r="A30" s="9" t="s">
        <v>11</v>
      </c>
      <c r="B30">
        <v>3.88</v>
      </c>
      <c r="C30">
        <v>6.56</v>
      </c>
      <c r="D30">
        <v>5.25</v>
      </c>
      <c r="E30">
        <v>7.14</v>
      </c>
      <c r="F30">
        <v>11.58</v>
      </c>
      <c r="G30">
        <v>12.09</v>
      </c>
      <c r="H30">
        <v>11.95</v>
      </c>
      <c r="I30">
        <v>21.25</v>
      </c>
      <c r="J30">
        <v>23.72</v>
      </c>
      <c r="K30">
        <v>38.700000000000003</v>
      </c>
      <c r="L30">
        <v>40.98</v>
      </c>
    </row>
    <row r="31" spans="1:12" s="9" customFormat="1" x14ac:dyDescent="0.25">
      <c r="A31" s="9" t="s">
        <v>65</v>
      </c>
      <c r="B31">
        <v>1.0900000000000001</v>
      </c>
      <c r="C31">
        <v>1.37</v>
      </c>
      <c r="D31">
        <v>1.37</v>
      </c>
      <c r="E31">
        <v>1.37</v>
      </c>
      <c r="F31">
        <v>1.37</v>
      </c>
      <c r="G31">
        <v>1.37</v>
      </c>
      <c r="H31">
        <v>1.37</v>
      </c>
      <c r="I31">
        <v>1.64</v>
      </c>
      <c r="J31">
        <v>1.64</v>
      </c>
      <c r="K31">
        <v>1.64</v>
      </c>
      <c r="L31">
        <v>1.64</v>
      </c>
    </row>
    <row r="32" spans="1:12"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34</v>
      </c>
    </row>
    <row r="41" spans="1:11" s="24" customFormat="1" x14ac:dyDescent="0.25">
      <c r="A41" s="23" t="s">
        <v>33</v>
      </c>
      <c r="B41" s="16">
        <v>41639</v>
      </c>
      <c r="C41" s="16">
        <v>41729</v>
      </c>
      <c r="D41" s="16">
        <v>41820</v>
      </c>
      <c r="E41" s="16">
        <v>41912</v>
      </c>
      <c r="F41" s="16">
        <v>42004</v>
      </c>
      <c r="G41" s="16">
        <v>42094</v>
      </c>
      <c r="H41" s="16">
        <v>42185</v>
      </c>
      <c r="I41" s="16">
        <v>42277</v>
      </c>
      <c r="J41" s="16">
        <v>42369</v>
      </c>
      <c r="K41" s="16">
        <v>42460</v>
      </c>
    </row>
    <row r="42" spans="1:11" s="9" customFormat="1" x14ac:dyDescent="0.25">
      <c r="A42" s="9" t="s">
        <v>3</v>
      </c>
      <c r="B42">
        <v>85.71</v>
      </c>
      <c r="C42">
        <v>86.59</v>
      </c>
      <c r="D42">
        <v>92.08</v>
      </c>
      <c r="E42">
        <v>98.67</v>
      </c>
      <c r="F42">
        <v>105.57</v>
      </c>
      <c r="G42">
        <v>105.32</v>
      </c>
      <c r="H42">
        <v>113.03</v>
      </c>
      <c r="I42">
        <v>116.39</v>
      </c>
      <c r="J42">
        <v>115.46</v>
      </c>
      <c r="K42">
        <v>120.43</v>
      </c>
    </row>
    <row r="43" spans="1:11" s="9" customFormat="1" x14ac:dyDescent="0.25">
      <c r="A43" s="9" t="s">
        <v>4</v>
      </c>
      <c r="B43">
        <v>66.25</v>
      </c>
      <c r="C43">
        <v>66.58</v>
      </c>
      <c r="D43">
        <v>69.78</v>
      </c>
      <c r="E43">
        <v>75.16</v>
      </c>
      <c r="F43">
        <v>79.23</v>
      </c>
      <c r="G43">
        <v>83.18</v>
      </c>
      <c r="H43">
        <v>90.07</v>
      </c>
      <c r="I43">
        <v>92.43</v>
      </c>
      <c r="J43">
        <v>94.87</v>
      </c>
      <c r="K43">
        <v>96.21</v>
      </c>
    </row>
    <row r="44" spans="1:11" s="9" customFormat="1" x14ac:dyDescent="0.25">
      <c r="A44" s="9" t="s">
        <v>6</v>
      </c>
      <c r="B44">
        <v>1.1100000000000001</v>
      </c>
      <c r="C44">
        <v>1.41</v>
      </c>
      <c r="D44">
        <v>1.4</v>
      </c>
      <c r="E44">
        <v>1.73</v>
      </c>
      <c r="F44">
        <v>1.8</v>
      </c>
      <c r="G44">
        <v>1.78</v>
      </c>
      <c r="H44">
        <v>2.13</v>
      </c>
      <c r="I44">
        <v>1.95</v>
      </c>
      <c r="J44">
        <v>1.88</v>
      </c>
      <c r="K44">
        <v>1.78</v>
      </c>
    </row>
    <row r="45" spans="1:11" s="9" customFormat="1" x14ac:dyDescent="0.25">
      <c r="A45" s="9" t="s">
        <v>7</v>
      </c>
      <c r="B45">
        <v>3.9</v>
      </c>
      <c r="C45">
        <v>4.66</v>
      </c>
      <c r="D45">
        <v>5.76</v>
      </c>
      <c r="E45">
        <v>5.45</v>
      </c>
      <c r="F45">
        <v>5.05</v>
      </c>
      <c r="G45">
        <v>4.9400000000000004</v>
      </c>
      <c r="H45">
        <v>4.91</v>
      </c>
      <c r="I45">
        <v>5.04</v>
      </c>
      <c r="J45">
        <v>5.15</v>
      </c>
      <c r="K45">
        <v>5.54</v>
      </c>
    </row>
    <row r="46" spans="1:11" s="9" customFormat="1" x14ac:dyDescent="0.25">
      <c r="A46" s="9" t="s">
        <v>8</v>
      </c>
      <c r="B46">
        <v>5.93</v>
      </c>
      <c r="C46">
        <v>5.61</v>
      </c>
      <c r="D46">
        <v>5.52</v>
      </c>
      <c r="E46">
        <v>5.18</v>
      </c>
      <c r="F46">
        <v>4.96</v>
      </c>
      <c r="G46">
        <v>4.71</v>
      </c>
      <c r="H46">
        <v>4.4800000000000004</v>
      </c>
      <c r="I46">
        <v>4.16</v>
      </c>
      <c r="J46">
        <v>3.77</v>
      </c>
      <c r="K46">
        <v>4.24</v>
      </c>
    </row>
    <row r="47" spans="1:11" s="9" customFormat="1" x14ac:dyDescent="0.25">
      <c r="A47" s="9" t="s">
        <v>9</v>
      </c>
      <c r="B47">
        <v>10.73</v>
      </c>
      <c r="C47">
        <v>11.15</v>
      </c>
      <c r="D47">
        <v>12.42</v>
      </c>
      <c r="E47">
        <v>14.62</v>
      </c>
      <c r="F47">
        <v>18.12</v>
      </c>
      <c r="G47">
        <v>14.27</v>
      </c>
      <c r="H47">
        <v>15.69</v>
      </c>
      <c r="I47">
        <v>16.7</v>
      </c>
      <c r="J47">
        <v>13.55</v>
      </c>
      <c r="K47">
        <v>16.21</v>
      </c>
    </row>
    <row r="48" spans="1:11" s="9" customFormat="1" x14ac:dyDescent="0.25">
      <c r="A48" s="9" t="s">
        <v>10</v>
      </c>
      <c r="B48">
        <v>3.77</v>
      </c>
      <c r="C48">
        <v>4.09</v>
      </c>
      <c r="D48">
        <v>4.12</v>
      </c>
      <c r="E48">
        <v>5.49</v>
      </c>
      <c r="F48">
        <v>6.2</v>
      </c>
      <c r="G48">
        <v>4.92</v>
      </c>
      <c r="H48">
        <v>5.55</v>
      </c>
      <c r="I48">
        <v>6.04</v>
      </c>
      <c r="J48">
        <v>4.93</v>
      </c>
      <c r="K48">
        <v>5.21</v>
      </c>
    </row>
    <row r="49" spans="1:12" s="9" customFormat="1" x14ac:dyDescent="0.25">
      <c r="A49" s="9" t="s">
        <v>11</v>
      </c>
      <c r="B49">
        <v>6.97</v>
      </c>
      <c r="C49">
        <v>7.06</v>
      </c>
      <c r="D49">
        <v>8.2899999999999991</v>
      </c>
      <c r="E49">
        <v>9.1300000000000008</v>
      </c>
      <c r="F49">
        <v>11.92</v>
      </c>
      <c r="G49">
        <v>9.35</v>
      </c>
      <c r="H49">
        <v>10.14</v>
      </c>
      <c r="I49">
        <v>10.67</v>
      </c>
      <c r="J49">
        <v>8.6199999999999992</v>
      </c>
      <c r="K49">
        <v>11</v>
      </c>
    </row>
    <row r="50" spans="1:12" x14ac:dyDescent="0.25">
      <c r="A50" s="9" t="s">
        <v>5</v>
      </c>
      <c r="B50">
        <v>19.46</v>
      </c>
      <c r="C50">
        <v>20.010000000000002</v>
      </c>
      <c r="D50">
        <v>22.3</v>
      </c>
      <c r="E50">
        <v>23.51</v>
      </c>
      <c r="F50">
        <v>26.34</v>
      </c>
      <c r="G50">
        <v>22.14</v>
      </c>
      <c r="H50">
        <v>22.96</v>
      </c>
      <c r="I50">
        <v>23.96</v>
      </c>
      <c r="J50">
        <v>20.59</v>
      </c>
      <c r="K50">
        <v>24.22</v>
      </c>
    </row>
    <row r="51" spans="1:12" x14ac:dyDescent="0.25">
      <c r="A51" s="9"/>
    </row>
    <row r="52" spans="1:12" x14ac:dyDescent="0.25">
      <c r="A52" s="9"/>
    </row>
    <row r="53" spans="1:12" x14ac:dyDescent="0.25">
      <c r="A53" s="9"/>
    </row>
    <row r="54" spans="1:12" x14ac:dyDescent="0.25">
      <c r="A54" s="9"/>
    </row>
    <row r="55" spans="1:12" x14ac:dyDescent="0.25">
      <c r="A55" s="1" t="s">
        <v>35</v>
      </c>
    </row>
    <row r="56" spans="1:12" s="24" customFormat="1" x14ac:dyDescent="0.25">
      <c r="A56" s="23" t="s">
        <v>33</v>
      </c>
      <c r="B56" s="16">
        <v>38807</v>
      </c>
      <c r="C56" s="16">
        <v>39172</v>
      </c>
      <c r="D56" s="16">
        <v>39538</v>
      </c>
      <c r="E56" s="16">
        <v>39903</v>
      </c>
      <c r="F56" s="16">
        <v>40268</v>
      </c>
      <c r="G56" s="16">
        <v>40633</v>
      </c>
      <c r="H56" s="16">
        <v>40999</v>
      </c>
      <c r="I56" s="16">
        <v>41364</v>
      </c>
      <c r="J56" s="16">
        <v>41729</v>
      </c>
      <c r="K56" s="16">
        <v>42094</v>
      </c>
      <c r="L56" s="16">
        <v>42460</v>
      </c>
    </row>
    <row r="57" spans="1:12" x14ac:dyDescent="0.25">
      <c r="A57" s="9" t="s">
        <v>19</v>
      </c>
      <c r="B57">
        <v>10.93</v>
      </c>
      <c r="C57">
        <v>10.94</v>
      </c>
      <c r="D57">
        <v>10.94</v>
      </c>
      <c r="E57">
        <v>10.94</v>
      </c>
      <c r="F57">
        <v>10.94</v>
      </c>
      <c r="G57">
        <v>10.94</v>
      </c>
      <c r="H57">
        <v>10.94</v>
      </c>
      <c r="I57">
        <v>10.94</v>
      </c>
      <c r="J57">
        <v>10.94</v>
      </c>
      <c r="K57">
        <v>10.94</v>
      </c>
      <c r="L57">
        <v>10.94</v>
      </c>
    </row>
    <row r="58" spans="1:12" x14ac:dyDescent="0.25">
      <c r="A58" s="9" t="s">
        <v>20</v>
      </c>
      <c r="B58">
        <v>5.17</v>
      </c>
      <c r="C58">
        <v>10.130000000000001</v>
      </c>
      <c r="D58">
        <v>13.78</v>
      </c>
      <c r="E58">
        <v>19.32</v>
      </c>
      <c r="F58">
        <v>29.31</v>
      </c>
      <c r="G58">
        <v>39.81</v>
      </c>
      <c r="H58">
        <v>50.17</v>
      </c>
      <c r="I58">
        <v>69.5</v>
      </c>
      <c r="J58">
        <v>91.3</v>
      </c>
      <c r="K58">
        <v>127.46</v>
      </c>
      <c r="L58">
        <v>163.08000000000001</v>
      </c>
    </row>
    <row r="59" spans="1:12" x14ac:dyDescent="0.25">
      <c r="A59" s="9" t="s">
        <v>66</v>
      </c>
      <c r="B59">
        <v>14.35</v>
      </c>
      <c r="C59">
        <v>32.68</v>
      </c>
      <c r="D59">
        <v>37.82</v>
      </c>
      <c r="E59">
        <v>70.42</v>
      </c>
      <c r="F59">
        <v>108.18</v>
      </c>
      <c r="G59">
        <v>192.25</v>
      </c>
      <c r="H59">
        <v>227.81</v>
      </c>
      <c r="I59">
        <v>209.34</v>
      </c>
      <c r="J59">
        <v>183.63</v>
      </c>
      <c r="K59">
        <v>162.66999999999999</v>
      </c>
      <c r="L59">
        <v>126</v>
      </c>
    </row>
    <row r="60" spans="1:12" x14ac:dyDescent="0.25">
      <c r="A60" s="9" t="s">
        <v>67</v>
      </c>
      <c r="B60">
        <v>15.91</v>
      </c>
      <c r="C60">
        <v>21.72</v>
      </c>
      <c r="D60">
        <v>26.19</v>
      </c>
      <c r="E60">
        <v>20.3</v>
      </c>
      <c r="F60">
        <v>25.95</v>
      </c>
      <c r="G60">
        <v>41.11</v>
      </c>
      <c r="H60">
        <v>51.22</v>
      </c>
      <c r="I60">
        <v>56.81</v>
      </c>
      <c r="J60">
        <v>67.06</v>
      </c>
      <c r="K60">
        <v>88.19</v>
      </c>
      <c r="L60">
        <v>128</v>
      </c>
    </row>
    <row r="61" spans="1:12" s="1" customFormat="1" x14ac:dyDescent="0.25">
      <c r="A61" s="1" t="s">
        <v>21</v>
      </c>
      <c r="B61">
        <v>46.36</v>
      </c>
      <c r="C61">
        <v>75.47</v>
      </c>
      <c r="D61">
        <v>88.73</v>
      </c>
      <c r="E61">
        <v>120.98</v>
      </c>
      <c r="F61">
        <v>174.38</v>
      </c>
      <c r="G61">
        <v>284.11</v>
      </c>
      <c r="H61">
        <v>340.14</v>
      </c>
      <c r="I61">
        <v>346.59</v>
      </c>
      <c r="J61">
        <v>352.93</v>
      </c>
      <c r="K61">
        <v>389.26</v>
      </c>
      <c r="L61">
        <v>428.02</v>
      </c>
    </row>
    <row r="62" spans="1:12" x14ac:dyDescent="0.25">
      <c r="A62" s="9" t="s">
        <v>22</v>
      </c>
      <c r="B62">
        <v>34.700000000000003</v>
      </c>
      <c r="C62">
        <v>46.82</v>
      </c>
      <c r="D62">
        <v>52.95</v>
      </c>
      <c r="E62">
        <v>60.69</v>
      </c>
      <c r="F62">
        <v>98.45</v>
      </c>
      <c r="G62">
        <v>185.26</v>
      </c>
      <c r="H62">
        <v>288.39999999999998</v>
      </c>
      <c r="I62">
        <v>279.45999999999998</v>
      </c>
      <c r="J62">
        <v>277.18</v>
      </c>
      <c r="K62">
        <v>280.93</v>
      </c>
      <c r="L62">
        <v>339</v>
      </c>
    </row>
    <row r="63" spans="1:12" x14ac:dyDescent="0.25">
      <c r="A63" s="9" t="s">
        <v>23</v>
      </c>
      <c r="B63">
        <v>0.56999999999999995</v>
      </c>
      <c r="C63">
        <v>2.27</v>
      </c>
      <c r="D63">
        <v>6.46</v>
      </c>
      <c r="E63">
        <v>20.100000000000001</v>
      </c>
      <c r="F63">
        <v>42.22</v>
      </c>
      <c r="G63">
        <v>38.1</v>
      </c>
      <c r="H63">
        <v>0.15</v>
      </c>
      <c r="I63">
        <v>4.72</v>
      </c>
      <c r="J63">
        <v>4.9400000000000004</v>
      </c>
      <c r="K63">
        <v>16.670000000000002</v>
      </c>
      <c r="L63">
        <v>10.09</v>
      </c>
    </row>
    <row r="64" spans="1:12" x14ac:dyDescent="0.25">
      <c r="A64" s="9" t="s">
        <v>24</v>
      </c>
      <c r="B64">
        <v>0.03</v>
      </c>
      <c r="C64">
        <v>0.88</v>
      </c>
      <c r="D64">
        <v>3.6</v>
      </c>
      <c r="E64">
        <v>3.6</v>
      </c>
      <c r="F64">
        <v>3.6</v>
      </c>
      <c r="G64">
        <v>3.6</v>
      </c>
      <c r="H64">
        <v>3.6</v>
      </c>
      <c r="I64">
        <v>3.6</v>
      </c>
      <c r="J64">
        <v>3.6</v>
      </c>
      <c r="K64">
        <v>3.72</v>
      </c>
      <c r="L64">
        <v>3.72</v>
      </c>
    </row>
    <row r="65" spans="1:12" x14ac:dyDescent="0.25">
      <c r="A65" s="9" t="s">
        <v>68</v>
      </c>
      <c r="B65">
        <v>11.06</v>
      </c>
      <c r="C65">
        <v>25.5</v>
      </c>
      <c r="D65">
        <v>25.72</v>
      </c>
      <c r="E65">
        <v>36.590000000000003</v>
      </c>
      <c r="F65">
        <v>30.11</v>
      </c>
      <c r="G65">
        <v>57.15</v>
      </c>
      <c r="H65">
        <v>47.99</v>
      </c>
      <c r="I65">
        <v>58.81</v>
      </c>
      <c r="J65">
        <v>67.209999999999994</v>
      </c>
      <c r="K65">
        <v>87.94</v>
      </c>
      <c r="L65">
        <v>75.209999999999994</v>
      </c>
    </row>
    <row r="66" spans="1:12" s="1" customFormat="1" x14ac:dyDescent="0.25">
      <c r="A66" s="1" t="s">
        <v>21</v>
      </c>
      <c r="B66">
        <v>46.36</v>
      </c>
      <c r="C66">
        <v>75.47</v>
      </c>
      <c r="D66">
        <v>88.73</v>
      </c>
      <c r="E66">
        <v>120.98</v>
      </c>
      <c r="F66">
        <v>174.38</v>
      </c>
      <c r="G66">
        <v>284.11</v>
      </c>
      <c r="H66">
        <v>340.14</v>
      </c>
      <c r="I66">
        <v>346.59</v>
      </c>
      <c r="J66">
        <v>352.93</v>
      </c>
      <c r="K66">
        <v>389.26</v>
      </c>
      <c r="L66">
        <v>428.02</v>
      </c>
    </row>
    <row r="67" spans="1:12" s="9" customFormat="1" x14ac:dyDescent="0.25">
      <c r="A67" s="9" t="s">
        <v>73</v>
      </c>
      <c r="B67">
        <v>1.43</v>
      </c>
      <c r="C67">
        <v>1.82</v>
      </c>
      <c r="D67">
        <v>3.25</v>
      </c>
      <c r="E67">
        <v>3.28</v>
      </c>
      <c r="F67">
        <v>4.32</v>
      </c>
      <c r="G67">
        <v>6.62</v>
      </c>
      <c r="H67">
        <v>3.2</v>
      </c>
      <c r="I67">
        <v>4.1500000000000004</v>
      </c>
      <c r="J67">
        <v>7.25</v>
      </c>
      <c r="K67">
        <v>10.1</v>
      </c>
      <c r="L67">
        <v>8.9700000000000006</v>
      </c>
    </row>
    <row r="68" spans="1:12" x14ac:dyDescent="0.25">
      <c r="A68" s="9" t="s">
        <v>40</v>
      </c>
      <c r="B68">
        <v>2.84</v>
      </c>
      <c r="C68">
        <v>2.65</v>
      </c>
      <c r="D68">
        <v>4</v>
      </c>
      <c r="E68">
        <v>3.95</v>
      </c>
      <c r="F68">
        <v>5</v>
      </c>
      <c r="G68">
        <v>5.76</v>
      </c>
      <c r="H68">
        <v>7.26</v>
      </c>
      <c r="I68">
        <v>8.92</v>
      </c>
      <c r="J68">
        <v>9.68</v>
      </c>
      <c r="K68">
        <v>8.32</v>
      </c>
      <c r="L68">
        <v>8.5399999999999991</v>
      </c>
    </row>
    <row r="69" spans="1:12" x14ac:dyDescent="0.25">
      <c r="A69" s="5" t="s">
        <v>82</v>
      </c>
      <c r="B69">
        <v>0.99</v>
      </c>
      <c r="C69">
        <v>6</v>
      </c>
      <c r="D69">
        <v>3.07</v>
      </c>
      <c r="E69">
        <v>21.33</v>
      </c>
      <c r="F69">
        <v>12.83</v>
      </c>
      <c r="G69">
        <v>28.32</v>
      </c>
      <c r="H69">
        <v>24.76</v>
      </c>
      <c r="I69">
        <v>30.96</v>
      </c>
      <c r="J69">
        <v>34.93</v>
      </c>
      <c r="K69">
        <v>55.51</v>
      </c>
      <c r="L69">
        <v>51.05</v>
      </c>
    </row>
    <row r="70" spans="1:12" x14ac:dyDescent="0.25">
      <c r="A70" s="5" t="s">
        <v>69</v>
      </c>
      <c r="B70">
        <v>10942262</v>
      </c>
      <c r="C70">
        <v>10942262</v>
      </c>
      <c r="D70">
        <v>10942262</v>
      </c>
      <c r="E70">
        <v>10942262</v>
      </c>
      <c r="F70">
        <v>10942262</v>
      </c>
      <c r="G70">
        <v>10942262</v>
      </c>
      <c r="H70">
        <v>10942262</v>
      </c>
      <c r="I70">
        <v>10942262</v>
      </c>
      <c r="J70">
        <v>10942262</v>
      </c>
      <c r="K70">
        <v>10942262</v>
      </c>
      <c r="L70">
        <v>10942262</v>
      </c>
    </row>
    <row r="71" spans="1:12" x14ac:dyDescent="0.25">
      <c r="A71" s="5" t="s">
        <v>70</v>
      </c>
    </row>
    <row r="72" spans="1:12" x14ac:dyDescent="0.25">
      <c r="A72" s="5" t="s">
        <v>83</v>
      </c>
      <c r="B72">
        <v>10</v>
      </c>
      <c r="C72">
        <v>10</v>
      </c>
      <c r="D72">
        <v>10</v>
      </c>
      <c r="E72">
        <v>10</v>
      </c>
      <c r="F72">
        <v>10</v>
      </c>
      <c r="G72">
        <v>10</v>
      </c>
      <c r="H72">
        <v>10</v>
      </c>
      <c r="I72">
        <v>10</v>
      </c>
      <c r="J72">
        <v>10</v>
      </c>
      <c r="K72">
        <v>10</v>
      </c>
      <c r="L72">
        <v>10</v>
      </c>
    </row>
    <row r="74" spans="1:12" x14ac:dyDescent="0.25">
      <c r="A74" s="9"/>
    </row>
    <row r="75" spans="1:12" x14ac:dyDescent="0.25">
      <c r="A75" s="9"/>
    </row>
    <row r="76" spans="1:12" x14ac:dyDescent="0.25">
      <c r="A76" s="9"/>
    </row>
    <row r="77" spans="1:12" x14ac:dyDescent="0.25">
      <c r="A77" s="9"/>
    </row>
    <row r="78" spans="1:12" x14ac:dyDescent="0.25">
      <c r="A78" s="9"/>
    </row>
    <row r="79" spans="1:12" x14ac:dyDescent="0.25">
      <c r="A79" s="9"/>
    </row>
    <row r="80" spans="1:12" x14ac:dyDescent="0.25">
      <c r="A80" s="1" t="s">
        <v>36</v>
      </c>
    </row>
    <row r="81" spans="1:12" s="24" customFormat="1" x14ac:dyDescent="0.25">
      <c r="A81" s="23" t="s">
        <v>33</v>
      </c>
      <c r="B81" s="16">
        <v>38807</v>
      </c>
      <c r="C81" s="16">
        <v>39172</v>
      </c>
      <c r="D81" s="16">
        <v>39538</v>
      </c>
      <c r="E81" s="16">
        <v>39903</v>
      </c>
      <c r="F81" s="16">
        <v>40268</v>
      </c>
      <c r="G81" s="16">
        <v>40633</v>
      </c>
      <c r="H81" s="16">
        <v>40999</v>
      </c>
      <c r="I81" s="16">
        <v>41364</v>
      </c>
      <c r="J81" s="16">
        <v>41729</v>
      </c>
      <c r="K81" s="16">
        <v>42094</v>
      </c>
      <c r="L81" s="16">
        <v>42460</v>
      </c>
    </row>
    <row r="82" spans="1:12" s="1" customFormat="1" x14ac:dyDescent="0.25">
      <c r="A82" s="9" t="s">
        <v>27</v>
      </c>
      <c r="B82">
        <v>8.26</v>
      </c>
      <c r="C82">
        <v>4.9000000000000004</v>
      </c>
      <c r="D82">
        <v>12.8</v>
      </c>
      <c r="E82">
        <v>14.82</v>
      </c>
      <c r="F82">
        <v>23.94</v>
      </c>
      <c r="G82">
        <v>41.24</v>
      </c>
      <c r="H82">
        <v>55.57</v>
      </c>
      <c r="I82">
        <v>61.81</v>
      </c>
      <c r="J82">
        <v>67.61</v>
      </c>
      <c r="K82">
        <v>97.2</v>
      </c>
      <c r="L82">
        <v>104</v>
      </c>
    </row>
    <row r="83" spans="1:12" s="9" customFormat="1" x14ac:dyDescent="0.25">
      <c r="A83" s="9" t="s">
        <v>28</v>
      </c>
      <c r="B83">
        <v>-5.95</v>
      </c>
      <c r="C83">
        <v>-18.21</v>
      </c>
      <c r="D83">
        <v>-16.170000000000002</v>
      </c>
      <c r="E83">
        <v>-23.2</v>
      </c>
      <c r="F83">
        <v>-63.83</v>
      </c>
      <c r="G83">
        <v>-97.17</v>
      </c>
      <c r="H83">
        <v>-76.55</v>
      </c>
      <c r="I83">
        <v>-8.52</v>
      </c>
      <c r="J83">
        <v>-12.09</v>
      </c>
      <c r="K83">
        <v>-33.36</v>
      </c>
      <c r="L83"/>
    </row>
    <row r="84" spans="1:12" s="9" customFormat="1" x14ac:dyDescent="0.25">
      <c r="A84" s="9" t="s">
        <v>29</v>
      </c>
      <c r="B84">
        <v>-1.85</v>
      </c>
      <c r="C84">
        <v>18.32</v>
      </c>
      <c r="D84">
        <v>0.44</v>
      </c>
      <c r="E84">
        <v>26.64</v>
      </c>
      <c r="F84">
        <v>31.39</v>
      </c>
      <c r="G84">
        <v>71.42</v>
      </c>
      <c r="H84">
        <v>17.420000000000002</v>
      </c>
      <c r="I84">
        <v>-47.5</v>
      </c>
      <c r="J84">
        <v>-51.55</v>
      </c>
      <c r="K84">
        <v>-43.26</v>
      </c>
      <c r="L84"/>
    </row>
    <row r="85" spans="1:12" s="1" customFormat="1" x14ac:dyDescent="0.25">
      <c r="A85" s="9" t="s">
        <v>30</v>
      </c>
      <c r="B85">
        <v>0.46</v>
      </c>
      <c r="C85">
        <v>5.01</v>
      </c>
      <c r="D85">
        <v>-2.93</v>
      </c>
      <c r="E85">
        <v>18.260000000000002</v>
      </c>
      <c r="F85">
        <v>-8.5</v>
      </c>
      <c r="G85">
        <v>15.49</v>
      </c>
      <c r="H85">
        <v>-3.56</v>
      </c>
      <c r="I85">
        <v>5.79</v>
      </c>
      <c r="J85">
        <v>3.97</v>
      </c>
      <c r="K85">
        <v>20.58</v>
      </c>
      <c r="L85"/>
    </row>
    <row r="86" spans="1:12" x14ac:dyDescent="0.25">
      <c r="A86" s="9"/>
    </row>
    <row r="87" spans="1:12" x14ac:dyDescent="0.25">
      <c r="A87" s="9"/>
    </row>
    <row r="88" spans="1:12" x14ac:dyDescent="0.25">
      <c r="A88" s="9"/>
    </row>
    <row r="89" spans="1:12" x14ac:dyDescent="0.25">
      <c r="A89" s="9"/>
    </row>
    <row r="90" spans="1:12" s="1" customFormat="1" x14ac:dyDescent="0.25">
      <c r="A90" s="1" t="s">
        <v>72</v>
      </c>
      <c r="B90">
        <v>60.36</v>
      </c>
      <c r="C90">
        <v>49.81</v>
      </c>
      <c r="D90">
        <v>45.66</v>
      </c>
      <c r="E90">
        <v>64.12</v>
      </c>
      <c r="F90">
        <v>146.30000000000001</v>
      </c>
      <c r="G90">
        <v>122.74</v>
      </c>
      <c r="H90">
        <v>107.66</v>
      </c>
      <c r="I90">
        <v>163.68</v>
      </c>
      <c r="J90">
        <v>153.56</v>
      </c>
      <c r="K90">
        <v>634.01</v>
      </c>
      <c r="L90" s="9">
        <v>754</v>
      </c>
    </row>
    <row r="92" spans="1:12" s="1" customFormat="1" x14ac:dyDescent="0.25">
      <c r="A92" s="1" t="s">
        <v>71</v>
      </c>
    </row>
    <row r="93" spans="1:12" x14ac:dyDescent="0.25">
      <c r="A93" s="5" t="s">
        <v>84</v>
      </c>
      <c r="B93" s="31">
        <f>IF($B7&gt;0,(B70*B72/$B7)+SUM(C71:$K71),0)/10000000</f>
        <v>1.0942262</v>
      </c>
      <c r="C93" s="31">
        <f>IF($B7&gt;0,(C70*C72/$B7)+SUM(D71:$K71),0)/10000000</f>
        <v>1.0942262</v>
      </c>
      <c r="D93" s="31">
        <f>IF($B7&gt;0,(D70*D72/$B7)+SUM(E71:$K71),0)/10000000</f>
        <v>1.0942262</v>
      </c>
      <c r="E93" s="31">
        <f>IF($B7&gt;0,(E70*E72/$B7)+SUM(F71:$K71),0)/10000000</f>
        <v>1.0942262</v>
      </c>
      <c r="F93" s="31">
        <f>IF($B7&gt;0,(F70*F72/$B7)+SUM(G71:$K71),0)/10000000</f>
        <v>1.0942262</v>
      </c>
      <c r="G93" s="31">
        <f>IF($B7&gt;0,(G70*G72/$B7)+SUM(H71:$K71),0)/10000000</f>
        <v>1.0942262</v>
      </c>
      <c r="H93" s="31">
        <f>IF($B7&gt;0,(H70*H72/$B7)+SUM(I71:$K71),0)/10000000</f>
        <v>1.0942262</v>
      </c>
      <c r="I93" s="31">
        <f>IF($B7&gt;0,(I70*I72/$B7)+SUM(J71:$K71),0)/10000000</f>
        <v>1.0942262</v>
      </c>
      <c r="J93" s="31">
        <f>IF($B7&gt;0,(J70*J72/$B7)+SUM(K71:$K71),0)/10000000</f>
        <v>1.0942262</v>
      </c>
      <c r="K93" s="31">
        <f>IF($B7&gt;0,(K70*K72/$B7),0)/10000000</f>
        <v>1.0942262</v>
      </c>
      <c r="L93" s="31">
        <f>IF($B7&gt;0,(L70*L72/$B7),0)/10000000</f>
        <v>1.0942262</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7"/>
  <sheetViews>
    <sheetView topLeftCell="A11" workbookViewId="0">
      <selection activeCell="L36" sqref="L36"/>
    </sheetView>
  </sheetViews>
  <sheetFormatPr defaultRowHeight="15" x14ac:dyDescent="0.25"/>
  <cols>
    <col min="1" max="1" width="30" bestFit="1" customWidth="1"/>
  </cols>
  <sheetData>
    <row r="1" spans="1:12" x14ac:dyDescent="0.25">
      <c r="A1" s="123" t="str">
        <f>'Data Sheet'!B1</f>
        <v>KOVAI MEDICAL CENTER &amp; HOSPITAL LTD</v>
      </c>
      <c r="B1" s="124"/>
      <c r="C1" s="124"/>
      <c r="D1" s="124"/>
      <c r="E1" s="124"/>
      <c r="F1" s="124"/>
      <c r="G1" s="124"/>
      <c r="H1" s="124"/>
      <c r="I1" s="124"/>
      <c r="J1" s="124"/>
      <c r="K1" s="124"/>
      <c r="L1" s="124"/>
    </row>
    <row r="2" spans="1:12" x14ac:dyDescent="0.25">
      <c r="A2" s="123"/>
      <c r="B2" s="124"/>
      <c r="C2" s="124"/>
      <c r="D2" s="124"/>
      <c r="E2" s="124"/>
      <c r="F2" s="124"/>
      <c r="G2" s="124"/>
      <c r="H2" s="124"/>
      <c r="I2" s="124"/>
      <c r="J2" s="124"/>
      <c r="K2" s="124"/>
      <c r="L2" s="124"/>
    </row>
    <row r="3" spans="1:12" x14ac:dyDescent="0.25">
      <c r="A3" s="267" t="s">
        <v>335</v>
      </c>
      <c r="B3" s="267"/>
      <c r="C3" s="267"/>
      <c r="D3" s="267"/>
      <c r="E3" s="267"/>
      <c r="F3" s="267"/>
      <c r="G3" s="267"/>
      <c r="H3" s="267"/>
      <c r="I3" s="267"/>
      <c r="J3" s="267"/>
      <c r="K3" s="125"/>
      <c r="L3" s="126"/>
    </row>
    <row r="4" spans="1:12" x14ac:dyDescent="0.25">
      <c r="A4" s="127" t="str">
        <f>'Data Sheet'!A1</f>
        <v>COMPANY NAME</v>
      </c>
      <c r="B4" s="128">
        <f>'Data Sheet'!B$16</f>
        <v>38807</v>
      </c>
      <c r="C4" s="128">
        <f>'Data Sheet'!C$16</f>
        <v>39172</v>
      </c>
      <c r="D4" s="128">
        <f>'Data Sheet'!D$16</f>
        <v>39538</v>
      </c>
      <c r="E4" s="128">
        <f>'Data Sheet'!E$16</f>
        <v>39903</v>
      </c>
      <c r="F4" s="128">
        <f>'Data Sheet'!F$16</f>
        <v>40268</v>
      </c>
      <c r="G4" s="128">
        <f>'Data Sheet'!G$16</f>
        <v>40633</v>
      </c>
      <c r="H4" s="128">
        <f>'Data Sheet'!H$16</f>
        <v>40999</v>
      </c>
      <c r="I4" s="128">
        <f>'Data Sheet'!I$16</f>
        <v>41364</v>
      </c>
      <c r="J4" s="128">
        <f>'Data Sheet'!J$16</f>
        <v>41729</v>
      </c>
      <c r="K4" s="128">
        <f>'Data Sheet'!K$16</f>
        <v>42094</v>
      </c>
      <c r="L4" s="128">
        <f>'Data Sheet'!L$16</f>
        <v>42430</v>
      </c>
    </row>
    <row r="5" spans="1:12" x14ac:dyDescent="0.25">
      <c r="A5" s="129" t="s">
        <v>336</v>
      </c>
      <c r="B5" s="130"/>
      <c r="C5" s="130"/>
      <c r="D5" s="130"/>
      <c r="E5" s="130"/>
      <c r="F5" s="130"/>
      <c r="G5" s="130"/>
      <c r="H5" s="130"/>
      <c r="I5" s="130"/>
      <c r="J5" s="130"/>
      <c r="K5" s="130"/>
      <c r="L5" s="126"/>
    </row>
    <row r="6" spans="1:12" x14ac:dyDescent="0.25">
      <c r="A6" s="146" t="s">
        <v>40</v>
      </c>
      <c r="B6" s="147">
        <f>Other_input_data!B53</f>
        <v>2.84</v>
      </c>
      <c r="C6" s="147">
        <f>Other_input_data!C53</f>
        <v>2.65</v>
      </c>
      <c r="D6" s="147">
        <f>Other_input_data!D53</f>
        <v>4</v>
      </c>
      <c r="E6" s="147">
        <f>Other_input_data!E53</f>
        <v>3.95</v>
      </c>
      <c r="F6" s="147">
        <f>Other_input_data!F53</f>
        <v>5</v>
      </c>
      <c r="G6" s="147">
        <f>Other_input_data!G53</f>
        <v>5.76</v>
      </c>
      <c r="H6" s="147">
        <f>Other_input_data!H53</f>
        <v>7.26</v>
      </c>
      <c r="I6" s="147">
        <f>Other_input_data!I53</f>
        <v>8.92</v>
      </c>
      <c r="J6" s="147">
        <f>Other_input_data!J53</f>
        <v>9.68</v>
      </c>
      <c r="K6" s="147">
        <f>Other_input_data!K53</f>
        <v>8.32</v>
      </c>
      <c r="L6" s="147">
        <f>Other_input_data!L53</f>
        <v>8.5399999999999991</v>
      </c>
    </row>
    <row r="7" spans="1:12" x14ac:dyDescent="0.25">
      <c r="A7" s="146" t="s">
        <v>39</v>
      </c>
      <c r="B7" s="147">
        <f>B52</f>
        <v>1.43</v>
      </c>
      <c r="C7" s="147">
        <f t="shared" ref="C7:L7" si="0">C52</f>
        <v>1.82</v>
      </c>
      <c r="D7" s="147">
        <f t="shared" si="0"/>
        <v>3.25</v>
      </c>
      <c r="E7" s="147">
        <f t="shared" si="0"/>
        <v>3.28</v>
      </c>
      <c r="F7" s="147">
        <f t="shared" si="0"/>
        <v>4.32</v>
      </c>
      <c r="G7" s="147">
        <f t="shared" si="0"/>
        <v>6.62</v>
      </c>
      <c r="H7" s="147">
        <f t="shared" si="0"/>
        <v>3.2</v>
      </c>
      <c r="I7" s="147">
        <f t="shared" si="0"/>
        <v>4.1500000000000004</v>
      </c>
      <c r="J7" s="147">
        <f t="shared" si="0"/>
        <v>7.25</v>
      </c>
      <c r="K7" s="147">
        <f t="shared" si="0"/>
        <v>10.1</v>
      </c>
      <c r="L7" s="147">
        <f t="shared" si="0"/>
        <v>8.9700000000000006</v>
      </c>
    </row>
    <row r="8" spans="1:12" x14ac:dyDescent="0.25">
      <c r="A8" s="146" t="s">
        <v>337</v>
      </c>
      <c r="B8" s="147">
        <f>B54</f>
        <v>0.99</v>
      </c>
      <c r="C8" s="147">
        <f t="shared" ref="C8:L8" si="1">C54</f>
        <v>6</v>
      </c>
      <c r="D8" s="147">
        <f t="shared" si="1"/>
        <v>3.07</v>
      </c>
      <c r="E8" s="147">
        <f t="shared" si="1"/>
        <v>21.33</v>
      </c>
      <c r="F8" s="147">
        <f t="shared" si="1"/>
        <v>12.83</v>
      </c>
      <c r="G8" s="147">
        <f t="shared" si="1"/>
        <v>28.32</v>
      </c>
      <c r="H8" s="147">
        <f t="shared" si="1"/>
        <v>24.76</v>
      </c>
      <c r="I8" s="147">
        <f t="shared" si="1"/>
        <v>30.96</v>
      </c>
      <c r="J8" s="147">
        <f t="shared" si="1"/>
        <v>34.93</v>
      </c>
      <c r="K8" s="147">
        <f t="shared" si="1"/>
        <v>55.51</v>
      </c>
      <c r="L8" s="147">
        <f t="shared" si="1"/>
        <v>51.05</v>
      </c>
    </row>
    <row r="9" spans="1:12" x14ac:dyDescent="0.25">
      <c r="A9" s="146" t="s">
        <v>338</v>
      </c>
      <c r="B9" s="147">
        <f>B46</f>
        <v>11.06</v>
      </c>
      <c r="C9" s="147">
        <f t="shared" ref="C9:L9" si="2">C46</f>
        <v>25.5</v>
      </c>
      <c r="D9" s="147">
        <f t="shared" si="2"/>
        <v>25.72</v>
      </c>
      <c r="E9" s="147">
        <f t="shared" si="2"/>
        <v>36.590000000000003</v>
      </c>
      <c r="F9" s="147">
        <f t="shared" si="2"/>
        <v>30.11</v>
      </c>
      <c r="G9" s="147">
        <f t="shared" si="2"/>
        <v>57.15</v>
      </c>
      <c r="H9" s="147">
        <f t="shared" si="2"/>
        <v>47.99</v>
      </c>
      <c r="I9" s="147">
        <f t="shared" si="2"/>
        <v>58.81</v>
      </c>
      <c r="J9" s="147">
        <f t="shared" si="2"/>
        <v>67.209999999999994</v>
      </c>
      <c r="K9" s="147">
        <f t="shared" si="2"/>
        <v>87.94</v>
      </c>
      <c r="L9" s="147">
        <f t="shared" si="2"/>
        <v>75.209999999999994</v>
      </c>
    </row>
    <row r="10" spans="1:12" x14ac:dyDescent="0.25">
      <c r="A10" s="146" t="s">
        <v>339</v>
      </c>
      <c r="B10" s="147">
        <f>B47</f>
        <v>15.91</v>
      </c>
      <c r="C10" s="147">
        <f t="shared" ref="C10:L10" si="3">C47</f>
        <v>21.72</v>
      </c>
      <c r="D10" s="147">
        <f t="shared" si="3"/>
        <v>26.19</v>
      </c>
      <c r="E10" s="147">
        <f t="shared" si="3"/>
        <v>20.3</v>
      </c>
      <c r="F10" s="147">
        <f t="shared" si="3"/>
        <v>25.95</v>
      </c>
      <c r="G10" s="147">
        <f t="shared" si="3"/>
        <v>41.11</v>
      </c>
      <c r="H10" s="147">
        <f t="shared" si="3"/>
        <v>51.22</v>
      </c>
      <c r="I10" s="147">
        <f t="shared" si="3"/>
        <v>56.81</v>
      </c>
      <c r="J10" s="147">
        <f t="shared" si="3"/>
        <v>67.06</v>
      </c>
      <c r="K10" s="147">
        <f t="shared" si="3"/>
        <v>88.19</v>
      </c>
      <c r="L10" s="147">
        <f t="shared" si="3"/>
        <v>128</v>
      </c>
    </row>
    <row r="11" spans="1:12" x14ac:dyDescent="0.25">
      <c r="A11" s="146" t="s">
        <v>340</v>
      </c>
      <c r="B11" s="147">
        <f>B9-B10</f>
        <v>-4.8499999999999996</v>
      </c>
      <c r="C11" s="147">
        <f t="shared" ref="C11:L11" si="4">C9-C10</f>
        <v>3.7800000000000011</v>
      </c>
      <c r="D11" s="147">
        <f t="shared" si="4"/>
        <v>-0.47000000000000242</v>
      </c>
      <c r="E11" s="147">
        <f t="shared" si="4"/>
        <v>16.290000000000003</v>
      </c>
      <c r="F11" s="147">
        <f t="shared" si="4"/>
        <v>4.16</v>
      </c>
      <c r="G11" s="147">
        <f t="shared" si="4"/>
        <v>16.04</v>
      </c>
      <c r="H11" s="147">
        <f t="shared" si="4"/>
        <v>-3.2299999999999969</v>
      </c>
      <c r="I11" s="147">
        <f t="shared" si="4"/>
        <v>2</v>
      </c>
      <c r="J11" s="147">
        <f t="shared" si="4"/>
        <v>0.14999999999999147</v>
      </c>
      <c r="K11" s="147">
        <f t="shared" si="4"/>
        <v>-0.25</v>
      </c>
      <c r="L11" s="147">
        <f t="shared" si="4"/>
        <v>-52.790000000000006</v>
      </c>
    </row>
    <row r="12" spans="1:12" x14ac:dyDescent="0.25">
      <c r="A12" s="268"/>
      <c r="B12" s="268"/>
      <c r="C12" s="268"/>
      <c r="D12" s="268"/>
      <c r="E12" s="268"/>
      <c r="F12" s="268"/>
      <c r="G12" s="268"/>
      <c r="H12" s="268"/>
      <c r="I12" s="268"/>
      <c r="J12" s="268"/>
      <c r="K12" s="268"/>
      <c r="L12" s="126"/>
    </row>
    <row r="13" spans="1:12" x14ac:dyDescent="0.25">
      <c r="A13" s="267" t="s">
        <v>341</v>
      </c>
      <c r="B13" s="267"/>
      <c r="C13" s="267"/>
      <c r="D13" s="267"/>
      <c r="E13" s="267"/>
      <c r="F13" s="267"/>
      <c r="G13" s="267"/>
      <c r="H13" s="267"/>
      <c r="I13" s="267"/>
      <c r="J13" s="267"/>
      <c r="K13" s="131"/>
      <c r="L13" s="126"/>
    </row>
    <row r="14" spans="1:12" x14ac:dyDescent="0.25">
      <c r="A14" s="132" t="s">
        <v>342</v>
      </c>
      <c r="B14" s="133">
        <f>B4</f>
        <v>38807</v>
      </c>
      <c r="C14" s="133">
        <f t="shared" ref="C14:L14" si="5">C4</f>
        <v>39172</v>
      </c>
      <c r="D14" s="133">
        <f t="shared" si="5"/>
        <v>39538</v>
      </c>
      <c r="E14" s="133">
        <f t="shared" si="5"/>
        <v>39903</v>
      </c>
      <c r="F14" s="133">
        <f t="shared" si="5"/>
        <v>40268</v>
      </c>
      <c r="G14" s="133">
        <f t="shared" si="5"/>
        <v>40633</v>
      </c>
      <c r="H14" s="133">
        <f t="shared" si="5"/>
        <v>40999</v>
      </c>
      <c r="I14" s="133">
        <f t="shared" si="5"/>
        <v>41364</v>
      </c>
      <c r="J14" s="133">
        <f t="shared" si="5"/>
        <v>41729</v>
      </c>
      <c r="K14" s="133">
        <f t="shared" si="5"/>
        <v>42094</v>
      </c>
      <c r="L14" s="133">
        <f t="shared" si="5"/>
        <v>42430</v>
      </c>
    </row>
    <row r="15" spans="1:12" x14ac:dyDescent="0.25">
      <c r="A15" s="148" t="s">
        <v>343</v>
      </c>
      <c r="B15" s="149">
        <f>'Data Sheet'!B18</f>
        <v>0</v>
      </c>
      <c r="C15" s="149">
        <f>'Data Sheet'!C18</f>
        <v>0</v>
      </c>
      <c r="D15" s="149">
        <f>'Data Sheet'!D18</f>
        <v>30.45</v>
      </c>
      <c r="E15" s="149">
        <f>'Data Sheet'!E18</f>
        <v>37.36</v>
      </c>
      <c r="F15" s="149">
        <f>'Data Sheet'!F18</f>
        <v>43.03</v>
      </c>
      <c r="G15" s="149">
        <f>'Data Sheet'!G18</f>
        <v>58.25</v>
      </c>
      <c r="H15" s="149">
        <f>'Data Sheet'!H18</f>
        <v>74.33</v>
      </c>
      <c r="I15" s="149">
        <f>'Data Sheet'!I18</f>
        <v>92.85</v>
      </c>
      <c r="J15" s="149">
        <f>'Data Sheet'!J18</f>
        <v>106.28</v>
      </c>
      <c r="K15" s="149">
        <f>'Data Sheet'!K18</f>
        <v>121.79</v>
      </c>
      <c r="L15" s="149">
        <f>'Data Sheet'!L18</f>
        <v>143.69</v>
      </c>
    </row>
    <row r="16" spans="1:12" x14ac:dyDescent="0.25">
      <c r="A16" s="148" t="s">
        <v>344</v>
      </c>
      <c r="B16" s="149">
        <f>'Data Sheet'!B22</f>
        <v>5.84</v>
      </c>
      <c r="C16" s="149">
        <f>'Data Sheet'!C22</f>
        <v>7.32</v>
      </c>
      <c r="D16" s="149">
        <f>'Data Sheet'!D22</f>
        <v>10.15</v>
      </c>
      <c r="E16" s="149">
        <f>'Data Sheet'!E22</f>
        <v>13.45</v>
      </c>
      <c r="F16" s="149">
        <f>'Data Sheet'!F22</f>
        <v>17.02</v>
      </c>
      <c r="G16" s="149">
        <f>'Data Sheet'!G22</f>
        <v>22.72</v>
      </c>
      <c r="H16" s="149">
        <f>'Data Sheet'!H22</f>
        <v>32.5</v>
      </c>
      <c r="I16" s="149">
        <f>'Data Sheet'!I22</f>
        <v>48.68</v>
      </c>
      <c r="J16" s="149">
        <f>'Data Sheet'!J22</f>
        <v>52.69</v>
      </c>
      <c r="K16" s="149">
        <f>'Data Sheet'!K22</f>
        <v>64.599999999999994</v>
      </c>
      <c r="L16" s="149">
        <f>'Data Sheet'!L22</f>
        <v>79.36</v>
      </c>
    </row>
    <row r="17" spans="1:12" x14ac:dyDescent="0.25">
      <c r="A17" s="148" t="s">
        <v>345</v>
      </c>
      <c r="B17" s="149">
        <f>'Data Sheet'!B23</f>
        <v>3.08</v>
      </c>
      <c r="C17" s="149">
        <f>'Data Sheet'!C23</f>
        <v>5.14</v>
      </c>
      <c r="D17" s="149">
        <f>'Data Sheet'!D23</f>
        <v>5.55</v>
      </c>
      <c r="E17" s="149">
        <f>'Data Sheet'!E23</f>
        <v>5.39</v>
      </c>
      <c r="F17" s="149">
        <f>'Data Sheet'!F23</f>
        <v>5.12</v>
      </c>
      <c r="G17" s="149">
        <f>'Data Sheet'!G23</f>
        <v>6.46</v>
      </c>
      <c r="H17" s="149">
        <f>'Data Sheet'!H23</f>
        <v>9.24</v>
      </c>
      <c r="I17" s="149">
        <f>'Data Sheet'!I23</f>
        <v>9.0500000000000007</v>
      </c>
      <c r="J17" s="149">
        <f>'Data Sheet'!J23</f>
        <v>11.34</v>
      </c>
      <c r="K17" s="149">
        <f>'Data Sheet'!K23</f>
        <v>12.46</v>
      </c>
      <c r="L17" s="149">
        <f>'Data Sheet'!L23</f>
        <v>150</v>
      </c>
    </row>
    <row r="18" spans="1:12" x14ac:dyDescent="0.25">
      <c r="A18" s="148" t="s">
        <v>346</v>
      </c>
      <c r="B18" s="149"/>
      <c r="C18" s="149"/>
      <c r="D18" s="149"/>
      <c r="E18" s="149"/>
      <c r="F18" s="149"/>
      <c r="G18" s="149"/>
      <c r="H18" s="149"/>
      <c r="I18" s="149"/>
      <c r="J18" s="149"/>
      <c r="K18" s="149"/>
      <c r="L18" s="149"/>
    </row>
    <row r="19" spans="1:12" x14ac:dyDescent="0.25">
      <c r="A19" s="148" t="s">
        <v>347</v>
      </c>
      <c r="B19" s="149"/>
      <c r="C19" s="149"/>
      <c r="D19" s="149"/>
      <c r="E19" s="149"/>
      <c r="F19" s="149"/>
      <c r="G19" s="149"/>
      <c r="H19" s="149"/>
      <c r="I19" s="149"/>
      <c r="J19" s="149"/>
      <c r="K19" s="149"/>
      <c r="L19" s="149"/>
    </row>
    <row r="20" spans="1:12" x14ac:dyDescent="0.25">
      <c r="A20" s="148" t="s">
        <v>348</v>
      </c>
      <c r="B20" s="149">
        <f>'Data Sheet'!B20</f>
        <v>2.97</v>
      </c>
      <c r="C20" s="149">
        <f>'Data Sheet'!C20</f>
        <v>3.24</v>
      </c>
      <c r="D20" s="149">
        <f>'Data Sheet'!D20</f>
        <v>3.99</v>
      </c>
      <c r="E20" s="149">
        <f>'Data Sheet'!E20</f>
        <v>4.49</v>
      </c>
      <c r="F20" s="149">
        <f>'Data Sheet'!F20</f>
        <v>4.79</v>
      </c>
      <c r="G20" s="149">
        <f>'Data Sheet'!G20</f>
        <v>6.75</v>
      </c>
      <c r="H20" s="149">
        <f>'Data Sheet'!H20</f>
        <v>8.36</v>
      </c>
      <c r="I20" s="149">
        <f>'Data Sheet'!I20</f>
        <v>10.26</v>
      </c>
      <c r="J20" s="149">
        <f>'Data Sheet'!J20</f>
        <v>9.49</v>
      </c>
      <c r="K20" s="149">
        <f>'Data Sheet'!K20</f>
        <v>9.74</v>
      </c>
      <c r="L20" s="149">
        <f>'Data Sheet'!L20</f>
        <v>0</v>
      </c>
    </row>
    <row r="21" spans="1:12" x14ac:dyDescent="0.25">
      <c r="A21" s="148" t="s">
        <v>349</v>
      </c>
      <c r="B21" s="149">
        <f>'Data Sheet'!B24</f>
        <v>-7.02</v>
      </c>
      <c r="C21" s="149">
        <f>'Data Sheet'!C24</f>
        <v>-1.33</v>
      </c>
      <c r="D21" s="149">
        <f>'Data Sheet'!D24</f>
        <v>0</v>
      </c>
      <c r="E21" s="149">
        <f>'Data Sheet'!E24</f>
        <v>0</v>
      </c>
      <c r="F21" s="149">
        <f>'Data Sheet'!F24</f>
        <v>7.0000000000000007E-2</v>
      </c>
      <c r="G21" s="149">
        <f>'Data Sheet'!G24</f>
        <v>0</v>
      </c>
      <c r="H21" s="149">
        <f>'Data Sheet'!H24</f>
        <v>0</v>
      </c>
      <c r="I21" s="149">
        <f>'Data Sheet'!I24</f>
        <v>0</v>
      </c>
      <c r="J21" s="149">
        <f>'Data Sheet'!J24</f>
        <v>0</v>
      </c>
      <c r="K21" s="149">
        <f>'Data Sheet'!K24</f>
        <v>0</v>
      </c>
      <c r="L21" s="149">
        <f>'Data Sheet'!L24</f>
        <v>0</v>
      </c>
    </row>
    <row r="22" spans="1:12" x14ac:dyDescent="0.25">
      <c r="A22" s="148" t="s">
        <v>350</v>
      </c>
      <c r="B22" s="149"/>
      <c r="C22" s="149"/>
      <c r="D22" s="149"/>
      <c r="E22" s="149"/>
      <c r="F22" s="149"/>
      <c r="G22" s="150"/>
      <c r="H22" s="150"/>
      <c r="I22" s="150"/>
      <c r="J22" s="150"/>
      <c r="K22" s="148"/>
      <c r="L22" s="134"/>
    </row>
    <row r="23" spans="1:12" x14ac:dyDescent="0.25">
      <c r="A23" s="151" t="s">
        <v>351</v>
      </c>
      <c r="B23" s="149"/>
      <c r="C23" s="149">
        <f>(C49-B49)+(C50-B50)+C29</f>
        <v>17.339999999999996</v>
      </c>
      <c r="D23" s="149">
        <f t="shared" ref="D23:L23" si="6">(D49-C49)+(D50-C50)+D29</f>
        <v>14.170000000000002</v>
      </c>
      <c r="E23" s="149">
        <f t="shared" si="6"/>
        <v>25.299999999999997</v>
      </c>
      <c r="F23" s="149">
        <f t="shared" si="6"/>
        <v>64.570000000000007</v>
      </c>
      <c r="G23" s="149">
        <f t="shared" si="6"/>
        <v>89.32</v>
      </c>
      <c r="H23" s="149">
        <f t="shared" si="6"/>
        <v>77.319999999999979</v>
      </c>
      <c r="I23" s="149">
        <f t="shared" si="6"/>
        <v>10.14</v>
      </c>
      <c r="J23" s="149">
        <f t="shared" si="6"/>
        <v>14.240000000000029</v>
      </c>
      <c r="K23" s="149">
        <f t="shared" si="6"/>
        <v>36.68</v>
      </c>
      <c r="L23" s="149">
        <f t="shared" si="6"/>
        <v>71.889999999999986</v>
      </c>
    </row>
    <row r="24" spans="1:12" x14ac:dyDescent="0.25">
      <c r="A24" s="135" t="str">
        <f>'Data Sheet'!A1</f>
        <v>COMPANY NAME</v>
      </c>
      <c r="B24" s="136">
        <f>B14</f>
        <v>38807</v>
      </c>
      <c r="C24" s="136">
        <f t="shared" ref="C24:L24" si="7">C14</f>
        <v>39172</v>
      </c>
      <c r="D24" s="136">
        <f t="shared" si="7"/>
        <v>39538</v>
      </c>
      <c r="E24" s="136">
        <f t="shared" si="7"/>
        <v>39903</v>
      </c>
      <c r="F24" s="136">
        <f t="shared" si="7"/>
        <v>40268</v>
      </c>
      <c r="G24" s="136">
        <f t="shared" si="7"/>
        <v>40633</v>
      </c>
      <c r="H24" s="136">
        <f t="shared" si="7"/>
        <v>40999</v>
      </c>
      <c r="I24" s="136">
        <f t="shared" si="7"/>
        <v>41364</v>
      </c>
      <c r="J24" s="136">
        <f t="shared" si="7"/>
        <v>41729</v>
      </c>
      <c r="K24" s="136">
        <f t="shared" si="7"/>
        <v>42094</v>
      </c>
      <c r="L24" s="136">
        <f t="shared" si="7"/>
        <v>42430</v>
      </c>
    </row>
    <row r="25" spans="1:12" x14ac:dyDescent="0.25">
      <c r="A25" s="137" t="s">
        <v>3</v>
      </c>
      <c r="B25" s="137">
        <f>'Data Sheet'!B17</f>
        <v>51.18</v>
      </c>
      <c r="C25" s="137">
        <f>'Data Sheet'!C17</f>
        <v>72.540000000000006</v>
      </c>
      <c r="D25" s="137">
        <f>'Data Sheet'!D17</f>
        <v>87.54</v>
      </c>
      <c r="E25" s="137">
        <f>'Data Sheet'!E17</f>
        <v>110.36</v>
      </c>
      <c r="F25" s="137">
        <f>'Data Sheet'!F17</f>
        <v>130.07</v>
      </c>
      <c r="G25" s="137">
        <f>'Data Sheet'!G17</f>
        <v>174.72</v>
      </c>
      <c r="H25" s="137">
        <f>'Data Sheet'!H17</f>
        <v>222.37</v>
      </c>
      <c r="I25" s="137">
        <f>'Data Sheet'!I17</f>
        <v>297.13</v>
      </c>
      <c r="J25" s="137">
        <f>'Data Sheet'!J17</f>
        <v>334.06</v>
      </c>
      <c r="K25" s="137">
        <f>'Data Sheet'!K17</f>
        <v>401.62</v>
      </c>
      <c r="L25" s="137">
        <f>'Data Sheet'!L17</f>
        <v>465</v>
      </c>
    </row>
    <row r="26" spans="1:12" x14ac:dyDescent="0.25">
      <c r="A26" s="137" t="str">
        <f t="shared" ref="A26:L26" si="8">A15</f>
        <v>Raw Materials</v>
      </c>
      <c r="B26" s="137">
        <f t="shared" si="8"/>
        <v>0</v>
      </c>
      <c r="C26" s="137">
        <f t="shared" si="8"/>
        <v>0</v>
      </c>
      <c r="D26" s="137">
        <f t="shared" si="8"/>
        <v>30.45</v>
      </c>
      <c r="E26" s="137">
        <f t="shared" si="8"/>
        <v>37.36</v>
      </c>
      <c r="F26" s="137">
        <f t="shared" si="8"/>
        <v>43.03</v>
      </c>
      <c r="G26" s="137">
        <f t="shared" si="8"/>
        <v>58.25</v>
      </c>
      <c r="H26" s="137">
        <f t="shared" si="8"/>
        <v>74.33</v>
      </c>
      <c r="I26" s="137">
        <f t="shared" si="8"/>
        <v>92.85</v>
      </c>
      <c r="J26" s="137">
        <f t="shared" si="8"/>
        <v>106.28</v>
      </c>
      <c r="K26" s="137">
        <f t="shared" si="8"/>
        <v>121.79</v>
      </c>
      <c r="L26" s="137">
        <f t="shared" si="8"/>
        <v>143.69</v>
      </c>
    </row>
    <row r="27" spans="1:12" x14ac:dyDescent="0.25">
      <c r="A27" s="137" t="s">
        <v>352</v>
      </c>
      <c r="B27" s="137">
        <f t="shared" ref="B27:L27" si="9">B25-B26</f>
        <v>51.18</v>
      </c>
      <c r="C27" s="137">
        <f t="shared" si="9"/>
        <v>72.540000000000006</v>
      </c>
      <c r="D27" s="137">
        <f t="shared" si="9"/>
        <v>57.09</v>
      </c>
      <c r="E27" s="137">
        <f t="shared" si="9"/>
        <v>73</v>
      </c>
      <c r="F27" s="137">
        <f t="shared" si="9"/>
        <v>87.039999999999992</v>
      </c>
      <c r="G27" s="137">
        <f t="shared" si="9"/>
        <v>116.47</v>
      </c>
      <c r="H27" s="137">
        <f t="shared" si="9"/>
        <v>148.04000000000002</v>
      </c>
      <c r="I27" s="137">
        <f t="shared" si="9"/>
        <v>204.28</v>
      </c>
      <c r="J27" s="137">
        <f t="shared" si="9"/>
        <v>227.78</v>
      </c>
      <c r="K27" s="137">
        <f t="shared" si="9"/>
        <v>279.83</v>
      </c>
      <c r="L27" s="137">
        <f t="shared" si="9"/>
        <v>321.31</v>
      </c>
    </row>
    <row r="28" spans="1:12" x14ac:dyDescent="0.25">
      <c r="A28" s="137" t="s">
        <v>353</v>
      </c>
      <c r="B28" s="137">
        <f>'Data Sheet'!B17-'Data Sheet'!B18-'Data Sheet'!B20-'Data Sheet'!B21-'Data Sheet'!B22-'Data Sheet'!B23-'Data Sheet'!B24+'Data Sheet'!B25+'Data Sheet'!B19</f>
        <v>9.9099999999999984</v>
      </c>
      <c r="C28" s="137">
        <f>'Data Sheet'!C17-'Data Sheet'!C18-'Data Sheet'!C20-'Data Sheet'!C21-'Data Sheet'!C22-'Data Sheet'!C23-'Data Sheet'!C24+'Data Sheet'!C25+'Data Sheet'!C19</f>
        <v>15.000000000000007</v>
      </c>
      <c r="D28" s="137">
        <f>'Data Sheet'!D17-'Data Sheet'!D18-'Data Sheet'!D20-'Data Sheet'!D21-'Data Sheet'!D22-'Data Sheet'!D23-'Data Sheet'!D24+'Data Sheet'!D25+'Data Sheet'!D19</f>
        <v>15.1</v>
      </c>
      <c r="E28" s="137">
        <f>'Data Sheet'!E17-'Data Sheet'!E18-'Data Sheet'!E20-'Data Sheet'!E21-'Data Sheet'!E22-'Data Sheet'!E23-'Data Sheet'!E24+'Data Sheet'!E25+'Data Sheet'!E19</f>
        <v>19.380000000000003</v>
      </c>
      <c r="F28" s="137">
        <f>'Data Sheet'!F17-'Data Sheet'!F18-'Data Sheet'!F20-'Data Sheet'!F21-'Data Sheet'!F22-'Data Sheet'!F23-'Data Sheet'!F24+'Data Sheet'!F25+'Data Sheet'!F19</f>
        <v>26.749999999999982</v>
      </c>
      <c r="G28" s="137">
        <f>'Data Sheet'!G17-'Data Sheet'!G18-'Data Sheet'!G20-'Data Sheet'!G21-'Data Sheet'!G22-'Data Sheet'!G23-'Data Sheet'!G24+'Data Sheet'!G25+'Data Sheet'!G19</f>
        <v>37.269999999999996</v>
      </c>
      <c r="H28" s="137">
        <f>'Data Sheet'!H17-'Data Sheet'!H18-'Data Sheet'!H20-'Data Sheet'!H21-'Data Sheet'!H22-'Data Sheet'!H23-'Data Sheet'!H24+'Data Sheet'!H25+'Data Sheet'!H19</f>
        <v>44.95000000000001</v>
      </c>
      <c r="I28" s="137">
        <f>'Data Sheet'!I17-'Data Sheet'!I18-'Data Sheet'!I20-'Data Sheet'!I21-'Data Sheet'!I22-'Data Sheet'!I23-'Data Sheet'!I24+'Data Sheet'!I25+'Data Sheet'!I19</f>
        <v>73.320000000000022</v>
      </c>
      <c r="J28" s="137">
        <f>'Data Sheet'!J17-'Data Sheet'!J18-'Data Sheet'!J20-'Data Sheet'!J21-'Data Sheet'!J22-'Data Sheet'!J23-'Data Sheet'!J24+'Data Sheet'!J25+'Data Sheet'!J19</f>
        <v>77.56</v>
      </c>
      <c r="K28" s="137">
        <f>'Data Sheet'!K17-'Data Sheet'!K18-'Data Sheet'!K20-'Data Sheet'!K21-'Data Sheet'!K22-'Data Sheet'!K23-'Data Sheet'!K24+'Data Sheet'!K25+'Data Sheet'!K19</f>
        <v>100.99999999999999</v>
      </c>
      <c r="L28" s="137">
        <f>'Data Sheet'!L17-'Data Sheet'!L18-'Data Sheet'!L20-'Data Sheet'!L21-'Data Sheet'!L22-'Data Sheet'!L23-'Data Sheet'!L24+'Data Sheet'!L25+'Data Sheet'!L19</f>
        <v>99.33</v>
      </c>
    </row>
    <row r="29" spans="1:12" x14ac:dyDescent="0.25">
      <c r="A29" s="137" t="s">
        <v>354</v>
      </c>
      <c r="B29" s="137">
        <f>'Data Sheet'!B26</f>
        <v>3.07</v>
      </c>
      <c r="C29" s="137">
        <f>'Data Sheet'!C26</f>
        <v>3.52</v>
      </c>
      <c r="D29" s="137">
        <f>'Data Sheet'!D26</f>
        <v>3.85</v>
      </c>
      <c r="E29" s="137">
        <f>'Data Sheet'!E26</f>
        <v>3.92</v>
      </c>
      <c r="F29" s="137">
        <f>'Data Sheet'!F26</f>
        <v>4.6900000000000004</v>
      </c>
      <c r="G29" s="137">
        <f>'Data Sheet'!G26</f>
        <v>6.63</v>
      </c>
      <c r="H29" s="137">
        <f>'Data Sheet'!H26</f>
        <v>12.13</v>
      </c>
      <c r="I29" s="137">
        <f>'Data Sheet'!I26</f>
        <v>14.51</v>
      </c>
      <c r="J29" s="137">
        <f>'Data Sheet'!J26</f>
        <v>16.3</v>
      </c>
      <c r="K29" s="137">
        <f>'Data Sheet'!K26</f>
        <v>21.2</v>
      </c>
      <c r="L29" s="137">
        <f>'Data Sheet'!L26</f>
        <v>20.399999999999999</v>
      </c>
    </row>
    <row r="30" spans="1:12" x14ac:dyDescent="0.25">
      <c r="A30" s="137" t="s">
        <v>229</v>
      </c>
      <c r="B30" s="137">
        <f>B28-B29</f>
        <v>6.8399999999999981</v>
      </c>
      <c r="C30" s="137">
        <f t="shared" ref="C30:L30" si="10">C28-C29</f>
        <v>11.480000000000008</v>
      </c>
      <c r="D30" s="137">
        <f t="shared" si="10"/>
        <v>11.25</v>
      </c>
      <c r="E30" s="137">
        <f t="shared" si="10"/>
        <v>15.460000000000003</v>
      </c>
      <c r="F30" s="137">
        <f t="shared" si="10"/>
        <v>22.059999999999981</v>
      </c>
      <c r="G30" s="137">
        <f t="shared" si="10"/>
        <v>30.639999999999997</v>
      </c>
      <c r="H30" s="137">
        <f t="shared" si="10"/>
        <v>32.820000000000007</v>
      </c>
      <c r="I30" s="137">
        <f t="shared" si="10"/>
        <v>58.810000000000024</v>
      </c>
      <c r="J30" s="137">
        <f t="shared" si="10"/>
        <v>61.260000000000005</v>
      </c>
      <c r="K30" s="137">
        <f t="shared" si="10"/>
        <v>79.799999999999983</v>
      </c>
      <c r="L30" s="137">
        <f t="shared" si="10"/>
        <v>78.930000000000007</v>
      </c>
    </row>
    <row r="31" spans="1:12" x14ac:dyDescent="0.25">
      <c r="A31" s="137" t="s">
        <v>8</v>
      </c>
      <c r="B31" s="137">
        <f>'Data Sheet'!B27</f>
        <v>0.96</v>
      </c>
      <c r="C31" s="137">
        <f>'Data Sheet'!C27</f>
        <v>1.23</v>
      </c>
      <c r="D31" s="137">
        <f>'Data Sheet'!D27</f>
        <v>3.12</v>
      </c>
      <c r="E31" s="137">
        <f>'Data Sheet'!E27</f>
        <v>4.43</v>
      </c>
      <c r="F31" s="137">
        <f>'Data Sheet'!F27</f>
        <v>4.84</v>
      </c>
      <c r="G31" s="137">
        <f>'Data Sheet'!G27</f>
        <v>11.11</v>
      </c>
      <c r="H31" s="137">
        <f>'Data Sheet'!H27</f>
        <v>16.579999999999998</v>
      </c>
      <c r="I31" s="137">
        <f>'Data Sheet'!I27</f>
        <v>27.46</v>
      </c>
      <c r="J31" s="137">
        <f>'Data Sheet'!J27</f>
        <v>23.94</v>
      </c>
      <c r="K31" s="137">
        <f>'Data Sheet'!K27</f>
        <v>20.38</v>
      </c>
      <c r="L31" s="137">
        <f>'Data Sheet'!L27</f>
        <v>16.649999999999999</v>
      </c>
    </row>
    <row r="32" spans="1:12" x14ac:dyDescent="0.25">
      <c r="A32" s="137" t="s">
        <v>355</v>
      </c>
      <c r="B32" s="137">
        <f>B30-B31</f>
        <v>5.8799999999999981</v>
      </c>
      <c r="C32" s="137">
        <f t="shared" ref="C32:L32" si="11">C30-C31</f>
        <v>10.250000000000007</v>
      </c>
      <c r="D32" s="137">
        <f t="shared" si="11"/>
        <v>8.129999999999999</v>
      </c>
      <c r="E32" s="137">
        <f t="shared" si="11"/>
        <v>11.030000000000003</v>
      </c>
      <c r="F32" s="137">
        <f t="shared" si="11"/>
        <v>17.219999999999981</v>
      </c>
      <c r="G32" s="137">
        <f t="shared" si="11"/>
        <v>19.529999999999998</v>
      </c>
      <c r="H32" s="137">
        <f t="shared" si="11"/>
        <v>16.240000000000009</v>
      </c>
      <c r="I32" s="137">
        <f t="shared" si="11"/>
        <v>31.350000000000023</v>
      </c>
      <c r="J32" s="137">
        <f t="shared" si="11"/>
        <v>37.320000000000007</v>
      </c>
      <c r="K32" s="137">
        <f t="shared" si="11"/>
        <v>59.419999999999987</v>
      </c>
      <c r="L32" s="137">
        <f t="shared" si="11"/>
        <v>62.280000000000008</v>
      </c>
    </row>
    <row r="33" spans="1:13" x14ac:dyDescent="0.25">
      <c r="A33" s="137" t="s">
        <v>10</v>
      </c>
      <c r="B33" s="137">
        <f>'Data Sheet'!B29</f>
        <v>2</v>
      </c>
      <c r="C33" s="137">
        <f>'Data Sheet'!C29</f>
        <v>3.69</v>
      </c>
      <c r="D33" s="137">
        <f>'Data Sheet'!D29</f>
        <v>2.88</v>
      </c>
      <c r="E33" s="137">
        <f>'Data Sheet'!E29</f>
        <v>3.89</v>
      </c>
      <c r="F33" s="137">
        <f>'Data Sheet'!F29</f>
        <v>5.64</v>
      </c>
      <c r="G33" s="137">
        <f>'Data Sheet'!G29</f>
        <v>7.44</v>
      </c>
      <c r="H33" s="137">
        <f>'Data Sheet'!H29</f>
        <v>4.29</v>
      </c>
      <c r="I33" s="137">
        <f>'Data Sheet'!I29</f>
        <v>10.08</v>
      </c>
      <c r="J33" s="137">
        <f>'Data Sheet'!J29</f>
        <v>13.6</v>
      </c>
      <c r="K33" s="137">
        <f>'Data Sheet'!K29</f>
        <v>20.73</v>
      </c>
      <c r="L33" s="137">
        <f>'Data Sheet'!L29</f>
        <v>21.72</v>
      </c>
    </row>
    <row r="34" spans="1:13" x14ac:dyDescent="0.25">
      <c r="A34" s="137" t="s">
        <v>356</v>
      </c>
      <c r="B34" s="137">
        <f>B32-B33</f>
        <v>3.8799999999999981</v>
      </c>
      <c r="C34" s="137">
        <f t="shared" ref="C34:L34" si="12">C32-C33</f>
        <v>6.5600000000000076</v>
      </c>
      <c r="D34" s="137">
        <f t="shared" si="12"/>
        <v>5.2499999999999991</v>
      </c>
      <c r="E34" s="137">
        <f t="shared" si="12"/>
        <v>7.1400000000000023</v>
      </c>
      <c r="F34" s="137">
        <f t="shared" si="12"/>
        <v>11.579999999999981</v>
      </c>
      <c r="G34" s="137">
        <f t="shared" si="12"/>
        <v>12.089999999999996</v>
      </c>
      <c r="H34" s="137">
        <f t="shared" si="12"/>
        <v>11.95000000000001</v>
      </c>
      <c r="I34" s="137">
        <f t="shared" si="12"/>
        <v>21.270000000000024</v>
      </c>
      <c r="J34" s="137">
        <f t="shared" si="12"/>
        <v>23.720000000000006</v>
      </c>
      <c r="K34" s="137">
        <f t="shared" si="12"/>
        <v>38.689999999999984</v>
      </c>
      <c r="L34" s="137">
        <f t="shared" si="12"/>
        <v>40.560000000000009</v>
      </c>
    </row>
    <row r="35" spans="1:13" x14ac:dyDescent="0.25">
      <c r="A35" s="137" t="s">
        <v>357</v>
      </c>
      <c r="B35" s="137">
        <f>'Data Sheet'!B31</f>
        <v>1.0900000000000001</v>
      </c>
      <c r="C35" s="137">
        <f>'Data Sheet'!C31</f>
        <v>1.37</v>
      </c>
      <c r="D35" s="137">
        <f>'Data Sheet'!D31</f>
        <v>1.37</v>
      </c>
      <c r="E35" s="137">
        <f>'Data Sheet'!E31</f>
        <v>1.37</v>
      </c>
      <c r="F35" s="137">
        <f>'Data Sheet'!F31</f>
        <v>1.37</v>
      </c>
      <c r="G35" s="137">
        <f>'Data Sheet'!G31</f>
        <v>1.37</v>
      </c>
      <c r="H35" s="137">
        <f>'Data Sheet'!H31</f>
        <v>1.37</v>
      </c>
      <c r="I35" s="137">
        <f>'Data Sheet'!I31</f>
        <v>1.64</v>
      </c>
      <c r="J35" s="137">
        <f>'Data Sheet'!J31</f>
        <v>1.64</v>
      </c>
      <c r="K35" s="137">
        <f>'Data Sheet'!K31</f>
        <v>1.64</v>
      </c>
      <c r="L35" s="137">
        <f>'Data Sheet'!L31</f>
        <v>1.64</v>
      </c>
    </row>
    <row r="36" spans="1:13" x14ac:dyDescent="0.25">
      <c r="A36" s="137" t="s">
        <v>143</v>
      </c>
      <c r="B36" s="145">
        <f>'Data Sheet'!B90*'Data Sheet'!B93</f>
        <v>66.047493431999996</v>
      </c>
      <c r="C36" s="145">
        <f>'Data Sheet'!C90*'Data Sheet'!C93</f>
        <v>54.503407022000005</v>
      </c>
      <c r="D36" s="145">
        <f>'Data Sheet'!D90*'Data Sheet'!D93</f>
        <v>49.962368292000001</v>
      </c>
      <c r="E36" s="145">
        <f>'Data Sheet'!E90*'Data Sheet'!E93</f>
        <v>70.161783944000007</v>
      </c>
      <c r="F36" s="145">
        <f>'Data Sheet'!F90*'Data Sheet'!F93</f>
        <v>160.08529306000003</v>
      </c>
      <c r="G36" s="145">
        <f>'Data Sheet'!G90*'Data Sheet'!G93</f>
        <v>134.30532378800001</v>
      </c>
      <c r="H36" s="145">
        <f>'Data Sheet'!H90*'Data Sheet'!H93</f>
        <v>117.80439269199999</v>
      </c>
      <c r="I36" s="145">
        <f>'Data Sheet'!I90*'Data Sheet'!I93</f>
        <v>179.10294441600001</v>
      </c>
      <c r="J36" s="145">
        <f>'Data Sheet'!J90*'Data Sheet'!J93</f>
        <v>168.02937527200001</v>
      </c>
      <c r="K36" s="145">
        <f>'Data Sheet'!K90*'Data Sheet'!K93</f>
        <v>693.75035306200004</v>
      </c>
      <c r="L36" s="145">
        <f>'Data Sheet'!L90*'Data Sheet'!L93</f>
        <v>825.04655480000008</v>
      </c>
    </row>
    <row r="37" spans="1:13" x14ac:dyDescent="0.25">
      <c r="A37" s="138" t="s">
        <v>358</v>
      </c>
      <c r="B37" s="138">
        <f>'Data Sheet'!B9</f>
        <v>754.86</v>
      </c>
      <c r="C37" s="269"/>
      <c r="D37" s="270"/>
      <c r="E37" s="270"/>
      <c r="F37" s="270"/>
      <c r="G37" s="270"/>
      <c r="H37" s="270"/>
      <c r="I37" s="270"/>
      <c r="J37" s="270"/>
      <c r="K37" s="271"/>
      <c r="L37" s="126"/>
    </row>
    <row r="38" spans="1:13" x14ac:dyDescent="0.25">
      <c r="A38" s="266"/>
      <c r="B38" s="266"/>
      <c r="C38" s="266"/>
      <c r="D38" s="266"/>
      <c r="E38" s="266"/>
      <c r="F38" s="266"/>
      <c r="G38" s="266"/>
      <c r="H38" s="266"/>
      <c r="I38" s="266"/>
      <c r="J38" s="266"/>
      <c r="K38" s="266"/>
      <c r="L38" s="126"/>
    </row>
    <row r="39" spans="1:13" x14ac:dyDescent="0.25">
      <c r="A39" s="139" t="s">
        <v>359</v>
      </c>
      <c r="B39" s="137">
        <f>'Data Sheet'!B57</f>
        <v>10.93</v>
      </c>
      <c r="C39" s="137">
        <f>'Data Sheet'!C57</f>
        <v>10.94</v>
      </c>
      <c r="D39" s="137">
        <f>'Data Sheet'!D57</f>
        <v>10.94</v>
      </c>
      <c r="E39" s="137">
        <f>'Data Sheet'!E57</f>
        <v>10.94</v>
      </c>
      <c r="F39" s="137">
        <f>'Data Sheet'!F57</f>
        <v>10.94</v>
      </c>
      <c r="G39" s="137">
        <f>'Data Sheet'!G57</f>
        <v>10.94</v>
      </c>
      <c r="H39" s="137">
        <f>'Data Sheet'!H57</f>
        <v>10.94</v>
      </c>
      <c r="I39" s="137">
        <f>'Data Sheet'!I57</f>
        <v>10.94</v>
      </c>
      <c r="J39" s="137">
        <f>'Data Sheet'!J57</f>
        <v>10.94</v>
      </c>
      <c r="K39" s="137">
        <f>'Data Sheet'!K57</f>
        <v>10.94</v>
      </c>
      <c r="L39" s="137">
        <f>'Data Sheet'!L57</f>
        <v>10.94</v>
      </c>
      <c r="M39" s="243">
        <f>(L39/B39)^(1/10)-1</f>
        <v>9.1453662170115635E-5</v>
      </c>
    </row>
    <row r="40" spans="1:13" x14ac:dyDescent="0.25">
      <c r="A40" s="139" t="s">
        <v>360</v>
      </c>
      <c r="B40" s="139">
        <f>'Data Sheet'!B58</f>
        <v>5.17</v>
      </c>
      <c r="C40" s="139">
        <f>'Data Sheet'!C58</f>
        <v>10.130000000000001</v>
      </c>
      <c r="D40" s="139">
        <f>'Data Sheet'!D58</f>
        <v>13.78</v>
      </c>
      <c r="E40" s="139">
        <f>'Data Sheet'!E58</f>
        <v>19.32</v>
      </c>
      <c r="F40" s="139">
        <f>'Data Sheet'!F58</f>
        <v>29.31</v>
      </c>
      <c r="G40" s="139">
        <f>'Data Sheet'!G58</f>
        <v>39.81</v>
      </c>
      <c r="H40" s="139">
        <f>'Data Sheet'!H58</f>
        <v>50.17</v>
      </c>
      <c r="I40" s="139">
        <f>'Data Sheet'!I58</f>
        <v>69.5</v>
      </c>
      <c r="J40" s="139">
        <f>'Data Sheet'!J58</f>
        <v>91.3</v>
      </c>
      <c r="K40" s="139">
        <f>'Data Sheet'!K58</f>
        <v>127.46</v>
      </c>
      <c r="L40" s="139">
        <f>'Data Sheet'!L58</f>
        <v>163.08000000000001</v>
      </c>
    </row>
    <row r="41" spans="1:13" x14ac:dyDescent="0.25">
      <c r="A41" s="139" t="s">
        <v>361</v>
      </c>
      <c r="B41" s="137">
        <f t="shared" ref="B41:L41" si="13">B40+B39</f>
        <v>16.100000000000001</v>
      </c>
      <c r="C41" s="137">
        <f t="shared" si="13"/>
        <v>21.07</v>
      </c>
      <c r="D41" s="137">
        <f t="shared" si="13"/>
        <v>24.72</v>
      </c>
      <c r="E41" s="137">
        <f t="shared" si="13"/>
        <v>30.259999999999998</v>
      </c>
      <c r="F41" s="137">
        <f t="shared" si="13"/>
        <v>40.25</v>
      </c>
      <c r="G41" s="137">
        <f t="shared" si="13"/>
        <v>50.75</v>
      </c>
      <c r="H41" s="137">
        <f t="shared" si="13"/>
        <v>61.11</v>
      </c>
      <c r="I41" s="137">
        <f t="shared" si="13"/>
        <v>80.44</v>
      </c>
      <c r="J41" s="137">
        <f t="shared" si="13"/>
        <v>102.24</v>
      </c>
      <c r="K41" s="137">
        <f t="shared" si="13"/>
        <v>138.4</v>
      </c>
      <c r="L41" s="137">
        <f t="shared" si="13"/>
        <v>174.02</v>
      </c>
    </row>
    <row r="42" spans="1:13" x14ac:dyDescent="0.25">
      <c r="A42" s="152" t="s">
        <v>362</v>
      </c>
      <c r="B42" s="140"/>
      <c r="C42" s="137"/>
      <c r="D42" s="137"/>
      <c r="E42" s="137"/>
      <c r="F42" s="137"/>
      <c r="G42" s="137"/>
      <c r="H42" s="137"/>
      <c r="I42" s="137"/>
      <c r="J42" s="137"/>
      <c r="K42" s="137"/>
      <c r="L42" s="126"/>
    </row>
    <row r="43" spans="1:13" x14ac:dyDescent="0.25">
      <c r="A43" s="152" t="s">
        <v>363</v>
      </c>
      <c r="B43" s="140"/>
      <c r="C43" s="137"/>
      <c r="D43" s="137"/>
      <c r="E43" s="137"/>
      <c r="F43" s="137"/>
      <c r="G43" s="137"/>
      <c r="H43" s="137"/>
      <c r="I43" s="137"/>
      <c r="J43" s="137"/>
      <c r="K43" s="137"/>
      <c r="L43" s="126"/>
    </row>
    <row r="44" spans="1:13" x14ac:dyDescent="0.25">
      <c r="A44" s="152" t="s">
        <v>66</v>
      </c>
      <c r="B44" s="139">
        <f>'Data Sheet'!B59</f>
        <v>14.35</v>
      </c>
      <c r="C44" s="139">
        <f>'Data Sheet'!C59</f>
        <v>32.68</v>
      </c>
      <c r="D44" s="139">
        <f>'Data Sheet'!D59</f>
        <v>37.82</v>
      </c>
      <c r="E44" s="139">
        <f>'Data Sheet'!E59</f>
        <v>70.42</v>
      </c>
      <c r="F44" s="139">
        <f>'Data Sheet'!F59</f>
        <v>108.18</v>
      </c>
      <c r="G44" s="139">
        <f>'Data Sheet'!G59</f>
        <v>192.25</v>
      </c>
      <c r="H44" s="139">
        <f>'Data Sheet'!H59</f>
        <v>227.81</v>
      </c>
      <c r="I44" s="139">
        <f>'Data Sheet'!I59</f>
        <v>209.34</v>
      </c>
      <c r="J44" s="139">
        <f>'Data Sheet'!J59</f>
        <v>183.63</v>
      </c>
      <c r="K44" s="139">
        <f>'Data Sheet'!K59</f>
        <v>162.66999999999999</v>
      </c>
      <c r="L44" s="139">
        <f>'Data Sheet'!L59</f>
        <v>126</v>
      </c>
    </row>
    <row r="45" spans="1:13" x14ac:dyDescent="0.25">
      <c r="A45" s="152" t="s">
        <v>67</v>
      </c>
      <c r="B45" s="139">
        <f>'Data Sheet'!B60</f>
        <v>15.91</v>
      </c>
      <c r="C45" s="139">
        <f>'Data Sheet'!C60</f>
        <v>21.72</v>
      </c>
      <c r="D45" s="139">
        <f>'Data Sheet'!D60</f>
        <v>26.19</v>
      </c>
      <c r="E45" s="139">
        <f>'Data Sheet'!E60</f>
        <v>20.3</v>
      </c>
      <c r="F45" s="139">
        <f>'Data Sheet'!F60</f>
        <v>25.95</v>
      </c>
      <c r="G45" s="139">
        <f>'Data Sheet'!G60</f>
        <v>41.11</v>
      </c>
      <c r="H45" s="139">
        <f>'Data Sheet'!H60</f>
        <v>51.22</v>
      </c>
      <c r="I45" s="139">
        <f>'Data Sheet'!I60</f>
        <v>56.81</v>
      </c>
      <c r="J45" s="139">
        <f>'Data Sheet'!J60</f>
        <v>67.06</v>
      </c>
      <c r="K45" s="139">
        <f>'Data Sheet'!K60</f>
        <v>88.19</v>
      </c>
      <c r="L45" s="139">
        <f>'Data Sheet'!L60</f>
        <v>128</v>
      </c>
    </row>
    <row r="46" spans="1:13" x14ac:dyDescent="0.25">
      <c r="A46" s="152" t="s">
        <v>385</v>
      </c>
      <c r="B46" s="139">
        <f>'Data Sheet'!B65</f>
        <v>11.06</v>
      </c>
      <c r="C46" s="139">
        <f>'Data Sheet'!C65</f>
        <v>25.5</v>
      </c>
      <c r="D46" s="139">
        <f>'Data Sheet'!D65</f>
        <v>25.72</v>
      </c>
      <c r="E46" s="139">
        <f>'Data Sheet'!E65</f>
        <v>36.590000000000003</v>
      </c>
      <c r="F46" s="139">
        <f>'Data Sheet'!F65</f>
        <v>30.11</v>
      </c>
      <c r="G46" s="139">
        <f>'Data Sheet'!G65</f>
        <v>57.15</v>
      </c>
      <c r="H46" s="139">
        <f>'Data Sheet'!H65</f>
        <v>47.99</v>
      </c>
      <c r="I46" s="139">
        <f>'Data Sheet'!I65</f>
        <v>58.81</v>
      </c>
      <c r="J46" s="139">
        <f>'Data Sheet'!J65</f>
        <v>67.209999999999994</v>
      </c>
      <c r="K46" s="139">
        <f>'Data Sheet'!K65</f>
        <v>87.94</v>
      </c>
      <c r="L46" s="139">
        <f>'Data Sheet'!L65</f>
        <v>75.209999999999994</v>
      </c>
    </row>
    <row r="47" spans="1:13" x14ac:dyDescent="0.25">
      <c r="A47" s="152" t="s">
        <v>339</v>
      </c>
      <c r="B47" s="139">
        <f>'Data Sheet'!B60</f>
        <v>15.91</v>
      </c>
      <c r="C47" s="139">
        <f>'Data Sheet'!C60</f>
        <v>21.72</v>
      </c>
      <c r="D47" s="139">
        <f>'Data Sheet'!D60</f>
        <v>26.19</v>
      </c>
      <c r="E47" s="139">
        <f>'Data Sheet'!E60</f>
        <v>20.3</v>
      </c>
      <c r="F47" s="139">
        <f>'Data Sheet'!F60</f>
        <v>25.95</v>
      </c>
      <c r="G47" s="139">
        <f>'Data Sheet'!G60</f>
        <v>41.11</v>
      </c>
      <c r="H47" s="139">
        <f>'Data Sheet'!H60</f>
        <v>51.22</v>
      </c>
      <c r="I47" s="139">
        <f>'Data Sheet'!I60</f>
        <v>56.81</v>
      </c>
      <c r="J47" s="139">
        <f>'Data Sheet'!J60</f>
        <v>67.06</v>
      </c>
      <c r="K47" s="139">
        <f>'Data Sheet'!K60</f>
        <v>88.19</v>
      </c>
      <c r="L47" s="139">
        <f>'Data Sheet'!L60</f>
        <v>128</v>
      </c>
    </row>
    <row r="48" spans="1:13" x14ac:dyDescent="0.25">
      <c r="A48" s="152" t="s">
        <v>367</v>
      </c>
      <c r="B48" s="139">
        <f>'Data Sheet'!B66</f>
        <v>46.36</v>
      </c>
      <c r="C48" s="139">
        <f>'Data Sheet'!C66</f>
        <v>75.47</v>
      </c>
      <c r="D48" s="139">
        <f>'Data Sheet'!D66</f>
        <v>88.73</v>
      </c>
      <c r="E48" s="139">
        <f>'Data Sheet'!E66</f>
        <v>120.98</v>
      </c>
      <c r="F48" s="139">
        <f>'Data Sheet'!F66</f>
        <v>174.38</v>
      </c>
      <c r="G48" s="139">
        <f>'Data Sheet'!G66</f>
        <v>284.11</v>
      </c>
      <c r="H48" s="139">
        <f>'Data Sheet'!H66</f>
        <v>340.14</v>
      </c>
      <c r="I48" s="139">
        <f>'Data Sheet'!I66</f>
        <v>346.59</v>
      </c>
      <c r="J48" s="139">
        <f>'Data Sheet'!J66</f>
        <v>352.93</v>
      </c>
      <c r="K48" s="139">
        <f>'Data Sheet'!K66</f>
        <v>389.26</v>
      </c>
      <c r="L48" s="139">
        <f>'Data Sheet'!L66</f>
        <v>428.02</v>
      </c>
    </row>
    <row r="49" spans="1:12" x14ac:dyDescent="0.25">
      <c r="A49" s="137" t="s">
        <v>364</v>
      </c>
      <c r="B49" s="137">
        <f>'Data Sheet'!B62</f>
        <v>34.700000000000003</v>
      </c>
      <c r="C49" s="137">
        <f>'Data Sheet'!C62</f>
        <v>46.82</v>
      </c>
      <c r="D49" s="137">
        <f>'Data Sheet'!D62</f>
        <v>52.95</v>
      </c>
      <c r="E49" s="137">
        <f>'Data Sheet'!E62</f>
        <v>60.69</v>
      </c>
      <c r="F49" s="137">
        <f>'Data Sheet'!F62</f>
        <v>98.45</v>
      </c>
      <c r="G49" s="137">
        <f>'Data Sheet'!G62</f>
        <v>185.26</v>
      </c>
      <c r="H49" s="137">
        <f>'Data Sheet'!H62</f>
        <v>288.39999999999998</v>
      </c>
      <c r="I49" s="137">
        <f>'Data Sheet'!I62</f>
        <v>279.45999999999998</v>
      </c>
      <c r="J49" s="137">
        <f>'Data Sheet'!J62</f>
        <v>277.18</v>
      </c>
      <c r="K49" s="137">
        <f>'Data Sheet'!K62</f>
        <v>280.93</v>
      </c>
      <c r="L49" s="137">
        <f>'Data Sheet'!L62</f>
        <v>339</v>
      </c>
    </row>
    <row r="50" spans="1:12" x14ac:dyDescent="0.25">
      <c r="A50" s="137" t="s">
        <v>23</v>
      </c>
      <c r="B50" s="137">
        <f>'Data Sheet'!B63</f>
        <v>0.56999999999999995</v>
      </c>
      <c r="C50" s="137">
        <f>'Data Sheet'!C63</f>
        <v>2.27</v>
      </c>
      <c r="D50" s="137">
        <f>'Data Sheet'!D63</f>
        <v>6.46</v>
      </c>
      <c r="E50" s="137">
        <f>'Data Sheet'!E63</f>
        <v>20.100000000000001</v>
      </c>
      <c r="F50" s="137">
        <f>'Data Sheet'!F63</f>
        <v>42.22</v>
      </c>
      <c r="G50" s="137">
        <f>'Data Sheet'!G63</f>
        <v>38.1</v>
      </c>
      <c r="H50" s="137">
        <f>'Data Sheet'!H63</f>
        <v>0.15</v>
      </c>
      <c r="I50" s="137">
        <f>'Data Sheet'!I63</f>
        <v>4.72</v>
      </c>
      <c r="J50" s="137">
        <f>'Data Sheet'!J63</f>
        <v>4.9400000000000004</v>
      </c>
      <c r="K50" s="137">
        <f>'Data Sheet'!K63</f>
        <v>16.670000000000002</v>
      </c>
      <c r="L50" s="137">
        <f>'Data Sheet'!L63</f>
        <v>10.09</v>
      </c>
    </row>
    <row r="51" spans="1:12" x14ac:dyDescent="0.25">
      <c r="A51" s="152" t="s">
        <v>25</v>
      </c>
      <c r="B51" s="139">
        <f>'Data Sheet'!B65-'Data Sheet'!B60</f>
        <v>-4.8499999999999996</v>
      </c>
      <c r="C51" s="139">
        <f>'Data Sheet'!C65-'Data Sheet'!C60</f>
        <v>3.7800000000000011</v>
      </c>
      <c r="D51" s="139">
        <f>'Data Sheet'!D65-'Data Sheet'!D60</f>
        <v>-0.47000000000000242</v>
      </c>
      <c r="E51" s="139">
        <f>'Data Sheet'!E65-'Data Sheet'!E60</f>
        <v>16.290000000000003</v>
      </c>
      <c r="F51" s="139">
        <f>'Data Sheet'!F65-'Data Sheet'!F60</f>
        <v>4.16</v>
      </c>
      <c r="G51" s="139">
        <f>'Data Sheet'!G65-'Data Sheet'!G60</f>
        <v>16.04</v>
      </c>
      <c r="H51" s="139">
        <f>'Data Sheet'!H65-'Data Sheet'!H60</f>
        <v>-3.2299999999999969</v>
      </c>
      <c r="I51" s="139">
        <f>'Data Sheet'!I65-'Data Sheet'!I60</f>
        <v>2</v>
      </c>
      <c r="J51" s="139">
        <f>'Data Sheet'!J65-'Data Sheet'!J60</f>
        <v>0.14999999999999147</v>
      </c>
      <c r="K51" s="139">
        <f>'Data Sheet'!K65-'Data Sheet'!K60</f>
        <v>-0.25</v>
      </c>
      <c r="L51" s="139">
        <f>'Data Sheet'!L65-'Data Sheet'!L60</f>
        <v>-52.790000000000006</v>
      </c>
    </row>
    <row r="52" spans="1:12" x14ac:dyDescent="0.25">
      <c r="A52" s="139" t="s">
        <v>39</v>
      </c>
      <c r="B52" s="139">
        <f>'Data Sheet'!B67</f>
        <v>1.43</v>
      </c>
      <c r="C52" s="139">
        <f>'Data Sheet'!C67</f>
        <v>1.82</v>
      </c>
      <c r="D52" s="139">
        <f>'Data Sheet'!D67</f>
        <v>3.25</v>
      </c>
      <c r="E52" s="139">
        <f>'Data Sheet'!E67</f>
        <v>3.28</v>
      </c>
      <c r="F52" s="139">
        <f>'Data Sheet'!F67</f>
        <v>4.32</v>
      </c>
      <c r="G52" s="139">
        <f>'Data Sheet'!G67</f>
        <v>6.62</v>
      </c>
      <c r="H52" s="139">
        <f>'Data Sheet'!H67</f>
        <v>3.2</v>
      </c>
      <c r="I52" s="139">
        <f>'Data Sheet'!I67</f>
        <v>4.1500000000000004</v>
      </c>
      <c r="J52" s="139">
        <f>'Data Sheet'!J67</f>
        <v>7.25</v>
      </c>
      <c r="K52" s="139">
        <f>'Data Sheet'!K67</f>
        <v>10.1</v>
      </c>
      <c r="L52" s="139">
        <f>'Data Sheet'!L67</f>
        <v>8.9700000000000006</v>
      </c>
    </row>
    <row r="53" spans="1:12" x14ac:dyDescent="0.25">
      <c r="A53" s="139" t="s">
        <v>40</v>
      </c>
      <c r="B53" s="139">
        <f>'Data Sheet'!B68</f>
        <v>2.84</v>
      </c>
      <c r="C53" s="139">
        <f>'Data Sheet'!C68</f>
        <v>2.65</v>
      </c>
      <c r="D53" s="139">
        <f>'Data Sheet'!D68</f>
        <v>4</v>
      </c>
      <c r="E53" s="139">
        <f>'Data Sheet'!E68</f>
        <v>3.95</v>
      </c>
      <c r="F53" s="139">
        <f>'Data Sheet'!F68</f>
        <v>5</v>
      </c>
      <c r="G53" s="139">
        <f>'Data Sheet'!G68</f>
        <v>5.76</v>
      </c>
      <c r="H53" s="139">
        <f>'Data Sheet'!H68</f>
        <v>7.26</v>
      </c>
      <c r="I53" s="139">
        <f>'Data Sheet'!I68</f>
        <v>8.92</v>
      </c>
      <c r="J53" s="139">
        <f>'Data Sheet'!J68</f>
        <v>9.68</v>
      </c>
      <c r="K53" s="139">
        <f>'Data Sheet'!K68</f>
        <v>8.32</v>
      </c>
      <c r="L53" s="139">
        <f>'Data Sheet'!L68</f>
        <v>8.5399999999999991</v>
      </c>
    </row>
    <row r="54" spans="1:12" x14ac:dyDescent="0.25">
      <c r="A54" s="139" t="s">
        <v>384</v>
      </c>
      <c r="B54" s="139">
        <f>'Data Sheet'!B69</f>
        <v>0.99</v>
      </c>
      <c r="C54" s="139">
        <f>'Data Sheet'!C69</f>
        <v>6</v>
      </c>
      <c r="D54" s="139">
        <f>'Data Sheet'!D69</f>
        <v>3.07</v>
      </c>
      <c r="E54" s="139">
        <f>'Data Sheet'!E69</f>
        <v>21.33</v>
      </c>
      <c r="F54" s="139">
        <f>'Data Sheet'!F69</f>
        <v>12.83</v>
      </c>
      <c r="G54" s="139">
        <f>'Data Sheet'!G69</f>
        <v>28.32</v>
      </c>
      <c r="H54" s="139">
        <f>'Data Sheet'!H69</f>
        <v>24.76</v>
      </c>
      <c r="I54" s="139">
        <f>'Data Sheet'!I69</f>
        <v>30.96</v>
      </c>
      <c r="J54" s="139">
        <f>'Data Sheet'!J69</f>
        <v>34.93</v>
      </c>
      <c r="K54" s="139">
        <f>'Data Sheet'!K69</f>
        <v>55.51</v>
      </c>
      <c r="L54" s="139">
        <f>'Data Sheet'!L69</f>
        <v>51.05</v>
      </c>
    </row>
    <row r="55" spans="1:12" x14ac:dyDescent="0.25">
      <c r="A55" s="137" t="s">
        <v>365</v>
      </c>
      <c r="B55" s="140"/>
      <c r="C55" s="137"/>
      <c r="D55" s="137"/>
      <c r="E55" s="137"/>
      <c r="F55" s="137"/>
      <c r="G55" s="137"/>
      <c r="H55" s="137"/>
      <c r="I55" s="137"/>
      <c r="J55" s="137"/>
      <c r="K55" s="137"/>
      <c r="L55" s="126"/>
    </row>
    <row r="56" spans="1:12" x14ac:dyDescent="0.25">
      <c r="A56" s="152" t="s">
        <v>366</v>
      </c>
      <c r="B56" s="137">
        <f>B41+B44</f>
        <v>30.450000000000003</v>
      </c>
      <c r="C56" s="137">
        <f t="shared" ref="C56:L56" si="14">C41+C44</f>
        <v>53.75</v>
      </c>
      <c r="D56" s="137">
        <f t="shared" si="14"/>
        <v>62.54</v>
      </c>
      <c r="E56" s="137">
        <f t="shared" si="14"/>
        <v>100.68</v>
      </c>
      <c r="F56" s="137">
        <f t="shared" si="14"/>
        <v>148.43</v>
      </c>
      <c r="G56" s="137">
        <f t="shared" si="14"/>
        <v>243</v>
      </c>
      <c r="H56" s="137">
        <f t="shared" si="14"/>
        <v>288.92</v>
      </c>
      <c r="I56" s="137">
        <f t="shared" si="14"/>
        <v>289.77999999999997</v>
      </c>
      <c r="J56" s="137">
        <f t="shared" si="14"/>
        <v>285.87</v>
      </c>
      <c r="K56" s="137">
        <f t="shared" si="14"/>
        <v>301.07</v>
      </c>
      <c r="L56" s="137">
        <f t="shared" si="14"/>
        <v>300.02</v>
      </c>
    </row>
    <row r="57" spans="1:12" x14ac:dyDescent="0.25">
      <c r="A57" s="152" t="s">
        <v>168</v>
      </c>
      <c r="B57" s="137">
        <f>B48-B47</f>
        <v>30.45</v>
      </c>
      <c r="C57" s="137">
        <f t="shared" ref="C57:L57" si="15">C48-C47</f>
        <v>53.75</v>
      </c>
      <c r="D57" s="137">
        <f t="shared" si="15"/>
        <v>62.540000000000006</v>
      </c>
      <c r="E57" s="137">
        <f t="shared" si="15"/>
        <v>100.68</v>
      </c>
      <c r="F57" s="137">
        <f t="shared" si="15"/>
        <v>148.43</v>
      </c>
      <c r="G57" s="137">
        <f t="shared" si="15"/>
        <v>243</v>
      </c>
      <c r="H57" s="137">
        <f t="shared" si="15"/>
        <v>288.91999999999996</v>
      </c>
      <c r="I57" s="137">
        <f t="shared" si="15"/>
        <v>289.77999999999997</v>
      </c>
      <c r="J57" s="137">
        <f t="shared" si="15"/>
        <v>285.87</v>
      </c>
      <c r="K57" s="137">
        <f t="shared" si="15"/>
        <v>301.07</v>
      </c>
      <c r="L57" s="137">
        <f t="shared" si="15"/>
        <v>300.02</v>
      </c>
    </row>
    <row r="58" spans="1:12" x14ac:dyDescent="0.25">
      <c r="A58" s="152" t="s">
        <v>389</v>
      </c>
      <c r="B58" s="137">
        <f>'Data Sheet'!B59+'Data Sheet'!B60</f>
        <v>30.259999999999998</v>
      </c>
      <c r="C58" s="137">
        <f>'Data Sheet'!C59+'Data Sheet'!C60</f>
        <v>54.4</v>
      </c>
      <c r="D58" s="137">
        <f>'Data Sheet'!D59+'Data Sheet'!D60</f>
        <v>64.010000000000005</v>
      </c>
      <c r="E58" s="137">
        <f>'Data Sheet'!E59+'Data Sheet'!E60</f>
        <v>90.72</v>
      </c>
      <c r="F58" s="137">
        <f>'Data Sheet'!F59+'Data Sheet'!F60</f>
        <v>134.13</v>
      </c>
      <c r="G58" s="137">
        <f>'Data Sheet'!G59+'Data Sheet'!G60</f>
        <v>233.36</v>
      </c>
      <c r="H58" s="137">
        <f>'Data Sheet'!H59+'Data Sheet'!H60</f>
        <v>279.02999999999997</v>
      </c>
      <c r="I58" s="137">
        <f>'Data Sheet'!I59+'Data Sheet'!I60</f>
        <v>266.14999999999998</v>
      </c>
      <c r="J58" s="137">
        <f>'Data Sheet'!J59+'Data Sheet'!J60</f>
        <v>250.69</v>
      </c>
      <c r="K58" s="137">
        <f>'Data Sheet'!K59+'Data Sheet'!K60</f>
        <v>250.85999999999999</v>
      </c>
      <c r="L58" s="137">
        <f>'Data Sheet'!L59+'Data Sheet'!L60</f>
        <v>254</v>
      </c>
    </row>
    <row r="59" spans="1:12" x14ac:dyDescent="0.25">
      <c r="A59" s="140" t="s">
        <v>367</v>
      </c>
      <c r="B59" s="141">
        <f>'Data Sheet'!B66</f>
        <v>46.36</v>
      </c>
      <c r="C59" s="141">
        <f>'Data Sheet'!C66</f>
        <v>75.47</v>
      </c>
      <c r="D59" s="141">
        <f>'Data Sheet'!D66</f>
        <v>88.73</v>
      </c>
      <c r="E59" s="141">
        <f>'Data Sheet'!E66</f>
        <v>120.98</v>
      </c>
      <c r="F59" s="141">
        <f>'Data Sheet'!F66</f>
        <v>174.38</v>
      </c>
      <c r="G59" s="141">
        <f>'Data Sheet'!G66</f>
        <v>284.11</v>
      </c>
      <c r="H59" s="141">
        <f>'Data Sheet'!H66</f>
        <v>340.14</v>
      </c>
      <c r="I59" s="141">
        <f>'Data Sheet'!I66</f>
        <v>346.59</v>
      </c>
      <c r="J59" s="141">
        <f>'Data Sheet'!J66</f>
        <v>352.93</v>
      </c>
      <c r="K59" s="141">
        <f>'Data Sheet'!K66</f>
        <v>389.26</v>
      </c>
      <c r="L59" s="141">
        <f>'Data Sheet'!L66</f>
        <v>428.02</v>
      </c>
    </row>
    <row r="60" spans="1:12" x14ac:dyDescent="0.25">
      <c r="A60" s="272"/>
      <c r="B60" s="272"/>
      <c r="C60" s="272"/>
      <c r="D60" s="272"/>
      <c r="E60" s="272"/>
      <c r="F60" s="272"/>
      <c r="G60" s="272"/>
      <c r="H60" s="272"/>
      <c r="I60" s="272"/>
      <c r="J60" s="272"/>
      <c r="K60" s="272"/>
      <c r="L60" s="126"/>
    </row>
    <row r="61" spans="1:12" x14ac:dyDescent="0.25">
      <c r="A61" s="139" t="s">
        <v>368</v>
      </c>
      <c r="B61" s="137">
        <f>'Data Sheet'!B82</f>
        <v>8.26</v>
      </c>
      <c r="C61" s="137">
        <f>'Data Sheet'!C82</f>
        <v>4.9000000000000004</v>
      </c>
      <c r="D61" s="137">
        <f>'Data Sheet'!D82</f>
        <v>12.8</v>
      </c>
      <c r="E61" s="137">
        <f>'Data Sheet'!E82</f>
        <v>14.82</v>
      </c>
      <c r="F61" s="137">
        <f>'Data Sheet'!F82</f>
        <v>23.94</v>
      </c>
      <c r="G61" s="137">
        <f>'Data Sheet'!G82</f>
        <v>41.24</v>
      </c>
      <c r="H61" s="137">
        <f>'Data Sheet'!H82</f>
        <v>55.57</v>
      </c>
      <c r="I61" s="137">
        <f>'Data Sheet'!I82</f>
        <v>61.81</v>
      </c>
      <c r="J61" s="137">
        <f>'Data Sheet'!J82</f>
        <v>67.61</v>
      </c>
      <c r="K61" s="137">
        <f>'Data Sheet'!K82</f>
        <v>97.2</v>
      </c>
      <c r="L61" s="137">
        <f>'Data Sheet'!L82</f>
        <v>104</v>
      </c>
    </row>
    <row r="62" spans="1:12" x14ac:dyDescent="0.25">
      <c r="A62" s="139" t="s">
        <v>219</v>
      </c>
      <c r="B62" s="142"/>
      <c r="C62" s="142">
        <f t="shared" ref="C62:L62" si="16">C61-C23</f>
        <v>-12.439999999999996</v>
      </c>
      <c r="D62" s="142">
        <f t="shared" si="16"/>
        <v>-1.370000000000001</v>
      </c>
      <c r="E62" s="142">
        <f t="shared" si="16"/>
        <v>-10.479999999999997</v>
      </c>
      <c r="F62" s="142">
        <f t="shared" si="16"/>
        <v>-40.63000000000001</v>
      </c>
      <c r="G62" s="142">
        <f t="shared" si="16"/>
        <v>-48.079999999999991</v>
      </c>
      <c r="H62" s="142">
        <f t="shared" si="16"/>
        <v>-21.749999999999979</v>
      </c>
      <c r="I62" s="142">
        <f t="shared" si="16"/>
        <v>51.67</v>
      </c>
      <c r="J62" s="142">
        <f t="shared" si="16"/>
        <v>53.369999999999969</v>
      </c>
      <c r="K62" s="142">
        <f t="shared" si="16"/>
        <v>60.52</v>
      </c>
      <c r="L62" s="142">
        <f t="shared" si="16"/>
        <v>32.110000000000014</v>
      </c>
    </row>
    <row r="63" spans="1:12" x14ac:dyDescent="0.25">
      <c r="A63" s="139" t="s">
        <v>369</v>
      </c>
      <c r="B63" s="143">
        <f>B33/B32</f>
        <v>0.34013605442176881</v>
      </c>
      <c r="C63" s="143">
        <f t="shared" ref="C63:L63" si="17">C33/C32</f>
        <v>0.35999999999999976</v>
      </c>
      <c r="D63" s="143">
        <f t="shared" si="17"/>
        <v>0.35424354243542439</v>
      </c>
      <c r="E63" s="143">
        <f t="shared" si="17"/>
        <v>0.35267452402538524</v>
      </c>
      <c r="F63" s="143">
        <f t="shared" si="17"/>
        <v>0.32752613240418155</v>
      </c>
      <c r="G63" s="143">
        <f t="shared" si="17"/>
        <v>0.38095238095238104</v>
      </c>
      <c r="H63" s="143">
        <f t="shared" si="17"/>
        <v>0.26416256157635454</v>
      </c>
      <c r="I63" s="143">
        <f t="shared" si="17"/>
        <v>0.32153110047846867</v>
      </c>
      <c r="J63" s="143">
        <f t="shared" si="17"/>
        <v>0.3644158628081457</v>
      </c>
      <c r="K63" s="143">
        <f t="shared" si="17"/>
        <v>0.34887243352406605</v>
      </c>
      <c r="L63" s="143">
        <f t="shared" si="17"/>
        <v>0.34874759152215795</v>
      </c>
    </row>
    <row r="64" spans="1:12" x14ac:dyDescent="0.25">
      <c r="A64" s="139" t="s">
        <v>386</v>
      </c>
      <c r="B64" s="142">
        <f t="shared" ref="B64:L64" si="18">B30*(1-B63)</f>
        <v>4.5134693877550998</v>
      </c>
      <c r="C64" s="142">
        <f t="shared" si="18"/>
        <v>7.3472000000000079</v>
      </c>
      <c r="D64" s="142">
        <f t="shared" si="18"/>
        <v>7.2647601476014749</v>
      </c>
      <c r="E64" s="142">
        <f t="shared" si="18"/>
        <v>10.007651858567545</v>
      </c>
      <c r="F64" s="142">
        <f t="shared" si="18"/>
        <v>14.834773519163742</v>
      </c>
      <c r="G64" s="142">
        <f t="shared" si="18"/>
        <v>18.967619047619042</v>
      </c>
      <c r="H64" s="142">
        <f t="shared" si="18"/>
        <v>24.150184729064051</v>
      </c>
      <c r="I64" s="142">
        <f t="shared" si="18"/>
        <v>39.900755980861277</v>
      </c>
      <c r="J64" s="142">
        <f t="shared" si="18"/>
        <v>38.935884244372993</v>
      </c>
      <c r="K64" s="142">
        <f t="shared" si="18"/>
        <v>51.959979804779515</v>
      </c>
      <c r="L64" s="142">
        <f t="shared" si="18"/>
        <v>51.40335260115608</v>
      </c>
    </row>
    <row r="65" spans="1:12" x14ac:dyDescent="0.25">
      <c r="A65" s="265"/>
      <c r="B65" s="265"/>
      <c r="C65" s="265"/>
      <c r="D65" s="265"/>
      <c r="E65" s="265"/>
      <c r="F65" s="265"/>
      <c r="G65" s="265"/>
      <c r="H65" s="265"/>
      <c r="I65" s="265"/>
      <c r="J65" s="265"/>
      <c r="K65" s="265"/>
      <c r="L65" s="126"/>
    </row>
    <row r="66" spans="1:12" x14ac:dyDescent="0.25">
      <c r="A66" s="153" t="s">
        <v>370</v>
      </c>
      <c r="B66" s="144">
        <f t="shared" ref="B66:L66" si="19">B36+B35</f>
        <v>67.137493431999999</v>
      </c>
      <c r="C66" s="144">
        <f t="shared" si="19"/>
        <v>55.873407022000002</v>
      </c>
      <c r="D66" s="144">
        <f t="shared" si="19"/>
        <v>51.332368291999998</v>
      </c>
      <c r="E66" s="144">
        <f t="shared" si="19"/>
        <v>71.531783944000011</v>
      </c>
      <c r="F66" s="144">
        <f t="shared" si="19"/>
        <v>161.45529306000003</v>
      </c>
      <c r="G66" s="144">
        <f t="shared" si="19"/>
        <v>135.67532378800001</v>
      </c>
      <c r="H66" s="144">
        <f t="shared" si="19"/>
        <v>119.174392692</v>
      </c>
      <c r="I66" s="144">
        <f t="shared" si="19"/>
        <v>180.742944416</v>
      </c>
      <c r="J66" s="144">
        <f t="shared" si="19"/>
        <v>169.669375272</v>
      </c>
      <c r="K66" s="144">
        <f t="shared" si="19"/>
        <v>695.39035306200003</v>
      </c>
      <c r="L66" s="144">
        <f t="shared" si="19"/>
        <v>826.68655480000007</v>
      </c>
    </row>
    <row r="67" spans="1:12" x14ac:dyDescent="0.25">
      <c r="A67" s="148" t="s">
        <v>371</v>
      </c>
      <c r="B67" s="144">
        <f t="shared" ref="B67:L67" si="20">B34-B35</f>
        <v>2.7899999999999983</v>
      </c>
      <c r="C67" s="144">
        <f t="shared" si="20"/>
        <v>5.1900000000000075</v>
      </c>
      <c r="D67" s="144">
        <f t="shared" si="20"/>
        <v>3.879999999999999</v>
      </c>
      <c r="E67" s="144">
        <f t="shared" si="20"/>
        <v>5.7700000000000022</v>
      </c>
      <c r="F67" s="144">
        <f t="shared" si="20"/>
        <v>10.20999999999998</v>
      </c>
      <c r="G67" s="144">
        <f t="shared" si="20"/>
        <v>10.719999999999995</v>
      </c>
      <c r="H67" s="144">
        <f t="shared" si="20"/>
        <v>10.580000000000009</v>
      </c>
      <c r="I67" s="144">
        <f t="shared" si="20"/>
        <v>19.630000000000024</v>
      </c>
      <c r="J67" s="144">
        <f t="shared" si="20"/>
        <v>22.080000000000005</v>
      </c>
      <c r="K67" s="144">
        <f t="shared" si="20"/>
        <v>37.049999999999983</v>
      </c>
      <c r="L67" s="144">
        <f t="shared" si="20"/>
        <v>38.920000000000009</v>
      </c>
    </row>
    <row r="68" spans="1:12" x14ac:dyDescent="0.25">
      <c r="A68" s="266"/>
      <c r="B68" s="266"/>
      <c r="C68" s="266"/>
      <c r="D68" s="266"/>
      <c r="E68" s="266"/>
      <c r="F68" s="266"/>
      <c r="G68" s="266"/>
      <c r="H68" s="266"/>
      <c r="I68" s="266"/>
      <c r="J68" s="266"/>
      <c r="K68" s="266"/>
      <c r="L68" s="126"/>
    </row>
    <row r="69" spans="1:12" x14ac:dyDescent="0.25">
      <c r="A69" s="202" t="s">
        <v>397</v>
      </c>
      <c r="B69" s="203">
        <f>'Profit &amp; Loss'!B15/'Profit &amp; Loss'!B13</f>
        <v>17.022549853608247</v>
      </c>
      <c r="C69" s="203">
        <f>'Profit &amp; Loss'!C15/'Profit &amp; Loss'!C13</f>
        <v>8.3084461923780495</v>
      </c>
      <c r="D69" s="203">
        <f>'Profit &amp; Loss'!D15/'Profit &amp; Loss'!D13</f>
        <v>9.5166415794285708</v>
      </c>
      <c r="E69" s="203">
        <f>'Profit &amp; Loss'!E15/'Profit &amp; Loss'!E13</f>
        <v>9.8265803843137256</v>
      </c>
      <c r="F69" s="203">
        <f>'Profit &amp; Loss'!F15/'Profit &amp; Loss'!F13</f>
        <v>13.824291283246978</v>
      </c>
      <c r="G69" s="203">
        <f>'Profit &amp; Loss'!G15/'Profit &amp; Loss'!G13</f>
        <v>11.108794357981802</v>
      </c>
      <c r="H69" s="203">
        <f>'Profit &amp; Loss'!H15/'Profit &amp; Loss'!H13</f>
        <v>9.8581081750627622</v>
      </c>
      <c r="I69" s="203">
        <f>'Profit &amp; Loss'!I15/'Profit &amp; Loss'!I13</f>
        <v>8.4283738548705891</v>
      </c>
      <c r="J69" s="203">
        <f>'Profit &amp; Loss'!J15/'Profit &amp; Loss'!J13</f>
        <v>7.0838691092748745</v>
      </c>
      <c r="K69" s="203">
        <f>'Profit &amp; Loss'!K15/'Profit &amp; Loss'!K13</f>
        <v>17.926365712196382</v>
      </c>
      <c r="L69" s="203">
        <f>'Profit &amp; Loss'!L15/'Profit &amp; Loss'!L13</f>
        <v>18.670789018055899</v>
      </c>
    </row>
    <row r="70" spans="1:12" x14ac:dyDescent="0.25">
      <c r="A70" s="202" t="s">
        <v>472</v>
      </c>
      <c r="B70" s="202"/>
      <c r="C70" s="203">
        <f>C69/((('Profit &amp; Loss'!C13-'Profit &amp; Loss'!B13)/'Profit &amp; Loss'!B13)*100)</f>
        <v>0.12028645980010015</v>
      </c>
      <c r="D70" s="203">
        <f>D69/((('Profit &amp; Loss'!D13-'Profit &amp; Loss'!C13)/'Profit &amp; Loss'!C13)*100)</f>
        <v>-0.4765585401606981</v>
      </c>
      <c r="E70" s="203">
        <f>E69/((('Profit &amp; Loss'!E13-'Profit &amp; Loss'!D13)/'Profit &amp; Loss'!D13)*100)</f>
        <v>0.27296056623093679</v>
      </c>
      <c r="F70" s="203">
        <f>F69/((('Profit &amp; Loss'!F13-'Profit &amp; Loss'!E13)/'Profit &amp; Loss'!E13)*100)</f>
        <v>0.22230954901437705</v>
      </c>
      <c r="G70" s="203">
        <f>G69/((('Profit &amp; Loss'!G13-'Profit &amp; Loss'!F13)/'Profit &amp; Loss'!F13)*100)</f>
        <v>2.5223497777535178</v>
      </c>
      <c r="H70" s="203">
        <f>H69/((('Profit &amp; Loss'!H13-'Profit &amp; Loss'!G13)/'Profit &amp; Loss'!G13)*100)</f>
        <v>-8.5131805597505874</v>
      </c>
      <c r="I70" s="203">
        <f>I69/((('Profit &amp; Loss'!I13-'Profit &amp; Loss'!H13)/'Profit &amp; Loss'!H13)*100)</f>
        <v>0.10830007265129411</v>
      </c>
      <c r="J70" s="203">
        <f>J69/((('Profit &amp; Loss'!J13-'Profit &amp; Loss'!I13)/'Profit &amp; Loss'!I13)*100)</f>
        <v>0.60944218045381071</v>
      </c>
      <c r="K70" s="203">
        <f>K69/((('Profit &amp; Loss'!K13-'Profit &amp; Loss'!J13)/'Profit &amp; Loss'!J13)*100)</f>
        <v>0.28385406855360346</v>
      </c>
      <c r="L70" s="203">
        <f>L69/((('Profit &amp; Loss'!L13-'Profit &amp; Loss'!K13)/'Profit &amp; Loss'!K13)*100)</f>
        <v>4.1565599362915648</v>
      </c>
    </row>
    <row r="71" spans="1:12" x14ac:dyDescent="0.25">
      <c r="A71" s="139" t="s">
        <v>372</v>
      </c>
      <c r="B71" s="142">
        <f>B36/B41</f>
        <v>4.1023287845962724</v>
      </c>
      <c r="C71" s="142">
        <f t="shared" ref="C71:L71" si="21">C36/C41</f>
        <v>2.5867777419079263</v>
      </c>
      <c r="D71" s="142">
        <f t="shared" si="21"/>
        <v>2.0211314033980585</v>
      </c>
      <c r="E71" s="142">
        <f t="shared" si="21"/>
        <v>2.3186313266358232</v>
      </c>
      <c r="F71" s="142">
        <f t="shared" si="21"/>
        <v>3.9772743617391311</v>
      </c>
      <c r="G71" s="142">
        <f t="shared" si="21"/>
        <v>2.646410320945813</v>
      </c>
      <c r="H71" s="142">
        <f t="shared" si="21"/>
        <v>1.9277432939289805</v>
      </c>
      <c r="I71" s="142">
        <f t="shared" si="21"/>
        <v>2.2265408306315266</v>
      </c>
      <c r="J71" s="142">
        <f t="shared" si="21"/>
        <v>1.6434798050860722</v>
      </c>
      <c r="K71" s="142">
        <f t="shared" si="21"/>
        <v>5.0126470596965316</v>
      </c>
      <c r="L71" s="142">
        <f t="shared" si="21"/>
        <v>4.7411019124238596</v>
      </c>
    </row>
    <row r="72" spans="1:12" x14ac:dyDescent="0.25">
      <c r="A72" s="140" t="s">
        <v>387</v>
      </c>
      <c r="B72" s="142">
        <f>B36/B61</f>
        <v>7.9960645801452781</v>
      </c>
      <c r="C72" s="142">
        <f t="shared" ref="C72:L72" si="22">C36/C61</f>
        <v>11.123144290204081</v>
      </c>
      <c r="D72" s="142">
        <f t="shared" si="22"/>
        <v>3.9033100228124997</v>
      </c>
      <c r="E72" s="142">
        <f t="shared" si="22"/>
        <v>4.7342634240215924</v>
      </c>
      <c r="F72" s="142">
        <f t="shared" si="22"/>
        <v>6.68693788888889</v>
      </c>
      <c r="G72" s="142">
        <f t="shared" si="22"/>
        <v>3.2566761345295832</v>
      </c>
      <c r="H72" s="142">
        <f t="shared" si="22"/>
        <v>2.1199278872053267</v>
      </c>
      <c r="I72" s="142">
        <f t="shared" si="22"/>
        <v>2.8976370233942728</v>
      </c>
      <c r="J72" s="142">
        <f t="shared" si="22"/>
        <v>2.4852740019523742</v>
      </c>
      <c r="K72" s="142">
        <f t="shared" si="22"/>
        <v>7.1373493113374487</v>
      </c>
      <c r="L72" s="142">
        <f t="shared" si="22"/>
        <v>7.9331399500000011</v>
      </c>
    </row>
    <row r="73" spans="1:12" x14ac:dyDescent="0.25">
      <c r="A73" s="140" t="s">
        <v>388</v>
      </c>
      <c r="B73" s="142"/>
      <c r="C73" s="142">
        <f t="shared" ref="C73:L73" si="23">C36/C62</f>
        <v>-4.3813028152733136</v>
      </c>
      <c r="D73" s="142">
        <f t="shared" si="23"/>
        <v>-36.468881964963479</v>
      </c>
      <c r="E73" s="142">
        <f t="shared" si="23"/>
        <v>-6.694826712213743</v>
      </c>
      <c r="F73" s="142">
        <f t="shared" si="23"/>
        <v>-3.9400761274920009</v>
      </c>
      <c r="G73" s="142">
        <f t="shared" si="23"/>
        <v>-2.7933719589850257</v>
      </c>
      <c r="H73" s="142">
        <f t="shared" si="23"/>
        <v>-5.4162939168735686</v>
      </c>
      <c r="I73" s="142">
        <f t="shared" si="23"/>
        <v>3.4662849703115928</v>
      </c>
      <c r="J73" s="142">
        <f t="shared" si="23"/>
        <v>3.1483862707888348</v>
      </c>
      <c r="K73" s="142">
        <f t="shared" si="23"/>
        <v>11.463158510608064</v>
      </c>
      <c r="L73" s="142">
        <f t="shared" si="23"/>
        <v>25.69438040485829</v>
      </c>
    </row>
    <row r="74" spans="1:12" x14ac:dyDescent="0.25">
      <c r="A74" s="140" t="s">
        <v>373</v>
      </c>
      <c r="B74" s="142">
        <f>B36/B25</f>
        <v>1.2904942053927315</v>
      </c>
      <c r="C74" s="142">
        <f t="shared" ref="C74:L74" si="24">C36/C25</f>
        <v>0.75135658977116071</v>
      </c>
      <c r="D74" s="142">
        <f t="shared" si="24"/>
        <v>0.57073758615490056</v>
      </c>
      <c r="E74" s="142">
        <f t="shared" si="24"/>
        <v>0.635753750851758</v>
      </c>
      <c r="F74" s="142">
        <f t="shared" si="24"/>
        <v>1.2307626129007461</v>
      </c>
      <c r="G74" s="142">
        <f t="shared" si="24"/>
        <v>0.76868889530677664</v>
      </c>
      <c r="H74" s="142">
        <f t="shared" si="24"/>
        <v>0.52976747174528938</v>
      </c>
      <c r="I74" s="142">
        <f t="shared" si="24"/>
        <v>0.60277637537778084</v>
      </c>
      <c r="J74" s="142">
        <f t="shared" si="24"/>
        <v>0.50299160411902055</v>
      </c>
      <c r="K74" s="142">
        <f t="shared" si="24"/>
        <v>1.7273799936805936</v>
      </c>
      <c r="L74" s="142">
        <f t="shared" si="24"/>
        <v>1.7742936662365594</v>
      </c>
    </row>
    <row r="75" spans="1:12" x14ac:dyDescent="0.25">
      <c r="A75" s="140" t="s">
        <v>121</v>
      </c>
      <c r="B75" s="142">
        <f>(B36+B44-B8)/B28</f>
        <v>8.012865129364279</v>
      </c>
      <c r="C75" s="142">
        <f t="shared" ref="C75:L75" si="25">(C36+C44-C8)/C28</f>
        <v>5.4122271347999984</v>
      </c>
      <c r="D75" s="142">
        <f t="shared" si="25"/>
        <v>5.6100906153642391</v>
      </c>
      <c r="E75" s="142">
        <f t="shared" si="25"/>
        <v>6.153342824767801</v>
      </c>
      <c r="F75" s="142">
        <f t="shared" si="25"/>
        <v>9.5489829181308483</v>
      </c>
      <c r="G75" s="142">
        <f t="shared" si="25"/>
        <v>8.0020210299973176</v>
      </c>
      <c r="H75" s="142">
        <f t="shared" si="25"/>
        <v>7.1380287584427133</v>
      </c>
      <c r="I75" s="142">
        <f t="shared" si="25"/>
        <v>4.8756539063829782</v>
      </c>
      <c r="J75" s="142">
        <f t="shared" si="25"/>
        <v>4.0836690984012378</v>
      </c>
      <c r="K75" s="142">
        <f t="shared" si="25"/>
        <v>7.9298054758613876</v>
      </c>
      <c r="L75" s="142">
        <f t="shared" si="25"/>
        <v>9.0606720507399583</v>
      </c>
    </row>
    <row r="76" spans="1:12" x14ac:dyDescent="0.25">
      <c r="A76" s="137" t="s">
        <v>103</v>
      </c>
      <c r="B76" s="201">
        <f>B35/B36</f>
        <v>1.6503275799894253E-2</v>
      </c>
      <c r="C76" s="201">
        <f t="shared" ref="C76:L76" si="26">C35/C36</f>
        <v>2.513604332013606E-2</v>
      </c>
      <c r="D76" s="201">
        <f t="shared" si="26"/>
        <v>2.7420637708628501E-2</v>
      </c>
      <c r="E76" s="201">
        <f t="shared" si="26"/>
        <v>1.9526299403867391E-2</v>
      </c>
      <c r="F76" s="201">
        <f t="shared" si="26"/>
        <v>8.5579379205466648E-3</v>
      </c>
      <c r="G76" s="201">
        <f t="shared" si="26"/>
        <v>1.0200638078670174E-2</v>
      </c>
      <c r="H76" s="201">
        <f t="shared" si="26"/>
        <v>1.1629447499312441E-2</v>
      </c>
      <c r="I76" s="201">
        <f t="shared" si="26"/>
        <v>9.156745051554227E-3</v>
      </c>
      <c r="J76" s="201">
        <f t="shared" si="26"/>
        <v>9.7601981638343049E-3</v>
      </c>
      <c r="K76" s="201">
        <f t="shared" si="26"/>
        <v>2.3639627609002949E-3</v>
      </c>
      <c r="L76" s="201">
        <f t="shared" si="26"/>
        <v>1.9877666180880584E-3</v>
      </c>
    </row>
    <row r="77" spans="1:12" x14ac:dyDescent="0.25">
      <c r="A77" s="265"/>
      <c r="B77" s="265"/>
      <c r="C77" s="265"/>
      <c r="D77" s="265"/>
      <c r="E77" s="265"/>
      <c r="F77" s="265"/>
      <c r="G77" s="265"/>
      <c r="H77" s="265"/>
      <c r="I77" s="265"/>
      <c r="J77" s="265"/>
      <c r="K77" s="265"/>
      <c r="L77" s="126" t="s">
        <v>374</v>
      </c>
    </row>
    <row r="78" spans="1:12" x14ac:dyDescent="0.25">
      <c r="A78" s="137" t="s">
        <v>375</v>
      </c>
      <c r="B78" s="142">
        <f>B51/B59</f>
        <v>-0.10461604831751509</v>
      </c>
      <c r="C78" s="142">
        <f t="shared" ref="C78:K78" si="27">C51/C59</f>
        <v>5.0086126937856121E-2</v>
      </c>
      <c r="D78" s="142">
        <f t="shared" si="27"/>
        <v>-5.2969683308914956E-3</v>
      </c>
      <c r="E78" s="142">
        <f t="shared" si="27"/>
        <v>0.13465035543064971</v>
      </c>
      <c r="F78" s="142">
        <f t="shared" si="27"/>
        <v>2.3855946782887948E-2</v>
      </c>
      <c r="G78" s="142">
        <f t="shared" si="27"/>
        <v>5.6457006089190798E-2</v>
      </c>
      <c r="H78" s="142">
        <f t="shared" si="27"/>
        <v>-9.4960898453577847E-3</v>
      </c>
      <c r="I78" s="142">
        <f t="shared" si="27"/>
        <v>5.7705069390345948E-3</v>
      </c>
      <c r="J78" s="142">
        <f t="shared" si="27"/>
        <v>4.2501345875950322E-4</v>
      </c>
      <c r="K78" s="142">
        <f t="shared" si="27"/>
        <v>-6.4224425833633045E-4</v>
      </c>
      <c r="L78" s="137">
        <v>1.2</v>
      </c>
    </row>
    <row r="79" spans="1:12" x14ac:dyDescent="0.25">
      <c r="A79" s="137" t="s">
        <v>376</v>
      </c>
      <c r="B79" s="142">
        <f>B67/B59</f>
        <v>6.0181190681622053E-2</v>
      </c>
      <c r="C79" s="142">
        <f t="shared" ref="C79:K79" si="28">C67/C59</f>
        <v>6.8769047303564437E-2</v>
      </c>
      <c r="D79" s="142">
        <f t="shared" si="28"/>
        <v>4.3728164093316792E-2</v>
      </c>
      <c r="E79" s="142">
        <f t="shared" si="28"/>
        <v>4.7693833691519277E-2</v>
      </c>
      <c r="F79" s="142">
        <f t="shared" si="28"/>
        <v>5.8550292464732076E-2</v>
      </c>
      <c r="G79" s="142">
        <f t="shared" si="28"/>
        <v>3.7731864418711042E-2</v>
      </c>
      <c r="H79" s="142">
        <f t="shared" si="28"/>
        <v>3.1104839183865494E-2</v>
      </c>
      <c r="I79" s="142">
        <f t="shared" si="28"/>
        <v>5.6637525606624613E-2</v>
      </c>
      <c r="J79" s="142">
        <f t="shared" si="28"/>
        <v>6.256198112940245E-2</v>
      </c>
      <c r="K79" s="142">
        <f t="shared" si="28"/>
        <v>9.5180599085444129E-2</v>
      </c>
      <c r="L79" s="137">
        <v>1.4</v>
      </c>
    </row>
    <row r="80" spans="1:12" x14ac:dyDescent="0.25">
      <c r="A80" s="137" t="s">
        <v>377</v>
      </c>
      <c r="B80" s="142">
        <f>B30/B59</f>
        <v>0.14754098360655735</v>
      </c>
      <c r="C80" s="142">
        <f t="shared" ref="C80:K80" si="29">C30/C59</f>
        <v>0.15211342255200752</v>
      </c>
      <c r="D80" s="142">
        <f t="shared" si="29"/>
        <v>0.12678913557984897</v>
      </c>
      <c r="E80" s="142">
        <f t="shared" si="29"/>
        <v>0.12778971730864608</v>
      </c>
      <c r="F80" s="142">
        <f t="shared" si="29"/>
        <v>0.12650533318041049</v>
      </c>
      <c r="G80" s="142">
        <f t="shared" si="29"/>
        <v>0.10784555277885324</v>
      </c>
      <c r="H80" s="142">
        <f t="shared" si="29"/>
        <v>9.648968071970368E-2</v>
      </c>
      <c r="I80" s="142">
        <f t="shared" si="29"/>
        <v>0.16968175654231232</v>
      </c>
      <c r="J80" s="142">
        <f t="shared" si="29"/>
        <v>0.17357549655739099</v>
      </c>
      <c r="K80" s="142">
        <f t="shared" si="29"/>
        <v>0.20500436726095664</v>
      </c>
      <c r="L80" s="137">
        <v>3.3</v>
      </c>
    </row>
    <row r="81" spans="1:12" x14ac:dyDescent="0.25">
      <c r="A81" s="137" t="s">
        <v>378</v>
      </c>
      <c r="B81" s="142">
        <f>B36/B58</f>
        <v>2.182666669927297</v>
      </c>
      <c r="C81" s="142">
        <f t="shared" ref="C81:L81" si="30">C36/C58</f>
        <v>1.001900864375</v>
      </c>
      <c r="D81" s="142">
        <f t="shared" si="30"/>
        <v>0.78054004518044051</v>
      </c>
      <c r="E81" s="142">
        <f t="shared" si="30"/>
        <v>0.77338827098765439</v>
      </c>
      <c r="F81" s="142">
        <f t="shared" si="30"/>
        <v>1.1935084847535975</v>
      </c>
      <c r="G81" s="142">
        <f t="shared" si="30"/>
        <v>0.57552847012341446</v>
      </c>
      <c r="H81" s="142">
        <f t="shared" si="30"/>
        <v>0.42219256958749957</v>
      </c>
      <c r="I81" s="142">
        <f t="shared" si="30"/>
        <v>0.67293986254367844</v>
      </c>
      <c r="J81" s="142">
        <f t="shared" si="30"/>
        <v>0.67026756261518217</v>
      </c>
      <c r="K81" s="142">
        <f t="shared" si="30"/>
        <v>2.7654881330702388</v>
      </c>
      <c r="L81" s="142">
        <f t="shared" si="30"/>
        <v>3.2482147826771657</v>
      </c>
    </row>
    <row r="82" spans="1:12" x14ac:dyDescent="0.25">
      <c r="A82" s="137" t="s">
        <v>379</v>
      </c>
      <c r="B82" s="142">
        <f>B25/B59</f>
        <v>1.1039689387402933</v>
      </c>
      <c r="C82" s="142">
        <f t="shared" ref="C82:K82" si="31">C25/C59</f>
        <v>0.96117662647409574</v>
      </c>
      <c r="D82" s="142">
        <f t="shared" si="31"/>
        <v>0.98658852699199817</v>
      </c>
      <c r="E82" s="142">
        <f t="shared" si="31"/>
        <v>0.91221689535460404</v>
      </c>
      <c r="F82" s="142">
        <f t="shared" si="31"/>
        <v>0.74589975914669115</v>
      </c>
      <c r="G82" s="142">
        <f t="shared" si="31"/>
        <v>0.61497307380944</v>
      </c>
      <c r="H82" s="142">
        <f t="shared" si="31"/>
        <v>0.65376021638149007</v>
      </c>
      <c r="I82" s="142">
        <f t="shared" si="31"/>
        <v>0.85729536339767454</v>
      </c>
      <c r="J82" s="142">
        <f t="shared" si="31"/>
        <v>0.94653330688805148</v>
      </c>
      <c r="K82" s="142">
        <f t="shared" si="31"/>
        <v>1.0317525561321481</v>
      </c>
      <c r="L82" s="137">
        <v>1</v>
      </c>
    </row>
    <row r="83" spans="1:12" x14ac:dyDescent="0.25">
      <c r="A83" s="152" t="s">
        <v>380</v>
      </c>
      <c r="B83" s="142">
        <f>$L$78*B78+$L$79*B79+$L$80*B80+$L$81*B81+$L$82*B82</f>
        <v>8.6393387365297727</v>
      </c>
      <c r="C83" s="142">
        <f t="shared" ref="C83:L83" si="32">$L$78*C78+$L$79*C79+$L$80*C80+$L$81*C81+$L$82*C82</f>
        <v>4.8739201378860431</v>
      </c>
      <c r="D83" s="142">
        <f t="shared" si="32"/>
        <v>3.9952174553656832</v>
      </c>
      <c r="E83" s="142">
        <f t="shared" si="32"/>
        <v>4.0744059707292752</v>
      </c>
      <c r="F83" s="142">
        <f t="shared" si="32"/>
        <v>5.1507368076593956</v>
      </c>
      <c r="G83" s="142">
        <f t="shared" si="32"/>
        <v>2.9608764999793284</v>
      </c>
      <c r="H83" s="142">
        <f t="shared" si="32"/>
        <v>2.3756997754700686</v>
      </c>
      <c r="I83" s="142">
        <f t="shared" si="32"/>
        <v>3.6893155135305378</v>
      </c>
      <c r="J83" s="142">
        <f t="shared" si="32"/>
        <v>3.7846022404947437</v>
      </c>
      <c r="K83" s="142">
        <f t="shared" si="32"/>
        <v>10.82364854885995</v>
      </c>
      <c r="L83" s="142">
        <f t="shared" si="32"/>
        <v>25.840899274402467</v>
      </c>
    </row>
    <row r="84" spans="1:12" x14ac:dyDescent="0.25">
      <c r="A84" s="126" t="s">
        <v>381</v>
      </c>
      <c r="B84" s="126"/>
      <c r="C84" s="126"/>
      <c r="D84" s="126"/>
      <c r="E84" s="126"/>
      <c r="F84" s="126"/>
      <c r="G84" s="126"/>
      <c r="H84" s="126"/>
      <c r="I84" s="126"/>
      <c r="J84" s="126"/>
      <c r="K84" s="126"/>
      <c r="L84" s="126"/>
    </row>
    <row r="85" spans="1:12" x14ac:dyDescent="0.25">
      <c r="A85" s="126" t="s">
        <v>382</v>
      </c>
      <c r="B85" s="126"/>
      <c r="C85" s="126"/>
      <c r="D85" s="126"/>
      <c r="E85" s="126"/>
      <c r="F85" s="126"/>
      <c r="G85" s="126"/>
      <c r="H85" s="126"/>
      <c r="I85" s="126"/>
      <c r="J85" s="126"/>
      <c r="K85" s="126"/>
      <c r="L85" s="126"/>
    </row>
    <row r="86" spans="1:12" x14ac:dyDescent="0.25">
      <c r="A86" s="126" t="s">
        <v>383</v>
      </c>
      <c r="B86" s="126"/>
      <c r="C86" s="126"/>
      <c r="D86" s="126"/>
      <c r="E86" s="126"/>
      <c r="F86" s="126"/>
      <c r="G86" s="126"/>
      <c r="H86" s="126"/>
      <c r="I86" s="126"/>
      <c r="J86" s="126"/>
      <c r="K86" s="126"/>
      <c r="L86" s="126"/>
    </row>
    <row r="87" spans="1:12" x14ac:dyDescent="0.25">
      <c r="A87" s="126"/>
      <c r="B87" s="126"/>
      <c r="C87" s="126"/>
      <c r="D87" s="126"/>
      <c r="E87" s="126"/>
      <c r="F87" s="126"/>
      <c r="G87" s="126"/>
      <c r="H87" s="126"/>
      <c r="I87" s="126"/>
      <c r="J87" s="126"/>
      <c r="K87" s="126"/>
      <c r="L87" s="126"/>
    </row>
    <row r="88" spans="1:12" x14ac:dyDescent="0.25">
      <c r="A88" s="126"/>
      <c r="B88" s="126"/>
      <c r="C88" s="126"/>
      <c r="D88" s="126"/>
      <c r="E88" s="126"/>
      <c r="F88" s="126"/>
      <c r="G88" s="126"/>
      <c r="H88" s="126"/>
      <c r="I88" s="126"/>
      <c r="J88" s="126"/>
      <c r="K88" s="126"/>
      <c r="L88" s="126"/>
    </row>
    <row r="89" spans="1:12" x14ac:dyDescent="0.25">
      <c r="A89" s="126"/>
      <c r="B89" s="126"/>
      <c r="C89" s="126"/>
      <c r="D89" s="126"/>
      <c r="E89" s="126"/>
      <c r="F89" s="126"/>
      <c r="G89" s="126"/>
      <c r="H89" s="126"/>
      <c r="I89" s="126"/>
      <c r="J89" s="126"/>
      <c r="K89" s="126"/>
      <c r="L89" s="126"/>
    </row>
    <row r="90" spans="1:12" x14ac:dyDescent="0.25">
      <c r="A90" s="126"/>
      <c r="B90" s="126"/>
      <c r="C90" s="126"/>
      <c r="D90" s="126"/>
      <c r="E90" s="126"/>
      <c r="F90" s="126"/>
      <c r="G90" s="126"/>
      <c r="H90" s="126"/>
      <c r="I90" s="126"/>
      <c r="J90" s="126"/>
      <c r="K90" s="126"/>
      <c r="L90" s="126"/>
    </row>
    <row r="91" spans="1:12" x14ac:dyDescent="0.25">
      <c r="A91" s="126"/>
      <c r="B91" s="126"/>
      <c r="C91" s="126"/>
      <c r="D91" s="126"/>
      <c r="E91" s="126"/>
      <c r="F91" s="126"/>
      <c r="G91" s="126"/>
      <c r="H91" s="126"/>
      <c r="I91" s="126"/>
      <c r="J91" s="126"/>
      <c r="K91" s="126"/>
      <c r="L91" s="126"/>
    </row>
    <row r="92" spans="1:12" x14ac:dyDescent="0.25">
      <c r="A92" s="126"/>
      <c r="B92" s="126"/>
      <c r="C92" s="126"/>
      <c r="D92" s="126"/>
      <c r="E92" s="126"/>
      <c r="F92" s="126"/>
      <c r="G92" s="126"/>
      <c r="H92" s="126"/>
      <c r="I92" s="126"/>
      <c r="J92" s="126"/>
      <c r="K92" s="126"/>
      <c r="L92" s="126"/>
    </row>
    <row r="93" spans="1:12" x14ac:dyDescent="0.25">
      <c r="A93" s="126"/>
      <c r="B93" s="126"/>
      <c r="C93" s="126"/>
      <c r="D93" s="126"/>
      <c r="E93" s="126"/>
      <c r="F93" s="126"/>
      <c r="G93" s="126"/>
      <c r="H93" s="126"/>
      <c r="I93" s="126"/>
      <c r="J93" s="126"/>
      <c r="K93" s="126"/>
      <c r="L93" s="126"/>
    </row>
    <row r="94" spans="1:12" x14ac:dyDescent="0.25">
      <c r="A94" s="126"/>
      <c r="B94" s="126"/>
      <c r="C94" s="126"/>
      <c r="D94" s="126"/>
      <c r="E94" s="126"/>
      <c r="F94" s="126"/>
      <c r="G94" s="126"/>
      <c r="H94" s="126"/>
      <c r="I94" s="126"/>
      <c r="J94" s="126"/>
      <c r="K94" s="126"/>
      <c r="L94" s="126"/>
    </row>
    <row r="95" spans="1:12" x14ac:dyDescent="0.25">
      <c r="A95" s="126"/>
      <c r="B95" s="126"/>
      <c r="C95" s="126"/>
      <c r="D95" s="126"/>
      <c r="E95" s="126"/>
      <c r="F95" s="126"/>
      <c r="G95" s="126"/>
      <c r="H95" s="126"/>
      <c r="I95" s="126"/>
      <c r="J95" s="126"/>
      <c r="K95" s="126"/>
      <c r="L95" s="126"/>
    </row>
    <row r="96" spans="1:12" x14ac:dyDescent="0.25">
      <c r="A96" s="126"/>
      <c r="B96" s="126"/>
      <c r="C96" s="126"/>
      <c r="D96" s="126"/>
      <c r="E96" s="126"/>
      <c r="F96" s="126"/>
      <c r="G96" s="126"/>
      <c r="H96" s="126"/>
      <c r="I96" s="126"/>
      <c r="J96" s="126"/>
      <c r="K96" s="126"/>
      <c r="L96" s="126"/>
    </row>
    <row r="97" spans="1:12" x14ac:dyDescent="0.25">
      <c r="A97" s="126"/>
      <c r="B97" s="126"/>
      <c r="C97" s="126"/>
      <c r="D97" s="126"/>
      <c r="E97" s="126"/>
      <c r="F97" s="126"/>
      <c r="G97" s="126"/>
      <c r="H97" s="126"/>
      <c r="I97" s="126"/>
      <c r="J97" s="126"/>
      <c r="K97" s="126"/>
      <c r="L97" s="126"/>
    </row>
    <row r="98" spans="1:12" x14ac:dyDescent="0.25">
      <c r="A98" s="126"/>
      <c r="B98" s="126"/>
      <c r="C98" s="126"/>
      <c r="D98" s="126"/>
      <c r="E98" s="126"/>
      <c r="F98" s="126"/>
      <c r="G98" s="126"/>
      <c r="H98" s="126"/>
      <c r="I98" s="126"/>
      <c r="J98" s="126"/>
      <c r="K98" s="126"/>
      <c r="L98" s="126"/>
    </row>
    <row r="99" spans="1:12" x14ac:dyDescent="0.25">
      <c r="A99" s="126"/>
      <c r="B99" s="126"/>
      <c r="C99" s="126"/>
      <c r="D99" s="126"/>
      <c r="E99" s="126"/>
      <c r="F99" s="126"/>
      <c r="G99" s="126"/>
      <c r="H99" s="126"/>
      <c r="I99" s="126"/>
      <c r="J99" s="126"/>
      <c r="K99" s="126"/>
      <c r="L99" s="126"/>
    </row>
    <row r="100" spans="1:12" x14ac:dyDescent="0.25">
      <c r="A100" s="126"/>
      <c r="B100" s="126"/>
      <c r="C100" s="126"/>
      <c r="D100" s="126"/>
      <c r="E100" s="126"/>
      <c r="F100" s="126"/>
      <c r="G100" s="126"/>
      <c r="H100" s="126"/>
      <c r="I100" s="126"/>
      <c r="J100" s="126"/>
      <c r="K100" s="126"/>
      <c r="L100" s="126"/>
    </row>
    <row r="101" spans="1:12" x14ac:dyDescent="0.25">
      <c r="A101" s="126"/>
      <c r="B101" s="126"/>
      <c r="C101" s="126"/>
      <c r="D101" s="126"/>
      <c r="E101" s="126"/>
      <c r="F101" s="126"/>
      <c r="G101" s="126"/>
      <c r="H101" s="126"/>
      <c r="I101" s="126"/>
      <c r="J101" s="126"/>
      <c r="K101" s="126"/>
      <c r="L101" s="126"/>
    </row>
    <row r="102" spans="1:12" x14ac:dyDescent="0.25">
      <c r="A102" s="126"/>
      <c r="B102" s="126"/>
      <c r="C102" s="126"/>
      <c r="D102" s="126"/>
      <c r="E102" s="126"/>
      <c r="F102" s="126"/>
      <c r="G102" s="126"/>
      <c r="H102" s="126"/>
      <c r="I102" s="126"/>
      <c r="J102" s="126"/>
      <c r="K102" s="126"/>
      <c r="L102" s="126"/>
    </row>
    <row r="103" spans="1:12" x14ac:dyDescent="0.25">
      <c r="A103" s="126"/>
      <c r="B103" s="126"/>
      <c r="C103" s="126"/>
      <c r="D103" s="126"/>
      <c r="E103" s="126"/>
      <c r="F103" s="126"/>
      <c r="G103" s="126"/>
      <c r="H103" s="126"/>
      <c r="I103" s="126"/>
      <c r="J103" s="126"/>
      <c r="K103" s="126"/>
      <c r="L103" s="126"/>
    </row>
    <row r="104" spans="1:12" x14ac:dyDescent="0.25">
      <c r="A104" s="126"/>
      <c r="B104" s="126"/>
      <c r="C104" s="126"/>
      <c r="D104" s="126"/>
      <c r="E104" s="126"/>
      <c r="F104" s="126"/>
      <c r="G104" s="126"/>
      <c r="H104" s="126"/>
      <c r="I104" s="126"/>
      <c r="J104" s="126"/>
      <c r="K104" s="126"/>
      <c r="L104" s="126"/>
    </row>
    <row r="105" spans="1:12" x14ac:dyDescent="0.25">
      <c r="A105" s="126"/>
      <c r="B105" s="126"/>
      <c r="C105" s="126"/>
      <c r="D105" s="126"/>
      <c r="E105" s="126"/>
      <c r="F105" s="126"/>
      <c r="G105" s="126"/>
      <c r="H105" s="126"/>
      <c r="I105" s="126"/>
      <c r="J105" s="126"/>
      <c r="K105" s="126"/>
      <c r="L105" s="126"/>
    </row>
    <row r="106" spans="1:12" x14ac:dyDescent="0.25">
      <c r="A106" s="126"/>
      <c r="B106" s="126"/>
      <c r="C106" s="126"/>
      <c r="D106" s="126"/>
      <c r="E106" s="126"/>
      <c r="F106" s="126"/>
      <c r="G106" s="126"/>
      <c r="H106" s="126"/>
      <c r="I106" s="126"/>
      <c r="J106" s="126"/>
      <c r="K106" s="126"/>
      <c r="L106" s="126"/>
    </row>
    <row r="107" spans="1:12" x14ac:dyDescent="0.25">
      <c r="A107" s="126"/>
      <c r="B107" s="126"/>
      <c r="C107" s="126"/>
      <c r="D107" s="126"/>
      <c r="E107" s="126"/>
      <c r="F107" s="126"/>
      <c r="G107" s="126"/>
      <c r="H107" s="126"/>
      <c r="I107" s="126"/>
      <c r="J107" s="126"/>
      <c r="K107" s="126"/>
      <c r="L107" s="126"/>
    </row>
    <row r="108" spans="1:12" x14ac:dyDescent="0.25">
      <c r="A108" s="126"/>
      <c r="B108" s="126"/>
      <c r="C108" s="126"/>
      <c r="D108" s="126"/>
      <c r="E108" s="126"/>
      <c r="F108" s="126"/>
      <c r="G108" s="126"/>
      <c r="H108" s="126"/>
      <c r="I108" s="126"/>
      <c r="J108" s="126"/>
      <c r="K108" s="126"/>
      <c r="L108" s="126"/>
    </row>
    <row r="109" spans="1:12" x14ac:dyDescent="0.25">
      <c r="A109" s="126"/>
      <c r="B109" s="126"/>
      <c r="C109" s="126"/>
      <c r="D109" s="126"/>
      <c r="E109" s="126"/>
      <c r="F109" s="126"/>
      <c r="G109" s="126"/>
      <c r="H109" s="126"/>
      <c r="I109" s="126"/>
      <c r="J109" s="126"/>
      <c r="K109" s="126"/>
      <c r="L109" s="126"/>
    </row>
    <row r="110" spans="1:12" x14ac:dyDescent="0.25">
      <c r="A110" s="126"/>
      <c r="B110" s="126"/>
      <c r="C110" s="126"/>
      <c r="D110" s="126"/>
      <c r="E110" s="126"/>
      <c r="F110" s="126"/>
      <c r="G110" s="126"/>
      <c r="H110" s="126"/>
      <c r="I110" s="126"/>
      <c r="J110" s="126"/>
      <c r="K110" s="126"/>
      <c r="L110" s="126"/>
    </row>
    <row r="111" spans="1:12" x14ac:dyDescent="0.25">
      <c r="A111" s="126"/>
      <c r="B111" s="126"/>
      <c r="C111" s="126"/>
      <c r="D111" s="126"/>
      <c r="E111" s="126"/>
      <c r="F111" s="126"/>
      <c r="G111" s="126"/>
      <c r="H111" s="126"/>
      <c r="I111" s="126"/>
      <c r="J111" s="126"/>
      <c r="K111" s="126"/>
      <c r="L111" s="126"/>
    </row>
    <row r="112" spans="1:12" x14ac:dyDescent="0.25">
      <c r="A112" s="126"/>
      <c r="B112" s="126"/>
      <c r="C112" s="126"/>
      <c r="D112" s="126"/>
      <c r="E112" s="126"/>
      <c r="F112" s="126"/>
      <c r="G112" s="126"/>
      <c r="H112" s="126"/>
      <c r="I112" s="126"/>
      <c r="J112" s="126"/>
      <c r="K112" s="126"/>
      <c r="L112" s="126"/>
    </row>
    <row r="113" spans="1:12" x14ac:dyDescent="0.25">
      <c r="A113" s="126"/>
      <c r="B113" s="126"/>
      <c r="C113" s="126"/>
      <c r="D113" s="126"/>
      <c r="E113" s="126"/>
      <c r="F113" s="126"/>
      <c r="G113" s="126"/>
      <c r="H113" s="126"/>
      <c r="I113" s="126"/>
      <c r="J113" s="126"/>
      <c r="K113" s="126"/>
      <c r="L113" s="126"/>
    </row>
    <row r="114" spans="1:12" x14ac:dyDescent="0.25">
      <c r="A114" s="126"/>
      <c r="B114" s="126"/>
      <c r="C114" s="126"/>
      <c r="D114" s="126"/>
      <c r="E114" s="126"/>
      <c r="F114" s="126"/>
      <c r="G114" s="126"/>
      <c r="H114" s="126"/>
      <c r="I114" s="126"/>
      <c r="J114" s="126"/>
      <c r="K114" s="126"/>
      <c r="L114" s="126"/>
    </row>
    <row r="115" spans="1:12" x14ac:dyDescent="0.25">
      <c r="A115" s="126"/>
      <c r="B115" s="126"/>
      <c r="C115" s="126"/>
      <c r="D115" s="126"/>
      <c r="E115" s="126"/>
      <c r="F115" s="126"/>
      <c r="G115" s="126"/>
      <c r="H115" s="126"/>
      <c r="I115" s="126"/>
      <c r="J115" s="126"/>
      <c r="K115" s="126"/>
      <c r="L115" s="126"/>
    </row>
    <row r="116" spans="1:12" x14ac:dyDescent="0.25">
      <c r="A116" s="126"/>
      <c r="B116" s="126"/>
      <c r="C116" s="126"/>
      <c r="D116" s="126"/>
      <c r="E116" s="126"/>
      <c r="F116" s="126"/>
      <c r="G116" s="126"/>
      <c r="H116" s="126"/>
      <c r="I116" s="126"/>
      <c r="J116" s="126"/>
      <c r="K116" s="126"/>
      <c r="L116" s="126"/>
    </row>
    <row r="117" spans="1:12" x14ac:dyDescent="0.25">
      <c r="A117" s="126"/>
      <c r="B117" s="126"/>
      <c r="C117" s="126"/>
      <c r="D117" s="126"/>
      <c r="E117" s="126"/>
      <c r="F117" s="126"/>
      <c r="G117" s="126"/>
      <c r="H117" s="126"/>
      <c r="I117" s="126"/>
      <c r="J117" s="126"/>
      <c r="K117" s="126"/>
      <c r="L117" s="126"/>
    </row>
  </sheetData>
  <mergeCells count="9">
    <mergeCell ref="A65:K65"/>
    <mergeCell ref="A68:K68"/>
    <mergeCell ref="A77:K77"/>
    <mergeCell ref="A3:J3"/>
    <mergeCell ref="A12:K12"/>
    <mergeCell ref="A13:J13"/>
    <mergeCell ref="C37:K37"/>
    <mergeCell ref="A38:K38"/>
    <mergeCell ref="A60:K60"/>
  </mergeCells>
  <pageMargins left="0.7" right="0.7" top="0.75" bottom="0.75" header="0.3" footer="0.3"/>
  <pageSetup orientation="portrait" r:id="rId1"/>
  <ignoredErrors>
    <ignoredError sqref="B31:L31 B33:L33 B46:L47"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workbookViewId="0">
      <selection activeCell="A5" sqref="A5"/>
    </sheetView>
  </sheetViews>
  <sheetFormatPr defaultRowHeight="15" x14ac:dyDescent="0.25"/>
  <cols>
    <col min="1" max="3" width="33.85546875" customWidth="1"/>
    <col min="4" max="4" width="16.85546875" customWidth="1"/>
    <col min="5" max="5" width="11.140625" customWidth="1"/>
  </cols>
  <sheetData>
    <row r="1" spans="1:11" x14ac:dyDescent="0.25">
      <c r="A1" s="273" t="s">
        <v>275</v>
      </c>
      <c r="B1" s="274"/>
      <c r="C1" s="275"/>
    </row>
    <row r="2" spans="1:11" ht="15.75" thickBot="1" x14ac:dyDescent="0.3">
      <c r="A2" s="276"/>
      <c r="B2" s="277"/>
      <c r="C2" s="278"/>
    </row>
    <row r="3" spans="1:11" ht="15.75" x14ac:dyDescent="0.25">
      <c r="A3" s="279" t="s">
        <v>276</v>
      </c>
      <c r="B3" s="279"/>
      <c r="C3" s="279"/>
    </row>
    <row r="5" spans="1:11" ht="15.75" x14ac:dyDescent="0.25">
      <c r="A5" s="62" t="s">
        <v>277</v>
      </c>
      <c r="B5">
        <f>AVERAGE('Financial Analysis'!J42:K42)</f>
        <v>56.944999999999986</v>
      </c>
    </row>
    <row r="6" spans="1:11" ht="16.5" thickBot="1" x14ac:dyDescent="0.3">
      <c r="A6" s="62"/>
    </row>
    <row r="7" spans="1:11" ht="16.5" thickBot="1" x14ac:dyDescent="0.3">
      <c r="A7" s="63" t="s">
        <v>278</v>
      </c>
      <c r="B7" s="70" t="s">
        <v>289</v>
      </c>
      <c r="C7" s="71" t="s">
        <v>290</v>
      </c>
    </row>
    <row r="8" spans="1:11" ht="15.75" x14ac:dyDescent="0.25">
      <c r="A8" s="62" t="s">
        <v>279</v>
      </c>
      <c r="B8" s="72">
        <v>0.25</v>
      </c>
      <c r="C8" s="72">
        <v>0.17</v>
      </c>
      <c r="H8" s="280" t="s">
        <v>284</v>
      </c>
      <c r="I8" s="281"/>
      <c r="J8" s="281"/>
      <c r="K8" s="282"/>
    </row>
    <row r="9" spans="1:11" ht="15.75" x14ac:dyDescent="0.25">
      <c r="A9" s="62" t="s">
        <v>280</v>
      </c>
      <c r="B9" s="72">
        <v>0.1</v>
      </c>
      <c r="H9" s="283"/>
      <c r="I9" s="284"/>
      <c r="J9" s="284"/>
      <c r="K9" s="285"/>
    </row>
    <row r="10" spans="1:11" ht="15.75" x14ac:dyDescent="0.25">
      <c r="A10" s="62" t="s">
        <v>281</v>
      </c>
      <c r="B10" s="72">
        <v>0.03</v>
      </c>
      <c r="H10" s="283"/>
      <c r="I10" s="284"/>
      <c r="J10" s="284"/>
      <c r="K10" s="285"/>
    </row>
    <row r="11" spans="1:11" ht="15.75" x14ac:dyDescent="0.25">
      <c r="A11" s="62"/>
      <c r="H11" s="283"/>
      <c r="I11" s="284"/>
      <c r="J11" s="284"/>
      <c r="K11" s="285"/>
    </row>
    <row r="12" spans="1:11" ht="15.75" x14ac:dyDescent="0.25">
      <c r="A12" s="62" t="s">
        <v>282</v>
      </c>
      <c r="B12">
        <f>'Financial Analysis'!K37</f>
        <v>1.0942262</v>
      </c>
      <c r="H12" s="283"/>
      <c r="I12" s="284"/>
      <c r="J12" s="284"/>
      <c r="K12" s="285"/>
    </row>
    <row r="13" spans="1:11" ht="16.5" thickBot="1" x14ac:dyDescent="0.3">
      <c r="A13" s="64" t="s">
        <v>283</v>
      </c>
      <c r="B13" s="88">
        <f>'Balance Sheet'!K6-'Balance Sheet'!K31</f>
        <v>144.94</v>
      </c>
      <c r="H13" s="286"/>
      <c r="I13" s="287"/>
      <c r="J13" s="287"/>
      <c r="K13" s="288"/>
    </row>
    <row r="14" spans="1:11" ht="15.75" thickBot="1" x14ac:dyDescent="0.3"/>
    <row r="15" spans="1:11" ht="15.75" x14ac:dyDescent="0.25">
      <c r="A15" s="65" t="s">
        <v>285</v>
      </c>
      <c r="B15" s="66" t="s">
        <v>286</v>
      </c>
      <c r="C15" s="66" t="s">
        <v>287</v>
      </c>
      <c r="D15" s="67" t="s">
        <v>288</v>
      </c>
    </row>
    <row r="16" spans="1:11" ht="15.75" x14ac:dyDescent="0.25">
      <c r="A16" s="68">
        <v>1</v>
      </c>
      <c r="B16" s="73">
        <f>(B5*C16)+B5</f>
        <v>71.181249999999977</v>
      </c>
      <c r="C16" s="74">
        <f>$B$8</f>
        <v>0.25</v>
      </c>
      <c r="D16" s="78">
        <f>B16/((1+$B$9)^A16)</f>
        <v>64.710227272727252</v>
      </c>
    </row>
    <row r="17" spans="1:4" ht="15.75" x14ac:dyDescent="0.25">
      <c r="A17" s="68">
        <v>2</v>
      </c>
      <c r="B17" s="73">
        <f t="shared" ref="B17:B25" si="0">(B16*C17)+B16</f>
        <v>88.976562499999972</v>
      </c>
      <c r="C17" s="74">
        <f>$B$8</f>
        <v>0.25</v>
      </c>
      <c r="D17" s="78">
        <f t="shared" ref="D17:D25" si="1">B17/((1+$B$9)^A17)</f>
        <v>73.534349173553679</v>
      </c>
    </row>
    <row r="18" spans="1:4" ht="15.75" x14ac:dyDescent="0.25">
      <c r="A18" s="68">
        <v>3</v>
      </c>
      <c r="B18" s="73">
        <f t="shared" si="0"/>
        <v>111.22070312499997</v>
      </c>
      <c r="C18" s="74">
        <f>$B$8</f>
        <v>0.25</v>
      </c>
      <c r="D18" s="78">
        <f t="shared" si="1"/>
        <v>83.561760424492817</v>
      </c>
    </row>
    <row r="19" spans="1:4" ht="15.75" x14ac:dyDescent="0.25">
      <c r="A19" s="68">
        <v>4</v>
      </c>
      <c r="B19" s="73">
        <f t="shared" si="0"/>
        <v>139.02587890624997</v>
      </c>
      <c r="C19" s="74">
        <f>$B$8</f>
        <v>0.25</v>
      </c>
      <c r="D19" s="78">
        <f t="shared" si="1"/>
        <v>94.956545936923661</v>
      </c>
    </row>
    <row r="20" spans="1:4" ht="15.75" x14ac:dyDescent="0.25">
      <c r="A20" s="68">
        <v>5</v>
      </c>
      <c r="B20" s="73">
        <f t="shared" si="0"/>
        <v>173.78234863281247</v>
      </c>
      <c r="C20" s="74">
        <f>$B$8</f>
        <v>0.25</v>
      </c>
      <c r="D20" s="78">
        <f t="shared" si="1"/>
        <v>107.90516583741325</v>
      </c>
    </row>
    <row r="21" spans="1:4" ht="15.75" x14ac:dyDescent="0.25">
      <c r="A21" s="68">
        <v>6</v>
      </c>
      <c r="B21" s="73">
        <f t="shared" si="0"/>
        <v>203.3253479003906</v>
      </c>
      <c r="C21" s="74">
        <f>$C$8</f>
        <v>0.17</v>
      </c>
      <c r="D21" s="78">
        <f t="shared" si="1"/>
        <v>114.77185820888499</v>
      </c>
    </row>
    <row r="22" spans="1:4" ht="15.75" x14ac:dyDescent="0.25">
      <c r="A22" s="68">
        <v>7</v>
      </c>
      <c r="B22" s="73">
        <f t="shared" si="0"/>
        <v>237.890657043457</v>
      </c>
      <c r="C22" s="74">
        <f>$C$8</f>
        <v>0.17</v>
      </c>
      <c r="D22" s="78">
        <f t="shared" si="1"/>
        <v>122.07552191308675</v>
      </c>
    </row>
    <row r="23" spans="1:4" ht="15.75" x14ac:dyDescent="0.25">
      <c r="A23" s="68">
        <v>8</v>
      </c>
      <c r="B23" s="73">
        <f t="shared" si="0"/>
        <v>278.3320687408447</v>
      </c>
      <c r="C23" s="74">
        <f>$C$8</f>
        <v>0.17</v>
      </c>
      <c r="D23" s="78">
        <f t="shared" si="1"/>
        <v>129.84396421664684</v>
      </c>
    </row>
    <row r="24" spans="1:4" ht="15.75" x14ac:dyDescent="0.25">
      <c r="A24" s="68">
        <v>9</v>
      </c>
      <c r="B24" s="73">
        <f t="shared" si="0"/>
        <v>325.64852042678831</v>
      </c>
      <c r="C24" s="74">
        <f>$C$8</f>
        <v>0.17</v>
      </c>
      <c r="D24" s="78">
        <f t="shared" si="1"/>
        <v>138.10676193952435</v>
      </c>
    </row>
    <row r="25" spans="1:4" ht="16.5" thickBot="1" x14ac:dyDescent="0.3">
      <c r="A25" s="69">
        <v>10</v>
      </c>
      <c r="B25" s="76">
        <f t="shared" si="0"/>
        <v>381.00876889934233</v>
      </c>
      <c r="C25" s="77">
        <f>$C$8</f>
        <v>0.17</v>
      </c>
      <c r="D25" s="79">
        <f t="shared" si="1"/>
        <v>146.8953740629486</v>
      </c>
    </row>
    <row r="26" spans="1:4" ht="16.5" thickBot="1" x14ac:dyDescent="0.3">
      <c r="B26" s="73"/>
      <c r="C26" s="74"/>
      <c r="D26" s="75"/>
    </row>
    <row r="27" spans="1:4" ht="15.75" x14ac:dyDescent="0.25">
      <c r="A27" s="289" t="s">
        <v>292</v>
      </c>
      <c r="B27" s="290"/>
    </row>
    <row r="28" spans="1:4" ht="15.75" x14ac:dyDescent="0.25">
      <c r="A28" s="80" t="s">
        <v>293</v>
      </c>
      <c r="B28" s="75">
        <f>(B25*B10)+B25</f>
        <v>392.4390319663226</v>
      </c>
    </row>
    <row r="29" spans="1:4" ht="15.75" x14ac:dyDescent="0.25">
      <c r="A29" s="81" t="s">
        <v>294</v>
      </c>
      <c r="B29" s="75">
        <f>SUM(D16:D25)</f>
        <v>1076.3615289862021</v>
      </c>
    </row>
    <row r="30" spans="1:4" ht="15.75" x14ac:dyDescent="0.25">
      <c r="A30" s="80" t="s">
        <v>295</v>
      </c>
      <c r="B30" s="75">
        <f>((B28)/($B$9-$B$10))/(1+$B$9)^A25</f>
        <v>2161.4605040691008</v>
      </c>
    </row>
    <row r="31" spans="1:4" ht="15.75" x14ac:dyDescent="0.25">
      <c r="A31" s="80" t="s">
        <v>296</v>
      </c>
      <c r="B31" s="75">
        <f>B29+B30</f>
        <v>3237.8220330553031</v>
      </c>
    </row>
    <row r="32" spans="1:4" ht="15.75" x14ac:dyDescent="0.25">
      <c r="A32" s="80" t="s">
        <v>297</v>
      </c>
      <c r="B32" s="75">
        <f>B12</f>
        <v>1.0942262</v>
      </c>
    </row>
    <row r="33" spans="1:2" ht="16.5" thickBot="1" x14ac:dyDescent="0.3">
      <c r="A33" s="82" t="s">
        <v>298</v>
      </c>
      <c r="B33" s="83">
        <f>(B31-B13)/B32</f>
        <v>2826.5472285851893</v>
      </c>
    </row>
  </sheetData>
  <mergeCells count="4">
    <mergeCell ref="A1:C2"/>
    <mergeCell ref="A3:C3"/>
    <mergeCell ref="H8:K13"/>
    <mergeCell ref="A27:B27"/>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workbookViewId="0">
      <selection activeCell="B19" sqref="B19"/>
    </sheetView>
  </sheetViews>
  <sheetFormatPr defaultRowHeight="15" x14ac:dyDescent="0.25"/>
  <cols>
    <col min="1" max="1" width="32.28515625" customWidth="1"/>
  </cols>
  <sheetData>
    <row r="1" spans="1:13" ht="20.25" thickBot="1" x14ac:dyDescent="0.35">
      <c r="A1" s="291" t="s">
        <v>302</v>
      </c>
      <c r="B1" s="292"/>
      <c r="C1" s="292"/>
      <c r="D1" s="292"/>
      <c r="E1" s="292"/>
      <c r="F1" s="292"/>
      <c r="G1" s="292"/>
      <c r="H1" s="292"/>
      <c r="I1" s="292"/>
      <c r="J1" s="292"/>
      <c r="K1" s="293"/>
    </row>
    <row r="2" spans="1:13" ht="16.5" thickBot="1" x14ac:dyDescent="0.3">
      <c r="A2" s="294" t="s">
        <v>303</v>
      </c>
      <c r="B2" s="294"/>
      <c r="C2" s="294"/>
      <c r="D2" s="294"/>
      <c r="E2" s="294"/>
      <c r="F2" s="294"/>
      <c r="G2" s="294"/>
      <c r="H2" s="294"/>
      <c r="I2" s="294"/>
      <c r="J2" s="294"/>
      <c r="K2" s="294"/>
    </row>
    <row r="3" spans="1:13" ht="15.75" x14ac:dyDescent="0.25">
      <c r="A3" s="89" t="s">
        <v>285</v>
      </c>
      <c r="B3" s="90">
        <f>Annual[[#This Row],[Column2]]</f>
        <v>38807</v>
      </c>
      <c r="C3" s="90">
        <f>Annual[[#This Row],[Column3]]</f>
        <v>39172</v>
      </c>
      <c r="D3" s="90">
        <f>Annual[[#This Row],[Column4]]</f>
        <v>39538</v>
      </c>
      <c r="E3" s="90">
        <f>Annual[[#This Row],[Column5]]</f>
        <v>39903</v>
      </c>
      <c r="F3" s="90">
        <f>Annual[[#This Row],[Column6]]</f>
        <v>40268</v>
      </c>
      <c r="G3" s="90">
        <f>Annual[[#This Row],[Column7]]</f>
        <v>40633</v>
      </c>
      <c r="H3" s="90">
        <f>Annual[[#This Row],[Column8]]</f>
        <v>40999</v>
      </c>
      <c r="I3" s="90">
        <f>Annual[[#This Row],[Column9]]</f>
        <v>41364</v>
      </c>
      <c r="J3" s="90">
        <f>Annual[[#This Row],[Column10]]</f>
        <v>41729</v>
      </c>
      <c r="K3" s="90">
        <f>Annual[[#This Row],[Column11]]</f>
        <v>42094</v>
      </c>
    </row>
    <row r="4" spans="1:13" ht="15.75" x14ac:dyDescent="0.25">
      <c r="A4" s="91" t="s">
        <v>304</v>
      </c>
      <c r="B4" s="105">
        <f>'Profit &amp; Loss'!B13</f>
        <v>3.5458847539932785</v>
      </c>
      <c r="C4" s="37">
        <f>'Profit &amp; Loss'!C13</f>
        <v>5.9951041201535835</v>
      </c>
      <c r="D4" s="37">
        <f>'Profit &amp; Loss'!D13</f>
        <v>4.7979110717692555</v>
      </c>
      <c r="E4" s="37">
        <f>'Profit &amp; Loss'!E13</f>
        <v>6.5251590576061878</v>
      </c>
      <c r="F4" s="37">
        <f>'Profit &amp; Loss'!F13</f>
        <v>10.582820992588188</v>
      </c>
      <c r="G4" s="37">
        <f>'Profit &amp; Loss'!G13</f>
        <v>11.048903782417201</v>
      </c>
      <c r="H4" s="37">
        <f>'Profit &amp; Loss'!H13</f>
        <v>10.92095948717002</v>
      </c>
      <c r="I4" s="37">
        <f>'Profit &amp; Loss'!I13</f>
        <v>19.420116242875558</v>
      </c>
      <c r="J4" s="37">
        <f>'Profit &amp; Loss'!J13</f>
        <v>21.677419166165091</v>
      </c>
      <c r="K4" s="37">
        <f>'Profit &amp; Loss'!K13</f>
        <v>35.36745875761337</v>
      </c>
    </row>
    <row r="5" spans="1:13" ht="15.75" x14ac:dyDescent="0.25">
      <c r="A5" s="91" t="s">
        <v>305</v>
      </c>
      <c r="B5" s="107"/>
      <c r="C5" s="37">
        <f>'Financial Analysis'!C33/'Fair Value'!C4</f>
        <v>0</v>
      </c>
      <c r="D5" s="37">
        <f>'Financial Analysis'!D33/'Fair Value'!D4</f>
        <v>0</v>
      </c>
      <c r="E5" s="37">
        <f>'Financial Analysis'!E33/'Fair Value'!E4</f>
        <v>0</v>
      </c>
      <c r="F5" s="37">
        <f>'Financial Analysis'!F33/'Fair Value'!F4</f>
        <v>0</v>
      </c>
      <c r="G5" s="37">
        <f>'Financial Analysis'!G33/'Fair Value'!G4</f>
        <v>116.75366401985112</v>
      </c>
      <c r="H5" s="37">
        <f>'Financial Analysis'!H33/'Fair Value'!H4</f>
        <v>56.313733305439335</v>
      </c>
      <c r="I5" s="37">
        <f>'Financial Analysis'!I33/'Fair Value'!I4</f>
        <v>36.920479312941175</v>
      </c>
      <c r="J5" s="37">
        <f>'Financial Analysis'!J33/'Fair Value'!J4</f>
        <v>24.357143069139969</v>
      </c>
      <c r="K5" s="37">
        <f>'Financial Analysis'!K33/'Fair Value'!K4</f>
        <v>22.252093524547803</v>
      </c>
    </row>
    <row r="6" spans="1:13" ht="15.75" x14ac:dyDescent="0.25">
      <c r="A6" s="91" t="s">
        <v>306</v>
      </c>
      <c r="C6" s="37">
        <f>'Financial Analysis'!C34/'Fair Value'!C4</f>
        <v>0</v>
      </c>
      <c r="D6" s="37">
        <f>'Financial Analysis'!D34/'Fair Value'!D4</f>
        <v>0</v>
      </c>
      <c r="E6" s="37">
        <f>'Financial Analysis'!E34/'Fair Value'!E4</f>
        <v>0</v>
      </c>
      <c r="F6" s="37">
        <f>'Financial Analysis'!F34/'Fair Value'!F4</f>
        <v>0</v>
      </c>
      <c r="G6" s="37">
        <f>'Financial Analysis'!G34/'Fair Value'!G4</f>
        <v>39.460928304383785</v>
      </c>
      <c r="H6" s="37">
        <f>'Financial Analysis'!H34/'Fair Value'!H4</f>
        <v>38.458159330543936</v>
      </c>
      <c r="I6" s="37">
        <f>'Financial Analysis'!I34/'Fair Value'!I4</f>
        <v>6.0246807247058829</v>
      </c>
      <c r="J6" s="37">
        <f>'Financial Analysis'!J34/'Fair Value'!J4</f>
        <v>9.825892942664419</v>
      </c>
      <c r="K6" s="37">
        <f>'Financial Analysis'!K34/'Fair Value'!K4</f>
        <v>13.571797829457365</v>
      </c>
    </row>
    <row r="7" spans="1:13" ht="16.5" thickBot="1" x14ac:dyDescent="0.3">
      <c r="A7" s="92" t="s">
        <v>307</v>
      </c>
      <c r="C7" s="40">
        <f>(C5+C6)/2</f>
        <v>0</v>
      </c>
      <c r="D7" s="40">
        <f t="shared" ref="D7:K7" si="0">(D5+D6)/2</f>
        <v>0</v>
      </c>
      <c r="E7" s="40">
        <f t="shared" si="0"/>
        <v>0</v>
      </c>
      <c r="F7" s="40">
        <f t="shared" si="0"/>
        <v>0</v>
      </c>
      <c r="G7" s="40">
        <f t="shared" si="0"/>
        <v>78.10729616211745</v>
      </c>
      <c r="H7" s="40">
        <f t="shared" si="0"/>
        <v>47.385946317991639</v>
      </c>
      <c r="I7" s="40">
        <f t="shared" si="0"/>
        <v>21.472580018823528</v>
      </c>
      <c r="J7" s="40">
        <f t="shared" si="0"/>
        <v>17.091518005902195</v>
      </c>
      <c r="K7" s="40">
        <f t="shared" si="0"/>
        <v>17.911945677002585</v>
      </c>
    </row>
    <row r="8" spans="1:13" ht="15.75" thickBot="1" x14ac:dyDescent="0.3"/>
    <row r="9" spans="1:13" ht="15.75" x14ac:dyDescent="0.25">
      <c r="A9" s="295" t="s">
        <v>308</v>
      </c>
      <c r="B9" s="296"/>
      <c r="F9" s="280" t="s">
        <v>318</v>
      </c>
      <c r="G9" s="281"/>
      <c r="H9" s="281"/>
      <c r="I9" s="281"/>
      <c r="J9" s="281"/>
      <c r="K9" s="281"/>
      <c r="L9" s="281"/>
      <c r="M9" s="282"/>
    </row>
    <row r="10" spans="1:13" ht="15.75" x14ac:dyDescent="0.25">
      <c r="A10" s="93" t="s">
        <v>309</v>
      </c>
      <c r="B10" s="94">
        <f>AVERAGE(I7:K7)*AVERAGE(I4:K4)</f>
        <v>479.82670580092798</v>
      </c>
      <c r="F10" s="283"/>
      <c r="G10" s="284"/>
      <c r="H10" s="284"/>
      <c r="I10" s="284"/>
      <c r="J10" s="284"/>
      <c r="K10" s="284"/>
      <c r="L10" s="284"/>
      <c r="M10" s="285"/>
    </row>
    <row r="11" spans="1:13" ht="15.75" x14ac:dyDescent="0.25">
      <c r="A11" s="93" t="s">
        <v>310</v>
      </c>
      <c r="B11" s="94">
        <f>DCF!B33</f>
        <v>2826.5472285851893</v>
      </c>
      <c r="F11" s="283"/>
      <c r="G11" s="284"/>
      <c r="H11" s="284"/>
      <c r="I11" s="284"/>
      <c r="J11" s="284"/>
      <c r="K11" s="284"/>
      <c r="L11" s="284"/>
      <c r="M11" s="285"/>
    </row>
    <row r="12" spans="1:13" ht="16.5" thickBot="1" x14ac:dyDescent="0.3">
      <c r="A12" s="95"/>
      <c r="B12" s="95"/>
      <c r="F12" s="283"/>
      <c r="G12" s="284"/>
      <c r="H12" s="284"/>
      <c r="I12" s="284"/>
      <c r="J12" s="284"/>
      <c r="K12" s="284"/>
      <c r="L12" s="284"/>
      <c r="M12" s="285"/>
    </row>
    <row r="13" spans="1:13" ht="15.75" x14ac:dyDescent="0.25">
      <c r="A13" s="295" t="s">
        <v>311</v>
      </c>
      <c r="B13" s="296"/>
      <c r="F13" s="283"/>
      <c r="G13" s="284"/>
      <c r="H13" s="284"/>
      <c r="I13" s="284"/>
      <c r="J13" s="284"/>
      <c r="K13" s="284"/>
      <c r="L13" s="284"/>
      <c r="M13" s="285"/>
    </row>
    <row r="14" spans="1:13" ht="15.75" x14ac:dyDescent="0.25">
      <c r="A14" s="96" t="s">
        <v>312</v>
      </c>
      <c r="B14" s="94">
        <f>AVERAGE(B10:B11)</f>
        <v>1653.1869671930585</v>
      </c>
      <c r="F14" s="283"/>
      <c r="G14" s="284"/>
      <c r="H14" s="284"/>
      <c r="I14" s="284"/>
      <c r="J14" s="284"/>
      <c r="K14" s="284"/>
      <c r="L14" s="284"/>
      <c r="M14" s="285"/>
    </row>
    <row r="15" spans="1:13" ht="15.75" x14ac:dyDescent="0.25">
      <c r="A15" s="96" t="s">
        <v>313</v>
      </c>
      <c r="B15" s="94">
        <f>AVERAGE(B10:B11)-(0.5)*(STDEV(B10,B11))</f>
        <v>823.49596958786287</v>
      </c>
      <c r="F15" s="283"/>
      <c r="G15" s="284"/>
      <c r="H15" s="284"/>
      <c r="I15" s="284"/>
      <c r="J15" s="284"/>
      <c r="K15" s="284"/>
      <c r="L15" s="284"/>
      <c r="M15" s="285"/>
    </row>
    <row r="16" spans="1:13" ht="15.75" x14ac:dyDescent="0.25">
      <c r="A16" s="97" t="s">
        <v>314</v>
      </c>
      <c r="B16" s="98">
        <v>0.2</v>
      </c>
      <c r="F16" s="283"/>
      <c r="G16" s="284"/>
      <c r="H16" s="284"/>
      <c r="I16" s="284"/>
      <c r="J16" s="284"/>
      <c r="K16" s="284"/>
      <c r="L16" s="284"/>
      <c r="M16" s="285"/>
    </row>
    <row r="17" spans="1:13" ht="15.75" x14ac:dyDescent="0.25">
      <c r="A17" s="99" t="s">
        <v>315</v>
      </c>
      <c r="B17" s="100">
        <f>((B14+B15)/2)*(1-B16)</f>
        <v>990.67317471236856</v>
      </c>
      <c r="F17" s="283"/>
      <c r="G17" s="284"/>
      <c r="H17" s="284"/>
      <c r="I17" s="284"/>
      <c r="J17" s="284"/>
      <c r="K17" s="284"/>
      <c r="L17" s="284"/>
      <c r="M17" s="285"/>
    </row>
    <row r="18" spans="1:13" ht="15.75" x14ac:dyDescent="0.25">
      <c r="A18" s="101" t="s">
        <v>316</v>
      </c>
      <c r="B18" s="102">
        <f>'Financial Analysis'!L36</f>
        <v>673</v>
      </c>
      <c r="F18" s="283"/>
      <c r="G18" s="284"/>
      <c r="H18" s="284"/>
      <c r="I18" s="284"/>
      <c r="J18" s="284"/>
      <c r="K18" s="284"/>
      <c r="L18" s="284"/>
      <c r="M18" s="285"/>
    </row>
    <row r="19" spans="1:13" ht="16.5" thickBot="1" x14ac:dyDescent="0.3">
      <c r="A19" s="103" t="s">
        <v>317</v>
      </c>
      <c r="B19" s="104">
        <f>B18/B17-1</f>
        <v>-0.3206639513627707</v>
      </c>
      <c r="F19" s="283"/>
      <c r="G19" s="284"/>
      <c r="H19" s="284"/>
      <c r="I19" s="284"/>
      <c r="J19" s="284"/>
      <c r="K19" s="284"/>
      <c r="L19" s="284"/>
      <c r="M19" s="285"/>
    </row>
    <row r="20" spans="1:13" x14ac:dyDescent="0.25">
      <c r="F20" s="283"/>
      <c r="G20" s="284"/>
      <c r="H20" s="284"/>
      <c r="I20" s="284"/>
      <c r="J20" s="284"/>
      <c r="K20" s="284"/>
      <c r="L20" s="284"/>
      <c r="M20" s="285"/>
    </row>
    <row r="21" spans="1:13" x14ac:dyDescent="0.25">
      <c r="F21" s="283"/>
      <c r="G21" s="284"/>
      <c r="H21" s="284"/>
      <c r="I21" s="284"/>
      <c r="J21" s="284"/>
      <c r="K21" s="284"/>
      <c r="L21" s="284"/>
      <c r="M21" s="285"/>
    </row>
    <row r="22" spans="1:13" x14ac:dyDescent="0.25">
      <c r="F22" s="283"/>
      <c r="G22" s="284"/>
      <c r="H22" s="284"/>
      <c r="I22" s="284"/>
      <c r="J22" s="284"/>
      <c r="K22" s="284"/>
      <c r="L22" s="284"/>
      <c r="M22" s="285"/>
    </row>
    <row r="23" spans="1:13" ht="15.75" thickBot="1" x14ac:dyDescent="0.3">
      <c r="F23" s="286"/>
      <c r="G23" s="287"/>
      <c r="H23" s="287"/>
      <c r="I23" s="287"/>
      <c r="J23" s="287"/>
      <c r="K23" s="287"/>
      <c r="L23" s="287"/>
      <c r="M23" s="288"/>
    </row>
  </sheetData>
  <mergeCells count="5">
    <mergeCell ref="A1:K1"/>
    <mergeCell ref="A2:K2"/>
    <mergeCell ref="A9:B9"/>
    <mergeCell ref="A13:B13"/>
    <mergeCell ref="F9:M2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B13" sqref="B13"/>
    </sheetView>
  </sheetViews>
  <sheetFormatPr defaultRowHeight="15" x14ac:dyDescent="0.25"/>
  <cols>
    <col min="1" max="1" width="40" bestFit="1" customWidth="1"/>
    <col min="11" max="11" width="11.42578125" customWidth="1"/>
    <col min="12" max="12" width="29.7109375" customWidth="1"/>
    <col min="13" max="13" width="20.28515625" customWidth="1"/>
  </cols>
  <sheetData>
    <row r="1" spans="1:13" ht="20.25" thickBot="1" x14ac:dyDescent="0.35">
      <c r="A1" s="108" t="s">
        <v>321</v>
      </c>
      <c r="B1" s="62"/>
      <c r="C1" s="62"/>
      <c r="D1" s="62"/>
      <c r="E1" s="62"/>
      <c r="F1" s="62"/>
      <c r="G1" s="62"/>
      <c r="H1" s="62"/>
      <c r="I1" s="62"/>
      <c r="J1" s="62"/>
      <c r="K1" s="62"/>
    </row>
    <row r="2" spans="1:13" ht="15.75" x14ac:dyDescent="0.25">
      <c r="A2" s="89" t="s">
        <v>322</v>
      </c>
      <c r="B2" s="90">
        <f>'Fair Value'!B3</f>
        <v>38807</v>
      </c>
      <c r="C2" s="90">
        <f>'Fair Value'!C3</f>
        <v>39172</v>
      </c>
      <c r="D2" s="90">
        <f>'Fair Value'!D3</f>
        <v>39538</v>
      </c>
      <c r="E2" s="90">
        <f>'Fair Value'!E3</f>
        <v>39903</v>
      </c>
      <c r="F2" s="90">
        <f>'Fair Value'!F3</f>
        <v>40268</v>
      </c>
      <c r="G2" s="90">
        <f>'Fair Value'!G3</f>
        <v>40633</v>
      </c>
      <c r="H2" s="90">
        <f>'Fair Value'!H3</f>
        <v>40999</v>
      </c>
      <c r="I2" s="90">
        <f>'Fair Value'!I3</f>
        <v>41364</v>
      </c>
      <c r="J2" s="90">
        <f>'Fair Value'!J3</f>
        <v>41729</v>
      </c>
      <c r="K2" s="90">
        <f>'Fair Value'!K3</f>
        <v>42094</v>
      </c>
      <c r="L2" s="109" t="s">
        <v>323</v>
      </c>
      <c r="M2" s="110" t="s">
        <v>324</v>
      </c>
    </row>
    <row r="3" spans="1:13" ht="15.75" x14ac:dyDescent="0.25">
      <c r="A3" s="111" t="s">
        <v>325</v>
      </c>
      <c r="B3" s="105">
        <f>'Profit &amp; Loss'!B12</f>
        <v>3.88</v>
      </c>
      <c r="C3" s="105">
        <f>'Profit &amp; Loss'!C12</f>
        <v>6.56</v>
      </c>
      <c r="D3" s="105">
        <f>'Profit &amp; Loss'!D12</f>
        <v>5.25</v>
      </c>
      <c r="E3" s="105">
        <f>'Profit &amp; Loss'!E12</f>
        <v>7.14</v>
      </c>
      <c r="F3" s="105">
        <f>'Profit &amp; Loss'!F12</f>
        <v>11.58</v>
      </c>
      <c r="G3" s="105">
        <f>'Profit &amp; Loss'!G12</f>
        <v>12.09</v>
      </c>
      <c r="H3" s="105">
        <f>'Profit &amp; Loss'!H12</f>
        <v>11.95</v>
      </c>
      <c r="I3" s="105">
        <f>'Profit &amp; Loss'!I12</f>
        <v>21.25</v>
      </c>
      <c r="J3" s="105">
        <f>'Profit &amp; Loss'!J12</f>
        <v>23.72</v>
      </c>
      <c r="K3" s="105">
        <f>'Profit &amp; Loss'!K12</f>
        <v>38.700000000000003</v>
      </c>
      <c r="L3" s="119">
        <f>(K3/B3)^(1/9)-1</f>
        <v>0.29117938107771479</v>
      </c>
      <c r="M3" s="120">
        <f>(K3/F3)^(1/5)-1</f>
        <v>0.27291815637275696</v>
      </c>
    </row>
    <row r="4" spans="1:13" ht="15.75" x14ac:dyDescent="0.25">
      <c r="A4" s="112" t="s">
        <v>326</v>
      </c>
      <c r="B4" s="105">
        <f>'Profit &amp; Loss'!B13</f>
        <v>3.5458847539932785</v>
      </c>
      <c r="C4" s="105">
        <f>'Profit &amp; Loss'!C13</f>
        <v>5.9951041201535835</v>
      </c>
      <c r="D4" s="105">
        <f>'Profit &amp; Loss'!D13</f>
        <v>4.7979110717692555</v>
      </c>
      <c r="E4" s="105">
        <f>'Profit &amp; Loss'!E13</f>
        <v>6.5251590576061878</v>
      </c>
      <c r="F4" s="105">
        <f>'Profit &amp; Loss'!F13</f>
        <v>10.582820992588188</v>
      </c>
      <c r="G4" s="105">
        <f>'Profit &amp; Loss'!G13</f>
        <v>11.048903782417201</v>
      </c>
      <c r="H4" s="105">
        <f>'Profit &amp; Loss'!H13</f>
        <v>10.92095948717002</v>
      </c>
      <c r="I4" s="105">
        <f>'Profit &amp; Loss'!I13</f>
        <v>19.420116242875558</v>
      </c>
      <c r="J4" s="105">
        <f>'Profit &amp; Loss'!J13</f>
        <v>21.677419166165091</v>
      </c>
      <c r="K4" s="105">
        <f>'Profit &amp; Loss'!K13</f>
        <v>35.36745875761337</v>
      </c>
      <c r="L4" s="119">
        <f>(K4/B4)^(1/9)-1</f>
        <v>0.29117938107771479</v>
      </c>
      <c r="M4" s="120">
        <f>(K4/F4)^(1/5)-1</f>
        <v>0.27291815637275696</v>
      </c>
    </row>
    <row r="5" spans="1:13" ht="15.75" x14ac:dyDescent="0.25">
      <c r="A5" s="111" t="s">
        <v>327</v>
      </c>
      <c r="B5" s="35">
        <f>B3/'Profit &amp; Loss'!B4</f>
        <v>7.581086361860101E-2</v>
      </c>
      <c r="C5" s="35">
        <f>C3/'Profit &amp; Loss'!C4</f>
        <v>9.0432864626413006E-2</v>
      </c>
      <c r="D5" s="35">
        <f>D3/'Profit &amp; Loss'!D4</f>
        <v>5.9972583961617539E-2</v>
      </c>
      <c r="E5" s="35">
        <f>E3/'Profit &amp; Loss'!E4</f>
        <v>6.4697354113809349E-2</v>
      </c>
      <c r="F5" s="35">
        <f>F3/'Profit &amp; Loss'!F4</f>
        <v>8.902898439301915E-2</v>
      </c>
      <c r="G5" s="35">
        <f>G3/'Profit &amp; Loss'!G4</f>
        <v>6.9196428571428575E-2</v>
      </c>
      <c r="H5" s="35">
        <f>H3/'Profit &amp; Loss'!H4</f>
        <v>5.3739263389845748E-2</v>
      </c>
      <c r="I5" s="35">
        <f>I3/'Profit &amp; Loss'!I4</f>
        <v>7.1517517584895496E-2</v>
      </c>
      <c r="J5" s="35">
        <f>J3/'Profit &amp; Loss'!J4</f>
        <v>7.1005208645153556E-2</v>
      </c>
      <c r="K5" s="35">
        <f>K3/'Profit &amp; Loss'!K4</f>
        <v>9.6359743040685231E-2</v>
      </c>
    </row>
    <row r="6" spans="1:13" ht="16.5" thickBot="1" x14ac:dyDescent="0.3">
      <c r="A6" s="113" t="s">
        <v>55</v>
      </c>
      <c r="C6" s="118">
        <f>'Financial Analysis'!C61</f>
        <v>0.31134314190792595</v>
      </c>
      <c r="D6" s="118">
        <f>'Financial Analysis'!D61</f>
        <v>0.21237864077669905</v>
      </c>
      <c r="E6" s="118">
        <f>'Financial Analysis'!E61</f>
        <v>0.23595505617977527</v>
      </c>
      <c r="F6" s="118">
        <f>'Financial Analysis'!F61</f>
        <v>0.28770186335403725</v>
      </c>
      <c r="G6" s="118">
        <f>'Financial Analysis'!G61</f>
        <v>0.23822660098522166</v>
      </c>
      <c r="H6" s="118">
        <f>'Financial Analysis'!H61</f>
        <v>0.19554900998199967</v>
      </c>
      <c r="I6" s="118">
        <f>'Financial Analysis'!I61</f>
        <v>0.2641720537046246</v>
      </c>
      <c r="J6" s="118">
        <f>'Financial Analysis'!J61</f>
        <v>0.23200312989045382</v>
      </c>
      <c r="K6" s="118">
        <f>'Financial Analysis'!K61</f>
        <v>0.27962427745664742</v>
      </c>
    </row>
    <row r="8" spans="1:13" ht="16.5" thickBot="1" x14ac:dyDescent="0.3">
      <c r="A8" s="114" t="s">
        <v>328</v>
      </c>
    </row>
    <row r="9" spans="1:13" ht="15.75" x14ac:dyDescent="0.25">
      <c r="A9" s="115" t="s">
        <v>329</v>
      </c>
      <c r="B9" s="72">
        <v>0.2</v>
      </c>
    </row>
    <row r="10" spans="1:13" ht="15.75" x14ac:dyDescent="0.25">
      <c r="A10" s="116" t="s">
        <v>330</v>
      </c>
      <c r="B10" s="121">
        <f>K4*(1+B9)^10</f>
        <v>218.98598255724454</v>
      </c>
    </row>
    <row r="11" spans="1:13" ht="15.75" x14ac:dyDescent="0.25">
      <c r="A11" s="116" t="s">
        <v>331</v>
      </c>
      <c r="B11" s="105">
        <f>'Financial Analysis'!K36/'Expected Return Model'!K4</f>
        <v>14.900703033591732</v>
      </c>
    </row>
    <row r="12" spans="1:13" ht="15.75" x14ac:dyDescent="0.25">
      <c r="A12" s="116" t="s">
        <v>332</v>
      </c>
      <c r="B12" s="121">
        <f>B10*20</f>
        <v>4379.719651144891</v>
      </c>
    </row>
    <row r="13" spans="1:13" ht="15.75" x14ac:dyDescent="0.25">
      <c r="A13" s="116" t="s">
        <v>333</v>
      </c>
      <c r="B13">
        <f>'Financial Analysis'!L36</f>
        <v>673</v>
      </c>
    </row>
    <row r="14" spans="1:13" ht="16.5" thickBot="1" x14ac:dyDescent="0.3">
      <c r="A14" s="117" t="s">
        <v>334</v>
      </c>
      <c r="B14" s="122">
        <f>(B12/B13)^(1/10)-1</f>
        <v>0.20598838410989195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B4" activePane="bottomRight" state="frozen"/>
      <selection pane="topRight" activeCell="B1" sqref="B1"/>
      <selection pane="bottomLeft" activeCell="A4" sqref="A4"/>
      <selection pane="bottomRight" activeCell="M6" sqref="M6"/>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v>KOVAI MEDICAL CENTER &amp; HOSPITAL LTD</v>
      </c>
      <c r="E1" t="str">
        <f>UPDATE</f>
        <v/>
      </c>
      <c r="J1" s="4" t="s">
        <v>1</v>
      </c>
      <c r="K1" s="4"/>
    </row>
    <row r="3" spans="1:11" s="2" customFormat="1" x14ac:dyDescent="0.25">
      <c r="A3" s="15" t="s">
        <v>2</v>
      </c>
      <c r="B3" s="16">
        <f>'Data Sheet'!B41</f>
        <v>41639</v>
      </c>
      <c r="C3" s="16">
        <f>'Data Sheet'!C41</f>
        <v>41729</v>
      </c>
      <c r="D3" s="16">
        <f>'Data Sheet'!D41</f>
        <v>41820</v>
      </c>
      <c r="E3" s="16">
        <f>'Data Sheet'!E41</f>
        <v>41912</v>
      </c>
      <c r="F3" s="16">
        <f>'Data Sheet'!F41</f>
        <v>42004</v>
      </c>
      <c r="G3" s="16">
        <f>'Data Sheet'!G41</f>
        <v>42094</v>
      </c>
      <c r="H3" s="16">
        <f>'Data Sheet'!H41</f>
        <v>42185</v>
      </c>
      <c r="I3" s="16">
        <f>'Data Sheet'!I41</f>
        <v>42277</v>
      </c>
      <c r="J3" s="16">
        <f>'Data Sheet'!J41</f>
        <v>42369</v>
      </c>
      <c r="K3" s="16">
        <f>'Data Sheet'!K41</f>
        <v>42460</v>
      </c>
    </row>
    <row r="4" spans="1:11" s="8" customFormat="1" x14ac:dyDescent="0.25">
      <c r="A4" s="8" t="s">
        <v>3</v>
      </c>
      <c r="B4" s="1">
        <f>'Data Sheet'!B42</f>
        <v>85.71</v>
      </c>
      <c r="C4" s="1">
        <f>'Data Sheet'!C42</f>
        <v>86.59</v>
      </c>
      <c r="D4" s="1">
        <f>'Data Sheet'!D42</f>
        <v>92.08</v>
      </c>
      <c r="E4" s="1">
        <f>'Data Sheet'!E42</f>
        <v>98.67</v>
      </c>
      <c r="F4" s="1">
        <f>'Data Sheet'!F42</f>
        <v>105.57</v>
      </c>
      <c r="G4" s="1">
        <f>'Data Sheet'!G42</f>
        <v>105.32</v>
      </c>
      <c r="H4" s="1">
        <f>'Data Sheet'!H42</f>
        <v>113.03</v>
      </c>
      <c r="I4" s="1">
        <f>'Data Sheet'!I42</f>
        <v>116.39</v>
      </c>
      <c r="J4" s="1">
        <f>'Data Sheet'!J42</f>
        <v>115.46</v>
      </c>
      <c r="K4" s="1">
        <f>'Data Sheet'!K42</f>
        <v>120.43</v>
      </c>
    </row>
    <row r="5" spans="1:11" x14ac:dyDescent="0.25">
      <c r="A5" s="6" t="s">
        <v>4</v>
      </c>
      <c r="B5" s="9">
        <f>'Data Sheet'!B43</f>
        <v>66.25</v>
      </c>
      <c r="C5" s="9">
        <f>'Data Sheet'!C43</f>
        <v>66.58</v>
      </c>
      <c r="D5" s="9">
        <f>'Data Sheet'!D43</f>
        <v>69.78</v>
      </c>
      <c r="E5" s="9">
        <f>'Data Sheet'!E43</f>
        <v>75.16</v>
      </c>
      <c r="F5" s="9">
        <f>'Data Sheet'!F43</f>
        <v>79.23</v>
      </c>
      <c r="G5" s="9">
        <f>'Data Sheet'!G43</f>
        <v>83.18</v>
      </c>
      <c r="H5" s="9">
        <f>'Data Sheet'!H43</f>
        <v>90.07</v>
      </c>
      <c r="I5" s="9">
        <f>'Data Sheet'!I43</f>
        <v>92.43</v>
      </c>
      <c r="J5" s="9">
        <f>'Data Sheet'!J43</f>
        <v>94.87</v>
      </c>
      <c r="K5" s="9">
        <f>'Data Sheet'!K43</f>
        <v>96.21</v>
      </c>
    </row>
    <row r="6" spans="1:11" s="8" customFormat="1" x14ac:dyDescent="0.25">
      <c r="A6" s="8" t="s">
        <v>5</v>
      </c>
      <c r="B6" s="1">
        <f>'Data Sheet'!B50</f>
        <v>19.46</v>
      </c>
      <c r="C6" s="1">
        <f>'Data Sheet'!C50</f>
        <v>20.010000000000002</v>
      </c>
      <c r="D6" s="1">
        <f>'Data Sheet'!D50</f>
        <v>22.3</v>
      </c>
      <c r="E6" s="1">
        <f>'Data Sheet'!E50</f>
        <v>23.51</v>
      </c>
      <c r="F6" s="1">
        <f>'Data Sheet'!F50</f>
        <v>26.34</v>
      </c>
      <c r="G6" s="1">
        <f>'Data Sheet'!G50</f>
        <v>22.14</v>
      </c>
      <c r="H6" s="1">
        <f>'Data Sheet'!H50</f>
        <v>22.96</v>
      </c>
      <c r="I6" s="1">
        <f>'Data Sheet'!I50</f>
        <v>23.96</v>
      </c>
      <c r="J6" s="1">
        <f>'Data Sheet'!J50</f>
        <v>20.59</v>
      </c>
      <c r="K6" s="1">
        <f>'Data Sheet'!K50</f>
        <v>24.22</v>
      </c>
    </row>
    <row r="7" spans="1:11" x14ac:dyDescent="0.25">
      <c r="A7" s="6" t="s">
        <v>6</v>
      </c>
      <c r="B7" s="9">
        <f>'Data Sheet'!B44</f>
        <v>1.1100000000000001</v>
      </c>
      <c r="C7" s="9">
        <f>'Data Sheet'!C44</f>
        <v>1.41</v>
      </c>
      <c r="D7" s="9">
        <f>'Data Sheet'!D44</f>
        <v>1.4</v>
      </c>
      <c r="E7" s="9">
        <f>'Data Sheet'!E44</f>
        <v>1.73</v>
      </c>
      <c r="F7" s="9">
        <f>'Data Sheet'!F44</f>
        <v>1.8</v>
      </c>
      <c r="G7" s="9">
        <f>'Data Sheet'!G44</f>
        <v>1.78</v>
      </c>
      <c r="H7" s="9">
        <f>'Data Sheet'!H44</f>
        <v>2.13</v>
      </c>
      <c r="I7" s="9">
        <f>'Data Sheet'!I44</f>
        <v>1.95</v>
      </c>
      <c r="J7" s="9">
        <f>'Data Sheet'!J44</f>
        <v>1.88</v>
      </c>
      <c r="K7" s="9">
        <f>'Data Sheet'!K44</f>
        <v>1.78</v>
      </c>
    </row>
    <row r="8" spans="1:11" x14ac:dyDescent="0.25">
      <c r="A8" s="6" t="s">
        <v>7</v>
      </c>
      <c r="B8" s="9">
        <f>'Data Sheet'!B45</f>
        <v>3.9</v>
      </c>
      <c r="C8" s="9">
        <f>'Data Sheet'!C45</f>
        <v>4.66</v>
      </c>
      <c r="D8" s="9">
        <f>'Data Sheet'!D45</f>
        <v>5.76</v>
      </c>
      <c r="E8" s="9">
        <f>'Data Sheet'!E45</f>
        <v>5.45</v>
      </c>
      <c r="F8" s="9">
        <f>'Data Sheet'!F45</f>
        <v>5.05</v>
      </c>
      <c r="G8" s="9">
        <f>'Data Sheet'!G45</f>
        <v>4.9400000000000004</v>
      </c>
      <c r="H8" s="9">
        <f>'Data Sheet'!H45</f>
        <v>4.91</v>
      </c>
      <c r="I8" s="9">
        <f>'Data Sheet'!I45</f>
        <v>5.04</v>
      </c>
      <c r="J8" s="9">
        <f>'Data Sheet'!J45</f>
        <v>5.15</v>
      </c>
      <c r="K8" s="9">
        <f>'Data Sheet'!K45</f>
        <v>5.54</v>
      </c>
    </row>
    <row r="9" spans="1:11" x14ac:dyDescent="0.25">
      <c r="A9" s="6" t="s">
        <v>8</v>
      </c>
      <c r="B9" s="9">
        <f>'Data Sheet'!B46</f>
        <v>5.93</v>
      </c>
      <c r="C9" s="9">
        <f>'Data Sheet'!C46</f>
        <v>5.61</v>
      </c>
      <c r="D9" s="9">
        <f>'Data Sheet'!D46</f>
        <v>5.52</v>
      </c>
      <c r="E9" s="9">
        <f>'Data Sheet'!E46</f>
        <v>5.18</v>
      </c>
      <c r="F9" s="9">
        <f>'Data Sheet'!F46</f>
        <v>4.96</v>
      </c>
      <c r="G9" s="9">
        <f>'Data Sheet'!G46</f>
        <v>4.71</v>
      </c>
      <c r="H9" s="9">
        <f>'Data Sheet'!H46</f>
        <v>4.4800000000000004</v>
      </c>
      <c r="I9" s="9">
        <f>'Data Sheet'!I46</f>
        <v>4.16</v>
      </c>
      <c r="J9" s="9">
        <f>'Data Sheet'!J46</f>
        <v>3.77</v>
      </c>
      <c r="K9" s="9">
        <f>'Data Sheet'!K46</f>
        <v>4.24</v>
      </c>
    </row>
    <row r="10" spans="1:11" x14ac:dyDescent="0.25">
      <c r="A10" s="6" t="s">
        <v>9</v>
      </c>
      <c r="B10" s="9">
        <f>'Data Sheet'!B47</f>
        <v>10.73</v>
      </c>
      <c r="C10" s="9">
        <f>'Data Sheet'!C47</f>
        <v>11.15</v>
      </c>
      <c r="D10" s="9">
        <f>'Data Sheet'!D47</f>
        <v>12.42</v>
      </c>
      <c r="E10" s="9">
        <f>'Data Sheet'!E47</f>
        <v>14.62</v>
      </c>
      <c r="F10" s="9">
        <f>'Data Sheet'!F47</f>
        <v>18.12</v>
      </c>
      <c r="G10" s="9">
        <f>'Data Sheet'!G47</f>
        <v>14.27</v>
      </c>
      <c r="H10" s="9">
        <f>'Data Sheet'!H47</f>
        <v>15.69</v>
      </c>
      <c r="I10" s="9">
        <f>'Data Sheet'!I47</f>
        <v>16.7</v>
      </c>
      <c r="J10" s="9">
        <f>'Data Sheet'!J47</f>
        <v>13.55</v>
      </c>
      <c r="K10" s="9">
        <f>'Data Sheet'!K47</f>
        <v>16.21</v>
      </c>
    </row>
    <row r="11" spans="1:11" x14ac:dyDescent="0.25">
      <c r="A11" s="6" t="s">
        <v>10</v>
      </c>
      <c r="B11" s="9">
        <f>'Data Sheet'!B48</f>
        <v>3.77</v>
      </c>
      <c r="C11" s="9">
        <f>'Data Sheet'!C48</f>
        <v>4.09</v>
      </c>
      <c r="D11" s="9">
        <f>'Data Sheet'!D48</f>
        <v>4.12</v>
      </c>
      <c r="E11" s="9">
        <f>'Data Sheet'!E48</f>
        <v>5.49</v>
      </c>
      <c r="F11" s="9">
        <f>'Data Sheet'!F48</f>
        <v>6.2</v>
      </c>
      <c r="G11" s="9">
        <f>'Data Sheet'!G48</f>
        <v>4.92</v>
      </c>
      <c r="H11" s="9">
        <f>'Data Sheet'!H48</f>
        <v>5.55</v>
      </c>
      <c r="I11" s="9">
        <f>'Data Sheet'!I48</f>
        <v>6.04</v>
      </c>
      <c r="J11" s="9">
        <f>'Data Sheet'!J48</f>
        <v>4.93</v>
      </c>
      <c r="K11" s="9">
        <f>'Data Sheet'!K48</f>
        <v>5.21</v>
      </c>
    </row>
    <row r="12" spans="1:11" s="8" customFormat="1" x14ac:dyDescent="0.25">
      <c r="A12" s="8" t="s">
        <v>11</v>
      </c>
      <c r="B12" s="1">
        <f>'Data Sheet'!B49</f>
        <v>6.97</v>
      </c>
      <c r="C12" s="1">
        <f>'Data Sheet'!C49</f>
        <v>7.06</v>
      </c>
      <c r="D12" s="1">
        <f>'Data Sheet'!D49</f>
        <v>8.2899999999999991</v>
      </c>
      <c r="E12" s="1">
        <f>'Data Sheet'!E49</f>
        <v>9.1300000000000008</v>
      </c>
      <c r="F12" s="1">
        <f>'Data Sheet'!F49</f>
        <v>11.92</v>
      </c>
      <c r="G12" s="1">
        <f>'Data Sheet'!G49</f>
        <v>9.35</v>
      </c>
      <c r="H12" s="1">
        <f>'Data Sheet'!H49</f>
        <v>10.14</v>
      </c>
      <c r="I12" s="1">
        <f>'Data Sheet'!I49</f>
        <v>10.67</v>
      </c>
      <c r="J12" s="1">
        <f>'Data Sheet'!J49</f>
        <v>8.6199999999999992</v>
      </c>
      <c r="K12" s="1">
        <f>'Data Sheet'!K49</f>
        <v>11</v>
      </c>
    </row>
    <row r="14" spans="1:11" s="8" customFormat="1" x14ac:dyDescent="0.25">
      <c r="A14" s="2" t="s">
        <v>15</v>
      </c>
      <c r="B14" s="14">
        <f>IF(B4&gt;0,B6/B4,"")</f>
        <v>0.22704468556761173</v>
      </c>
      <c r="C14" s="14">
        <f t="shared" ref="C14:K14" si="0">IF(C4&gt;0,C6/C4,"")</f>
        <v>0.23108904030488511</v>
      </c>
      <c r="D14" s="14">
        <f t="shared" si="0"/>
        <v>0.24218071242397915</v>
      </c>
      <c r="E14" s="14">
        <f t="shared" si="0"/>
        <v>0.23826897739941219</v>
      </c>
      <c r="F14" s="14">
        <f t="shared" si="0"/>
        <v>0.24950269963057689</v>
      </c>
      <c r="G14" s="14">
        <f t="shared" si="0"/>
        <v>0.21021648309912649</v>
      </c>
      <c r="H14" s="14">
        <f t="shared" si="0"/>
        <v>0.2031319118818013</v>
      </c>
      <c r="I14" s="14">
        <f t="shared" si="0"/>
        <v>0.20585960993212477</v>
      </c>
      <c r="J14" s="14">
        <f t="shared" si="0"/>
        <v>0.17833015763034818</v>
      </c>
      <c r="K14" s="14">
        <f t="shared" si="0"/>
        <v>0.20111267956489245</v>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31"/>
  <sheetViews>
    <sheetView workbookViewId="0">
      <pane xSplit="1" ySplit="3" topLeftCell="B11" activePane="bottomRight" state="frozen"/>
      <selection activeCell="C4" sqref="C4"/>
      <selection pane="topRight" activeCell="C4" sqref="C4"/>
      <selection pane="bottomLeft" activeCell="C4" sqref="C4"/>
      <selection pane="bottomRight" activeCell="B33" sqref="B33"/>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2" s="8" customFormat="1" x14ac:dyDescent="0.25">
      <c r="A1" s="8" t="str">
        <f>'Profit &amp; Loss'!A1</f>
        <v>KOVAI MEDICAL CENTER &amp; HOSPITAL LTD</v>
      </c>
      <c r="E1" t="str">
        <f>UPDATE</f>
        <v/>
      </c>
      <c r="G1"/>
      <c r="J1" s="4" t="s">
        <v>1</v>
      </c>
      <c r="K1" s="4"/>
    </row>
    <row r="2" spans="1:12" x14ac:dyDescent="0.25">
      <c r="G2" s="8"/>
      <c r="H2" s="8"/>
    </row>
    <row r="3" spans="1:12" s="18" customFormat="1" x14ac:dyDescent="0.25">
      <c r="A3" s="15" t="s">
        <v>2</v>
      </c>
      <c r="B3" s="16">
        <f>'Data Sheet'!B56</f>
        <v>38807</v>
      </c>
      <c r="C3" s="16">
        <f>'Data Sheet'!C56</f>
        <v>39172</v>
      </c>
      <c r="D3" s="16">
        <f>'Data Sheet'!D56</f>
        <v>39538</v>
      </c>
      <c r="E3" s="16">
        <f>'Data Sheet'!E56</f>
        <v>39903</v>
      </c>
      <c r="F3" s="16">
        <f>'Data Sheet'!F56</f>
        <v>40268</v>
      </c>
      <c r="G3" s="16">
        <f>'Data Sheet'!G56</f>
        <v>40633</v>
      </c>
      <c r="H3" s="16">
        <f>'Data Sheet'!H56</f>
        <v>40999</v>
      </c>
      <c r="I3" s="16">
        <f>'Data Sheet'!I56</f>
        <v>41364</v>
      </c>
      <c r="J3" s="16">
        <f>'Data Sheet'!J56</f>
        <v>41729</v>
      </c>
      <c r="K3" s="16">
        <f>'Data Sheet'!K56</f>
        <v>42094</v>
      </c>
      <c r="L3" s="16">
        <f>'Data Sheet'!L56</f>
        <v>42460</v>
      </c>
    </row>
    <row r="4" spans="1:12" x14ac:dyDescent="0.25">
      <c r="A4" s="6" t="s">
        <v>19</v>
      </c>
      <c r="B4" s="19">
        <f>'Data Sheet'!B57</f>
        <v>10.93</v>
      </c>
      <c r="C4" s="19">
        <f>'Data Sheet'!C57</f>
        <v>10.94</v>
      </c>
      <c r="D4" s="19">
        <f>'Data Sheet'!D57</f>
        <v>10.94</v>
      </c>
      <c r="E4" s="19">
        <f>'Data Sheet'!E57</f>
        <v>10.94</v>
      </c>
      <c r="F4" s="19">
        <f>'Data Sheet'!F57</f>
        <v>10.94</v>
      </c>
      <c r="G4" s="19">
        <f>'Data Sheet'!G57</f>
        <v>10.94</v>
      </c>
      <c r="H4" s="19">
        <f>'Data Sheet'!H57</f>
        <v>10.94</v>
      </c>
      <c r="I4" s="19">
        <f>'Data Sheet'!I57</f>
        <v>10.94</v>
      </c>
      <c r="J4" s="19">
        <f>'Data Sheet'!J57</f>
        <v>10.94</v>
      </c>
      <c r="K4" s="19">
        <f>'Data Sheet'!K57</f>
        <v>10.94</v>
      </c>
      <c r="L4" s="19">
        <f>'Data Sheet'!L57</f>
        <v>10.94</v>
      </c>
    </row>
    <row r="5" spans="1:12" s="6" customFormat="1" x14ac:dyDescent="0.25">
      <c r="A5" s="6" t="s">
        <v>20</v>
      </c>
      <c r="B5" s="19">
        <f>'Data Sheet'!B58</f>
        <v>5.17</v>
      </c>
      <c r="C5" s="19">
        <f>'Data Sheet'!C58</f>
        <v>10.130000000000001</v>
      </c>
      <c r="D5" s="19">
        <f>'Data Sheet'!D58</f>
        <v>13.78</v>
      </c>
      <c r="E5" s="19">
        <f>'Data Sheet'!E58</f>
        <v>19.32</v>
      </c>
      <c r="F5" s="19">
        <f>'Data Sheet'!F58</f>
        <v>29.31</v>
      </c>
      <c r="G5" s="19">
        <f>'Data Sheet'!G58</f>
        <v>39.81</v>
      </c>
      <c r="H5" s="19">
        <f>'Data Sheet'!H58</f>
        <v>50.17</v>
      </c>
      <c r="I5" s="19">
        <f>'Data Sheet'!I58</f>
        <v>69.5</v>
      </c>
      <c r="J5" s="19">
        <f>'Data Sheet'!J58</f>
        <v>91.3</v>
      </c>
      <c r="K5" s="19">
        <f>'Data Sheet'!K58</f>
        <v>127.46</v>
      </c>
      <c r="L5" s="19">
        <f>'Data Sheet'!L58</f>
        <v>163.08000000000001</v>
      </c>
    </row>
    <row r="6" spans="1:12" x14ac:dyDescent="0.25">
      <c r="A6" s="11" t="s">
        <v>66</v>
      </c>
      <c r="B6" s="19">
        <f>'Data Sheet'!B59</f>
        <v>14.35</v>
      </c>
      <c r="C6" s="19">
        <f>'Data Sheet'!C59</f>
        <v>32.68</v>
      </c>
      <c r="D6" s="19">
        <f>'Data Sheet'!D59</f>
        <v>37.82</v>
      </c>
      <c r="E6" s="19">
        <f>'Data Sheet'!E59</f>
        <v>70.42</v>
      </c>
      <c r="F6" s="19">
        <f>'Data Sheet'!F59</f>
        <v>108.18</v>
      </c>
      <c r="G6" s="19">
        <f>'Data Sheet'!G59</f>
        <v>192.25</v>
      </c>
      <c r="H6" s="19">
        <f>'Data Sheet'!H59</f>
        <v>227.81</v>
      </c>
      <c r="I6" s="19">
        <f>'Data Sheet'!I59</f>
        <v>209.34</v>
      </c>
      <c r="J6" s="19">
        <f>'Data Sheet'!J59</f>
        <v>183.63</v>
      </c>
      <c r="K6" s="19">
        <f>'Data Sheet'!K59</f>
        <v>162.66999999999999</v>
      </c>
      <c r="L6" s="19">
        <f>'Data Sheet'!L59</f>
        <v>126</v>
      </c>
    </row>
    <row r="7" spans="1:12" s="6" customFormat="1" x14ac:dyDescent="0.25">
      <c r="A7" s="11" t="s">
        <v>67</v>
      </c>
      <c r="B7" s="19">
        <f>'Data Sheet'!B60</f>
        <v>15.91</v>
      </c>
      <c r="C7" s="19">
        <f>'Data Sheet'!C60</f>
        <v>21.72</v>
      </c>
      <c r="D7" s="19">
        <f>'Data Sheet'!D60</f>
        <v>26.19</v>
      </c>
      <c r="E7" s="19">
        <f>'Data Sheet'!E60</f>
        <v>20.3</v>
      </c>
      <c r="F7" s="19">
        <f>'Data Sheet'!F60</f>
        <v>25.95</v>
      </c>
      <c r="G7" s="19">
        <f>'Data Sheet'!G60</f>
        <v>41.11</v>
      </c>
      <c r="H7" s="19">
        <f>'Data Sheet'!H60</f>
        <v>51.22</v>
      </c>
      <c r="I7" s="19">
        <f>'Data Sheet'!I60</f>
        <v>56.81</v>
      </c>
      <c r="J7" s="19">
        <f>'Data Sheet'!J60</f>
        <v>67.06</v>
      </c>
      <c r="K7" s="19">
        <f>'Data Sheet'!K60</f>
        <v>88.19</v>
      </c>
      <c r="L7" s="19">
        <f>'Data Sheet'!L60</f>
        <v>128</v>
      </c>
    </row>
    <row r="8" spans="1:12" s="8" customFormat="1" x14ac:dyDescent="0.25">
      <c r="A8" s="8" t="s">
        <v>21</v>
      </c>
      <c r="B8" s="20">
        <f>'Data Sheet'!B61</f>
        <v>46.36</v>
      </c>
      <c r="C8" s="20">
        <f>'Data Sheet'!C61</f>
        <v>75.47</v>
      </c>
      <c r="D8" s="20">
        <f>'Data Sheet'!D61</f>
        <v>88.73</v>
      </c>
      <c r="E8" s="20">
        <f>'Data Sheet'!E61</f>
        <v>120.98</v>
      </c>
      <c r="F8" s="20">
        <f>'Data Sheet'!F61</f>
        <v>174.38</v>
      </c>
      <c r="G8" s="20">
        <f>'Data Sheet'!G61</f>
        <v>284.11</v>
      </c>
      <c r="H8" s="20">
        <f>'Data Sheet'!H61</f>
        <v>340.14</v>
      </c>
      <c r="I8" s="20">
        <f>'Data Sheet'!I61</f>
        <v>346.59</v>
      </c>
      <c r="J8" s="20">
        <f>'Data Sheet'!J61</f>
        <v>352.93</v>
      </c>
      <c r="K8" s="20">
        <f>'Data Sheet'!K61</f>
        <v>389.26</v>
      </c>
      <c r="L8" s="20">
        <f>'Data Sheet'!L61</f>
        <v>428.02</v>
      </c>
    </row>
    <row r="9" spans="1:12" s="8" customFormat="1" x14ac:dyDescent="0.25">
      <c r="B9" s="20"/>
      <c r="C9" s="20"/>
      <c r="D9" s="20"/>
      <c r="E9" s="20"/>
      <c r="F9" s="20"/>
      <c r="G9" s="20"/>
      <c r="H9" s="20"/>
      <c r="I9" s="20"/>
      <c r="J9" s="20"/>
      <c r="K9" s="20"/>
      <c r="L9" s="20"/>
    </row>
    <row r="10" spans="1:12" x14ac:dyDescent="0.25">
      <c r="A10" s="6" t="s">
        <v>22</v>
      </c>
      <c r="B10" s="19">
        <f>'Data Sheet'!B62</f>
        <v>34.700000000000003</v>
      </c>
      <c r="C10" s="19">
        <f>'Data Sheet'!C62</f>
        <v>46.82</v>
      </c>
      <c r="D10" s="19">
        <f>'Data Sheet'!D62</f>
        <v>52.95</v>
      </c>
      <c r="E10" s="19">
        <f>'Data Sheet'!E62</f>
        <v>60.69</v>
      </c>
      <c r="F10" s="19">
        <f>'Data Sheet'!F62</f>
        <v>98.45</v>
      </c>
      <c r="G10" s="19">
        <f>'Data Sheet'!G62</f>
        <v>185.26</v>
      </c>
      <c r="H10" s="19">
        <f>'Data Sheet'!H62</f>
        <v>288.39999999999998</v>
      </c>
      <c r="I10" s="19">
        <f>'Data Sheet'!I62</f>
        <v>279.45999999999998</v>
      </c>
      <c r="J10" s="19">
        <f>'Data Sheet'!J62</f>
        <v>277.18</v>
      </c>
      <c r="K10" s="19">
        <f>'Data Sheet'!K62</f>
        <v>280.93</v>
      </c>
      <c r="L10" s="19">
        <f>'Data Sheet'!L62</f>
        <v>339</v>
      </c>
    </row>
    <row r="11" spans="1:12" x14ac:dyDescent="0.25">
      <c r="A11" s="6" t="s">
        <v>23</v>
      </c>
      <c r="B11" s="19">
        <f>'Data Sheet'!B63</f>
        <v>0.56999999999999995</v>
      </c>
      <c r="C11" s="19">
        <f>'Data Sheet'!C63</f>
        <v>2.27</v>
      </c>
      <c r="D11" s="19">
        <f>'Data Sheet'!D63</f>
        <v>6.46</v>
      </c>
      <c r="E11" s="19">
        <f>'Data Sheet'!E63</f>
        <v>20.100000000000001</v>
      </c>
      <c r="F11" s="19">
        <f>'Data Sheet'!F63</f>
        <v>42.22</v>
      </c>
      <c r="G11" s="19">
        <f>'Data Sheet'!G63</f>
        <v>38.1</v>
      </c>
      <c r="H11" s="19">
        <f>'Data Sheet'!H63</f>
        <v>0.15</v>
      </c>
      <c r="I11" s="19">
        <f>'Data Sheet'!I63</f>
        <v>4.72</v>
      </c>
      <c r="J11" s="19">
        <f>'Data Sheet'!J63</f>
        <v>4.9400000000000004</v>
      </c>
      <c r="K11" s="19">
        <f>'Data Sheet'!K63</f>
        <v>16.670000000000002</v>
      </c>
      <c r="L11" s="19">
        <f>'Data Sheet'!L63</f>
        <v>10.09</v>
      </c>
    </row>
    <row r="12" spans="1:12" x14ac:dyDescent="0.25">
      <c r="A12" s="6" t="s">
        <v>24</v>
      </c>
      <c r="B12" s="19">
        <f>'Data Sheet'!B64</f>
        <v>0.03</v>
      </c>
      <c r="C12" s="19">
        <f>'Data Sheet'!C64</f>
        <v>0.88</v>
      </c>
      <c r="D12" s="19">
        <f>'Data Sheet'!D64</f>
        <v>3.6</v>
      </c>
      <c r="E12" s="19">
        <f>'Data Sheet'!E64</f>
        <v>3.6</v>
      </c>
      <c r="F12" s="19">
        <f>'Data Sheet'!F64</f>
        <v>3.6</v>
      </c>
      <c r="G12" s="19">
        <f>'Data Sheet'!G64</f>
        <v>3.6</v>
      </c>
      <c r="H12" s="19">
        <f>'Data Sheet'!H64</f>
        <v>3.6</v>
      </c>
      <c r="I12" s="19">
        <f>'Data Sheet'!I64</f>
        <v>3.6</v>
      </c>
      <c r="J12" s="19">
        <f>'Data Sheet'!J64</f>
        <v>3.6</v>
      </c>
      <c r="K12" s="19">
        <f>'Data Sheet'!K64</f>
        <v>3.72</v>
      </c>
      <c r="L12" s="19">
        <f>'Data Sheet'!L64</f>
        <v>3.72</v>
      </c>
    </row>
    <row r="13" spans="1:12" x14ac:dyDescent="0.25">
      <c r="A13" s="11" t="s">
        <v>68</v>
      </c>
      <c r="B13" s="19">
        <f>'Data Sheet'!B65</f>
        <v>11.06</v>
      </c>
      <c r="C13" s="19">
        <f>'Data Sheet'!C65</f>
        <v>25.5</v>
      </c>
      <c r="D13" s="19">
        <f>'Data Sheet'!D65</f>
        <v>25.72</v>
      </c>
      <c r="E13" s="19">
        <f>'Data Sheet'!E65</f>
        <v>36.590000000000003</v>
      </c>
      <c r="F13" s="19">
        <f>'Data Sheet'!F65</f>
        <v>30.11</v>
      </c>
      <c r="G13" s="19">
        <f>'Data Sheet'!G65</f>
        <v>57.15</v>
      </c>
      <c r="H13" s="19">
        <f>'Data Sheet'!H65</f>
        <v>47.99</v>
      </c>
      <c r="I13" s="19">
        <f>'Data Sheet'!I65</f>
        <v>58.81</v>
      </c>
      <c r="J13" s="19">
        <f>'Data Sheet'!J65</f>
        <v>67.209999999999994</v>
      </c>
      <c r="K13" s="19">
        <f>'Data Sheet'!K65</f>
        <v>87.94</v>
      </c>
      <c r="L13" s="19">
        <f>'Data Sheet'!L65</f>
        <v>75.209999999999994</v>
      </c>
    </row>
    <row r="14" spans="1:12" s="8" customFormat="1" x14ac:dyDescent="0.25">
      <c r="A14" s="8" t="s">
        <v>21</v>
      </c>
      <c r="B14" s="19">
        <f>'Data Sheet'!B66</f>
        <v>46.36</v>
      </c>
      <c r="C14" s="19">
        <f>'Data Sheet'!C66</f>
        <v>75.47</v>
      </c>
      <c r="D14" s="19">
        <f>'Data Sheet'!D66</f>
        <v>88.73</v>
      </c>
      <c r="E14" s="19">
        <f>'Data Sheet'!E66</f>
        <v>120.98</v>
      </c>
      <c r="F14" s="19">
        <f>'Data Sheet'!F66</f>
        <v>174.38</v>
      </c>
      <c r="G14" s="19">
        <f>'Data Sheet'!G66</f>
        <v>284.11</v>
      </c>
      <c r="H14" s="19">
        <f>'Data Sheet'!H66</f>
        <v>340.14</v>
      </c>
      <c r="I14" s="19">
        <f>'Data Sheet'!I66</f>
        <v>346.59</v>
      </c>
      <c r="J14" s="19">
        <f>'Data Sheet'!J66</f>
        <v>352.93</v>
      </c>
      <c r="K14" s="19">
        <f>'Data Sheet'!K66</f>
        <v>389.26</v>
      </c>
      <c r="L14" s="19">
        <f>'Data Sheet'!L66</f>
        <v>428.02</v>
      </c>
    </row>
    <row r="15" spans="1:12" x14ac:dyDescent="0.25">
      <c r="A15" s="6"/>
      <c r="B15" s="21"/>
      <c r="C15" s="21"/>
      <c r="D15" s="21"/>
      <c r="E15" s="21"/>
      <c r="F15" s="21"/>
      <c r="G15" s="21"/>
      <c r="H15" s="21"/>
      <c r="I15" s="21"/>
      <c r="J15" s="21"/>
      <c r="K15" s="21"/>
      <c r="L15" s="21"/>
    </row>
    <row r="16" spans="1:12" x14ac:dyDescent="0.25">
      <c r="A16" s="29" t="s">
        <v>25</v>
      </c>
      <c r="B16" s="21">
        <f>B13-B7</f>
        <v>-4.8499999999999996</v>
      </c>
      <c r="C16" s="21">
        <f t="shared" ref="C16:K16" si="0">C13-C7</f>
        <v>3.7800000000000011</v>
      </c>
      <c r="D16" s="21">
        <f t="shared" si="0"/>
        <v>-0.47000000000000242</v>
      </c>
      <c r="E16" s="21">
        <f t="shared" si="0"/>
        <v>16.290000000000003</v>
      </c>
      <c r="F16" s="21">
        <f t="shared" si="0"/>
        <v>4.16</v>
      </c>
      <c r="G16" s="21">
        <f t="shared" si="0"/>
        <v>16.04</v>
      </c>
      <c r="H16" s="21">
        <f t="shared" si="0"/>
        <v>-3.2299999999999969</v>
      </c>
      <c r="I16" s="21">
        <f t="shared" si="0"/>
        <v>2</v>
      </c>
      <c r="J16" s="21">
        <f t="shared" si="0"/>
        <v>0.14999999999999147</v>
      </c>
      <c r="K16" s="21">
        <f t="shared" si="0"/>
        <v>-0.25</v>
      </c>
      <c r="L16" s="21">
        <f t="shared" ref="L16" si="1">L13-L7</f>
        <v>-52.790000000000006</v>
      </c>
    </row>
    <row r="17" spans="1:12" x14ac:dyDescent="0.25">
      <c r="A17" s="11" t="s">
        <v>39</v>
      </c>
      <c r="B17" s="21">
        <f>'Data Sheet'!B67</f>
        <v>1.43</v>
      </c>
      <c r="C17" s="21">
        <f>'Data Sheet'!C67</f>
        <v>1.82</v>
      </c>
      <c r="D17" s="21">
        <f>'Data Sheet'!D67</f>
        <v>3.25</v>
      </c>
      <c r="E17" s="21">
        <f>'Data Sheet'!E67</f>
        <v>3.28</v>
      </c>
      <c r="F17" s="21">
        <f>'Data Sheet'!F67</f>
        <v>4.32</v>
      </c>
      <c r="G17" s="21">
        <f>'Data Sheet'!G67</f>
        <v>6.62</v>
      </c>
      <c r="H17" s="21">
        <f>'Data Sheet'!H67</f>
        <v>3.2</v>
      </c>
      <c r="I17" s="21">
        <f>'Data Sheet'!I67</f>
        <v>4.1500000000000004</v>
      </c>
      <c r="J17" s="21">
        <f>'Data Sheet'!J67</f>
        <v>7.25</v>
      </c>
      <c r="K17" s="21">
        <f>'Data Sheet'!K67</f>
        <v>10.1</v>
      </c>
      <c r="L17" s="21">
        <f>'Data Sheet'!L67</f>
        <v>8.9700000000000006</v>
      </c>
    </row>
    <row r="18" spans="1:12" x14ac:dyDescent="0.25">
      <c r="A18" s="11" t="s">
        <v>40</v>
      </c>
      <c r="B18" s="21">
        <f>'Data Sheet'!B68</f>
        <v>2.84</v>
      </c>
      <c r="C18" s="21">
        <f>'Data Sheet'!C68</f>
        <v>2.65</v>
      </c>
      <c r="D18" s="21">
        <f>'Data Sheet'!D68</f>
        <v>4</v>
      </c>
      <c r="E18" s="21">
        <f>'Data Sheet'!E68</f>
        <v>3.95</v>
      </c>
      <c r="F18" s="21">
        <f>'Data Sheet'!F68</f>
        <v>5</v>
      </c>
      <c r="G18" s="21">
        <f>'Data Sheet'!G68</f>
        <v>5.76</v>
      </c>
      <c r="H18" s="21">
        <f>'Data Sheet'!H68</f>
        <v>7.26</v>
      </c>
      <c r="I18" s="21">
        <f>'Data Sheet'!I68</f>
        <v>8.92</v>
      </c>
      <c r="J18" s="21">
        <f>'Data Sheet'!J68</f>
        <v>9.68</v>
      </c>
      <c r="K18" s="21">
        <f>'Data Sheet'!K68</f>
        <v>8.32</v>
      </c>
      <c r="L18" s="21">
        <f>'Data Sheet'!L68</f>
        <v>8.5399999999999991</v>
      </c>
    </row>
    <row r="20" spans="1:12" x14ac:dyDescent="0.25">
      <c r="A20" s="11" t="s">
        <v>41</v>
      </c>
      <c r="B20" s="5">
        <f>IF('Profit &amp; Loss'!B4&gt;0,'Balance Sheet'!B17/('Profit &amp; Loss'!B4/365),0)</f>
        <v>10.19831965611567</v>
      </c>
      <c r="C20" s="5">
        <f>IF('Profit &amp; Loss'!C4&gt;0,'Balance Sheet'!C17/('Profit &amp; Loss'!C4/365),0)</f>
        <v>9.1577060931899634</v>
      </c>
      <c r="D20" s="5">
        <f>IF('Profit &amp; Loss'!D4&gt;0,'Balance Sheet'!D17/('Profit &amp; Loss'!D4/365),0)</f>
        <v>13.550948137994059</v>
      </c>
      <c r="E20" s="5">
        <f>IF('Profit &amp; Loss'!E4&gt;0,'Balance Sheet'!E17/('Profit &amp; Loss'!E4/365),0)</f>
        <v>10.84813338166002</v>
      </c>
      <c r="F20" s="5">
        <f>IF('Profit &amp; Loss'!F4&gt;0,'Balance Sheet'!F17/('Profit &amp; Loss'!F4/365),0)</f>
        <v>12.122703159837013</v>
      </c>
      <c r="G20" s="5">
        <f>IF('Profit &amp; Loss'!G4&gt;0,'Balance Sheet'!G17/('Profit &amp; Loss'!G4/365),0)</f>
        <v>13.829555860805861</v>
      </c>
      <c r="H20" s="5">
        <f>IF('Profit &amp; Loss'!H4&gt;0,'Balance Sheet'!H17/('Profit &amp; Loss'!H4/365),0)</f>
        <v>5.2525070827899452</v>
      </c>
      <c r="I20" s="5">
        <f>IF('Profit &amp; Loss'!I4&gt;0,'Balance Sheet'!I17/('Profit &amp; Loss'!I4/365),0)</f>
        <v>5.0979369299633159</v>
      </c>
      <c r="J20" s="5">
        <f>IF('Profit &amp; Loss'!J4&gt;0,'Balance Sheet'!J17/('Profit &amp; Loss'!J4/365),0)</f>
        <v>7.9214811710471169</v>
      </c>
      <c r="K20" s="5">
        <f>IF('Profit &amp; Loss'!K4&gt;0,'Balance Sheet'!K17/('Profit &amp; Loss'!K4/365),0)</f>
        <v>9.1790747472735408</v>
      </c>
      <c r="L20" s="5">
        <f>IF('Profit &amp; Loss'!L4&gt;0,'Balance Sheet'!L17/('Profit &amp; Loss'!L4/365),0)</f>
        <v>7.0362768906750341</v>
      </c>
    </row>
    <row r="21" spans="1:12" x14ac:dyDescent="0.25">
      <c r="A21" s="11" t="s">
        <v>42</v>
      </c>
      <c r="B21" s="5">
        <f>IF('Balance Sheet'!B18&gt;0,'Profit &amp; Loss'!B4/'Balance Sheet'!B18,0)</f>
        <v>18.02112676056338</v>
      </c>
      <c r="C21" s="5">
        <f>IF('Balance Sheet'!C18&gt;0,'Profit &amp; Loss'!C4/'Balance Sheet'!C18,0)</f>
        <v>27.37358490566038</v>
      </c>
      <c r="D21" s="5">
        <f>IF('Balance Sheet'!D18&gt;0,'Profit &amp; Loss'!D4/'Balance Sheet'!D18,0)</f>
        <v>21.885000000000002</v>
      </c>
      <c r="E21" s="5">
        <f>IF('Balance Sheet'!E18&gt;0,'Profit &amp; Loss'!E4/'Balance Sheet'!E18,0)</f>
        <v>27.939240506329114</v>
      </c>
      <c r="F21" s="5">
        <f>IF('Balance Sheet'!F18&gt;0,'Profit &amp; Loss'!F4/'Balance Sheet'!F18,0)</f>
        <v>26.013999999999999</v>
      </c>
      <c r="G21" s="5">
        <f>IF('Balance Sheet'!G18&gt;0,'Profit &amp; Loss'!G4/'Balance Sheet'!G18,0)</f>
        <v>30.333333333333336</v>
      </c>
      <c r="H21" s="5">
        <f>IF('Balance Sheet'!H18&gt;0,'Profit &amp; Loss'!H4/'Balance Sheet'!H18,0)</f>
        <v>30.62947658402204</v>
      </c>
      <c r="I21" s="5">
        <f>IF('Balance Sheet'!I18&gt;0,'Profit &amp; Loss'!I4/'Balance Sheet'!I18,0)</f>
        <v>33.310538116591928</v>
      </c>
      <c r="J21" s="5">
        <f>IF('Balance Sheet'!J18&gt;0,'Profit &amp; Loss'!J4/'Balance Sheet'!J18,0)</f>
        <v>34.510330578512395</v>
      </c>
      <c r="K21" s="5">
        <f>IF('Balance Sheet'!K18&gt;0,'Profit &amp; Loss'!K4/'Balance Sheet'!K18,0)</f>
        <v>48.271634615384613</v>
      </c>
      <c r="L21" s="5">
        <f>IF('Balance Sheet'!L18&gt;0,'Profit &amp; Loss'!L4/'Balance Sheet'!L18,0)</f>
        <v>54.485948477751762</v>
      </c>
    </row>
    <row r="23" spans="1:12" s="8" customFormat="1" x14ac:dyDescent="0.25">
      <c r="A23" s="8" t="s">
        <v>55</v>
      </c>
      <c r="B23" s="14">
        <f>IF(SUM('Balance Sheet'!B4:B5)&gt;0,'Profit &amp; Loss'!B12/SUM('Balance Sheet'!B4:B5),"")</f>
        <v>0.24099378881987574</v>
      </c>
      <c r="C23" s="14">
        <f>IF(SUM('Balance Sheet'!C4:C5)&gt;0,'Profit &amp; Loss'!C12/SUM('Balance Sheet'!C4:C5),"")</f>
        <v>0.31134314190792595</v>
      </c>
      <c r="D23" s="14">
        <f>IF(SUM('Balance Sheet'!D4:D5)&gt;0,'Profit &amp; Loss'!D12/SUM('Balance Sheet'!D4:D5),"")</f>
        <v>0.21237864077669905</v>
      </c>
      <c r="E23" s="14">
        <f>IF(SUM('Balance Sheet'!E4:E5)&gt;0,'Profit &amp; Loss'!E12/SUM('Balance Sheet'!E4:E5),"")</f>
        <v>0.23595505617977527</v>
      </c>
      <c r="F23" s="14">
        <f>IF(SUM('Balance Sheet'!F4:F5)&gt;0,'Profit &amp; Loss'!F12/SUM('Balance Sheet'!F4:F5),"")</f>
        <v>0.28770186335403725</v>
      </c>
      <c r="G23" s="14">
        <f>IF(SUM('Balance Sheet'!G4:G5)&gt;0,'Profit &amp; Loss'!G12/SUM('Balance Sheet'!G4:G5),"")</f>
        <v>0.23822660098522166</v>
      </c>
      <c r="H23" s="14">
        <f>IF(SUM('Balance Sheet'!H4:H5)&gt;0,'Profit &amp; Loss'!H12/SUM('Balance Sheet'!H4:H5),"")</f>
        <v>0.19554900998199967</v>
      </c>
      <c r="I23" s="14">
        <f>IF(SUM('Balance Sheet'!I4:I5)&gt;0,'Profit &amp; Loss'!I12/SUM('Balance Sheet'!I4:I5),"")</f>
        <v>0.2641720537046246</v>
      </c>
      <c r="J23" s="14">
        <f>IF(SUM('Balance Sheet'!J4:J5)&gt;0,'Profit &amp; Loss'!J12/SUM('Balance Sheet'!J4:J5),"")</f>
        <v>0.23200312989045382</v>
      </c>
      <c r="K23" s="14">
        <f>IF(SUM('Balance Sheet'!K4:K5)&gt;0,'Profit &amp; Loss'!K12/SUM('Balance Sheet'!K4:K5),"")</f>
        <v>0.27962427745664742</v>
      </c>
      <c r="L23" s="14">
        <f>IF(SUM('Balance Sheet'!L4:L5)&gt;0,'Profit &amp; Loss'!L12/SUM('Balance Sheet'!L4:L5),"")</f>
        <v>0.23232961728536949</v>
      </c>
    </row>
    <row r="24" spans="1:12" s="8" customFormat="1" x14ac:dyDescent="0.25">
      <c r="A24" s="8" t="s">
        <v>56</v>
      </c>
      <c r="B24" s="14">
        <f>IF(('Balance Sheet'!B10+'Balance Sheet'!B16)&gt;0,('Profit &amp; Loss'!B6-'Profit &amp; Loss'!B8-'Profit &amp; Loss'!B11)/('Balance Sheet'!B10+'Balance Sheet'!B16),"")</f>
        <v>0.14237855946398659</v>
      </c>
      <c r="C24" s="14">
        <f>IF(('Balance Sheet'!C10+'Balance Sheet'!C16)&gt;0,('Profit &amp; Loss'!C6-'Profit &amp; Loss'!C8-'Profit &amp; Loss'!C11)/('Balance Sheet'!C10+'Balance Sheet'!C16),"")</f>
        <v>0.14071146245059288</v>
      </c>
      <c r="D24" s="14">
        <f>IF(('Balance Sheet'!D10+'Balance Sheet'!D16)&gt;0,('Profit &amp; Loss'!D6-'Profit &amp; Loss'!D8-'Profit &amp; Loss'!D11)/('Balance Sheet'!D10+'Balance Sheet'!D16),"")</f>
        <v>0.1331935975609756</v>
      </c>
      <c r="E24" s="14">
        <f>IF(('Balance Sheet'!E10+'Balance Sheet'!E16)&gt;0,('Profit &amp; Loss'!E6-'Profit &amp; Loss'!E8-'Profit &amp; Loss'!E11)/('Balance Sheet'!E10+'Balance Sheet'!E16),"")</f>
        <v>0.13510002598077414</v>
      </c>
      <c r="F24" s="14">
        <f>IF(('Balance Sheet'!F10+'Balance Sheet'!F16)&gt;0,('Profit &amp; Loss'!F6-'Profit &amp; Loss'!F8-'Profit &amp; Loss'!F11)/('Balance Sheet'!F10+'Balance Sheet'!F16),"")</f>
        <v>0.14189650131566109</v>
      </c>
      <c r="G24" s="14">
        <f>IF(('Balance Sheet'!G10+'Balance Sheet'!G16)&gt;0,('Profit &amp; Loss'!G6-'Profit &amp; Loss'!G8-'Profit &amp; Loss'!G11)/('Balance Sheet'!G10+'Balance Sheet'!G16),"")</f>
        <v>0.10914058618976649</v>
      </c>
      <c r="H24" s="14">
        <f>IF(('Balance Sheet'!H10+'Balance Sheet'!H16)&gt;0,('Profit &amp; Loss'!H6-'Profit &amp; Loss'!H8-'Profit &amp; Loss'!H11)/('Balance Sheet'!H10+'Balance Sheet'!H16),"")</f>
        <v>9.4575165690640631E-2</v>
      </c>
      <c r="I24" s="14">
        <f>IF(('Balance Sheet'!I10+'Balance Sheet'!I16)&gt;0,('Profit &amp; Loss'!I6-'Profit &amp; Loss'!I8-'Profit &amp; Loss'!I11)/('Balance Sheet'!I10+'Balance Sheet'!I16),"")</f>
        <v>0.16226106729197753</v>
      </c>
      <c r="J24" s="14">
        <f>IF(('Balance Sheet'!J10+'Balance Sheet'!J16)&gt;0,('Profit &amp; Loss'!J6-'Profit &amp; Loss'!J8-'Profit &amp; Loss'!J11)/('Balance Sheet'!J10+'Balance Sheet'!J16),"")</f>
        <v>0.15490570800129816</v>
      </c>
      <c r="K24" s="14">
        <f>IF(('Balance Sheet'!K10+'Balance Sheet'!K16)&gt;0,('Profit &amp; Loss'!K6-'Profit &amp; Loss'!K8-'Profit &amp; Loss'!K11)/('Balance Sheet'!K10+'Balance Sheet'!K16),"")</f>
        <v>0.1864757018668948</v>
      </c>
      <c r="L24" s="14">
        <f>IF(('Balance Sheet'!L10+'Balance Sheet'!L16)&gt;0,('Profit &amp; Loss'!L6-'Profit &amp; Loss'!L8-'Profit &amp; Loss'!L11)/('Balance Sheet'!L10+'Balance Sheet'!L16),"")</f>
        <v>0.17246078054575312</v>
      </c>
    </row>
    <row r="25" spans="1:12" s="18" customFormat="1" x14ac:dyDescent="0.25"/>
    <row r="27" spans="1:12" x14ac:dyDescent="0.25">
      <c r="A27" s="85" t="str">
        <f>'Data Sheet'!A69</f>
        <v>Cash &amp; Bank</v>
      </c>
      <c r="B27" s="84">
        <f>'Data Sheet'!B69</f>
        <v>0.99</v>
      </c>
      <c r="C27" s="84">
        <f>'Data Sheet'!C69</f>
        <v>6</v>
      </c>
      <c r="D27" s="84">
        <f>'Data Sheet'!D69</f>
        <v>3.07</v>
      </c>
      <c r="E27" s="84">
        <f>'Data Sheet'!E69</f>
        <v>21.33</v>
      </c>
      <c r="F27" s="84">
        <f>'Data Sheet'!F69</f>
        <v>12.83</v>
      </c>
      <c r="G27" s="84">
        <f>'Data Sheet'!G69</f>
        <v>28.32</v>
      </c>
      <c r="H27" s="84">
        <f>'Data Sheet'!H69</f>
        <v>24.76</v>
      </c>
      <c r="I27" s="84">
        <f>'Data Sheet'!I69</f>
        <v>30.96</v>
      </c>
      <c r="J27" s="84">
        <f>'Data Sheet'!J69</f>
        <v>34.93</v>
      </c>
      <c r="K27" s="84">
        <f>'Data Sheet'!K69</f>
        <v>55.51</v>
      </c>
      <c r="L27" s="84">
        <f>'Data Sheet'!L69</f>
        <v>51.05</v>
      </c>
    </row>
    <row r="28" spans="1:12" x14ac:dyDescent="0.25">
      <c r="A28" s="8" t="s">
        <v>299</v>
      </c>
      <c r="B28" s="86">
        <f>B10+B11</f>
        <v>35.270000000000003</v>
      </c>
      <c r="C28" s="86">
        <f t="shared" ref="C28:L28" si="2">C10+C11</f>
        <v>49.09</v>
      </c>
      <c r="D28" s="86">
        <f t="shared" si="2"/>
        <v>59.410000000000004</v>
      </c>
      <c r="E28" s="86">
        <f t="shared" si="2"/>
        <v>80.789999999999992</v>
      </c>
      <c r="F28" s="86">
        <f t="shared" si="2"/>
        <v>140.67000000000002</v>
      </c>
      <c r="G28" s="86">
        <f t="shared" si="2"/>
        <v>223.35999999999999</v>
      </c>
      <c r="H28" s="86">
        <f t="shared" si="2"/>
        <v>288.54999999999995</v>
      </c>
      <c r="I28" s="86">
        <f t="shared" si="2"/>
        <v>284.18</v>
      </c>
      <c r="J28" s="86">
        <f t="shared" si="2"/>
        <v>282.12</v>
      </c>
      <c r="K28" s="86">
        <f t="shared" si="2"/>
        <v>297.60000000000002</v>
      </c>
      <c r="L28" s="86">
        <f t="shared" si="2"/>
        <v>349.09</v>
      </c>
    </row>
    <row r="29" spans="1:12" x14ac:dyDescent="0.25">
      <c r="K29" s="86">
        <f>K13-K17-K18</f>
        <v>69.52000000000001</v>
      </c>
    </row>
    <row r="30" spans="1:12" ht="75" x14ac:dyDescent="0.25">
      <c r="A30" s="87" t="s">
        <v>300</v>
      </c>
      <c r="B30" s="86">
        <f>B14-B28</f>
        <v>11.089999999999996</v>
      </c>
      <c r="C30" s="86">
        <f t="shared" ref="C30:K30" si="3">C14-C28</f>
        <v>26.379999999999995</v>
      </c>
      <c r="D30" s="86">
        <f t="shared" si="3"/>
        <v>29.32</v>
      </c>
      <c r="E30" s="86">
        <f t="shared" si="3"/>
        <v>40.190000000000012</v>
      </c>
      <c r="F30" s="86">
        <f t="shared" si="3"/>
        <v>33.70999999999998</v>
      </c>
      <c r="G30" s="86">
        <f t="shared" si="3"/>
        <v>60.750000000000028</v>
      </c>
      <c r="H30" s="86">
        <f t="shared" si="3"/>
        <v>51.590000000000032</v>
      </c>
      <c r="I30" s="86">
        <f t="shared" si="3"/>
        <v>62.409999999999968</v>
      </c>
      <c r="J30" s="86">
        <f t="shared" si="3"/>
        <v>70.81</v>
      </c>
      <c r="K30" s="86">
        <f t="shared" si="3"/>
        <v>91.659999999999968</v>
      </c>
      <c r="L30" s="86">
        <f>L14-L28</f>
        <v>78.930000000000007</v>
      </c>
    </row>
    <row r="31" spans="1:12" x14ac:dyDescent="0.25">
      <c r="A31" s="11" t="s">
        <v>301</v>
      </c>
      <c r="B31" s="86">
        <f>B30-B18-B17-B27</f>
        <v>5.8299999999999965</v>
      </c>
      <c r="C31" s="86">
        <f t="shared" ref="C31:L31" si="4">C30-C18-C17-C27</f>
        <v>15.909999999999997</v>
      </c>
      <c r="D31" s="86">
        <f t="shared" si="4"/>
        <v>19</v>
      </c>
      <c r="E31" s="86">
        <f t="shared" si="4"/>
        <v>11.63000000000001</v>
      </c>
      <c r="F31" s="86">
        <f t="shared" si="4"/>
        <v>11.559999999999979</v>
      </c>
      <c r="G31" s="86">
        <f t="shared" si="4"/>
        <v>20.050000000000033</v>
      </c>
      <c r="H31" s="86">
        <f t="shared" si="4"/>
        <v>16.370000000000029</v>
      </c>
      <c r="I31" s="86">
        <f t="shared" si="4"/>
        <v>18.379999999999967</v>
      </c>
      <c r="J31" s="86">
        <f t="shared" si="4"/>
        <v>18.950000000000003</v>
      </c>
      <c r="K31" s="86">
        <f t="shared" si="4"/>
        <v>17.729999999999983</v>
      </c>
      <c r="L31" s="86">
        <f t="shared" si="4"/>
        <v>10.370000000000019</v>
      </c>
    </row>
  </sheetData>
  <hyperlinks>
    <hyperlink ref="J1" r:id="rId1"/>
  </hyperlinks>
  <printOptions gridLines="1"/>
  <pageMargins left="0.7" right="0.7" top="0.75" bottom="0.75" header="0.3" footer="0.3"/>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6.85546875" style="6" bestFit="1" customWidth="1"/>
    <col min="2" max="6" width="13.5703125" style="6" customWidth="1"/>
    <col min="7" max="11" width="13.5703125" style="6" bestFit="1" customWidth="1"/>
    <col min="12" max="12" width="10.85546875" style="6" customWidth="1"/>
    <col min="13" max="16384" width="9.140625" style="6"/>
  </cols>
  <sheetData>
    <row r="1" spans="1:12" s="8" customFormat="1" x14ac:dyDescent="0.25">
      <c r="A1" s="8" t="str">
        <f>'Balance Sheet'!A1</f>
        <v>KOVAI MEDICAL CENTER &amp; HOSPITAL LTD</v>
      </c>
      <c r="E1" t="str">
        <f>UPDATE</f>
        <v/>
      </c>
      <c r="F1"/>
      <c r="J1" s="4" t="s">
        <v>1</v>
      </c>
      <c r="K1" s="4"/>
    </row>
    <row r="3" spans="1:12" s="2" customFormat="1" x14ac:dyDescent="0.25">
      <c r="A3" s="15" t="s">
        <v>2</v>
      </c>
      <c r="B3" s="16">
        <f>'Data Sheet'!B81</f>
        <v>38807</v>
      </c>
      <c r="C3" s="16">
        <f>'Data Sheet'!C81</f>
        <v>39172</v>
      </c>
      <c r="D3" s="16">
        <f>'Data Sheet'!D81</f>
        <v>39538</v>
      </c>
      <c r="E3" s="16">
        <f>'Data Sheet'!E81</f>
        <v>39903</v>
      </c>
      <c r="F3" s="16">
        <f>'Data Sheet'!F81</f>
        <v>40268</v>
      </c>
      <c r="G3" s="16">
        <f>'Data Sheet'!G81</f>
        <v>40633</v>
      </c>
      <c r="H3" s="16">
        <f>'Data Sheet'!H81</f>
        <v>40999</v>
      </c>
      <c r="I3" s="16">
        <f>'Data Sheet'!I81</f>
        <v>41364</v>
      </c>
      <c r="J3" s="16">
        <f>'Data Sheet'!J81</f>
        <v>41729</v>
      </c>
      <c r="K3" s="16">
        <f>'Data Sheet'!K81</f>
        <v>42094</v>
      </c>
      <c r="L3" s="16">
        <f>'Data Sheet'!L81</f>
        <v>42460</v>
      </c>
    </row>
    <row r="4" spans="1:12" s="8" customFormat="1" x14ac:dyDescent="0.25">
      <c r="A4" s="8" t="s">
        <v>27</v>
      </c>
      <c r="B4" s="1">
        <f>'Data Sheet'!B82</f>
        <v>8.26</v>
      </c>
      <c r="C4" s="1">
        <f>'Data Sheet'!C82</f>
        <v>4.9000000000000004</v>
      </c>
      <c r="D4" s="1">
        <f>'Data Sheet'!D82</f>
        <v>12.8</v>
      </c>
      <c r="E4" s="1">
        <f>'Data Sheet'!E82</f>
        <v>14.82</v>
      </c>
      <c r="F4" s="1">
        <f>'Data Sheet'!F82</f>
        <v>23.94</v>
      </c>
      <c r="G4" s="1">
        <f>'Data Sheet'!G82</f>
        <v>41.24</v>
      </c>
      <c r="H4" s="1">
        <f>'Data Sheet'!H82</f>
        <v>55.57</v>
      </c>
      <c r="I4" s="1">
        <f>'Data Sheet'!I82</f>
        <v>61.81</v>
      </c>
      <c r="J4" s="1">
        <f>'Data Sheet'!J82</f>
        <v>67.61</v>
      </c>
      <c r="K4" s="1">
        <f>'Data Sheet'!K82</f>
        <v>97.2</v>
      </c>
      <c r="L4" s="1">
        <f>'Data Sheet'!L82</f>
        <v>104</v>
      </c>
    </row>
    <row r="5" spans="1:12" x14ac:dyDescent="0.25">
      <c r="A5" s="6" t="s">
        <v>28</v>
      </c>
      <c r="B5" s="9">
        <f>'Data Sheet'!B83</f>
        <v>-5.95</v>
      </c>
      <c r="C5" s="9">
        <f>'Data Sheet'!C83</f>
        <v>-18.21</v>
      </c>
      <c r="D5" s="9">
        <f>'Data Sheet'!D83</f>
        <v>-16.170000000000002</v>
      </c>
      <c r="E5" s="9">
        <f>'Data Sheet'!E83</f>
        <v>-23.2</v>
      </c>
      <c r="F5" s="9">
        <f>'Data Sheet'!F83</f>
        <v>-63.83</v>
      </c>
      <c r="G5" s="9">
        <f>'Data Sheet'!G83</f>
        <v>-97.17</v>
      </c>
      <c r="H5" s="9">
        <f>'Data Sheet'!H83</f>
        <v>-76.55</v>
      </c>
      <c r="I5" s="9">
        <f>'Data Sheet'!I83</f>
        <v>-8.52</v>
      </c>
      <c r="J5" s="9">
        <f>'Data Sheet'!J83</f>
        <v>-12.09</v>
      </c>
      <c r="K5" s="9">
        <f>'Data Sheet'!K83</f>
        <v>-33.36</v>
      </c>
      <c r="L5" s="9">
        <f>'Data Sheet'!L83</f>
        <v>0</v>
      </c>
    </row>
    <row r="6" spans="1:12" x14ac:dyDescent="0.25">
      <c r="A6" s="6" t="s">
        <v>29</v>
      </c>
      <c r="B6" s="9">
        <f>'Data Sheet'!B84</f>
        <v>-1.85</v>
      </c>
      <c r="C6" s="9">
        <f>'Data Sheet'!C84</f>
        <v>18.32</v>
      </c>
      <c r="D6" s="9">
        <f>'Data Sheet'!D84</f>
        <v>0.44</v>
      </c>
      <c r="E6" s="9">
        <f>'Data Sheet'!E84</f>
        <v>26.64</v>
      </c>
      <c r="F6" s="9">
        <f>'Data Sheet'!F84</f>
        <v>31.39</v>
      </c>
      <c r="G6" s="9">
        <f>'Data Sheet'!G84</f>
        <v>71.42</v>
      </c>
      <c r="H6" s="9">
        <f>'Data Sheet'!H84</f>
        <v>17.420000000000002</v>
      </c>
      <c r="I6" s="9">
        <f>'Data Sheet'!I84</f>
        <v>-47.5</v>
      </c>
      <c r="J6" s="9">
        <f>'Data Sheet'!J84</f>
        <v>-51.55</v>
      </c>
      <c r="K6" s="9">
        <f>'Data Sheet'!K84</f>
        <v>-43.26</v>
      </c>
      <c r="L6" s="9">
        <f>'Data Sheet'!L84</f>
        <v>0</v>
      </c>
    </row>
    <row r="7" spans="1:12" s="8" customFormat="1" x14ac:dyDescent="0.25">
      <c r="A7" s="8" t="s">
        <v>30</v>
      </c>
      <c r="B7" s="1">
        <f>'Data Sheet'!B85</f>
        <v>0.46</v>
      </c>
      <c r="C7" s="1">
        <f>'Data Sheet'!C85</f>
        <v>5.01</v>
      </c>
      <c r="D7" s="1">
        <f>'Data Sheet'!D85</f>
        <v>-2.93</v>
      </c>
      <c r="E7" s="1">
        <f>'Data Sheet'!E85</f>
        <v>18.260000000000002</v>
      </c>
      <c r="F7" s="1">
        <f>'Data Sheet'!F85</f>
        <v>-8.5</v>
      </c>
      <c r="G7" s="1">
        <f>'Data Sheet'!G85</f>
        <v>15.49</v>
      </c>
      <c r="H7" s="1">
        <f>'Data Sheet'!H85</f>
        <v>-3.56</v>
      </c>
      <c r="I7" s="1">
        <f>'Data Sheet'!I85</f>
        <v>5.79</v>
      </c>
      <c r="J7" s="1">
        <f>'Data Sheet'!J85</f>
        <v>3.97</v>
      </c>
      <c r="K7" s="1">
        <f>'Data Sheet'!K85</f>
        <v>20.58</v>
      </c>
      <c r="L7" s="1">
        <f>'Data Sheet'!L85</f>
        <v>0</v>
      </c>
    </row>
    <row r="8" spans="1:12"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52</v>
      </c>
    </row>
    <row r="3" spans="1:7" x14ac:dyDescent="0.25">
      <c r="A3" s="8" t="s">
        <v>43</v>
      </c>
    </row>
    <row r="4" spans="1:7" x14ac:dyDescent="0.25">
      <c r="B4" s="11" t="s">
        <v>85</v>
      </c>
    </row>
    <row r="5" spans="1:7" x14ac:dyDescent="0.25">
      <c r="B5" s="11" t="s">
        <v>44</v>
      </c>
    </row>
    <row r="7" spans="1:7" x14ac:dyDescent="0.25">
      <c r="A7" s="8" t="s">
        <v>45</v>
      </c>
    </row>
    <row r="8" spans="1:7" x14ac:dyDescent="0.25">
      <c r="B8" s="11" t="s">
        <v>46</v>
      </c>
      <c r="C8" s="27" t="s">
        <v>86</v>
      </c>
    </row>
    <row r="10" spans="1:7" x14ac:dyDescent="0.25">
      <c r="A10" s="8" t="s">
        <v>47</v>
      </c>
    </row>
    <row r="11" spans="1:7" x14ac:dyDescent="0.25">
      <c r="B11" s="11" t="s">
        <v>48</v>
      </c>
    </row>
    <row r="14" spans="1:7" x14ac:dyDescent="0.25">
      <c r="A14" s="8" t="s">
        <v>49</v>
      </c>
    </row>
    <row r="15" spans="1:7" x14ac:dyDescent="0.25">
      <c r="B15" s="11" t="s">
        <v>50</v>
      </c>
    </row>
    <row r="16" spans="1:7" x14ac:dyDescent="0.25">
      <c r="B16" s="11" t="s">
        <v>51</v>
      </c>
      <c r="G16" s="28" t="s">
        <v>87</v>
      </c>
    </row>
  </sheetData>
  <hyperlinks>
    <hyperlink ref="C8" r:id="rId1" display=" http://www.screener.in/exce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workbookViewId="0">
      <pane xSplit="1" ySplit="17" topLeftCell="B18" activePane="bottomRight" state="frozen"/>
      <selection pane="topRight" activeCell="B1" sqref="B1"/>
      <selection pane="bottomLeft" activeCell="A18" sqref="A18"/>
      <selection pane="bottomRight" activeCell="E27" sqref="E27"/>
    </sheetView>
  </sheetViews>
  <sheetFormatPr defaultRowHeight="15" x14ac:dyDescent="0.25"/>
  <cols>
    <col min="1" max="1" width="55.42578125" customWidth="1"/>
    <col min="2" max="3" width="14.85546875" bestFit="1" customWidth="1"/>
    <col min="4" max="4" width="14.7109375" bestFit="1" customWidth="1"/>
    <col min="5" max="5" width="11.28515625" bestFit="1" customWidth="1"/>
    <col min="8" max="8" width="11.28515625" bestFit="1" customWidth="1"/>
  </cols>
  <sheetData>
    <row r="1" spans="1:10" x14ac:dyDescent="0.25">
      <c r="A1" s="246" t="s">
        <v>546</v>
      </c>
      <c r="B1" s="249">
        <f>SUM(B3:B8)</f>
        <v>100</v>
      </c>
      <c r="C1" s="249">
        <f>SUM(C3:C8)</f>
        <v>58.6</v>
      </c>
      <c r="D1" s="250">
        <f>C1/B1</f>
        <v>0.58599999999999997</v>
      </c>
    </row>
    <row r="2" spans="1:10" x14ac:dyDescent="0.25">
      <c r="A2" s="247" t="s">
        <v>519</v>
      </c>
      <c r="B2" s="251" t="s">
        <v>520</v>
      </c>
      <c r="C2" s="251" t="s">
        <v>521</v>
      </c>
      <c r="D2" s="251" t="s">
        <v>522</v>
      </c>
    </row>
    <row r="3" spans="1:10" x14ac:dyDescent="0.25">
      <c r="A3" s="248" t="str">
        <f>A17</f>
        <v>Historic Financial Performance (CAGR 10 or 5 Years)</v>
      </c>
      <c r="B3" s="252">
        <f>$C$16*C17</f>
        <v>15</v>
      </c>
      <c r="C3" s="252">
        <f>I17</f>
        <v>7.4999999999999991</v>
      </c>
      <c r="D3" s="253">
        <f>C3/B3</f>
        <v>0.49999999999999994</v>
      </c>
    </row>
    <row r="4" spans="1:10" x14ac:dyDescent="0.25">
      <c r="A4" s="248" t="str">
        <f>A29</f>
        <v>Financial Attractiveness</v>
      </c>
      <c r="B4" s="252">
        <f>$C$16*C29</f>
        <v>15</v>
      </c>
      <c r="C4" s="252">
        <f>I29</f>
        <v>12.000000000000002</v>
      </c>
      <c r="D4" s="253">
        <f t="shared" ref="D4:D8" si="0">C4/B4</f>
        <v>0.80000000000000016</v>
      </c>
    </row>
    <row r="5" spans="1:10" x14ac:dyDescent="0.25">
      <c r="A5" s="248" t="str">
        <f>A40</f>
        <v>Corporate Governance</v>
      </c>
      <c r="B5" s="252">
        <f>$C$16*C40</f>
        <v>20</v>
      </c>
      <c r="C5" s="252">
        <f>I40</f>
        <v>14.200000000000003</v>
      </c>
      <c r="D5" s="253">
        <f t="shared" si="0"/>
        <v>0.71000000000000019</v>
      </c>
    </row>
    <row r="6" spans="1:10" x14ac:dyDescent="0.25">
      <c r="A6" s="248" t="str">
        <f>A50</f>
        <v>Business Performnce/Strength</v>
      </c>
      <c r="B6" s="252">
        <f>$C$16*C50</f>
        <v>20</v>
      </c>
      <c r="C6" s="252">
        <f>I50</f>
        <v>12.9</v>
      </c>
      <c r="D6" s="253">
        <f t="shared" si="0"/>
        <v>0.64500000000000002</v>
      </c>
    </row>
    <row r="7" spans="1:10" x14ac:dyDescent="0.25">
      <c r="A7" s="248" t="str">
        <f>A56</f>
        <v>Market Potential</v>
      </c>
      <c r="B7" s="252">
        <f>$C$16*C56</f>
        <v>15</v>
      </c>
      <c r="C7" s="252">
        <f>I56</f>
        <v>8.25</v>
      </c>
      <c r="D7" s="253">
        <f t="shared" si="0"/>
        <v>0.55000000000000004</v>
      </c>
    </row>
    <row r="8" spans="1:10" x14ac:dyDescent="0.25">
      <c r="A8" s="248" t="str">
        <f>A60</f>
        <v>Valuation Attractiveness</v>
      </c>
      <c r="B8" s="252">
        <f>$C$16*C60</f>
        <v>15</v>
      </c>
      <c r="C8" s="252">
        <f>I60</f>
        <v>3.75</v>
      </c>
      <c r="D8" s="253">
        <f t="shared" si="0"/>
        <v>0.25</v>
      </c>
    </row>
    <row r="14" spans="1:10" x14ac:dyDescent="0.25">
      <c r="A14" t="s">
        <v>512</v>
      </c>
    </row>
    <row r="15" spans="1:10" x14ac:dyDescent="0.25">
      <c r="A15" s="245" t="s">
        <v>517</v>
      </c>
    </row>
    <row r="16" spans="1:10" x14ac:dyDescent="0.25">
      <c r="A16" t="s">
        <v>518</v>
      </c>
      <c r="C16">
        <v>100</v>
      </c>
      <c r="I16" t="s">
        <v>521</v>
      </c>
      <c r="J16" t="s">
        <v>520</v>
      </c>
    </row>
    <row r="17" spans="1:22" x14ac:dyDescent="0.25">
      <c r="A17" s="38" t="s">
        <v>504</v>
      </c>
      <c r="B17" s="38"/>
      <c r="C17" s="72">
        <v>0.15</v>
      </c>
      <c r="D17" t="s">
        <v>502</v>
      </c>
      <c r="E17" t="s">
        <v>222</v>
      </c>
      <c r="F17" t="s">
        <v>503</v>
      </c>
      <c r="G17" t="s">
        <v>547</v>
      </c>
      <c r="H17" t="s">
        <v>522</v>
      </c>
      <c r="I17">
        <f>SUM(G18:G27)</f>
        <v>7.4999999999999991</v>
      </c>
      <c r="J17">
        <f>$C$16*C17</f>
        <v>15</v>
      </c>
      <c r="M17">
        <v>1</v>
      </c>
      <c r="N17">
        <v>2</v>
      </c>
      <c r="O17">
        <v>3</v>
      </c>
      <c r="P17">
        <v>4</v>
      </c>
      <c r="Q17">
        <v>5</v>
      </c>
      <c r="R17">
        <v>6</v>
      </c>
      <c r="S17">
        <v>7</v>
      </c>
      <c r="T17">
        <v>8</v>
      </c>
      <c r="U17">
        <v>9</v>
      </c>
      <c r="V17">
        <v>10</v>
      </c>
    </row>
    <row r="18" spans="1:22" x14ac:dyDescent="0.25">
      <c r="A18" s="232" t="s">
        <v>492</v>
      </c>
      <c r="B18" s="232" t="s">
        <v>528</v>
      </c>
      <c r="C18" s="72">
        <v>0.1</v>
      </c>
      <c r="D18" s="237">
        <f>$C$17*C18*100</f>
        <v>1.5</v>
      </c>
      <c r="E18" s="72">
        <f>Analysis2!B13</f>
        <v>0.24691045712726689</v>
      </c>
      <c r="F18">
        <f t="shared" ref="F18:F27" si="1">IF(E18&lt;=M18,$M$17,IF(AND(E18&gt;M18,E18&lt;=N18),$N$17,IF(AND(E18&gt;N18,E18&lt;=O18),$O$17,IF(AND(E18&gt;O18,E18&lt;=P18),$P$17,IF(AND(E18&gt;P18,E18&lt;=Q18),$Q$17,IF(AND(E18&gt;Q18,E18&lt;=R18),$R$17,IF(AND(E18&gt;R18,E18&lt;=S18),$S$17,IF(AND(E18&gt;S18,E18&lt;=T18),$T$17,IF(AND(E18&gt;T18,E18&lt;=U18),$U$17,$V$17)))))))))</f>
        <v>6</v>
      </c>
      <c r="G18">
        <f>(F18/10)*D18</f>
        <v>0.89999999999999991</v>
      </c>
      <c r="H18" s="238">
        <f>G18/D18</f>
        <v>0.6</v>
      </c>
      <c r="M18" s="72">
        <v>0</v>
      </c>
      <c r="N18" s="72">
        <v>0.05</v>
      </c>
      <c r="O18" s="72">
        <v>0.1</v>
      </c>
      <c r="P18" s="72">
        <v>0.15</v>
      </c>
      <c r="Q18" s="72">
        <v>0.2</v>
      </c>
      <c r="R18" s="72">
        <v>0.25</v>
      </c>
      <c r="S18" s="72">
        <v>0.3</v>
      </c>
      <c r="T18" s="72">
        <v>0.35</v>
      </c>
      <c r="U18" s="72">
        <v>0.4</v>
      </c>
    </row>
    <row r="19" spans="1:22" x14ac:dyDescent="0.25">
      <c r="A19" s="232" t="s">
        <v>493</v>
      </c>
      <c r="B19" s="232" t="s">
        <v>528</v>
      </c>
      <c r="C19" s="72">
        <v>0.1</v>
      </c>
      <c r="D19" s="237">
        <f t="shared" ref="D19:D27" si="2">$C$17*C19*100</f>
        <v>1.5</v>
      </c>
      <c r="E19" s="72">
        <f>Analysis2!E13</f>
        <v>0.26452267703428767</v>
      </c>
      <c r="F19">
        <f t="shared" si="1"/>
        <v>7</v>
      </c>
      <c r="G19">
        <f t="shared" ref="G19:G27" si="3">(F19/10)*D19</f>
        <v>1.0499999999999998</v>
      </c>
      <c r="H19" s="238">
        <f t="shared" ref="H19:H27" si="4">G19/D19</f>
        <v>0.69999999999999984</v>
      </c>
      <c r="M19" s="72">
        <v>0</v>
      </c>
      <c r="N19" s="72">
        <v>0.05</v>
      </c>
      <c r="O19" s="72">
        <v>0.1</v>
      </c>
      <c r="P19" s="72">
        <v>0.15</v>
      </c>
      <c r="Q19" s="72">
        <v>0.2</v>
      </c>
      <c r="R19" s="72">
        <v>0.25</v>
      </c>
      <c r="S19" s="72">
        <v>0.3</v>
      </c>
      <c r="T19" s="72">
        <v>0.35</v>
      </c>
      <c r="U19" s="72">
        <v>0.4</v>
      </c>
    </row>
    <row r="20" spans="1:22" x14ac:dyDescent="0.25">
      <c r="A20" s="232" t="s">
        <v>494</v>
      </c>
      <c r="B20" s="232" t="s">
        <v>528</v>
      </c>
      <c r="C20" s="72">
        <v>0.1</v>
      </c>
      <c r="D20" s="237">
        <f t="shared" si="2"/>
        <v>1.5</v>
      </c>
      <c r="E20" s="72">
        <f>'Financial Analysis'!N8</f>
        <v>0.25526728742685556</v>
      </c>
      <c r="F20">
        <f t="shared" si="1"/>
        <v>7</v>
      </c>
      <c r="G20">
        <f t="shared" si="3"/>
        <v>1.0499999999999998</v>
      </c>
      <c r="H20" s="238">
        <f t="shared" si="4"/>
        <v>0.69999999999999984</v>
      </c>
      <c r="M20" s="72">
        <v>0</v>
      </c>
      <c r="N20" s="72">
        <v>0.05</v>
      </c>
      <c r="O20" s="72">
        <v>0.1</v>
      </c>
      <c r="P20" s="72">
        <v>0.15</v>
      </c>
      <c r="Q20" s="72">
        <v>0.2</v>
      </c>
      <c r="R20" s="72">
        <v>0.25</v>
      </c>
      <c r="S20" s="72">
        <v>0.3</v>
      </c>
      <c r="T20" s="72">
        <v>0.35</v>
      </c>
      <c r="U20" s="72">
        <v>0.4</v>
      </c>
    </row>
    <row r="21" spans="1:22" x14ac:dyDescent="0.25">
      <c r="A21" s="232" t="s">
        <v>495</v>
      </c>
      <c r="B21" s="232" t="s">
        <v>528</v>
      </c>
      <c r="C21" s="72">
        <v>0.1</v>
      </c>
      <c r="D21" s="237">
        <f t="shared" si="2"/>
        <v>1.5</v>
      </c>
      <c r="E21" s="72">
        <f>'Financial Analysis'!N61</f>
        <v>-3.4301213328003843E-2</v>
      </c>
      <c r="F21">
        <f t="shared" si="1"/>
        <v>1</v>
      </c>
      <c r="G21">
        <f t="shared" si="3"/>
        <v>0.15000000000000002</v>
      </c>
      <c r="H21" s="238">
        <f t="shared" si="4"/>
        <v>0.10000000000000002</v>
      </c>
      <c r="M21" s="72">
        <v>0</v>
      </c>
      <c r="N21" s="72">
        <v>0.02</v>
      </c>
      <c r="O21" s="72">
        <v>0.04</v>
      </c>
      <c r="P21" s="72">
        <v>0.06</v>
      </c>
      <c r="Q21" s="72">
        <v>0.08</v>
      </c>
      <c r="R21" s="72">
        <v>0.1</v>
      </c>
      <c r="S21" s="72">
        <v>0.12</v>
      </c>
      <c r="T21" s="72">
        <v>0.14000000000000001</v>
      </c>
      <c r="U21" s="72">
        <v>0.16</v>
      </c>
    </row>
    <row r="22" spans="1:22" x14ac:dyDescent="0.25">
      <c r="A22" s="232" t="s">
        <v>496</v>
      </c>
      <c r="B22" s="232" t="s">
        <v>528</v>
      </c>
      <c r="C22" s="72">
        <v>0.1</v>
      </c>
      <c r="D22" s="237">
        <f t="shared" si="2"/>
        <v>1.5</v>
      </c>
      <c r="E22" s="72">
        <f>'Financial Analysis'!N30</f>
        <v>-4.9855600809428635E-3</v>
      </c>
      <c r="F22">
        <f t="shared" si="1"/>
        <v>1</v>
      </c>
      <c r="G22">
        <f t="shared" si="3"/>
        <v>0.15000000000000002</v>
      </c>
      <c r="H22" s="238">
        <f t="shared" si="4"/>
        <v>0.10000000000000002</v>
      </c>
      <c r="M22" s="72">
        <v>0</v>
      </c>
      <c r="N22" s="72">
        <v>0.02</v>
      </c>
      <c r="O22" s="72">
        <v>0.04</v>
      </c>
      <c r="P22" s="72">
        <v>0.06</v>
      </c>
      <c r="Q22" s="72">
        <v>0.08</v>
      </c>
      <c r="R22" s="72">
        <v>0.1</v>
      </c>
      <c r="S22" s="72">
        <v>0.12</v>
      </c>
      <c r="T22" s="72">
        <v>0.14000000000000001</v>
      </c>
      <c r="U22" s="72">
        <v>0.16</v>
      </c>
    </row>
    <row r="23" spans="1:22" x14ac:dyDescent="0.25">
      <c r="A23" s="232" t="s">
        <v>497</v>
      </c>
      <c r="B23" s="232" t="s">
        <v>528</v>
      </c>
      <c r="C23" s="72">
        <v>0.1</v>
      </c>
      <c r="D23" s="237">
        <f t="shared" si="2"/>
        <v>1.5</v>
      </c>
      <c r="E23" s="72">
        <f>-'Financial Analysis'!N94</f>
        <v>6.8811672300645332E-2</v>
      </c>
      <c r="F23">
        <f t="shared" si="1"/>
        <v>5</v>
      </c>
      <c r="G23">
        <f t="shared" si="3"/>
        <v>0.75</v>
      </c>
      <c r="H23" s="238">
        <f t="shared" si="4"/>
        <v>0.5</v>
      </c>
      <c r="M23" s="72">
        <v>0</v>
      </c>
      <c r="N23" s="72">
        <v>0.02</v>
      </c>
      <c r="O23" s="72">
        <v>0.04</v>
      </c>
      <c r="P23" s="72">
        <v>0.06</v>
      </c>
      <c r="Q23" s="72">
        <v>0.08</v>
      </c>
      <c r="R23" s="72">
        <v>0.1</v>
      </c>
      <c r="S23" s="72">
        <v>0.12</v>
      </c>
      <c r="T23" s="72">
        <v>0.14000000000000001</v>
      </c>
      <c r="U23" s="72">
        <v>0.16</v>
      </c>
    </row>
    <row r="24" spans="1:22" x14ac:dyDescent="0.25">
      <c r="A24" s="232" t="s">
        <v>498</v>
      </c>
      <c r="B24" s="232" t="s">
        <v>528</v>
      </c>
      <c r="C24" s="72">
        <v>0.1</v>
      </c>
      <c r="D24" s="237">
        <f t="shared" si="2"/>
        <v>1.5</v>
      </c>
      <c r="E24" s="72">
        <f>'Financial Analysis'!N57</f>
        <v>1.2155641851912646E-2</v>
      </c>
      <c r="F24">
        <f t="shared" si="1"/>
        <v>2</v>
      </c>
      <c r="G24">
        <f t="shared" si="3"/>
        <v>0.30000000000000004</v>
      </c>
      <c r="H24" s="238">
        <f t="shared" si="4"/>
        <v>0.20000000000000004</v>
      </c>
      <c r="M24" s="72">
        <v>0</v>
      </c>
      <c r="N24" s="72">
        <v>0.02</v>
      </c>
      <c r="O24" s="72">
        <v>0.04</v>
      </c>
      <c r="P24" s="72">
        <v>0.06</v>
      </c>
      <c r="Q24" s="72">
        <v>0.08</v>
      </c>
      <c r="R24" s="72">
        <v>0.1</v>
      </c>
      <c r="S24" s="72">
        <v>0.12</v>
      </c>
      <c r="T24" s="72">
        <v>0.14000000000000001</v>
      </c>
      <c r="U24" s="72">
        <v>0.16</v>
      </c>
    </row>
    <row r="25" spans="1:22" x14ac:dyDescent="0.25">
      <c r="A25" s="232" t="s">
        <v>523</v>
      </c>
      <c r="B25" s="232" t="s">
        <v>528</v>
      </c>
      <c r="C25" s="72">
        <v>0.1</v>
      </c>
      <c r="D25" s="237">
        <f t="shared" si="2"/>
        <v>1.5</v>
      </c>
      <c r="E25" s="72">
        <f>-Analysis2!M25</f>
        <v>-1.8229617238674223E-2</v>
      </c>
      <c r="F25">
        <f t="shared" si="1"/>
        <v>1</v>
      </c>
      <c r="G25">
        <f t="shared" si="3"/>
        <v>0.15000000000000002</v>
      </c>
      <c r="H25" s="238">
        <f t="shared" si="4"/>
        <v>0.10000000000000002</v>
      </c>
      <c r="M25" s="72">
        <v>0</v>
      </c>
      <c r="N25" s="72">
        <v>0.02</v>
      </c>
      <c r="O25" s="72">
        <v>0.04</v>
      </c>
      <c r="P25" s="72">
        <v>0.06</v>
      </c>
      <c r="Q25" s="72">
        <v>0.08</v>
      </c>
      <c r="R25" s="72">
        <v>0.1</v>
      </c>
      <c r="S25" s="72">
        <v>0.12</v>
      </c>
      <c r="T25" s="72">
        <v>0.14000000000000001</v>
      </c>
      <c r="U25" s="72">
        <v>0.16</v>
      </c>
    </row>
    <row r="26" spans="1:22" x14ac:dyDescent="0.25">
      <c r="A26" s="232" t="s">
        <v>499</v>
      </c>
      <c r="B26" s="232" t="s">
        <v>528</v>
      </c>
      <c r="C26" s="72">
        <v>0.1</v>
      </c>
      <c r="D26" s="237">
        <f t="shared" si="2"/>
        <v>1.5</v>
      </c>
      <c r="E26" s="72">
        <f>Analysis2!I13</f>
        <v>0.2882653598121323</v>
      </c>
      <c r="F26">
        <f t="shared" si="1"/>
        <v>10</v>
      </c>
      <c r="G26">
        <f t="shared" si="3"/>
        <v>1.5</v>
      </c>
      <c r="H26" s="238">
        <f t="shared" si="4"/>
        <v>1</v>
      </c>
      <c r="M26" s="72">
        <v>0</v>
      </c>
      <c r="N26" s="72">
        <v>0.02</v>
      </c>
      <c r="O26" s="72">
        <v>0.04</v>
      </c>
      <c r="P26" s="72">
        <v>0.06</v>
      </c>
      <c r="Q26" s="72">
        <v>0.08</v>
      </c>
      <c r="R26" s="72">
        <v>0.1</v>
      </c>
      <c r="S26" s="72">
        <v>0.12</v>
      </c>
      <c r="T26" s="72">
        <v>0.14000000000000001</v>
      </c>
      <c r="U26" s="72">
        <v>0.16</v>
      </c>
    </row>
    <row r="27" spans="1:22" x14ac:dyDescent="0.25">
      <c r="A27" s="232" t="s">
        <v>500</v>
      </c>
      <c r="B27" s="232" t="s">
        <v>528</v>
      </c>
      <c r="C27" s="72">
        <v>0.1</v>
      </c>
      <c r="D27" s="237">
        <f t="shared" si="2"/>
        <v>1.5</v>
      </c>
      <c r="E27" s="72">
        <f>Analysis2!J13</f>
        <v>0.23229879855291102</v>
      </c>
      <c r="F27">
        <f t="shared" si="1"/>
        <v>10</v>
      </c>
      <c r="G27">
        <f t="shared" si="3"/>
        <v>1.5</v>
      </c>
      <c r="H27" s="238">
        <f t="shared" si="4"/>
        <v>1</v>
      </c>
      <c r="M27" s="72">
        <v>0</v>
      </c>
      <c r="N27" s="72">
        <v>0.02</v>
      </c>
      <c r="O27" s="72">
        <v>0.04</v>
      </c>
      <c r="P27" s="72">
        <v>0.06</v>
      </c>
      <c r="Q27" s="72">
        <v>0.08</v>
      </c>
      <c r="R27" s="72">
        <v>0.1</v>
      </c>
      <c r="S27" s="72">
        <v>0.12</v>
      </c>
      <c r="T27" s="72">
        <v>0.14000000000000001</v>
      </c>
      <c r="U27" s="72">
        <v>0.16</v>
      </c>
    </row>
    <row r="28" spans="1:22" x14ac:dyDescent="0.25">
      <c r="A28" s="232"/>
      <c r="B28" s="232"/>
      <c r="C28" s="72"/>
      <c r="D28" s="236"/>
      <c r="E28" s="72"/>
      <c r="M28" s="72"/>
      <c r="N28" s="72"/>
      <c r="O28" s="72"/>
      <c r="P28" s="72"/>
      <c r="Q28" s="72"/>
      <c r="R28" s="72"/>
      <c r="S28" s="72"/>
      <c r="T28" s="72"/>
      <c r="U28" s="72"/>
    </row>
    <row r="29" spans="1:22" x14ac:dyDescent="0.25">
      <c r="A29" s="233" t="s">
        <v>476</v>
      </c>
      <c r="B29" s="233"/>
      <c r="C29" s="72">
        <v>0.15</v>
      </c>
      <c r="I29">
        <f>SUM(G30:G38)</f>
        <v>12.000000000000002</v>
      </c>
      <c r="J29">
        <f>$C$16*C29</f>
        <v>15</v>
      </c>
    </row>
    <row r="30" spans="1:22" x14ac:dyDescent="0.25">
      <c r="A30" s="232" t="s">
        <v>485</v>
      </c>
      <c r="B30" s="232" t="s">
        <v>528</v>
      </c>
      <c r="C30" s="72">
        <v>0.1</v>
      </c>
      <c r="D30" s="237">
        <f>$C$29*C30*100</f>
        <v>1.5</v>
      </c>
      <c r="E30" s="237">
        <f>Analysis2!L23</f>
        <v>0.72405470635559122</v>
      </c>
      <c r="F30" s="240">
        <f>IF(E30&gt;=M30,$M$17,IF(AND(E30&lt;M30,E30&gt;=N30),$N$17,IF(AND(E30&lt;N30,E30&gt;=O30),$O$17,IF(AND(E30&lt;O30,E30&gt;=P30),$P$17,IF(AND(E30&lt;P30,E30&gt;=Q30),$Q$17,IF(AND(E30&lt;Q30,E30&gt;=R30),$R$17,IF(AND(E30&lt;R30,E30&gt;=S30),$S$17,IF(AND(E30&lt;S30,E30&gt;=T30),$T$17,IF(AND(E30&lt;T30,E30&gt;=U30),$U$17,$V$17)))))))))</f>
        <v>7</v>
      </c>
      <c r="G30">
        <f t="shared" ref="G30:G38" si="5">(F30/10)*D30</f>
        <v>1.0499999999999998</v>
      </c>
      <c r="H30" s="238">
        <f t="shared" ref="H30:H38" si="6">G30/D30</f>
        <v>0.69999999999999984</v>
      </c>
      <c r="M30" s="105">
        <v>5</v>
      </c>
      <c r="N30" s="105">
        <v>3</v>
      </c>
      <c r="O30" s="105">
        <v>2</v>
      </c>
      <c r="P30" s="105">
        <v>1.5</v>
      </c>
      <c r="Q30" s="105">
        <v>1</v>
      </c>
      <c r="R30" s="105">
        <v>0.8</v>
      </c>
      <c r="S30" s="105">
        <v>0.6</v>
      </c>
      <c r="T30" s="105">
        <v>0.4</v>
      </c>
      <c r="U30" s="105">
        <v>0.2</v>
      </c>
    </row>
    <row r="31" spans="1:22" x14ac:dyDescent="0.25">
      <c r="A31" s="232" t="s">
        <v>486</v>
      </c>
      <c r="B31" s="232" t="s">
        <v>528</v>
      </c>
      <c r="C31" s="72">
        <v>0.1</v>
      </c>
      <c r="D31" s="237">
        <f t="shared" ref="D31:D38" si="7">$C$29*C31*100</f>
        <v>1.5</v>
      </c>
      <c r="E31" s="72">
        <f>AVERAGE(Analysis2!J44:L44)</f>
        <v>0.24821060362242001</v>
      </c>
      <c r="F31">
        <f>IF(E31&lt;=M31,$M$17,IF(AND(E31&gt;M31,E31&lt;=N31),$N$17,IF(AND(E31&gt;N31,E31&lt;=O31),$O$17,IF(AND(E31&gt;O31,E31&lt;=P31),$P$17,IF(AND(E31&gt;P31,E31&lt;=Q31),$Q$17,IF(AND(E31&gt;Q31,E31&lt;=R31),$R$17,IF(AND(E31&gt;R31,E31&lt;=S31),$S$17,IF(AND(E31&gt;S31,E31&lt;=T31),$T$17,IF(AND(E31&gt;T31,E31&lt;=U31),$U$17,$V$17)))))))))</f>
        <v>7</v>
      </c>
      <c r="G31">
        <f t="shared" si="5"/>
        <v>1.0499999999999998</v>
      </c>
      <c r="H31" s="238">
        <f t="shared" si="6"/>
        <v>0.69999999999999984</v>
      </c>
      <c r="M31" s="72">
        <v>0.1</v>
      </c>
      <c r="N31" s="72">
        <v>0.12</v>
      </c>
      <c r="O31" s="72">
        <v>0.14000000000000001</v>
      </c>
      <c r="P31" s="72">
        <v>0.16</v>
      </c>
      <c r="Q31" s="72">
        <v>0.18</v>
      </c>
      <c r="R31" s="72">
        <v>0.21</v>
      </c>
      <c r="S31" s="72">
        <v>0.25</v>
      </c>
      <c r="T31" s="72">
        <v>0.3</v>
      </c>
      <c r="U31" s="72">
        <v>0.38</v>
      </c>
    </row>
    <row r="32" spans="1:22" x14ac:dyDescent="0.25">
      <c r="A32" s="297" t="s">
        <v>514</v>
      </c>
      <c r="B32" s="232" t="s">
        <v>528</v>
      </c>
      <c r="C32" s="72">
        <v>0.1</v>
      </c>
      <c r="D32" s="237">
        <f t="shared" si="7"/>
        <v>1.5</v>
      </c>
      <c r="E32" s="237">
        <f>AVERAGE(Analysis2!J33:L33)</f>
        <v>2.6422389688033667</v>
      </c>
      <c r="F32">
        <f>IF(E32&lt;=M32,$M$17,IF(AND(E32&gt;M32,E32&lt;=N32),$N$17,IF(AND(E32&gt;N32,E32&lt;=O32),$O$17,IF(AND(E32&gt;O32,E32&lt;=P32),$P$17,IF(AND(E32&gt;P32,E32&lt;=Q32),$Q$17,IF(AND(E32&gt;Q32,E32&lt;=R32),$R$17,IF(AND(E32&gt;R32,E32&lt;=S32),$S$17,IF(AND(E32&gt;S32,E32&lt;=T32),$T$17,IF(AND(E32&gt;T32,E32&lt;=U32),$U$17,$V$17)))))))))</f>
        <v>10</v>
      </c>
      <c r="G32">
        <f t="shared" si="5"/>
        <v>1.5</v>
      </c>
      <c r="H32" s="238">
        <f t="shared" si="6"/>
        <v>1</v>
      </c>
      <c r="M32" s="239">
        <v>0</v>
      </c>
      <c r="N32" s="239">
        <v>0.25</v>
      </c>
      <c r="O32" s="239">
        <v>0.5</v>
      </c>
      <c r="P32" s="239">
        <v>0.75</v>
      </c>
      <c r="Q32" s="239">
        <v>1</v>
      </c>
      <c r="R32" s="239">
        <v>1.25</v>
      </c>
      <c r="S32" s="239">
        <v>1.5</v>
      </c>
      <c r="T32" s="239">
        <v>1.75</v>
      </c>
      <c r="U32" s="239">
        <v>2</v>
      </c>
    </row>
    <row r="33" spans="1:22" x14ac:dyDescent="0.25">
      <c r="A33" s="297" t="s">
        <v>515</v>
      </c>
      <c r="B33" s="232" t="s">
        <v>528</v>
      </c>
      <c r="C33" s="72">
        <v>0.1</v>
      </c>
      <c r="D33" s="237">
        <f t="shared" si="7"/>
        <v>1.5</v>
      </c>
      <c r="E33" s="237">
        <f>AVERAGE(Analysis2!J32:L32)</f>
        <v>1.5352983831595874</v>
      </c>
      <c r="F33">
        <f>IF(E33&lt;=M33,$M$17,IF(AND(E33&gt;M33,E33&lt;=N33),$N$17,IF(AND(E33&gt;N33,E33&lt;=O33),$O$17,IF(AND(E33&gt;O33,E33&lt;=P33),$P$17,IF(AND(E33&gt;P33,E33&lt;=Q33),$Q$17,IF(AND(E33&gt;Q33,E33&lt;=R33),$R$17,IF(AND(E33&gt;R33,E33&lt;=S33),$S$17,IF(AND(E33&gt;S33,E33&lt;=T33),$T$17,IF(AND(E33&gt;T33,E33&lt;=U33),$U$17,$V$17)))))))))</f>
        <v>10</v>
      </c>
      <c r="G33">
        <f t="shared" si="5"/>
        <v>1.5</v>
      </c>
      <c r="H33" s="238">
        <f t="shared" si="6"/>
        <v>1</v>
      </c>
      <c r="M33" s="239">
        <v>0</v>
      </c>
      <c r="N33" s="239">
        <v>0.1</v>
      </c>
      <c r="O33" s="239">
        <v>0.2</v>
      </c>
      <c r="P33" s="239">
        <v>0.4</v>
      </c>
      <c r="Q33" s="239">
        <v>0.6</v>
      </c>
      <c r="R33" s="239">
        <v>0.8</v>
      </c>
      <c r="S33" s="239">
        <v>1</v>
      </c>
      <c r="T33" s="239">
        <v>1.25</v>
      </c>
      <c r="U33" s="239">
        <v>1.5</v>
      </c>
    </row>
    <row r="34" spans="1:22" x14ac:dyDescent="0.25">
      <c r="A34" s="297" t="s">
        <v>516</v>
      </c>
      <c r="B34" s="232" t="s">
        <v>528</v>
      </c>
      <c r="C34" s="72">
        <v>0.15</v>
      </c>
      <c r="D34" s="237">
        <f t="shared" si="7"/>
        <v>2.25</v>
      </c>
      <c r="E34" s="237">
        <f>AVERAGE(Analysis2!J31:L31)</f>
        <v>1.0372545316248802</v>
      </c>
      <c r="F34" s="240">
        <f>IF(E34&lt;M34,$M$17,IF(AND(E34&lt;M34,E34&gt;=N34),$N$17,IF(AND(E34&lt;N34,E34&gt;=O34),$O$17,IF(AND(E34&lt;O34,E34&gt;=P34),$P$17,IF(AND(E34&lt;P34,E34&gt;=Q34),$Q$17,IF(AND(E34&lt;Q34,E34&gt;=R34),$R$17,IF(AND(E34&lt;R34,E34&gt;=S34),$S$17,IF(AND(E34&lt;S34,E34&gt;=T34),$T$17,IF(AND(E34&lt;T34,E34&gt;=U34),$U$17,$V$17)))))))))</f>
        <v>10</v>
      </c>
      <c r="G34">
        <f t="shared" si="5"/>
        <v>2.25</v>
      </c>
      <c r="H34" s="238">
        <f t="shared" si="6"/>
        <v>1</v>
      </c>
      <c r="M34" s="237">
        <v>0</v>
      </c>
      <c r="N34" s="237">
        <v>0.8</v>
      </c>
      <c r="O34" s="237">
        <v>0.7</v>
      </c>
      <c r="P34" s="237">
        <v>0.6</v>
      </c>
      <c r="Q34" s="237">
        <v>0.5</v>
      </c>
      <c r="R34" s="237">
        <v>0.4</v>
      </c>
      <c r="S34" s="237">
        <v>0.3</v>
      </c>
      <c r="T34" s="237">
        <v>0.2</v>
      </c>
      <c r="U34" s="237">
        <v>0.1</v>
      </c>
    </row>
    <row r="35" spans="1:22" x14ac:dyDescent="0.25">
      <c r="A35" s="232" t="s">
        <v>487</v>
      </c>
      <c r="B35" s="232" t="s">
        <v>528</v>
      </c>
      <c r="C35" s="72">
        <v>0.15</v>
      </c>
      <c r="D35" s="237">
        <f t="shared" si="7"/>
        <v>2.25</v>
      </c>
      <c r="E35" s="72">
        <f>AVERAGE(Analysis2!J25:L25)</f>
        <v>-3.7900113182237745E-2</v>
      </c>
      <c r="F35" s="240">
        <f>IF(E35&gt;=M35,$M$17,IF(AND(E35&lt;M35,E35&gt;=N35),$N$17,IF(AND(E35&lt;N35,E35&gt;=O35),$O$17,IF(AND(E35&lt;O35,E35&gt;=P35),$P$17,IF(AND(E35&lt;P35,E35&gt;=Q35),$Q$17,IF(AND(E35&lt;Q35,E35&gt;=R35),$R$17,IF(AND(E35&lt;R35,E35&gt;=S35),$S$17,IF(AND(E35&lt;S35,E35&gt;=T35),$T$17,IF(AND(E35&lt;T35,E35&gt;=U35),$U$17,$V$17)))))))))</f>
        <v>10</v>
      </c>
      <c r="G35">
        <f t="shared" si="5"/>
        <v>2.25</v>
      </c>
      <c r="H35" s="238">
        <f t="shared" si="6"/>
        <v>1</v>
      </c>
      <c r="M35" s="238">
        <v>1</v>
      </c>
      <c r="N35" s="238">
        <v>0.8</v>
      </c>
      <c r="O35" s="238">
        <v>0.6</v>
      </c>
      <c r="P35" s="238">
        <v>0.5</v>
      </c>
      <c r="Q35" s="238">
        <v>0.4</v>
      </c>
      <c r="R35" s="238">
        <v>0.3</v>
      </c>
      <c r="S35" s="238">
        <v>0.25</v>
      </c>
      <c r="T35" s="238">
        <v>0.2</v>
      </c>
      <c r="U35" s="238">
        <v>0.15</v>
      </c>
    </row>
    <row r="36" spans="1:22" x14ac:dyDescent="0.25">
      <c r="A36" s="232" t="s">
        <v>103</v>
      </c>
      <c r="B36" s="232" t="s">
        <v>528</v>
      </c>
      <c r="C36" s="72">
        <v>0.1</v>
      </c>
      <c r="D36" s="237">
        <f t="shared" si="7"/>
        <v>1.5</v>
      </c>
      <c r="E36" s="235">
        <f>Other_input_data!L76</f>
        <v>1.9877666180880584E-3</v>
      </c>
      <c r="F36">
        <f>IF(E36&lt;=M36,$M$17,IF(AND(E36&gt;M36,E36&lt;=N36),$N$17,IF(AND(E36&gt;N36,E36&lt;=O36),$O$17,IF(AND(E36&gt;O36,E36&lt;=P36),$P$17,IF(AND(E36&gt;P36,E36&lt;=Q36),$Q$17,IF(AND(E36&gt;Q36,E36&lt;=R36),$R$17,IF(AND(E36&gt;R36,E36&lt;=S36),$S$17,IF(AND(E36&gt;S36,E36&lt;=T36),$T$17,IF(AND(E36&gt;T36,E36&lt;=U36),$U$17,$V$17)))))))))</f>
        <v>2</v>
      </c>
      <c r="G36">
        <f t="shared" si="5"/>
        <v>0.30000000000000004</v>
      </c>
      <c r="H36" s="238">
        <f t="shared" si="6"/>
        <v>0.20000000000000004</v>
      </c>
      <c r="M36" s="238">
        <v>0</v>
      </c>
      <c r="N36" s="238">
        <v>0.01</v>
      </c>
      <c r="O36" s="238">
        <v>0.02</v>
      </c>
      <c r="P36" s="238">
        <v>0.03</v>
      </c>
      <c r="Q36" s="238">
        <v>0.04</v>
      </c>
      <c r="R36" s="238">
        <v>0.05</v>
      </c>
      <c r="S36" s="238">
        <v>0.06</v>
      </c>
      <c r="T36" s="238">
        <v>7.0000000000000007E-2</v>
      </c>
      <c r="U36" s="238">
        <v>0.08</v>
      </c>
    </row>
    <row r="37" spans="1:22" x14ac:dyDescent="0.25">
      <c r="A37" s="232" t="s">
        <v>488</v>
      </c>
      <c r="B37" s="232" t="s">
        <v>528</v>
      </c>
      <c r="C37" s="72">
        <v>0.1</v>
      </c>
      <c r="D37" s="237">
        <f t="shared" si="7"/>
        <v>1.5</v>
      </c>
      <c r="E37" s="237">
        <f>AVERAGE(Analysis2!J41:L41)</f>
        <v>1.3354999421190958</v>
      </c>
      <c r="F37">
        <f>IF(E37&lt;=M37,$M$17,IF(AND(E37&gt;M37,E37&lt;=N37),$N$17,IF(AND(E37&gt;N37,E37&lt;=O37),$O$17,IF(AND(E37&gt;O37,E37&lt;=P37),$P$17,IF(AND(E37&gt;P37,E37&lt;=Q37),$Q$17,IF(AND(E37&gt;Q37,E37&lt;=R37),$R$17,IF(AND(E37&gt;R37,E37&lt;=S37),$S$17,IF(AND(E37&gt;S37,E37&lt;=T37),$T$17,IF(AND(E37&gt;T37,E37&lt;=U37),$U$17,$V$17)))))))))</f>
        <v>8</v>
      </c>
      <c r="G37">
        <f t="shared" si="5"/>
        <v>1.2000000000000002</v>
      </c>
      <c r="H37" s="238">
        <f t="shared" si="6"/>
        <v>0.80000000000000016</v>
      </c>
      <c r="M37" s="237"/>
      <c r="N37" s="237">
        <v>0.2</v>
      </c>
      <c r="O37" s="237">
        <v>0.25</v>
      </c>
      <c r="P37" s="237">
        <v>0.5</v>
      </c>
      <c r="Q37" s="237">
        <v>0.75</v>
      </c>
      <c r="R37" s="237">
        <v>1</v>
      </c>
      <c r="S37" s="237">
        <v>1.25</v>
      </c>
      <c r="T37" s="237">
        <v>1.5</v>
      </c>
      <c r="U37" s="237">
        <v>2</v>
      </c>
    </row>
    <row r="38" spans="1:22" x14ac:dyDescent="0.25">
      <c r="A38" s="232" t="s">
        <v>491</v>
      </c>
      <c r="B38" s="232" t="s">
        <v>528</v>
      </c>
      <c r="C38" s="72">
        <v>0.1</v>
      </c>
      <c r="D38" s="237">
        <f t="shared" si="7"/>
        <v>1.5</v>
      </c>
      <c r="E38" s="235">
        <f>AVERAGE(Analysis2!J37:L37)</f>
        <v>8.4855286326347756E-2</v>
      </c>
      <c r="F38">
        <f>IF(E38&lt;=M38,$M$17,IF(AND(E38&gt;M38,E38&lt;=N38),$N$17,IF(AND(E38&gt;N38,E38&lt;=O38),$O$17,IF(AND(E38&gt;O38,E38&lt;=P38),$P$17,IF(AND(E38&gt;P38,E38&lt;=Q38),$Q$17,IF(AND(E38&gt;Q38,E38&lt;=R38),$R$17,IF(AND(E38&gt;R38,E38&lt;=S38),$S$17,IF(AND(E38&gt;S38,E38&lt;=T38),$T$17,IF(AND(E38&gt;T38,E38&lt;=U38),$U$17,$V$17)))))))))</f>
        <v>6</v>
      </c>
      <c r="G38">
        <f t="shared" si="5"/>
        <v>0.89999999999999991</v>
      </c>
      <c r="H38" s="238">
        <f t="shared" si="6"/>
        <v>0.6</v>
      </c>
      <c r="M38" s="72">
        <v>0.01</v>
      </c>
      <c r="N38" s="72">
        <v>0.02</v>
      </c>
      <c r="O38" s="72">
        <v>0.03</v>
      </c>
      <c r="P38" s="72">
        <v>0.05</v>
      </c>
      <c r="Q38" s="72">
        <v>0.08</v>
      </c>
      <c r="R38" s="72">
        <v>0.12</v>
      </c>
      <c r="S38" s="72">
        <v>0.17</v>
      </c>
      <c r="T38" s="72">
        <v>0.23</v>
      </c>
      <c r="U38" s="72">
        <v>0.3</v>
      </c>
    </row>
    <row r="39" spans="1:22" x14ac:dyDescent="0.25">
      <c r="A39" s="232"/>
      <c r="B39" s="232"/>
      <c r="C39" s="72"/>
      <c r="D39" s="236"/>
      <c r="E39" s="235"/>
      <c r="M39" s="72"/>
      <c r="N39" s="72"/>
      <c r="O39" s="72"/>
      <c r="P39" s="72"/>
      <c r="Q39" s="72"/>
      <c r="R39" s="72"/>
      <c r="S39" s="72"/>
      <c r="T39" s="72"/>
      <c r="U39" s="72"/>
    </row>
    <row r="40" spans="1:22" x14ac:dyDescent="0.25">
      <c r="A40" s="234" t="s">
        <v>477</v>
      </c>
      <c r="B40" s="234"/>
      <c r="C40" s="72">
        <v>0.2</v>
      </c>
      <c r="I40">
        <f>SUM(G41:G48)</f>
        <v>14.200000000000003</v>
      </c>
      <c r="J40">
        <f>$C$16*C40</f>
        <v>20</v>
      </c>
    </row>
    <row r="41" spans="1:22" x14ac:dyDescent="0.25">
      <c r="A41" s="242" t="s">
        <v>526</v>
      </c>
      <c r="B41" s="232" t="s">
        <v>528</v>
      </c>
      <c r="C41" s="72">
        <v>0.1</v>
      </c>
      <c r="D41" s="237">
        <f>$C$40*C41*100</f>
        <v>2.0000000000000004</v>
      </c>
      <c r="E41" s="72">
        <f>AVERAGE(Analysis2!J59:L59)</f>
        <v>5.0654035110428208E-2</v>
      </c>
      <c r="F41">
        <f>IF(E41&lt;=M41,$M$17,IF(AND(E41&gt;M41,E41&lt;=N41),$N$17,IF(AND(E41&gt;N41,E41&lt;=O41),$O$17,IF(AND(E41&gt;O41,E41&lt;=P41),$P$17,IF(AND(E41&gt;P41,E41&lt;=Q41),$Q$17,IF(AND(E41&gt;Q41,E41&lt;=R41),$R$17,IF(AND(E41&gt;R41,E41&lt;=S41),$S$17,IF(AND(E41&gt;S41,E41&lt;=T41),$T$17,IF(AND(E41&gt;T41,E41&lt;=U41),$U$17,$V$17)))))))))</f>
        <v>3</v>
      </c>
      <c r="G41">
        <f t="shared" ref="G41:G48" si="8">(F41/10)*D41</f>
        <v>0.60000000000000009</v>
      </c>
      <c r="H41" s="238">
        <f t="shared" ref="H41:H48" si="9">G41/D41</f>
        <v>0.3</v>
      </c>
      <c r="M41" s="72">
        <v>0</v>
      </c>
      <c r="N41" s="72">
        <v>0.05</v>
      </c>
      <c r="O41" s="72">
        <v>0.1</v>
      </c>
      <c r="P41" s="72">
        <v>0.15</v>
      </c>
      <c r="Q41" s="72">
        <v>0.2</v>
      </c>
      <c r="R41" s="72">
        <v>0.25</v>
      </c>
      <c r="S41" s="72">
        <v>0.3</v>
      </c>
      <c r="T41" s="72">
        <v>0.35</v>
      </c>
      <c r="U41" s="72">
        <v>0.4</v>
      </c>
    </row>
    <row r="42" spans="1:22" x14ac:dyDescent="0.25">
      <c r="A42" s="242" t="s">
        <v>478</v>
      </c>
      <c r="B42" s="232" t="s">
        <v>528</v>
      </c>
      <c r="C42" s="72">
        <v>0.1</v>
      </c>
      <c r="D42" s="237">
        <f t="shared" ref="D42:D48" si="10">$C$40*C42*100</f>
        <v>2.0000000000000004</v>
      </c>
      <c r="E42" s="72">
        <f>Analysis2!M59</f>
        <v>-0.16384078114625367</v>
      </c>
      <c r="F42">
        <f>IF(E42&lt;=M42,$M$17,IF(AND(E42&gt;M42,E42&lt;=N42),$N$17,IF(AND(E42&gt;N42,E42&lt;=O42),$O$17,IF(AND(E42&gt;O42,E42&lt;=P42),$P$17,IF(AND(E42&gt;P42,E42&lt;=Q42),$Q$17,IF(AND(E42&gt;Q42,E42&lt;=R42),$R$17,IF(AND(E42&gt;R42,E42&lt;=S42),$S$17,IF(AND(E42&gt;S42,E42&lt;=T42),$T$17,IF(AND(E42&gt;T42,E42&lt;=U42),$U$17,$V$17)))))))))</f>
        <v>1</v>
      </c>
      <c r="G42">
        <f t="shared" si="8"/>
        <v>0.20000000000000007</v>
      </c>
      <c r="H42" s="238">
        <f t="shared" si="9"/>
        <v>0.1</v>
      </c>
      <c r="M42" s="72">
        <v>0</v>
      </c>
      <c r="N42" s="72">
        <v>0.05</v>
      </c>
      <c r="O42" s="72">
        <v>0.1</v>
      </c>
      <c r="P42" s="236">
        <v>0.125</v>
      </c>
      <c r="Q42" s="72">
        <v>0.15</v>
      </c>
      <c r="R42" s="236">
        <v>0.17499999999999999</v>
      </c>
      <c r="S42" s="72">
        <v>0.2</v>
      </c>
      <c r="T42" s="72">
        <v>0.22</v>
      </c>
      <c r="U42" s="72">
        <v>0.24</v>
      </c>
    </row>
    <row r="43" spans="1:22" x14ac:dyDescent="0.25">
      <c r="A43" s="242" t="s">
        <v>548</v>
      </c>
      <c r="B43" s="232" t="s">
        <v>527</v>
      </c>
      <c r="C43" s="72">
        <v>0.2</v>
      </c>
      <c r="D43" s="237">
        <f t="shared" si="10"/>
        <v>4.0000000000000009</v>
      </c>
      <c r="E43" s="107">
        <v>7</v>
      </c>
      <c r="F43">
        <f>IF(E43&lt;=M43,$M$17,IF(AND(E43&gt;M43,E43&lt;=N43),$N$17,IF(AND(E43&gt;N43,E43&lt;=O43),$O$17,IF(AND(E43&gt;O43,E43&lt;=P43),$P$17,IF(AND(E43&gt;P43,E43&lt;=Q43),$Q$17,IF(AND(E43&gt;Q43,E43&lt;=R43),$R$17,IF(AND(E43&gt;R43,E43&lt;=S43),$S$17,IF(AND(E43&gt;S43,E43&lt;=T43),$T$17,IF(AND(E43&gt;T43,E43&lt;=U43),$U$17,$V$17)))))))))</f>
        <v>7</v>
      </c>
      <c r="G43">
        <f t="shared" si="8"/>
        <v>2.8000000000000003</v>
      </c>
      <c r="H43" s="238">
        <f t="shared" si="9"/>
        <v>0.7</v>
      </c>
      <c r="M43">
        <v>1</v>
      </c>
      <c r="N43">
        <v>2</v>
      </c>
      <c r="O43">
        <v>3</v>
      </c>
      <c r="P43">
        <v>4</v>
      </c>
      <c r="Q43">
        <v>5</v>
      </c>
      <c r="R43">
        <v>6</v>
      </c>
      <c r="S43">
        <v>7</v>
      </c>
      <c r="T43">
        <v>8</v>
      </c>
      <c r="U43">
        <v>9</v>
      </c>
    </row>
    <row r="44" spans="1:22" x14ac:dyDescent="0.25">
      <c r="A44" s="232" t="s">
        <v>479</v>
      </c>
      <c r="B44" s="232" t="s">
        <v>528</v>
      </c>
      <c r="C44" s="72">
        <v>0.1</v>
      </c>
      <c r="D44" s="237">
        <f t="shared" si="10"/>
        <v>2.0000000000000004</v>
      </c>
      <c r="E44" s="72">
        <f>Other_input_data!M39</f>
        <v>9.1453662170115635E-5</v>
      </c>
      <c r="F44" s="240">
        <f>IF(E44&gt;=M44,$M$17,IF(AND(E44&lt;M44,E44&gt;=N44),$N$17,IF(AND(E44&lt;N44,E44&gt;=O44),$O$17,IF(AND(E44&lt;O44,E44&gt;=P44),$P$17,IF(AND(E44&lt;P44,E44&gt;=Q44),$Q$17,IF(AND(E44&lt;Q44,E44&gt;=R44),$R$17,IF(AND(E44&lt;R44,E44&gt;=S44),$S$17,IF(AND(E44&lt;S44,E44&gt;=T44),$T$17,IF(AND(E44&lt;T44,E44&gt;=U44),$U$17,$V$17)))))))))</f>
        <v>10</v>
      </c>
      <c r="G44">
        <f t="shared" si="8"/>
        <v>2.0000000000000004</v>
      </c>
      <c r="H44" s="238">
        <f t="shared" si="9"/>
        <v>1</v>
      </c>
      <c r="M44" s="72">
        <v>0.23</v>
      </c>
      <c r="N44" s="72">
        <v>0.22</v>
      </c>
      <c r="O44" s="72">
        <v>0.21</v>
      </c>
      <c r="P44" s="72">
        <v>0.2</v>
      </c>
      <c r="Q44" s="72">
        <v>0.19</v>
      </c>
      <c r="R44" s="72">
        <v>0.17</v>
      </c>
      <c r="S44" s="72">
        <v>0.15</v>
      </c>
      <c r="T44" s="72">
        <v>0.1</v>
      </c>
      <c r="U44" s="72">
        <v>0.05</v>
      </c>
      <c r="V44" s="72"/>
    </row>
    <row r="45" spans="1:22" x14ac:dyDescent="0.25">
      <c r="A45" s="232" t="s">
        <v>505</v>
      </c>
      <c r="B45" s="232" t="s">
        <v>527</v>
      </c>
      <c r="C45" s="72">
        <v>0.1</v>
      </c>
      <c r="D45" s="237">
        <f t="shared" si="10"/>
        <v>2.0000000000000004</v>
      </c>
      <c r="E45" s="238">
        <v>0</v>
      </c>
      <c r="F45" s="240">
        <f>IF(E45&gt;=M45,$M$17,IF(AND(E45&lt;M45,E45&gt;=N45),$N$17,IF(AND(E45&lt;N45,E45&gt;=O45),$O$17,IF(AND(E45&lt;O45,E45&gt;=P45),$P$17,IF(AND(E45&lt;P45,E45&gt;=Q45),$Q$17,IF(AND(E45&lt;Q45,E45&gt;=R45),$R$17,IF(AND(E45&lt;R45,E45&gt;=S45),$S$17,IF(AND(E45&lt;S45,E45&gt;=T45),$T$17,IF(AND(E45&lt;T45,E45&gt;=U45),$U$17,$V$17)))))))))</f>
        <v>8</v>
      </c>
      <c r="G45">
        <f t="shared" si="8"/>
        <v>1.6000000000000005</v>
      </c>
      <c r="H45" s="238">
        <f t="shared" si="9"/>
        <v>0.8</v>
      </c>
      <c r="M45" s="72">
        <v>0.2</v>
      </c>
      <c r="N45" s="72">
        <v>0.17</v>
      </c>
      <c r="O45" s="72">
        <v>0.14000000000000001</v>
      </c>
      <c r="P45" s="72">
        <v>0.1</v>
      </c>
      <c r="Q45" s="72">
        <v>7.0000000000000007E-2</v>
      </c>
      <c r="R45" s="72">
        <v>0.04</v>
      </c>
      <c r="S45" s="72">
        <v>0.02</v>
      </c>
      <c r="T45" s="72">
        <v>0</v>
      </c>
      <c r="U45" s="72">
        <v>-0.05</v>
      </c>
    </row>
    <row r="46" spans="1:22" x14ac:dyDescent="0.25">
      <c r="A46" s="232" t="s">
        <v>506</v>
      </c>
      <c r="B46" s="232" t="s">
        <v>527</v>
      </c>
      <c r="C46" s="72">
        <v>0.1</v>
      </c>
      <c r="D46" s="237">
        <f t="shared" si="10"/>
        <v>2.0000000000000004</v>
      </c>
      <c r="E46" s="241">
        <v>0</v>
      </c>
      <c r="F46" s="240">
        <f>IF(E46&gt;=M46,$M$17,IF(AND(E46&lt;M46,E46&gt;=N46),$N$17,IF(AND(E46&lt;N46,E46&gt;=O46),$O$17,IF(AND(E46&lt;O46,E46&gt;=P46),$P$17,IF(AND(E46&lt;P46,E46&gt;=Q46),$Q$17,IF(AND(E46&lt;Q46,E46&gt;=R46),$R$17,IF(AND(E46&lt;R46,E46&gt;=S46),$S$17,IF(AND(E46&lt;S46,E46&gt;=T46),$T$17,IF(AND(E46&lt;T46,E46&gt;=U46),$U$17,$V$17)))))))))</f>
        <v>8</v>
      </c>
      <c r="G46">
        <f t="shared" si="8"/>
        <v>1.6000000000000005</v>
      </c>
      <c r="H46" s="238">
        <f t="shared" si="9"/>
        <v>0.8</v>
      </c>
      <c r="M46" s="107">
        <v>3</v>
      </c>
      <c r="N46" s="107">
        <v>3</v>
      </c>
      <c r="O46" s="107">
        <v>3</v>
      </c>
      <c r="P46" s="107">
        <v>2</v>
      </c>
      <c r="Q46" s="107">
        <v>2</v>
      </c>
      <c r="R46" s="107">
        <v>1</v>
      </c>
      <c r="S46" s="107">
        <v>1</v>
      </c>
      <c r="T46" s="107">
        <v>0</v>
      </c>
      <c r="U46" s="107">
        <v>0</v>
      </c>
    </row>
    <row r="47" spans="1:22" x14ac:dyDescent="0.25">
      <c r="A47" s="242" t="s">
        <v>501</v>
      </c>
      <c r="B47" s="232" t="s">
        <v>527</v>
      </c>
      <c r="C47" s="72">
        <v>0.15</v>
      </c>
      <c r="D47" s="237">
        <f t="shared" si="10"/>
        <v>3</v>
      </c>
      <c r="E47" s="241">
        <v>9</v>
      </c>
      <c r="F47">
        <f>IF(E47&lt;=M47,$M$17,IF(AND(E47&gt;M47,E47&lt;=N47),$N$17,IF(AND(E47&gt;N47,E47&lt;=O47),$O$17,IF(AND(E47&gt;O47,E47&lt;=P47),$P$17,IF(AND(E47&gt;P47,E47&lt;=Q47),$Q$17,IF(AND(E47&gt;Q47,E47&lt;=R47),$R$17,IF(AND(E47&gt;R47,E47&lt;=S47),$S$17,IF(AND(E47&gt;S47,E47&lt;=T47),$T$17,IF(AND(E47&gt;T47,E47&lt;=U47),$U$17,$V$17)))))))))</f>
        <v>9</v>
      </c>
      <c r="G47">
        <f t="shared" si="8"/>
        <v>2.7</v>
      </c>
      <c r="H47" s="238">
        <f t="shared" si="9"/>
        <v>0.9</v>
      </c>
      <c r="M47" s="107">
        <v>1</v>
      </c>
      <c r="N47" s="107">
        <v>2</v>
      </c>
      <c r="O47" s="107">
        <v>3</v>
      </c>
      <c r="P47" s="107">
        <v>4</v>
      </c>
      <c r="Q47" s="107">
        <v>5</v>
      </c>
      <c r="R47" s="107">
        <v>6</v>
      </c>
      <c r="S47" s="107">
        <v>7</v>
      </c>
      <c r="T47" s="107">
        <v>8</v>
      </c>
      <c r="U47" s="107">
        <v>9</v>
      </c>
    </row>
    <row r="48" spans="1:22" x14ac:dyDescent="0.25">
      <c r="A48" s="232" t="s">
        <v>507</v>
      </c>
      <c r="B48" s="232" t="s">
        <v>527</v>
      </c>
      <c r="C48" s="72">
        <v>0.15</v>
      </c>
      <c r="D48" s="237">
        <f t="shared" si="10"/>
        <v>3</v>
      </c>
      <c r="E48" s="235">
        <v>0.01</v>
      </c>
      <c r="F48" s="240">
        <f>IF(E48&gt;=M48,$M$17,IF(AND(E48&lt;M48,E48&gt;=N48),$N$17,IF(AND(E48&lt;N48,E48&gt;=O48),$O$17,IF(AND(E48&lt;O48,E48&gt;=P48),$P$17,IF(AND(E48&lt;P48,E48&gt;=Q48),$Q$17,IF(AND(E48&lt;Q48,E48&gt;=R48),$R$17,IF(AND(E48&lt;R48,E48&gt;=S48),$S$17,IF(AND(E48&lt;S48,E48&gt;=T48),$T$17,IF(AND(E48&lt;T48,E48&gt;=U48),$U$17,$V$17)))))))))</f>
        <v>9</v>
      </c>
      <c r="G48">
        <f t="shared" si="8"/>
        <v>2.7</v>
      </c>
      <c r="H48" s="238">
        <f t="shared" si="9"/>
        <v>0.9</v>
      </c>
      <c r="M48" s="236">
        <v>0.1</v>
      </c>
      <c r="N48" s="236">
        <v>0.09</v>
      </c>
      <c r="O48" s="236">
        <v>8.5000000000000006E-2</v>
      </c>
      <c r="P48" s="236">
        <v>0.08</v>
      </c>
      <c r="Q48" s="236">
        <v>7.0000000000000007E-2</v>
      </c>
      <c r="R48" s="236">
        <v>0.06</v>
      </c>
      <c r="S48" s="236">
        <v>0.04</v>
      </c>
      <c r="T48" s="236">
        <v>0.02</v>
      </c>
      <c r="U48" s="236">
        <v>0.01</v>
      </c>
    </row>
    <row r="49" spans="1:22" x14ac:dyDescent="0.25">
      <c r="A49" s="232"/>
      <c r="B49" s="232"/>
      <c r="C49" s="72"/>
      <c r="D49" s="236"/>
      <c r="E49" s="235"/>
      <c r="M49" s="236"/>
      <c r="N49" s="236"/>
      <c r="O49" s="236"/>
      <c r="P49" s="236"/>
      <c r="Q49" s="236"/>
      <c r="R49" s="236"/>
      <c r="S49" s="236"/>
      <c r="T49" s="236"/>
      <c r="U49" s="236"/>
    </row>
    <row r="50" spans="1:22" x14ac:dyDescent="0.25">
      <c r="A50" s="234" t="s">
        <v>483</v>
      </c>
      <c r="B50" s="234"/>
      <c r="C50" s="72">
        <v>0.2</v>
      </c>
      <c r="I50">
        <f>SUM(G51:G54)</f>
        <v>12.9</v>
      </c>
      <c r="J50">
        <f>$C$16*C50</f>
        <v>20</v>
      </c>
    </row>
    <row r="51" spans="1:22" x14ac:dyDescent="0.25">
      <c r="A51" s="232" t="s">
        <v>510</v>
      </c>
      <c r="B51" s="232" t="s">
        <v>528</v>
      </c>
      <c r="C51" s="72">
        <v>0.25</v>
      </c>
      <c r="D51" s="237">
        <f>$C$50*C51*100</f>
        <v>5</v>
      </c>
      <c r="E51" s="72">
        <f>Market_scope!G2</f>
        <v>0.02</v>
      </c>
      <c r="F51" s="240">
        <f>IF(E51&gt;=M51,$M$17,IF(AND(E51&lt;M51,E51&gt;=N51),$N$17,IF(AND(E51&lt;N51,E51&gt;=O51),$O$17,IF(AND(E51&lt;O51,E51&gt;=P51),$P$17,IF(AND(E51&lt;P51,E51&gt;=Q51),$Q$17,IF(AND(E51&lt;Q51,E51&gt;=R51),$R$17,IF(AND(E51&lt;R51,E51&gt;=S51),$S$17,IF(AND(E51&lt;S51,E51&gt;=T51),$T$17,IF(AND(E51&lt;T51,E51&gt;=U51),$U$17,$V$17)))))))))</f>
        <v>9</v>
      </c>
      <c r="G51">
        <f t="shared" ref="G51:G54" si="11">(F51/10)*D51</f>
        <v>4.5</v>
      </c>
      <c r="H51" s="238">
        <f t="shared" ref="H51:H54" si="12">G51/D51</f>
        <v>0.9</v>
      </c>
      <c r="M51" s="72">
        <v>0.2</v>
      </c>
      <c r="N51" s="72">
        <v>0.16</v>
      </c>
      <c r="O51" s="72">
        <v>0.14000000000000001</v>
      </c>
      <c r="P51" s="72">
        <v>0.12</v>
      </c>
      <c r="Q51" s="72">
        <v>0.1</v>
      </c>
      <c r="R51" s="72">
        <v>0.08</v>
      </c>
      <c r="S51" s="72">
        <v>0.06</v>
      </c>
      <c r="T51" s="72">
        <v>0.04</v>
      </c>
      <c r="U51" s="72">
        <v>0.02</v>
      </c>
    </row>
    <row r="52" spans="1:22" x14ac:dyDescent="0.25">
      <c r="A52" s="232" t="s">
        <v>489</v>
      </c>
      <c r="B52" s="232" t="s">
        <v>528</v>
      </c>
      <c r="C52" s="72">
        <v>0.15</v>
      </c>
      <c r="D52" s="237">
        <f t="shared" ref="D52:D54" si="13">$C$50*C52*100</f>
        <v>3</v>
      </c>
      <c r="E52" s="72">
        <f>Market_scope!M2</f>
        <v>0.27522033632230447</v>
      </c>
      <c r="F52">
        <f>IF(E52&lt;=M52,$M$17,IF(AND(E52&gt;M52,E52&lt;=N52),$N$17,IF(AND(E52&gt;N52,E52&lt;=O52),$O$17,IF(AND(E52&gt;O52,E52&lt;=P52),$P$17,IF(AND(E52&gt;P52,E52&lt;=Q52),$Q$17,IF(AND(E52&gt;Q52,E52&lt;=R52),$R$17,IF(AND(E52&gt;R52,E52&lt;=S52),$S$17,IF(AND(E52&gt;S52,E52&lt;=T52),$T$17,IF(AND(E52&gt;T52,E52&lt;=U52),$U$17,$V$17)))))))))</f>
        <v>10</v>
      </c>
      <c r="G52">
        <f t="shared" si="11"/>
        <v>3</v>
      </c>
      <c r="H52" s="238">
        <f t="shared" si="12"/>
        <v>1</v>
      </c>
      <c r="M52" s="72">
        <v>-0.05</v>
      </c>
      <c r="N52" s="72">
        <v>-0.04</v>
      </c>
      <c r="O52" s="72">
        <v>-0.03</v>
      </c>
      <c r="P52" s="72">
        <v>-0.02</v>
      </c>
      <c r="Q52" s="72">
        <v>-0.01</v>
      </c>
      <c r="R52" s="72">
        <v>0</v>
      </c>
      <c r="S52" s="72">
        <v>0.01</v>
      </c>
      <c r="T52" s="72">
        <v>0.02</v>
      </c>
      <c r="U52" s="72">
        <v>0.03</v>
      </c>
      <c r="V52" s="72"/>
    </row>
    <row r="53" spans="1:22" x14ac:dyDescent="0.25">
      <c r="A53" s="232" t="s">
        <v>511</v>
      </c>
      <c r="B53" s="232" t="s">
        <v>528</v>
      </c>
      <c r="C53" s="72">
        <v>0.3</v>
      </c>
      <c r="D53" s="237">
        <f t="shared" si="13"/>
        <v>6</v>
      </c>
      <c r="E53" s="235">
        <f>Market_scope!M6</f>
        <v>7.0429496933102076E-3</v>
      </c>
      <c r="F53">
        <f>IF(E53&lt;=M53,$M$17,IF(AND(E53&gt;M53,E53&lt;=N53),$N$17,IF(AND(E53&gt;N53,E53&lt;=O53),$O$17,IF(AND(E53&gt;O53,E53&lt;=P53),$P$17,IF(AND(E53&gt;P53,E53&lt;=Q53),$Q$17,IF(AND(E53&gt;Q53,E53&lt;=R53),$R$17,IF(AND(E53&gt;R53,E53&lt;=S53),$S$17,IF(AND(E53&gt;S53,E53&lt;=T53),$T$17,IF(AND(E53&gt;T53,E53&lt;=U53),$U$17,$V$17)))))))))</f>
        <v>3</v>
      </c>
      <c r="G53">
        <f t="shared" si="11"/>
        <v>1.7999999999999998</v>
      </c>
      <c r="H53" s="238">
        <f t="shared" si="12"/>
        <v>0.3</v>
      </c>
      <c r="M53" s="72">
        <v>-0.01</v>
      </c>
      <c r="N53" s="72">
        <v>0</v>
      </c>
      <c r="O53" s="72">
        <v>0.01</v>
      </c>
      <c r="P53" s="72">
        <v>0.02</v>
      </c>
      <c r="Q53" s="72">
        <v>0.03</v>
      </c>
      <c r="R53" s="235">
        <v>3.5000000000000003E-2</v>
      </c>
      <c r="S53" s="72">
        <v>0.04</v>
      </c>
      <c r="T53" s="235">
        <v>4.4999999999999998E-2</v>
      </c>
      <c r="U53" s="72">
        <v>0.05</v>
      </c>
    </row>
    <row r="54" spans="1:22" x14ac:dyDescent="0.25">
      <c r="A54" s="242" t="s">
        <v>482</v>
      </c>
      <c r="B54" s="232" t="s">
        <v>527</v>
      </c>
      <c r="C54" s="72">
        <v>0.3</v>
      </c>
      <c r="D54" s="237">
        <f t="shared" si="13"/>
        <v>6</v>
      </c>
      <c r="E54">
        <v>6</v>
      </c>
      <c r="F54">
        <f>IF(E54&lt;=M54,$M$17,IF(AND(E54&gt;M54,E54&lt;=N54),$N$17,IF(AND(E54&gt;N54,E54&lt;=O54),$O$17,IF(AND(E54&gt;O54,E54&lt;=P54),$P$17,IF(AND(E54&gt;P54,E54&lt;=Q54),$Q$17,IF(AND(E54&gt;Q54,E54&lt;=R54),$R$17,IF(AND(E54&gt;R54,E54&lt;=S54),$S$17,IF(AND(E54&gt;S54,E54&lt;=T54),$T$17,IF(AND(E54&gt;T54,E54&lt;=U54),$U$17,$V$17)))))))))</f>
        <v>6</v>
      </c>
      <c r="G54">
        <f t="shared" si="11"/>
        <v>3.5999999999999996</v>
      </c>
      <c r="H54" s="238">
        <f t="shared" si="12"/>
        <v>0.6</v>
      </c>
      <c r="M54" s="107">
        <v>1</v>
      </c>
      <c r="N54" s="107">
        <v>2</v>
      </c>
      <c r="O54" s="107">
        <v>3</v>
      </c>
      <c r="P54" s="107">
        <v>4</v>
      </c>
      <c r="Q54" s="107">
        <v>5</v>
      </c>
      <c r="R54" s="107">
        <v>6</v>
      </c>
      <c r="S54" s="107">
        <v>7</v>
      </c>
      <c r="T54" s="107">
        <v>8</v>
      </c>
      <c r="U54" s="107">
        <v>9</v>
      </c>
      <c r="V54" s="107">
        <v>10</v>
      </c>
    </row>
    <row r="55" spans="1:22" x14ac:dyDescent="0.25">
      <c r="A55" s="242"/>
      <c r="B55" s="242"/>
      <c r="C55" s="72"/>
      <c r="D55" s="236"/>
      <c r="M55" s="107"/>
      <c r="N55" s="107"/>
      <c r="O55" s="107"/>
      <c r="P55" s="107"/>
      <c r="Q55" s="107"/>
      <c r="R55" s="107"/>
      <c r="S55" s="107"/>
      <c r="T55" s="107"/>
      <c r="U55" s="107"/>
      <c r="V55" s="107"/>
    </row>
    <row r="56" spans="1:22" x14ac:dyDescent="0.25">
      <c r="A56" s="38" t="s">
        <v>480</v>
      </c>
      <c r="B56" s="38"/>
      <c r="C56" s="72">
        <v>0.15</v>
      </c>
      <c r="I56">
        <f>SUM(G57:G58)</f>
        <v>8.25</v>
      </c>
      <c r="J56">
        <f>$C$16*C56</f>
        <v>15</v>
      </c>
    </row>
    <row r="57" spans="1:22" x14ac:dyDescent="0.25">
      <c r="A57" s="232" t="s">
        <v>490</v>
      </c>
      <c r="B57" s="232" t="s">
        <v>528</v>
      </c>
      <c r="C57" s="72">
        <v>0.5</v>
      </c>
      <c r="D57" s="237">
        <f>$C$56*C57*100</f>
        <v>7.5</v>
      </c>
      <c r="E57" s="235">
        <f>Market_scope!M5</f>
        <v>0.1</v>
      </c>
      <c r="F57">
        <f t="shared" ref="F57:F58" si="14">IF(E57&lt;=M57,$M$17,IF(AND(E57&gt;M57,E57&lt;=N57),$N$17,IF(AND(E57&gt;N57,E57&lt;=O57),$O$17,IF(AND(E57&gt;O57,E57&lt;=P57),$P$17,IF(AND(E57&gt;P57,E57&lt;=Q57),$Q$17,IF(AND(E57&gt;Q57,E57&lt;=R57),$R$17,IF(AND(E57&gt;R57,E57&lt;=S57),$S$17,IF(AND(E57&gt;S57,E57&lt;=T57),$T$17,IF(AND(E57&gt;T57,E57&lt;=U57),$U$17,$V$17)))))))))</f>
        <v>9</v>
      </c>
      <c r="G57">
        <f t="shared" ref="G57:G58" si="15">(F57/10)*D57</f>
        <v>6.75</v>
      </c>
      <c r="H57" s="238">
        <f t="shared" ref="H57:H58" si="16">G57/D57</f>
        <v>0.9</v>
      </c>
      <c r="M57" s="72">
        <v>0.02</v>
      </c>
      <c r="N57" s="72">
        <v>0.03</v>
      </c>
      <c r="O57" s="72">
        <v>0.04</v>
      </c>
      <c r="P57" s="72">
        <v>0.05</v>
      </c>
      <c r="Q57" s="72">
        <v>0.06</v>
      </c>
      <c r="R57" s="72">
        <v>7.0000000000000007E-2</v>
      </c>
      <c r="S57" s="72">
        <v>0.08</v>
      </c>
      <c r="T57" s="72">
        <v>0.09</v>
      </c>
      <c r="U57" s="72">
        <v>0.1</v>
      </c>
    </row>
    <row r="58" spans="1:22" x14ac:dyDescent="0.25">
      <c r="A58" s="232" t="s">
        <v>513</v>
      </c>
      <c r="B58" s="232" t="s">
        <v>528</v>
      </c>
      <c r="C58" s="72">
        <v>0.5</v>
      </c>
      <c r="D58" s="237">
        <f>$C$56*C58*100</f>
        <v>7.5</v>
      </c>
      <c r="E58" s="72">
        <f>Market_scope!M4-Market_scope!M5</f>
        <v>0</v>
      </c>
      <c r="F58">
        <f t="shared" si="14"/>
        <v>2</v>
      </c>
      <c r="G58">
        <f t="shared" si="15"/>
        <v>1.5</v>
      </c>
      <c r="H58" s="238">
        <f t="shared" si="16"/>
        <v>0.2</v>
      </c>
      <c r="M58" s="72">
        <v>-0.02</v>
      </c>
      <c r="N58" s="72">
        <v>0</v>
      </c>
      <c r="O58" s="72">
        <v>0.02</v>
      </c>
      <c r="P58" s="72">
        <v>0.04</v>
      </c>
      <c r="Q58" s="72">
        <v>0.06</v>
      </c>
      <c r="R58" s="72">
        <v>7.0000000000000007E-2</v>
      </c>
      <c r="S58" s="72">
        <v>0.08</v>
      </c>
      <c r="T58" s="72">
        <v>0.09</v>
      </c>
      <c r="U58" s="72">
        <v>0.1</v>
      </c>
    </row>
    <row r="60" spans="1:22" x14ac:dyDescent="0.25">
      <c r="A60" s="38" t="s">
        <v>481</v>
      </c>
      <c r="B60" s="38"/>
      <c r="C60" s="72">
        <v>0.15</v>
      </c>
      <c r="I60">
        <f>SUM(G61:G63)</f>
        <v>3.75</v>
      </c>
      <c r="J60">
        <f>$C$16*C60</f>
        <v>15</v>
      </c>
    </row>
    <row r="61" spans="1:22" x14ac:dyDescent="0.25">
      <c r="A61" s="232" t="s">
        <v>508</v>
      </c>
      <c r="B61" s="232" t="s">
        <v>528</v>
      </c>
      <c r="C61" s="72">
        <v>0.5</v>
      </c>
      <c r="D61" s="237">
        <f>$C$60*C61*100</f>
        <v>7.5</v>
      </c>
      <c r="E61" s="237">
        <f>'Financial Analysis'!L111</f>
        <v>4.2362597785735359</v>
      </c>
      <c r="F61" s="240">
        <f>IF(E61&gt;=M61,$M$17,IF(AND(E61&lt;M61,E61&gt;=N61),$N$17,IF(AND(E61&lt;N61,E61&gt;=O61),$O$17,IF(AND(E61&lt;O61,E61&gt;=P61),$P$17,IF(AND(E61&lt;P61,E61&gt;=Q61),$Q$17,IF(AND(E61&lt;Q61,E61&gt;=R61),$R$17,IF(AND(E61&lt;R61,E61&gt;=S61),$S$17,IF(AND(E61&lt;S61,E61&gt;=T61),$T$17,IF(AND(E61&lt;T61,E61&gt;=U61),$U$17,$V$17)))))))))</f>
        <v>1</v>
      </c>
      <c r="G61">
        <f t="shared" ref="G61:G63" si="17">(F61/10)*D61</f>
        <v>0.75</v>
      </c>
      <c r="H61" s="238">
        <f t="shared" ref="H61:H63" si="18">G61/D61</f>
        <v>0.1</v>
      </c>
      <c r="M61" s="105">
        <v>3</v>
      </c>
      <c r="N61" s="105">
        <v>2.5</v>
      </c>
      <c r="O61" s="105">
        <v>2</v>
      </c>
      <c r="P61" s="105">
        <v>1.5</v>
      </c>
      <c r="Q61" s="105">
        <v>1</v>
      </c>
      <c r="R61" s="105">
        <v>0.75</v>
      </c>
      <c r="S61" s="105">
        <v>0.5</v>
      </c>
      <c r="T61" s="105">
        <v>0.3</v>
      </c>
      <c r="U61" s="105">
        <v>0.2</v>
      </c>
    </row>
    <row r="62" spans="1:22" x14ac:dyDescent="0.25">
      <c r="A62" s="232" t="s">
        <v>509</v>
      </c>
      <c r="B62" s="232" t="s">
        <v>528</v>
      </c>
      <c r="C62" s="72">
        <v>0.5</v>
      </c>
      <c r="D62" s="237">
        <f t="shared" ref="D62:D63" si="19">$C$60*C62*100</f>
        <v>7.5</v>
      </c>
      <c r="E62" s="237">
        <f>(Analysis2!G8/Market_scope!M4)/100</f>
        <v>1.86707890180559</v>
      </c>
      <c r="F62" s="240">
        <f>IF(E62&gt;=M62,$M$17,IF(AND(E62&lt;M62,E62&gt;=N62),$N$17,IF(AND(E62&lt;N62,E62&gt;=O62),$O$17,IF(AND(E62&lt;O62,E62&gt;=P62),$P$17,IF(AND(E62&lt;P62,E62&gt;=Q62),$Q$17,IF(AND(E62&lt;Q62,E62&gt;=R62),$R$17,IF(AND(E62&lt;R62,E62&gt;=S62),$S$17,IF(AND(E62&lt;S62,E62&gt;=T62),$T$17,IF(AND(E62&lt;T62,E62&gt;=U62),$U$17,$V$17)))))))))</f>
        <v>4</v>
      </c>
      <c r="G62">
        <f t="shared" si="17"/>
        <v>3</v>
      </c>
      <c r="H62" s="238">
        <f t="shared" si="18"/>
        <v>0.4</v>
      </c>
      <c r="M62" s="105">
        <v>3</v>
      </c>
      <c r="N62" s="105">
        <v>2.5</v>
      </c>
      <c r="O62" s="105">
        <v>2</v>
      </c>
      <c r="P62" s="105">
        <v>1.5</v>
      </c>
      <c r="Q62" s="105">
        <v>1</v>
      </c>
      <c r="R62" s="105">
        <v>0.75</v>
      </c>
      <c r="S62" s="105">
        <v>0.5</v>
      </c>
      <c r="T62" s="105">
        <v>0.3</v>
      </c>
      <c r="U62" s="105">
        <v>0.2</v>
      </c>
    </row>
    <row r="63" spans="1:22" x14ac:dyDescent="0.25">
      <c r="A63" s="242" t="s">
        <v>484</v>
      </c>
      <c r="B63" s="232" t="s">
        <v>528</v>
      </c>
      <c r="C63" s="72">
        <v>0</v>
      </c>
      <c r="D63" s="237">
        <f t="shared" si="19"/>
        <v>0</v>
      </c>
      <c r="E63">
        <v>0</v>
      </c>
      <c r="F63">
        <f>IF(E63&lt;=M63,$M$17,IF(AND(E63&gt;M63,E63&lt;=N63),$N$17,IF(AND(E63&gt;N63,E63&lt;=O63),$O$17,IF(AND(E63&gt;O63,E63&lt;=P63),$P$17,IF(AND(E63&gt;P63,E63&lt;=Q63),$Q$17,IF(AND(E63&gt;Q63,E63&lt;=R63),$R$17,IF(AND(E63&gt;R63,E63&lt;=S63),$S$17,IF(AND(E63&gt;S63,E63&lt;=T63),$T$17,IF(AND(E63&gt;T63,E63&lt;=U63),$U$17,$V$17)))))))))</f>
        <v>1</v>
      </c>
      <c r="G63">
        <f t="shared" si="17"/>
        <v>0</v>
      </c>
      <c r="H63" s="238" t="e">
        <f t="shared" si="18"/>
        <v>#DIV/0!</v>
      </c>
    </row>
    <row r="64" spans="1:22" x14ac:dyDescent="0.25">
      <c r="A64" s="232"/>
      <c r="B64" s="2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2"/>
  <sheetViews>
    <sheetView workbookViewId="0">
      <selection activeCell="L16" sqref="L16"/>
    </sheetView>
  </sheetViews>
  <sheetFormatPr defaultRowHeight="15" x14ac:dyDescent="0.25"/>
  <cols>
    <col min="1" max="1" width="38" style="61" customWidth="1"/>
    <col min="2" max="2" width="21.5703125" style="44" customWidth="1"/>
    <col min="3" max="12" width="11.42578125" customWidth="1"/>
    <col min="13" max="13" width="2.7109375" customWidth="1"/>
    <col min="14" max="14" width="12.85546875" bestFit="1" customWidth="1"/>
    <col min="15" max="16" width="12.7109375" bestFit="1" customWidth="1"/>
    <col min="17" max="18" width="10.28515625" bestFit="1" customWidth="1"/>
  </cols>
  <sheetData>
    <row r="1" spans="1:18" ht="18.75" x14ac:dyDescent="0.25">
      <c r="A1" s="56" t="s">
        <v>245</v>
      </c>
      <c r="B1" s="42" t="s">
        <v>200</v>
      </c>
      <c r="C1" s="39">
        <f>'Profit &amp; Loss'!C3</f>
        <v>39172</v>
      </c>
      <c r="D1" s="39">
        <f>'Profit &amp; Loss'!D3</f>
        <v>39538</v>
      </c>
      <c r="E1" s="39">
        <f>'Profit &amp; Loss'!E3</f>
        <v>39903</v>
      </c>
      <c r="F1" s="39">
        <f>'Profit &amp; Loss'!F3</f>
        <v>40268</v>
      </c>
      <c r="G1" s="39">
        <f>'Profit &amp; Loss'!G3</f>
        <v>40633</v>
      </c>
      <c r="H1" s="39">
        <f>'Profit &amp; Loss'!H3</f>
        <v>40999</v>
      </c>
      <c r="I1" s="39">
        <f>'Profit &amp; Loss'!I3</f>
        <v>41364</v>
      </c>
      <c r="J1" s="39">
        <f>'Profit &amp; Loss'!J3</f>
        <v>41729</v>
      </c>
      <c r="K1" s="39">
        <f>'Profit &amp; Loss'!K3</f>
        <v>42094</v>
      </c>
      <c r="L1" s="39">
        <f>'Profit &amp; Loss'!L3</f>
        <v>42430</v>
      </c>
      <c r="M1" s="39"/>
      <c r="N1" s="38" t="s">
        <v>262</v>
      </c>
      <c r="O1" s="38" t="s">
        <v>263</v>
      </c>
      <c r="P1" s="38" t="s">
        <v>264</v>
      </c>
      <c r="Q1" s="45" t="s">
        <v>144</v>
      </c>
      <c r="R1" s="45" t="s">
        <v>145</v>
      </c>
    </row>
    <row r="2" spans="1:18" ht="17.25" x14ac:dyDescent="0.25">
      <c r="A2" s="57" t="s">
        <v>248</v>
      </c>
      <c r="B2" s="42"/>
      <c r="C2" s="39"/>
      <c r="D2" s="39"/>
      <c r="E2" s="39"/>
      <c r="F2" s="39"/>
      <c r="G2" s="39"/>
      <c r="H2" s="39"/>
      <c r="I2" s="39"/>
      <c r="J2" s="39"/>
      <c r="K2" s="39"/>
      <c r="L2" s="39"/>
      <c r="M2" s="39"/>
      <c r="N2" s="38"/>
      <c r="O2" s="38"/>
      <c r="P2" s="38"/>
      <c r="Q2" s="45"/>
      <c r="R2" s="45"/>
    </row>
    <row r="3" spans="1:18" x14ac:dyDescent="0.25">
      <c r="A3" s="58" t="s">
        <v>88</v>
      </c>
      <c r="B3" s="41" t="s">
        <v>146</v>
      </c>
      <c r="C3" s="32">
        <f>IFERROR(('Profit &amp; Loss'!C4-'Profit &amp; Loss'!B4)/'Profit &amp; Loss'!B4,"NA")</f>
        <v>0.41735052754982427</v>
      </c>
      <c r="D3" s="32">
        <f>IFERROR(('Profit &amp; Loss'!D4-'Profit &amp; Loss'!C4)/'Profit &amp; Loss'!C4,"NA")</f>
        <v>0.20678246484698096</v>
      </c>
      <c r="E3" s="32">
        <f>IFERROR(('Profit &amp; Loss'!E4-'Profit &amp; Loss'!D4)/'Profit &amp; Loss'!D4,"NA")</f>
        <v>0.26068083161983086</v>
      </c>
      <c r="F3" s="32">
        <f>IFERROR(('Profit &amp; Loss'!F4-'Profit &amp; Loss'!E4)/'Profit &amp; Loss'!E4,"NA")</f>
        <v>0.17859731786879299</v>
      </c>
      <c r="G3" s="32">
        <f>IFERROR(('Profit &amp; Loss'!G4-'Profit &amp; Loss'!F4)/'Profit &amp; Loss'!F4,"NA")</f>
        <v>0.34327669716306608</v>
      </c>
      <c r="H3" s="32">
        <f>IFERROR(('Profit &amp; Loss'!H4-'Profit &amp; Loss'!G4)/'Profit &amp; Loss'!G4,"NA")</f>
        <v>0.27272206959706963</v>
      </c>
      <c r="I3" s="32">
        <f>IFERROR(('Profit &amp; Loss'!I4-'Profit &amp; Loss'!H4)/'Profit &amp; Loss'!H4,"NA")</f>
        <v>0.33619642937446592</v>
      </c>
      <c r="J3" s="32">
        <f>IFERROR(('Profit &amp; Loss'!J4-'Profit &amp; Loss'!I4)/'Profit &amp; Loss'!I4,"NA")</f>
        <v>0.12428903173695018</v>
      </c>
      <c r="K3" s="32">
        <f>IFERROR(('Profit &amp; Loss'!K4-'Profit &amp; Loss'!J4)/'Profit &amp; Loss'!J4,"NA")</f>
        <v>0.20223911872118783</v>
      </c>
      <c r="L3" s="32">
        <f>IFERROR(('Profit &amp; Loss'!L4-'Profit &amp; Loss'!K4)/'Profit &amp; Loss'!K4,"NA")</f>
        <v>0.15858273990339125</v>
      </c>
      <c r="N3" s="32">
        <f>('Profit &amp; Loss'!L4/'Profit &amp; Loss'!C4)^(1/(9-1))-1</f>
        <v>0.26152425312001415</v>
      </c>
      <c r="O3" s="32">
        <f>('Profit &amp; Loss'!L4/'Profit &amp; Loss'!G4)^(1/(5-1))-1</f>
        <v>0.27746773880276243</v>
      </c>
      <c r="P3" s="32">
        <f>('Profit &amp; Loss'!L4/'Profit &amp; Loss'!I4)^(1/(3-1))-1</f>
        <v>0.25140516046708772</v>
      </c>
      <c r="Q3" t="str">
        <f>IF(N3&gt;0.15,"Excellent",IF(N3&lt;0.1,"Bad","Good"))</f>
        <v>Excellent</v>
      </c>
    </row>
    <row r="4" spans="1:18" x14ac:dyDescent="0.25">
      <c r="A4" s="58" t="s">
        <v>89</v>
      </c>
      <c r="B4" s="41" t="s">
        <v>146</v>
      </c>
      <c r="C4" s="32">
        <f>IFERROR(('Profit &amp; Loss'!C5-'Profit &amp; Loss'!B5)/'Profit &amp; Loss'!B5,"NA")</f>
        <v>0.39058767319636906</v>
      </c>
      <c r="D4" s="32">
        <f>IFERROR(('Profit &amp; Loss'!D5-'Profit &amp; Loss'!C5)/'Profit &amp; Loss'!C5,"NA")</f>
        <v>0.26816698161827862</v>
      </c>
      <c r="E4" s="32">
        <f>IFERROR(('Profit &amp; Loss'!E5-'Profit &amp; Loss'!D5)/'Profit &amp; Loss'!D5,"NA")</f>
        <v>0.2483066919534001</v>
      </c>
      <c r="F4" s="32">
        <f>IFERROR(('Profit &amp; Loss'!F5-'Profit &amp; Loss'!E5)/'Profit &amp; Loss'!E5,"NA")</f>
        <v>0.14139989148128052</v>
      </c>
      <c r="G4" s="32">
        <f>IFERROR(('Profit &amp; Loss'!G5-'Profit &amp; Loss'!F5)/'Profit &amp; Loss'!F5,"NA")</f>
        <v>0.31850161627685869</v>
      </c>
      <c r="H4" s="32">
        <f>IFERROR(('Profit &amp; Loss'!H5-'Profit &amp; Loss'!G5)/'Profit &amp; Loss'!G5,"NA")</f>
        <v>0.29059705797519475</v>
      </c>
      <c r="I4" s="32">
        <f>IFERROR(('Profit &amp; Loss'!I5-'Profit &amp; Loss'!H5)/'Profit &amp; Loss'!H5,"NA")</f>
        <v>0.26757179573136652</v>
      </c>
      <c r="J4" s="32">
        <f>IFERROR(('Profit &amp; Loss'!J5-'Profit &amp; Loss'!I5)/'Profit &amp; Loss'!I5,"NA")</f>
        <v>0.15132013928681617</v>
      </c>
      <c r="K4" s="32">
        <f>IFERROR(('Profit &amp; Loss'!K5-'Profit &amp; Loss'!J5)/'Profit &amp; Loss'!J5,"NA")</f>
        <v>0.17668453292496164</v>
      </c>
      <c r="L4" s="32">
        <f>IFERROR(('Profit &amp; Loss'!L5-'Profit &amp; Loss'!K5)/'Profit &amp; Loss'!K5,"NA")</f>
        <v>0.21548722954286653</v>
      </c>
      <c r="N4" s="32">
        <f>('Profit &amp; Loss'!L5/'Profit &amp; Loss'!C5)^(1/(9-1))-1</f>
        <v>0.26160456654513919</v>
      </c>
      <c r="O4" s="32">
        <f>('Profit &amp; Loss'!L5/'Profit &amp; Loss'!G5)^(1/(5-1))-1</f>
        <v>0.2811277730736419</v>
      </c>
      <c r="P4" s="32">
        <f>('Profit &amp; Loss'!L5/'Profit &amp; Loss'!I5)^(1/(3-1))-1</f>
        <v>0.28322636314141247</v>
      </c>
      <c r="Q4" t="str">
        <f>IF(N4&gt;N3+0.1,"Bad",IF(N4&lt;N3,"Excellent","Good"))</f>
        <v>Good</v>
      </c>
    </row>
    <row r="5" spans="1:18" x14ac:dyDescent="0.25">
      <c r="A5" s="58" t="s">
        <v>90</v>
      </c>
      <c r="B5" s="41" t="s">
        <v>146</v>
      </c>
      <c r="C5" s="32">
        <f>IFERROR(('Profit &amp; Loss'!C6-'Profit &amp; Loss'!B6)/'Profit &amp; Loss'!B6,"NA")</f>
        <v>0.53755364806866934</v>
      </c>
      <c r="D5" s="32">
        <f>IFERROR(('Profit &amp; Loss'!D6-'Profit &amp; Loss'!C6)/'Profit &amp; Loss'!C6,"NA")</f>
        <v>-4.2568039078855514E-2</v>
      </c>
      <c r="E5" s="32">
        <f>IFERROR(('Profit &amp; Loss'!E6-'Profit &amp; Loss'!D6)/'Profit &amp; Loss'!D6,"NA")</f>
        <v>0.32725947521865856</v>
      </c>
      <c r="F5" s="32">
        <f>IFERROR(('Profit &amp; Loss'!F6-'Profit &amp; Loss'!E6)/'Profit &amp; Loss'!E6,"NA")</f>
        <v>0.36683141131246538</v>
      </c>
      <c r="G5" s="32">
        <f>IFERROR(('Profit &amp; Loss'!G6-'Profit &amp; Loss'!F6)/'Profit &amp; Loss'!F6,"NA")</f>
        <v>0.44797107271996833</v>
      </c>
      <c r="H5" s="32">
        <f>IFERROR(('Profit &amp; Loss'!H6-'Profit &amp; Loss'!G6)/'Profit &amp; Loss'!G6,"NA")</f>
        <v>0.20394006659267469</v>
      </c>
      <c r="I5" s="32">
        <f>IFERROR(('Profit &amp; Loss'!I6-'Profit &amp; Loss'!H6)/'Profit &amp; Loss'!H6,"NA")</f>
        <v>0.61926711223784314</v>
      </c>
      <c r="J5" s="32">
        <f>IFERROR(('Profit &amp; Loss'!J6-'Profit &amp; Loss'!I6)/'Profit &amp; Loss'!I6,"NA")</f>
        <v>3.7005408482778578E-2</v>
      </c>
      <c r="K5" s="32">
        <f>IFERROR(('Profit &amp; Loss'!K6-'Profit &amp; Loss'!J6)/'Profit &amp; Loss'!J6,"NA")</f>
        <v>0.29385122152072496</v>
      </c>
      <c r="L5" s="32">
        <f>IFERROR(('Profit &amp; Loss'!L6-'Profit &amp; Loss'!K6)/'Profit &amp; Loss'!K6,"NA")</f>
        <v>-2.6943884586825433E-2</v>
      </c>
      <c r="N5" s="32">
        <f>('Profit &amp; Loss'!L6/'Profit &amp; Loss'!C6)^(1/(9-1))-1</f>
        <v>0.26119764284641356</v>
      </c>
      <c r="O5" s="32">
        <f>('Profit &amp; Loss'!L6/'Profit &amp; Loss'!G6)^(1/(5-1))-1</f>
        <v>0.26308231027898699</v>
      </c>
      <c r="P5" s="32">
        <f>('Profit &amp; Loss'!L6/'Profit &amp; Loss'!I6)^(1/(3-1))-1</f>
        <v>0.14261948039198513</v>
      </c>
      <c r="Q5" t="str">
        <f>IF(N5&gt;0.15,"Excellent",IF(N5&lt;0.1,"Bad","Good"))</f>
        <v>Excellent</v>
      </c>
    </row>
    <row r="6" spans="1:18" x14ac:dyDescent="0.25">
      <c r="A6" s="58" t="s">
        <v>91</v>
      </c>
      <c r="B6" s="41" t="s">
        <v>146</v>
      </c>
      <c r="C6" s="32">
        <f>IFERROR(('Profit &amp; Loss'!C10-'Profit &amp; Loss'!B10)/'Profit &amp; Loss'!B10,"NA")</f>
        <v>0.74319727891156462</v>
      </c>
      <c r="D6" s="32">
        <f>IFERROR(('Profit &amp; Loss'!D10-'Profit &amp; Loss'!C10)/'Profit &amp; Loss'!C10,"NA")</f>
        <v>-0.20682926829268286</v>
      </c>
      <c r="E6" s="32">
        <f>IFERROR(('Profit &amp; Loss'!E10-'Profit &amp; Loss'!D10)/'Profit &amp; Loss'!D10,"NA")</f>
        <v>0.35670356703567013</v>
      </c>
      <c r="F6" s="32">
        <f>IFERROR(('Profit &amp; Loss'!F10-'Profit &amp; Loss'!E10)/'Profit &amp; Loss'!E10,"NA")</f>
        <v>0.56119673617407073</v>
      </c>
      <c r="G6" s="32">
        <f>IFERROR(('Profit &amp; Loss'!G10-'Profit &amp; Loss'!F10)/'Profit &amp; Loss'!F10,"NA")</f>
        <v>0.13414634146341478</v>
      </c>
      <c r="H6" s="32">
        <f>IFERROR(('Profit &amp; Loss'!H10-'Profit &amp; Loss'!G10)/'Profit &amp; Loss'!G10,"NA")</f>
        <v>-0.16845878136200729</v>
      </c>
      <c r="I6" s="32">
        <f>IFERROR(('Profit &amp; Loss'!I10-'Profit &amp; Loss'!H10)/'Profit &amp; Loss'!H10,"NA")</f>
        <v>0.92918719211822665</v>
      </c>
      <c r="J6" s="32">
        <f>IFERROR(('Profit &amp; Loss'!J10-'Profit &amp; Loss'!I10)/'Profit &amp; Loss'!I10,"NA")</f>
        <v>0.19119055218640288</v>
      </c>
      <c r="K6" s="32">
        <f>IFERROR(('Profit &amp; Loss'!K10-'Profit &amp; Loss'!J10)/'Profit &amp; Loss'!J10,"NA")</f>
        <v>0.592443729903537</v>
      </c>
      <c r="L6" s="32">
        <f>IFERROR(('Profit &amp; Loss'!L10-'Profit &amp; Loss'!K10)/'Profit &amp; Loss'!K10,"NA")</f>
        <v>4.5768130573784267E-2</v>
      </c>
      <c r="N6" s="32">
        <f>('Profit &amp; Loss'!L10/'Profit &amp; Loss'!C10)^(1/(9-1))-1</f>
        <v>0.25267860053232516</v>
      </c>
      <c r="O6" s="32">
        <f>('Profit &amp; Loss'!L10/'Profit &amp; Loss'!G10)^(1/(5-1))-1</f>
        <v>0.33562556253299047</v>
      </c>
      <c r="P6" s="32">
        <f>('Profit &amp; Loss'!L10/'Profit &amp; Loss'!I10)^(1/(3-1))-1</f>
        <v>0.40844654585055262</v>
      </c>
      <c r="Q6" t="str">
        <f>IF(N6&gt;0.15,"Excellent",IF(N6&lt;0.1,"Bad","Good"))</f>
        <v>Excellent</v>
      </c>
    </row>
    <row r="7" spans="1:18" x14ac:dyDescent="0.25">
      <c r="A7" s="58" t="s">
        <v>92</v>
      </c>
      <c r="B7" s="41" t="s">
        <v>146</v>
      </c>
      <c r="C7" s="32">
        <f>IFERROR(('Profit &amp; Loss'!C12-'Profit &amp; Loss'!B12)/'Profit &amp; Loss'!B12,"NA")</f>
        <v>0.69072164948453607</v>
      </c>
      <c r="D7" s="32">
        <f>IFERROR(('Profit &amp; Loss'!D12-'Profit &amp; Loss'!C12)/'Profit &amp; Loss'!C12,"NA")</f>
        <v>-0.19969512195121947</v>
      </c>
      <c r="E7" s="32">
        <f>IFERROR(('Profit &amp; Loss'!E12-'Profit &amp; Loss'!D12)/'Profit &amp; Loss'!D12,"NA")</f>
        <v>0.35999999999999993</v>
      </c>
      <c r="F7" s="32">
        <f>IFERROR(('Profit &amp; Loss'!F12-'Profit &amp; Loss'!E12)/'Profit &amp; Loss'!E12,"NA")</f>
        <v>0.62184873949579844</v>
      </c>
      <c r="G7" s="32">
        <f>IFERROR(('Profit &amp; Loss'!G12-'Profit &amp; Loss'!F12)/'Profit &amp; Loss'!F12,"NA")</f>
        <v>4.4041450777202056E-2</v>
      </c>
      <c r="H7" s="32">
        <f>IFERROR(('Profit &amp; Loss'!H12-'Profit &amp; Loss'!G12)/'Profit &amp; Loss'!G12,"NA")</f>
        <v>-1.1579818031430981E-2</v>
      </c>
      <c r="I7" s="32">
        <f>IFERROR(('Profit &amp; Loss'!I12-'Profit &amp; Loss'!H12)/'Profit &amp; Loss'!H12,"NA")</f>
        <v>0.77824267782426793</v>
      </c>
      <c r="J7" s="32">
        <f>IFERROR(('Profit &amp; Loss'!J12-'Profit &amp; Loss'!I12)/'Profit &amp; Loss'!I12,"NA")</f>
        <v>0.11623529411764701</v>
      </c>
      <c r="K7" s="32">
        <f>IFERROR(('Profit &amp; Loss'!K12-'Profit &amp; Loss'!J12)/'Profit &amp; Loss'!J12,"NA")</f>
        <v>0.63153456998313684</v>
      </c>
      <c r="L7" s="32">
        <f>IFERROR(('Profit &amp; Loss'!L12-'Profit &amp; Loss'!K12)/'Profit &amp; Loss'!K12,"NA")</f>
        <v>4.4702842377260896E-2</v>
      </c>
      <c r="N7" s="32">
        <f>('Profit &amp; Loss'!L12/'Profit &amp; Loss'!C12)^(1/(9-1))-1</f>
        <v>0.25523484816251774</v>
      </c>
      <c r="O7" s="32">
        <f>('Profit &amp; Loss'!L12/'Profit &amp; Loss'!G12)^(1/(5-1))-1</f>
        <v>0.35228851666783179</v>
      </c>
      <c r="P7" s="32">
        <f>('Profit &amp; Loss'!L12/'Profit &amp; Loss'!I12)^(1/(3-1))-1</f>
        <v>0.37934340731165195</v>
      </c>
      <c r="Q7" t="str">
        <f>IF(N7&gt;0.15,"Excellent",IF(N7&lt;0.1,"Bad","Good"))</f>
        <v>Excellent</v>
      </c>
    </row>
    <row r="8" spans="1:18" x14ac:dyDescent="0.25">
      <c r="A8" s="58" t="s">
        <v>105</v>
      </c>
      <c r="B8" s="41" t="s">
        <v>146</v>
      </c>
      <c r="C8" s="32">
        <f>IFERROR(('Profit &amp; Loss'!C13-'Profit &amp; Loss'!B13)/'Profit &amp; Loss'!B13,"NA")</f>
        <v>0.69072164948453585</v>
      </c>
      <c r="D8" s="32">
        <f>IFERROR(('Profit &amp; Loss'!D13-'Profit &amp; Loss'!C13)/'Profit &amp; Loss'!C13,"NA")</f>
        <v>-0.19969512195121944</v>
      </c>
      <c r="E8" s="32">
        <f>IFERROR(('Profit &amp; Loss'!E13-'Profit &amp; Loss'!D13)/'Profit &amp; Loss'!D13,"NA")</f>
        <v>0.36000000000000004</v>
      </c>
      <c r="F8" s="32">
        <f>IFERROR(('Profit &amp; Loss'!F13-'Profit &amp; Loss'!E13)/'Profit &amp; Loss'!E13,"NA")</f>
        <v>0.62184873949579844</v>
      </c>
      <c r="G8" s="32">
        <f>IFERROR(('Profit &amp; Loss'!G13-'Profit &amp; Loss'!F13)/'Profit &amp; Loss'!F13,"NA")</f>
        <v>4.4041450777202028E-2</v>
      </c>
      <c r="H8" s="32">
        <f>IFERROR(('Profit &amp; Loss'!H13-'Profit &amp; Loss'!G13)/'Profit &amp; Loss'!G13,"NA")</f>
        <v>-1.157981803143099E-2</v>
      </c>
      <c r="I8" s="32">
        <f>IFERROR(('Profit &amp; Loss'!I13-'Profit &amp; Loss'!H13)/'Profit &amp; Loss'!H13,"NA")</f>
        <v>0.77824267782426781</v>
      </c>
      <c r="J8" s="32">
        <f>IFERROR(('Profit &amp; Loss'!J13-'Profit &amp; Loss'!I13)/'Profit &amp; Loss'!I13,"NA")</f>
        <v>0.11623529411764694</v>
      </c>
      <c r="K8" s="32">
        <f>IFERROR(('Profit &amp; Loss'!K13-'Profit &amp; Loss'!J13)/'Profit &amp; Loss'!J13,"NA")</f>
        <v>0.63153456998313684</v>
      </c>
      <c r="L8" s="32">
        <f>IFERROR(('Profit &amp; Loss'!L13-'Profit &amp; Loss'!K13)/'Profit &amp; Loss'!K13,"NA")</f>
        <v>4.4918849491470979E-2</v>
      </c>
      <c r="N8" s="32">
        <f>('Profit &amp; Loss'!L13/'Profit &amp; Loss'!C13)^(1/(9-1))-1</f>
        <v>0.25526728742685556</v>
      </c>
      <c r="O8" s="32">
        <f>('Profit &amp; Loss'!L13/'Profit &amp; Loss'!G13)^(1/(5-1))-1</f>
        <v>0.35235841245116206</v>
      </c>
      <c r="P8" s="32">
        <f>('Profit &amp; Loss'!L13/'Profit &amp; Loss'!I13)^(1/(3-1))-1</f>
        <v>0.3794859993374331</v>
      </c>
      <c r="Q8" t="str">
        <f>IF(N8&gt;0.15,"Excellent",IF(N8&lt;0.1,"Bad","Good"))</f>
        <v>Excellent</v>
      </c>
    </row>
    <row r="9" spans="1:18" ht="17.25" x14ac:dyDescent="0.25">
      <c r="A9" s="57" t="s">
        <v>249</v>
      </c>
      <c r="B9" s="41"/>
      <c r="C9" s="32"/>
      <c r="D9" s="32"/>
      <c r="E9" s="32"/>
      <c r="F9" s="32"/>
      <c r="G9" s="32"/>
      <c r="H9" s="32"/>
      <c r="I9" s="32"/>
      <c r="J9" s="32"/>
      <c r="K9" s="32"/>
      <c r="L9" s="32"/>
      <c r="N9" s="32"/>
      <c r="O9" s="32"/>
      <c r="P9" s="32"/>
    </row>
    <row r="10" spans="1:18" x14ac:dyDescent="0.25">
      <c r="A10" s="59" t="s">
        <v>204</v>
      </c>
      <c r="B10" s="41" t="s">
        <v>146</v>
      </c>
      <c r="C10" s="32">
        <f>IFERROR(('Cash Flow'!C4-'Cash Flow'!B4)/'Cash Flow'!B4,"NA")</f>
        <v>-0.40677966101694907</v>
      </c>
      <c r="D10" s="32">
        <f>IFERROR(('Cash Flow'!D4-'Cash Flow'!C4)/'Cash Flow'!C4,"NA")</f>
        <v>1.6122448979591837</v>
      </c>
      <c r="E10" s="32">
        <f>IFERROR(('Cash Flow'!E4-'Cash Flow'!D4)/'Cash Flow'!D4,"NA")</f>
        <v>0.15781249999999997</v>
      </c>
      <c r="F10" s="32">
        <f>IFERROR(('Cash Flow'!F4-'Cash Flow'!E4)/'Cash Flow'!E4,"NA")</f>
        <v>0.61538461538461542</v>
      </c>
      <c r="G10" s="32">
        <f>IFERROR(('Cash Flow'!G4-'Cash Flow'!F4)/'Cash Flow'!F4,"NA")</f>
        <v>0.72263993316624897</v>
      </c>
      <c r="H10" s="32">
        <f>IFERROR(('Cash Flow'!H4-'Cash Flow'!G4)/'Cash Flow'!G4,"NA")</f>
        <v>0.34747817652764301</v>
      </c>
      <c r="I10" s="32">
        <f>IFERROR(('Cash Flow'!I4-'Cash Flow'!H4)/'Cash Flow'!H4,"NA")</f>
        <v>0.11229080439085841</v>
      </c>
      <c r="J10" s="32">
        <f>IFERROR(('Cash Flow'!J4-'Cash Flow'!I4)/'Cash Flow'!I4,"NA")</f>
        <v>9.3835948875586425E-2</v>
      </c>
      <c r="K10" s="32">
        <f>IFERROR(('Cash Flow'!K4-'Cash Flow'!J4)/'Cash Flow'!J4,"NA")</f>
        <v>0.43765715130897803</v>
      </c>
      <c r="L10" s="32">
        <f>IFERROR(('Cash Flow'!L4-'Cash Flow'!K4)/'Cash Flow'!K4,"NA")</f>
        <v>6.9958847736625487E-2</v>
      </c>
      <c r="N10" s="32"/>
      <c r="O10" s="32"/>
      <c r="P10" s="32"/>
    </row>
    <row r="11" spans="1:18" x14ac:dyDescent="0.25">
      <c r="A11" s="59" t="s">
        <v>205</v>
      </c>
      <c r="B11" s="41" t="s">
        <v>146</v>
      </c>
      <c r="C11" s="32">
        <f>IFERROR(('Cash Flow'!C5-'Cash Flow'!B5)/'Cash Flow'!B5,"NA")</f>
        <v>2.0605042016806725</v>
      </c>
      <c r="D11" s="32"/>
      <c r="E11" s="32"/>
      <c r="F11" s="32"/>
      <c r="G11" s="32"/>
      <c r="H11" s="32"/>
      <c r="I11" s="32"/>
      <c r="J11" s="32"/>
      <c r="K11" s="32"/>
      <c r="N11" s="32"/>
      <c r="O11" s="32"/>
      <c r="P11" s="32"/>
    </row>
    <row r="12" spans="1:18" ht="17.25" x14ac:dyDescent="0.25">
      <c r="A12" s="57" t="s">
        <v>250</v>
      </c>
      <c r="B12" s="41"/>
      <c r="C12" s="32"/>
      <c r="D12" s="32"/>
      <c r="E12" s="32"/>
      <c r="F12" s="32"/>
      <c r="G12" s="32"/>
      <c r="H12" s="32"/>
      <c r="I12" s="32"/>
      <c r="J12" s="32"/>
      <c r="K12" s="32"/>
      <c r="N12" s="32"/>
      <c r="O12" s="32"/>
      <c r="P12" s="32"/>
    </row>
    <row r="13" spans="1:18" x14ac:dyDescent="0.25">
      <c r="A13" s="58" t="s">
        <v>127</v>
      </c>
      <c r="B13" s="41" t="s">
        <v>146</v>
      </c>
      <c r="C13" s="32">
        <f>IFERROR(('Data Sheet'!C67-'Data Sheet'!B67)/'Data Sheet'!B67,"NA")</f>
        <v>0.27272727272727282</v>
      </c>
      <c r="D13" s="32">
        <f>IFERROR(('Data Sheet'!D67-'Data Sheet'!C67)/'Data Sheet'!C67,"NA")</f>
        <v>0.7857142857142857</v>
      </c>
      <c r="E13" s="32">
        <f>IFERROR(('Data Sheet'!E67-'Data Sheet'!D67)/'Data Sheet'!D67,"NA")</f>
        <v>9.2307692307691709E-3</v>
      </c>
      <c r="F13" s="32">
        <f>IFERROR(('Data Sheet'!F67-'Data Sheet'!E67)/'Data Sheet'!E67,"NA")</f>
        <v>0.31707317073170749</v>
      </c>
      <c r="G13" s="32">
        <f>IFERROR(('Data Sheet'!G67-'Data Sheet'!F67)/'Data Sheet'!F67,"NA")</f>
        <v>0.53240740740740733</v>
      </c>
      <c r="H13" s="32">
        <f>IFERROR(('Data Sheet'!H67-'Data Sheet'!G67)/'Data Sheet'!G67,"NA")</f>
        <v>-0.5166163141993958</v>
      </c>
      <c r="I13" s="32">
        <f>IFERROR(('Data Sheet'!I67-'Data Sheet'!H67)/'Data Sheet'!H67,"NA")</f>
        <v>0.29687500000000006</v>
      </c>
      <c r="J13" s="32">
        <f>IFERROR(('Data Sheet'!J67-'Data Sheet'!I67)/'Data Sheet'!I67,"NA")</f>
        <v>0.74698795180722877</v>
      </c>
      <c r="K13" s="32">
        <f>IFERROR(('Data Sheet'!K67-'Data Sheet'!J67)/'Data Sheet'!J67,"NA")</f>
        <v>0.39310344827586202</v>
      </c>
      <c r="L13" s="32">
        <f>IFERROR(('Data Sheet'!L67-'Data Sheet'!K67)/'Data Sheet'!K67,"NA")</f>
        <v>-0.11188118811881179</v>
      </c>
      <c r="N13" s="32">
        <f>IFERROR(('Data Sheet'!L67/'Data Sheet'!C67)^(1/(9-1))-1,"NA")</f>
        <v>0.2206471230813325</v>
      </c>
      <c r="O13" s="32">
        <f>IFERROR(('Data Sheet'!L67/'Data Sheet'!G67)^(1/(5-1))-1,"NA")</f>
        <v>7.8906012678216175E-2</v>
      </c>
      <c r="P13" s="32"/>
      <c r="Q13" t="str">
        <f>IF(N13&gt;$N$3+0.1,"Bad",IF(N13&lt;$N$3,"Excellent",IF(N13="NA","NA","Good")))</f>
        <v>Excellent</v>
      </c>
    </row>
    <row r="14" spans="1:18" x14ac:dyDescent="0.25">
      <c r="A14" s="58" t="s">
        <v>126</v>
      </c>
      <c r="B14" s="41" t="s">
        <v>146</v>
      </c>
      <c r="C14" s="32">
        <f>IFERROR(('Data Sheet'!C68-'Data Sheet'!B68)/'Data Sheet'!B68,"NA")</f>
        <v>-6.6901408450704206E-2</v>
      </c>
      <c r="D14" s="32">
        <f>IFERROR(('Data Sheet'!D68-'Data Sheet'!C68)/'Data Sheet'!C68,"NA")</f>
        <v>0.50943396226415094</v>
      </c>
      <c r="E14" s="32">
        <f>IFERROR(('Data Sheet'!E68-'Data Sheet'!D68)/'Data Sheet'!D68,"NA")</f>
        <v>-1.2499999999999956E-2</v>
      </c>
      <c r="F14" s="32">
        <f>IFERROR(('Data Sheet'!F68-'Data Sheet'!E68)/'Data Sheet'!E68,"NA")</f>
        <v>0.2658227848101265</v>
      </c>
      <c r="G14" s="32">
        <f>IFERROR(('Data Sheet'!G68-'Data Sheet'!F68)/'Data Sheet'!F68,"NA")</f>
        <v>0.15199999999999997</v>
      </c>
      <c r="H14" s="32">
        <f>IFERROR(('Data Sheet'!H68-'Data Sheet'!G68)/'Data Sheet'!G68,"NA")</f>
        <v>0.26041666666666669</v>
      </c>
      <c r="I14" s="32">
        <f>IFERROR(('Data Sheet'!I68-'Data Sheet'!H68)/'Data Sheet'!H68,"NA")</f>
        <v>0.22865013774104687</v>
      </c>
      <c r="J14" s="32">
        <f>IFERROR(('Data Sheet'!J68-'Data Sheet'!I68)/'Data Sheet'!I68,"NA")</f>
        <v>8.5201793721973076E-2</v>
      </c>
      <c r="K14" s="32">
        <f>IFERROR(('Data Sheet'!K68-'Data Sheet'!J68)/'Data Sheet'!J68,"NA")</f>
        <v>-0.14049586776859499</v>
      </c>
      <c r="L14" s="32">
        <f>IFERROR(('Data Sheet'!L68-'Data Sheet'!K68)/'Data Sheet'!K68,"NA")</f>
        <v>2.6442307692307553E-2</v>
      </c>
      <c r="N14" s="32">
        <f>IFERROR(('Data Sheet'!L68/'Data Sheet'!C68)^(1/(9-1))-1,"NA")</f>
        <v>0.15751465866939385</v>
      </c>
      <c r="O14" s="32">
        <f>IFERROR(('Data Sheet'!L68/'Data Sheet'!G68)^(1/(5-1))-1,"NA")</f>
        <v>0.1034657220247206</v>
      </c>
      <c r="P14" s="32"/>
      <c r="Q14" t="str">
        <f>IF(N14&gt;$N$3+0.1,"Bad",IF(N14&lt;$N$3,"Excellent",IF(N14="NA","NA","Good")))</f>
        <v>Excellent</v>
      </c>
    </row>
    <row r="15" spans="1:18" x14ac:dyDescent="0.25">
      <c r="A15" s="58" t="s">
        <v>251</v>
      </c>
      <c r="B15" s="41"/>
      <c r="C15" s="32">
        <f>IFERROR(('Data Sheet'!C57-'Data Sheet'!B57)/'Data Sheet'!B57,"NA")</f>
        <v>9.1491308325707111E-4</v>
      </c>
      <c r="D15" s="32">
        <f>IFERROR(('Data Sheet'!D57-'Data Sheet'!C57)/'Data Sheet'!C57,"NA")</f>
        <v>0</v>
      </c>
      <c r="E15" s="32">
        <f>IFERROR(('Data Sheet'!E57-'Data Sheet'!D57)/'Data Sheet'!D57,"NA")</f>
        <v>0</v>
      </c>
      <c r="F15" s="32">
        <f>IFERROR(('Data Sheet'!F57-'Data Sheet'!E57)/'Data Sheet'!E57,"NA")</f>
        <v>0</v>
      </c>
      <c r="G15" s="32">
        <f>IFERROR(('Data Sheet'!G57-'Data Sheet'!F57)/'Data Sheet'!F57,"NA")</f>
        <v>0</v>
      </c>
      <c r="H15" s="32">
        <f>IFERROR(('Data Sheet'!H57-'Data Sheet'!G57)/'Data Sheet'!G57,"NA")</f>
        <v>0</v>
      </c>
      <c r="I15" s="32">
        <f>IFERROR(('Data Sheet'!I57-'Data Sheet'!H57)/'Data Sheet'!H57,"NA")</f>
        <v>0</v>
      </c>
      <c r="J15" s="32">
        <f>IFERROR(('Data Sheet'!J57-'Data Sheet'!I57)/'Data Sheet'!I57,"NA")</f>
        <v>0</v>
      </c>
      <c r="K15" s="32">
        <f>IFERROR(('Data Sheet'!K57-'Data Sheet'!J57)/'Data Sheet'!J57,"NA")</f>
        <v>0</v>
      </c>
      <c r="L15" s="32">
        <f>IFERROR(('Data Sheet'!L57-'Data Sheet'!K57)/'Data Sheet'!K57,"NA")</f>
        <v>0</v>
      </c>
      <c r="N15" s="32">
        <f>IFERROR(('Data Sheet'!L57/'Data Sheet'!C57)^(1/(9-1))-1,"NA")</f>
        <v>0</v>
      </c>
      <c r="O15" s="32">
        <f>IFERROR(('Data Sheet'!L57/'Data Sheet'!G57)^(1/(5-1))-1,"NA")</f>
        <v>0</v>
      </c>
      <c r="P15" s="32"/>
    </row>
    <row r="16" spans="1:18" x14ac:dyDescent="0.25">
      <c r="A16" s="58" t="s">
        <v>252</v>
      </c>
      <c r="B16" s="41"/>
      <c r="C16" s="32">
        <f>IFERROR(('Data Sheet'!C58-'Data Sheet'!B58)/'Data Sheet'!B58,"NA")</f>
        <v>0.95938104448742767</v>
      </c>
      <c r="D16" s="32">
        <f>IFERROR(('Data Sheet'!D58-'Data Sheet'!C58)/'Data Sheet'!C58,"NA")</f>
        <v>0.36031589338598208</v>
      </c>
      <c r="E16" s="32">
        <f>IFERROR(('Data Sheet'!E58-'Data Sheet'!D58)/'Data Sheet'!D58,"NA")</f>
        <v>0.40203193033381723</v>
      </c>
      <c r="F16" s="32">
        <f>IFERROR(('Data Sheet'!F58-'Data Sheet'!E58)/'Data Sheet'!E58,"NA")</f>
        <v>0.51708074534161486</v>
      </c>
      <c r="G16" s="32">
        <f>IFERROR(('Data Sheet'!G58-'Data Sheet'!F58)/'Data Sheet'!F58,"NA")</f>
        <v>0.35823950870010252</v>
      </c>
      <c r="H16" s="32">
        <f>IFERROR(('Data Sheet'!H58-'Data Sheet'!G58)/'Data Sheet'!G58,"NA")</f>
        <v>0.26023612157749304</v>
      </c>
      <c r="I16" s="32">
        <f>IFERROR(('Data Sheet'!I58-'Data Sheet'!H58)/'Data Sheet'!H58,"NA")</f>
        <v>0.38529001395256124</v>
      </c>
      <c r="J16" s="32">
        <f>IFERROR(('Data Sheet'!J58-'Data Sheet'!I58)/'Data Sheet'!I58,"NA")</f>
        <v>0.31366906474820139</v>
      </c>
      <c r="K16" s="32">
        <f>IFERROR(('Data Sheet'!K58-'Data Sheet'!J58)/'Data Sheet'!J58,"NA")</f>
        <v>0.39605695509309963</v>
      </c>
      <c r="L16" s="32">
        <f>IFERROR(('Data Sheet'!L58-'Data Sheet'!K58)/'Data Sheet'!K58,"NA")</f>
        <v>0.27946022281500094</v>
      </c>
      <c r="N16" s="32">
        <f>IFERROR(('Data Sheet'!L58/'Data Sheet'!C58)^(1/(9-1))-1,"NA")</f>
        <v>0.41530130519542974</v>
      </c>
      <c r="O16" s="32">
        <f>IFERROR(('Data Sheet'!L58/'Data Sheet'!G58)^(1/(5-1))-1,"NA")</f>
        <v>0.42266330983642852</v>
      </c>
      <c r="P16" s="32"/>
    </row>
    <row r="17" spans="1:16" x14ac:dyDescent="0.25">
      <c r="A17" s="58" t="s">
        <v>253</v>
      </c>
      <c r="B17" s="41"/>
      <c r="C17" s="32">
        <f>IFERROR(('Data Sheet'!C57+'Data Sheet'!C58-'Data Sheet'!B57-'Data Sheet'!B58)/('Data Sheet'!B57+'Data Sheet'!B58),"NA")</f>
        <v>0.30869565217391304</v>
      </c>
      <c r="D17" s="32">
        <f>IFERROR(('Data Sheet'!D57+'Data Sheet'!D58-'Data Sheet'!C57-'Data Sheet'!C58)/('Data Sheet'!C57+'Data Sheet'!C58),"NA")</f>
        <v>0.17323208353108679</v>
      </c>
      <c r="E17" s="32">
        <f>IFERROR(('Data Sheet'!E57+'Data Sheet'!E58-'Data Sheet'!D57-'Data Sheet'!D58)/('Data Sheet'!D57+'Data Sheet'!D58),"NA")</f>
        <v>0.2241100323624596</v>
      </c>
      <c r="F17" s="32">
        <f>IFERROR(('Data Sheet'!F57+'Data Sheet'!F58-'Data Sheet'!E57-'Data Sheet'!E58)/('Data Sheet'!E57+'Data Sheet'!E58),"NA")</f>
        <v>0.33013879709187055</v>
      </c>
      <c r="G17" s="32">
        <f>IFERROR(('Data Sheet'!G57+'Data Sheet'!G58-'Data Sheet'!F57-'Data Sheet'!F58)/('Data Sheet'!F57+'Data Sheet'!F58),"NA")</f>
        <v>0.26086956521739141</v>
      </c>
      <c r="H17" s="32">
        <f>IFERROR(('Data Sheet'!H57+'Data Sheet'!H58-'Data Sheet'!G57-'Data Sheet'!G58)/('Data Sheet'!G57+'Data Sheet'!G58),"NA")</f>
        <v>0.20413793103448274</v>
      </c>
      <c r="I17" s="32">
        <f>IFERROR(('Data Sheet'!I57+'Data Sheet'!I58-'Data Sheet'!H57-'Data Sheet'!H58)/('Data Sheet'!H57+'Data Sheet'!H58),"NA")</f>
        <v>0.31631484208803795</v>
      </c>
      <c r="J17" s="32">
        <f>IFERROR(('Data Sheet'!J57+'Data Sheet'!J58-'Data Sheet'!I57-'Data Sheet'!I58)/('Data Sheet'!I57+'Data Sheet'!I58),"NA")</f>
        <v>0.27100944803580307</v>
      </c>
      <c r="K17" s="32">
        <f>IFERROR(('Data Sheet'!K57+'Data Sheet'!K58-'Data Sheet'!J57-'Data Sheet'!J58)/('Data Sheet'!J57+'Data Sheet'!J58),"NA")</f>
        <v>0.35367762128325519</v>
      </c>
      <c r="L17" s="32">
        <f>IFERROR(('Data Sheet'!L57+'Data Sheet'!L58-'Data Sheet'!K57-'Data Sheet'!K58)/('Data Sheet'!K57+'Data Sheet'!K58),"NA")</f>
        <v>0.25736994219653192</v>
      </c>
      <c r="N17" s="32">
        <f>IFERROR((('Data Sheet'!L57+'Data Sheet'!L58)/('Data Sheet'!C57+'Data Sheet'!C58))^(1/(9-1))-1,"NA")</f>
        <v>0.30201752129964921</v>
      </c>
      <c r="O17" s="32">
        <f>IFERROR((('Data Sheet'!L57+'Data Sheet'!L58)/('Data Sheet'!G57+'Data Sheet'!G58))^(1/(5-1))-1,"NA")</f>
        <v>0.36078896695658402</v>
      </c>
      <c r="P17" s="32"/>
    </row>
    <row r="18" spans="1:16" x14ac:dyDescent="0.25">
      <c r="A18" s="58" t="s">
        <v>254</v>
      </c>
      <c r="B18" s="41"/>
      <c r="C18" s="32">
        <f>IFERROR(('Data Sheet'!C66-'Data Sheet'!B66)/'Data Sheet'!B66,"NA")</f>
        <v>0.62791199309749779</v>
      </c>
      <c r="D18" s="32">
        <f>IFERROR(('Data Sheet'!D66-'Data Sheet'!C66)/'Data Sheet'!C66,"NA")</f>
        <v>0.17569895322644766</v>
      </c>
      <c r="E18" s="32">
        <f>IFERROR(('Data Sheet'!E66-'Data Sheet'!D66)/'Data Sheet'!D66,"NA")</f>
        <v>0.36346218866223373</v>
      </c>
      <c r="F18" s="32">
        <f>IFERROR(('Data Sheet'!F66-'Data Sheet'!E66)/'Data Sheet'!E66,"NA")</f>
        <v>0.4413952719457761</v>
      </c>
      <c r="G18" s="32">
        <f>IFERROR(('Data Sheet'!G66-'Data Sheet'!F66)/'Data Sheet'!F66,"NA")</f>
        <v>0.6292579424245901</v>
      </c>
      <c r="H18" s="32">
        <f>IFERROR(('Data Sheet'!H66-'Data Sheet'!G66)/'Data Sheet'!G66,"NA")</f>
        <v>0.1972123473302593</v>
      </c>
      <c r="I18" s="32">
        <f>IFERROR(('Data Sheet'!I66-'Data Sheet'!H66)/'Data Sheet'!H66,"NA")</f>
        <v>1.89627800317516E-2</v>
      </c>
      <c r="J18" s="32">
        <f>IFERROR(('Data Sheet'!J66-'Data Sheet'!I66)/'Data Sheet'!I66,"NA")</f>
        <v>1.8292506996739757E-2</v>
      </c>
      <c r="K18" s="32">
        <f>IFERROR(('Data Sheet'!K66-'Data Sheet'!J66)/'Data Sheet'!J66,"NA")</f>
        <v>0.10293825971155748</v>
      </c>
      <c r="L18" s="32">
        <f>IFERROR(('Data Sheet'!L66-'Data Sheet'!K66)/'Data Sheet'!K66,"NA")</f>
        <v>9.9573549812464662E-2</v>
      </c>
      <c r="N18" s="32">
        <f>IFERROR(('Data Sheet'!L66/'Data Sheet'!C66)^(1/(9-1))-1,"NA")</f>
        <v>0.24225631765901223</v>
      </c>
      <c r="O18" s="32">
        <f>IFERROR(('Data Sheet'!L66/'Data Sheet'!G66)^(1/(5-1))-1,"NA")</f>
        <v>0.10788424305131028</v>
      </c>
      <c r="P18" s="32"/>
    </row>
    <row r="19" spans="1:16" x14ac:dyDescent="0.25">
      <c r="A19" s="58" t="s">
        <v>255</v>
      </c>
      <c r="B19" s="41"/>
      <c r="C19" s="32">
        <f>IFERROR(('Data Sheet'!C62-'Data Sheet'!B62)/'Data Sheet'!B62,"NA")</f>
        <v>0.34927953890489905</v>
      </c>
      <c r="D19" s="32">
        <f>IFERROR(('Data Sheet'!D62-'Data Sheet'!C62)/'Data Sheet'!C62,"NA")</f>
        <v>0.13092695429303722</v>
      </c>
      <c r="E19" s="32">
        <f>IFERROR(('Data Sheet'!E62-'Data Sheet'!D62)/'Data Sheet'!D62,"NA")</f>
        <v>0.1461756373937676</v>
      </c>
      <c r="F19" s="32">
        <f>IFERROR(('Data Sheet'!F62-'Data Sheet'!E62)/'Data Sheet'!E62,"NA")</f>
        <v>0.62217828307793721</v>
      </c>
      <c r="G19" s="32">
        <f>IFERROR(('Data Sheet'!G62-'Data Sheet'!F62)/'Data Sheet'!F62,"NA")</f>
        <v>0.88176739461655651</v>
      </c>
      <c r="H19" s="32">
        <f>IFERROR(('Data Sheet'!H62-'Data Sheet'!G62)/'Data Sheet'!G62,"NA")</f>
        <v>0.55673108064342003</v>
      </c>
      <c r="I19" s="32">
        <f>IFERROR(('Data Sheet'!I62-'Data Sheet'!H62)/'Data Sheet'!H62,"NA")</f>
        <v>-3.0998613037447983E-2</v>
      </c>
      <c r="J19" s="32">
        <f>IFERROR(('Data Sheet'!J62-'Data Sheet'!I62)/'Data Sheet'!I62,"NA")</f>
        <v>-8.1585915694552813E-3</v>
      </c>
      <c r="K19" s="32">
        <f>IFERROR(('Data Sheet'!K62-'Data Sheet'!J62)/'Data Sheet'!J62,"NA")</f>
        <v>1.3529114654736994E-2</v>
      </c>
      <c r="L19" s="32">
        <f>IFERROR(('Data Sheet'!L62-'Data Sheet'!K62)/'Data Sheet'!K62,"NA")</f>
        <v>0.20670629694229875</v>
      </c>
      <c r="N19" s="32">
        <f>IFERROR(('Data Sheet'!L62/'Data Sheet'!C62)^(1/(9-1))-1,"NA")</f>
        <v>0.28076967481173698</v>
      </c>
      <c r="O19" s="32">
        <f>IFERROR(('Data Sheet'!L62/'Data Sheet'!G62)^(1/(5-1))-1,"NA")</f>
        <v>0.16306640030096631</v>
      </c>
      <c r="P19" s="32"/>
    </row>
    <row r="20" spans="1:16" x14ac:dyDescent="0.25">
      <c r="A20" s="58" t="s">
        <v>256</v>
      </c>
      <c r="B20" s="41"/>
      <c r="C20" s="32">
        <f>IFERROR(('Data Sheet'!C65-'Data Sheet'!B65)/'Data Sheet'!B65,"NA")</f>
        <v>1.3056057866184447</v>
      </c>
      <c r="D20" s="32">
        <f>IFERROR(('Data Sheet'!D65-'Data Sheet'!C65)/'Data Sheet'!C65,"NA")</f>
        <v>8.627450980392113E-3</v>
      </c>
      <c r="E20" s="32">
        <f>IFERROR(('Data Sheet'!E65-'Data Sheet'!D65)/'Data Sheet'!D65,"NA")</f>
        <v>0.42262830482115105</v>
      </c>
      <c r="F20" s="32">
        <f>IFERROR(('Data Sheet'!F65-'Data Sheet'!E65)/'Data Sheet'!E65,"NA")</f>
        <v>-0.17709756764143217</v>
      </c>
      <c r="G20" s="32">
        <f>IFERROR(('Data Sheet'!G65-'Data Sheet'!F65)/'Data Sheet'!F65,"NA")</f>
        <v>0.89804051810029895</v>
      </c>
      <c r="H20" s="32">
        <f>IFERROR(('Data Sheet'!H65-'Data Sheet'!G65)/'Data Sheet'!G65,"NA")</f>
        <v>-0.16027996500437439</v>
      </c>
      <c r="I20" s="32">
        <f>IFERROR(('Data Sheet'!I65-'Data Sheet'!H65)/'Data Sheet'!H65,"NA")</f>
        <v>0.22546363825797042</v>
      </c>
      <c r="J20" s="32">
        <f>IFERROR(('Data Sheet'!J65-'Data Sheet'!I65)/'Data Sheet'!I65,"NA")</f>
        <v>0.1428328515558577</v>
      </c>
      <c r="K20" s="32">
        <f>IFERROR(('Data Sheet'!K65-'Data Sheet'!J65)/'Data Sheet'!J65,"NA")</f>
        <v>0.30843624460645747</v>
      </c>
      <c r="L20" s="32">
        <f>IFERROR(('Data Sheet'!L65-'Data Sheet'!K65)/'Data Sheet'!K65,"NA")</f>
        <v>-0.14475778940186496</v>
      </c>
      <c r="N20" s="32">
        <f>IFERROR(('Data Sheet'!L65/'Data Sheet'!C65)^(1/(9-1))-1,"NA")</f>
        <v>0.14476653721134469</v>
      </c>
      <c r="O20" s="32">
        <f>IFERROR(('Data Sheet'!L65/'Data Sheet'!G65)^(1/(5-1))-1,"NA")</f>
        <v>7.1062560204898428E-2</v>
      </c>
      <c r="P20" s="32"/>
    </row>
    <row r="21" spans="1:16" x14ac:dyDescent="0.25">
      <c r="A21" s="58" t="s">
        <v>257</v>
      </c>
      <c r="B21" s="41"/>
      <c r="C21" s="32">
        <f>IFERROR(('Data Sheet'!C59+'Data Sheet'!C60-'Data Sheet'!B59-'Data Sheet'!B60)/('Data Sheet'!B59+'Data Sheet'!B60),"NA")</f>
        <v>0.797752808988764</v>
      </c>
      <c r="D21" s="32">
        <f>IFERROR(('Data Sheet'!D59+'Data Sheet'!D60-'Data Sheet'!C59-'Data Sheet'!C60)/('Data Sheet'!C59+'Data Sheet'!C60),"NA")</f>
        <v>0.176654411764706</v>
      </c>
      <c r="E21" s="32">
        <f>IFERROR(('Data Sheet'!E59+'Data Sheet'!E60-'Data Sheet'!D59-'Data Sheet'!D60)/('Data Sheet'!D59+'Data Sheet'!D60),"NA")</f>
        <v>0.41727855022652705</v>
      </c>
      <c r="F21" s="32">
        <f>IFERROR(('Data Sheet'!F59+'Data Sheet'!F60-'Data Sheet'!E59-'Data Sheet'!E60)/('Data Sheet'!E59+'Data Sheet'!E60),"NA")</f>
        <v>0.47850529100529099</v>
      </c>
      <c r="G21" s="32">
        <f>IFERROR(('Data Sheet'!G59+'Data Sheet'!G60-'Data Sheet'!F59-'Data Sheet'!F60)/('Data Sheet'!F59+'Data Sheet'!F60),"NA")</f>
        <v>0.73980466711399395</v>
      </c>
      <c r="H21" s="32">
        <f>IFERROR(('Data Sheet'!H59+'Data Sheet'!H60-'Data Sheet'!G59-'Data Sheet'!G60)/('Data Sheet'!G59+'Data Sheet'!G60),"NA")</f>
        <v>0.19570620500514213</v>
      </c>
      <c r="I21" s="32">
        <f>IFERROR(('Data Sheet'!I59+'Data Sheet'!I60-'Data Sheet'!H59-'Data Sheet'!H60)/('Data Sheet'!H59+'Data Sheet'!H60),"NA")</f>
        <v>-4.6159911120668119E-2</v>
      </c>
      <c r="J21" s="32">
        <f>IFERROR(('Data Sheet'!J59+'Data Sheet'!J60-'Data Sheet'!I59-'Data Sheet'!I60)/('Data Sheet'!I59+'Data Sheet'!I60),"NA")</f>
        <v>-5.8087544617696822E-2</v>
      </c>
      <c r="K21" s="32">
        <f>IFERROR(('Data Sheet'!K59+'Data Sheet'!K60-'Data Sheet'!J59-'Data Sheet'!J60)/('Data Sheet'!J59+'Data Sheet'!J60),"NA")</f>
        <v>6.7812836571058872E-4</v>
      </c>
      <c r="L21" s="32">
        <f>IFERROR(('Data Sheet'!L59+'Data Sheet'!L60-'Data Sheet'!K59-'Data Sheet'!K60)/('Data Sheet'!K59+'Data Sheet'!K60),"NA")</f>
        <v>1.2516941720481603E-2</v>
      </c>
      <c r="N21" s="32">
        <f>IFERROR((('Data Sheet'!L59+'Data Sheet'!L60)/('Data Sheet'!C59+'Data Sheet'!C60))^(1/(9-1))-1,"NA")</f>
        <v>0.2124235182942793</v>
      </c>
      <c r="O21" s="32">
        <f>IFERROR((('Data Sheet'!L59+'Data Sheet'!L60)/('Data Sheet'!G59+'Data Sheet'!G60))^(1/(5-1))-1,"NA")</f>
        <v>2.141404448277151E-2</v>
      </c>
      <c r="P21" s="32"/>
    </row>
    <row r="22" spans="1:16" x14ac:dyDescent="0.25">
      <c r="A22" s="58" t="s">
        <v>258</v>
      </c>
      <c r="B22" s="41"/>
      <c r="C22" s="32">
        <f>IFERROR(('Data Sheet'!C59-'Data Sheet'!B59)/'Data Sheet'!B59,"NA")</f>
        <v>1.2773519163763065</v>
      </c>
      <c r="D22" s="32">
        <f>IFERROR(('Data Sheet'!D59-'Data Sheet'!C59)/'Data Sheet'!C59,"NA")</f>
        <v>0.15728274173806611</v>
      </c>
      <c r="E22" s="32">
        <f>IFERROR(('Data Sheet'!E59-'Data Sheet'!D59)/'Data Sheet'!D59,"NA")</f>
        <v>0.86197778952934956</v>
      </c>
      <c r="F22" s="32">
        <f>IFERROR(('Data Sheet'!F59-'Data Sheet'!E59)/'Data Sheet'!E59,"NA")</f>
        <v>0.53621130360692992</v>
      </c>
      <c r="G22" s="32">
        <f>IFERROR(('Data Sheet'!G59-'Data Sheet'!F59)/'Data Sheet'!F59,"NA")</f>
        <v>0.77713070807912732</v>
      </c>
      <c r="H22" s="32">
        <f>IFERROR(('Data Sheet'!H59-'Data Sheet'!G59)/'Data Sheet'!G59,"NA")</f>
        <v>0.18496749024707412</v>
      </c>
      <c r="I22" s="32">
        <f>IFERROR(('Data Sheet'!I59-'Data Sheet'!H59)/'Data Sheet'!H59,"NA")</f>
        <v>-8.1076335542776864E-2</v>
      </c>
      <c r="J22" s="32">
        <f>IFERROR(('Data Sheet'!J59-'Data Sheet'!I59)/'Data Sheet'!I59,"NA")</f>
        <v>-0.12281456004585845</v>
      </c>
      <c r="K22" s="32">
        <f>IFERROR(('Data Sheet'!K59-'Data Sheet'!J59)/'Data Sheet'!J59,"NA")</f>
        <v>-0.11414256929695588</v>
      </c>
      <c r="L22" s="32">
        <f>IFERROR(('Data Sheet'!L59-'Data Sheet'!K59)/'Data Sheet'!K59,"NA")</f>
        <v>-0.22542570848958007</v>
      </c>
      <c r="N22" s="32">
        <f>IFERROR(('Data Sheet'!L59/'Data Sheet'!C59)^(1/(9-1))-1,"NA")</f>
        <v>0.18375291688410966</v>
      </c>
      <c r="O22" s="32">
        <f>IFERROR(('Data Sheet'!L59/'Data Sheet'!G59)^(1/(5-1))-1,"NA")</f>
        <v>-0.10024131137422931</v>
      </c>
      <c r="P22" s="32"/>
    </row>
    <row r="23" spans="1:16" x14ac:dyDescent="0.25">
      <c r="A23" s="58" t="s">
        <v>259</v>
      </c>
      <c r="B23" s="41"/>
      <c r="C23" s="32">
        <f>IFERROR(('Data Sheet'!C60-'Data Sheet'!B60)/'Data Sheet'!B60,"NA")</f>
        <v>0.365179132620993</v>
      </c>
      <c r="D23" s="32">
        <f>IFERROR(('Data Sheet'!D60-'Data Sheet'!C60)/'Data Sheet'!C60,"NA")</f>
        <v>0.2058011049723758</v>
      </c>
      <c r="E23" s="32">
        <f>IFERROR(('Data Sheet'!E60-'Data Sheet'!D60)/'Data Sheet'!D60,"NA")</f>
        <v>-0.2248949980908744</v>
      </c>
      <c r="F23" s="32">
        <f>IFERROR(('Data Sheet'!F60-'Data Sheet'!E60)/'Data Sheet'!E60,"NA")</f>
        <v>0.2783251231527093</v>
      </c>
      <c r="G23" s="32">
        <f>IFERROR(('Data Sheet'!G60-'Data Sheet'!F60)/'Data Sheet'!F60,"NA")</f>
        <v>0.58420038535645469</v>
      </c>
      <c r="H23" s="32">
        <f>IFERROR(('Data Sheet'!H60-'Data Sheet'!G60)/'Data Sheet'!G60,"NA")</f>
        <v>0.24592556555582581</v>
      </c>
      <c r="I23" s="32">
        <f>IFERROR(('Data Sheet'!I60-'Data Sheet'!H60)/'Data Sheet'!H60,"NA")</f>
        <v>0.10913705583756352</v>
      </c>
      <c r="J23" s="32">
        <f>IFERROR(('Data Sheet'!J60-'Data Sheet'!I60)/'Data Sheet'!I60,"NA")</f>
        <v>0.18042598134131313</v>
      </c>
      <c r="K23" s="32">
        <f>IFERROR(('Data Sheet'!K60-'Data Sheet'!J60)/'Data Sheet'!J60,"NA")</f>
        <v>0.31509096331643299</v>
      </c>
      <c r="L23" s="32">
        <f>IFERROR(('Data Sheet'!L60-'Data Sheet'!K60)/'Data Sheet'!K60,"NA")</f>
        <v>0.45141172468533852</v>
      </c>
      <c r="N23" s="32">
        <f>IFERROR(('Data Sheet'!L60/'Data Sheet'!C60)^(1/(9-1))-1,"NA")</f>
        <v>0.24822756379184097</v>
      </c>
      <c r="O23" s="32">
        <f>IFERROR(('Data Sheet'!L60/'Data Sheet'!G60)^(1/(5-1))-1,"NA")</f>
        <v>0.3283594913678467</v>
      </c>
      <c r="P23" s="32"/>
    </row>
    <row r="24" spans="1:16" x14ac:dyDescent="0.25">
      <c r="A24" s="58"/>
      <c r="B24" s="41"/>
      <c r="C24" s="32"/>
      <c r="D24" s="32"/>
      <c r="E24" s="32"/>
      <c r="F24" s="32"/>
      <c r="G24" s="32"/>
      <c r="H24" s="32"/>
      <c r="I24" s="32"/>
      <c r="J24" s="32"/>
      <c r="K24" s="32"/>
      <c r="L24" s="32"/>
      <c r="N24" s="32"/>
      <c r="O24" s="32"/>
      <c r="P24" s="32"/>
    </row>
    <row r="25" spans="1:16" ht="18.75" x14ac:dyDescent="0.25">
      <c r="A25" s="56" t="s">
        <v>246</v>
      </c>
      <c r="B25" s="41"/>
      <c r="C25" s="53">
        <f>C1</f>
        <v>39172</v>
      </c>
      <c r="D25" s="53">
        <f t="shared" ref="D25:L25" si="0">D1</f>
        <v>39538</v>
      </c>
      <c r="E25" s="53">
        <f t="shared" si="0"/>
        <v>39903</v>
      </c>
      <c r="F25" s="53">
        <f t="shared" si="0"/>
        <v>40268</v>
      </c>
      <c r="G25" s="53">
        <f t="shared" si="0"/>
        <v>40633</v>
      </c>
      <c r="H25" s="53">
        <f t="shared" si="0"/>
        <v>40999</v>
      </c>
      <c r="I25" s="53">
        <f t="shared" si="0"/>
        <v>41364</v>
      </c>
      <c r="J25" s="53">
        <f t="shared" si="0"/>
        <v>41729</v>
      </c>
      <c r="K25" s="53">
        <f t="shared" si="0"/>
        <v>42094</v>
      </c>
      <c r="L25" s="53">
        <f t="shared" si="0"/>
        <v>42430</v>
      </c>
    </row>
    <row r="26" spans="1:16" ht="23.25" x14ac:dyDescent="0.25">
      <c r="A26" s="58" t="s">
        <v>93</v>
      </c>
      <c r="B26" s="41" t="s">
        <v>147</v>
      </c>
      <c r="C26" s="32">
        <f>IFERROR('Profit &amp; Loss'!C5/'Profit &amp; Loss'!C4,"NA")</f>
        <v>0.80245381858285092</v>
      </c>
      <c r="D26" s="32">
        <f>IFERROR('Profit &amp; Loss'!D5/'Profit &amp; Loss'!D4,"NA")</f>
        <v>0.84327164724697279</v>
      </c>
      <c r="E26" s="32">
        <f>IFERROR('Profit &amp; Loss'!E5/'Profit &amp; Loss'!E4,"NA")</f>
        <v>0.8349945632475535</v>
      </c>
      <c r="F26" s="32">
        <f>IFERROR('Profit &amp; Loss'!F5/'Profit &amp; Loss'!F4,"NA")</f>
        <v>0.80864150073037599</v>
      </c>
      <c r="G26" s="32">
        <f>IFERROR('Profit &amp; Loss'!G5/'Profit &amp; Loss'!G4,"NA")</f>
        <v>0.79372710622710629</v>
      </c>
      <c r="H26" s="32">
        <f>IFERROR('Profit &amp; Loss'!H5/'Profit &amp; Loss'!H4,"NA")</f>
        <v>0.80487475828574007</v>
      </c>
      <c r="I26" s="32">
        <f>IFERROR('Profit &amp; Loss'!I5/'Profit &amp; Loss'!I4,"NA")</f>
        <v>0.76353784538754088</v>
      </c>
      <c r="J26" s="32">
        <f>IFERROR('Profit &amp; Loss'!J5/'Profit &amp; Loss'!J4,"NA")</f>
        <v>0.78189546788002151</v>
      </c>
      <c r="K26" s="32">
        <f>IFERROR('Profit &amp; Loss'!K5/'Profit &amp; Loss'!K4,"NA")</f>
        <v>0.76527563368358142</v>
      </c>
      <c r="L26" s="32">
        <f>IFERROR('Profit &amp; Loss'!L5/'Profit &amp; Loss'!L4,"NA")</f>
        <v>0.80286260772388296</v>
      </c>
      <c r="N26" s="32">
        <f>(L26/C26)^(1/(9-1))-1</f>
        <v>6.3663797922552945E-5</v>
      </c>
      <c r="O26" s="32"/>
      <c r="P26" s="32"/>
    </row>
    <row r="27" spans="1:16" ht="34.5" x14ac:dyDescent="0.25">
      <c r="A27" s="58" t="s">
        <v>95</v>
      </c>
      <c r="B27" s="41" t="s">
        <v>148</v>
      </c>
      <c r="C27" s="34">
        <f>IFERROR((1-C26),"NA")</f>
        <v>0.19754618141714908</v>
      </c>
      <c r="D27" s="34">
        <f t="shared" ref="D27:L27" si="1">IFERROR((1-D26),"NA")</f>
        <v>0.15672835275302721</v>
      </c>
      <c r="E27" s="34">
        <f t="shared" si="1"/>
        <v>0.1650054367524465</v>
      </c>
      <c r="F27" s="34">
        <f t="shared" si="1"/>
        <v>0.19135849926962401</v>
      </c>
      <c r="G27" s="34">
        <f t="shared" si="1"/>
        <v>0.20627289377289371</v>
      </c>
      <c r="H27" s="34">
        <f t="shared" si="1"/>
        <v>0.19512524171425993</v>
      </c>
      <c r="I27" s="34">
        <f t="shared" si="1"/>
        <v>0.23646215461245912</v>
      </c>
      <c r="J27" s="34">
        <f t="shared" si="1"/>
        <v>0.21810453211997849</v>
      </c>
      <c r="K27" s="34">
        <f t="shared" si="1"/>
        <v>0.23472436631641858</v>
      </c>
      <c r="L27" s="34">
        <f t="shared" si="1"/>
        <v>0.19713739227611704</v>
      </c>
      <c r="N27" s="32">
        <f t="shared" ref="N27:N30" si="2">(L27/C27)^(1/(9-1))-1</f>
        <v>-2.5890130355621377E-4</v>
      </c>
      <c r="O27" s="32"/>
      <c r="P27" s="32"/>
    </row>
    <row r="28" spans="1:16" ht="23.25" x14ac:dyDescent="0.25">
      <c r="A28" s="58" t="s">
        <v>94</v>
      </c>
      <c r="B28" s="41" t="s">
        <v>149</v>
      </c>
      <c r="C28" s="32">
        <f>IFERROR('Profit &amp; Loss'!C9/'Profit &amp; Loss'!C4,"NA")</f>
        <v>1.6956162117452437E-2</v>
      </c>
      <c r="D28" s="32">
        <f>IFERROR('Profit &amp; Loss'!D9/'Profit &amp; Loss'!D4,"NA")</f>
        <v>3.5640849897189852E-2</v>
      </c>
      <c r="E28" s="32">
        <f>IFERROR('Profit &amp; Loss'!E9/'Profit &amp; Loss'!E4,"NA")</f>
        <v>4.0141355563610003E-2</v>
      </c>
      <c r="F28" s="32">
        <f>IFERROR('Profit &amp; Loss'!F9/'Profit &amp; Loss'!F4,"NA")</f>
        <v>3.7210732682401784E-2</v>
      </c>
      <c r="G28" s="32">
        <f>IFERROR('Profit &amp; Loss'!G9/'Profit &amp; Loss'!G4,"NA")</f>
        <v>6.3587454212454209E-2</v>
      </c>
      <c r="H28" s="32">
        <f>IFERROR('Profit &amp; Loss'!H9/'Profit &amp; Loss'!H4,"NA")</f>
        <v>7.4560417322480546E-2</v>
      </c>
      <c r="I28" s="32">
        <f>IFERROR('Profit &amp; Loss'!I9/'Profit &amp; Loss'!I4,"NA")</f>
        <v>9.2417460370881443E-2</v>
      </c>
      <c r="J28" s="32">
        <f>IFERROR('Profit &amp; Loss'!J9/'Profit &amp; Loss'!J4,"NA")</f>
        <v>7.1663772974914691E-2</v>
      </c>
      <c r="K28" s="32">
        <f>IFERROR('Profit &amp; Loss'!K9/'Profit &amp; Loss'!K4,"NA")</f>
        <v>5.0744484836412529E-2</v>
      </c>
      <c r="L28" s="32">
        <f>IFERROR('Profit &amp; Loss'!L9/'Profit &amp; Loss'!L4,"NA")</f>
        <v>3.5782596548537528E-2</v>
      </c>
      <c r="N28" s="32">
        <f t="shared" si="2"/>
        <v>9.7850076424181198E-2</v>
      </c>
      <c r="O28" s="32"/>
      <c r="P28" s="32"/>
    </row>
    <row r="29" spans="1:16" ht="23.25" x14ac:dyDescent="0.25">
      <c r="A29" s="58" t="s">
        <v>96</v>
      </c>
      <c r="B29" s="41" t="s">
        <v>150</v>
      </c>
      <c r="C29" s="32">
        <f>IFERROR('Profit &amp; Loss'!C10/'Profit &amp; Loss'!C4,"NA")</f>
        <v>0.14130135097877033</v>
      </c>
      <c r="D29" s="32">
        <f>IFERROR('Profit &amp; Loss'!D10/'Profit &amp; Loss'!D4,"NA")</f>
        <v>9.2871830020562027E-2</v>
      </c>
      <c r="E29" s="32">
        <f>IFERROR('Profit &amp; Loss'!E10/'Profit &amp; Loss'!E4,"NA")</f>
        <v>9.9945632475534604E-2</v>
      </c>
      <c r="F29" s="32">
        <f>IFERROR('Profit &amp; Loss'!F10/'Profit &amp; Loss'!F4,"NA")</f>
        <v>0.13239025140309063</v>
      </c>
      <c r="G29" s="32">
        <f>IFERROR('Profit &amp; Loss'!G10/'Profit &amp; Loss'!G4,"NA")</f>
        <v>0.11177884615384616</v>
      </c>
      <c r="H29" s="32">
        <f>IFERROR('Profit &amp; Loss'!H10/'Profit &amp; Loss'!H4,"NA")</f>
        <v>7.303143409632594E-2</v>
      </c>
      <c r="I29" s="32">
        <f>IFERROR('Profit &amp; Loss'!I10/'Profit &amp; Loss'!I4,"NA")</f>
        <v>0.10544206239693063</v>
      </c>
      <c r="J29" s="32">
        <f>IFERROR('Profit &amp; Loss'!J10/'Profit &amp; Loss'!J4,"NA")</f>
        <v>0.11171645812129558</v>
      </c>
      <c r="K29" s="32">
        <f>IFERROR('Profit &amp; Loss'!K10/'Profit &amp; Loss'!K4,"NA")</f>
        <v>0.14797569842139335</v>
      </c>
      <c r="L29" s="32">
        <f>IFERROR('Profit &amp; Loss'!L10/'Profit &amp; Loss'!L4,"NA")</f>
        <v>0.13356686939889537</v>
      </c>
      <c r="N29" s="32">
        <f t="shared" si="2"/>
        <v>-7.0118767560845008E-3</v>
      </c>
      <c r="O29" s="32"/>
      <c r="P29" s="32"/>
    </row>
    <row r="30" spans="1:16" ht="23.25" x14ac:dyDescent="0.25">
      <c r="A30" s="58" t="s">
        <v>97</v>
      </c>
      <c r="B30" s="41" t="s">
        <v>151</v>
      </c>
      <c r="C30" s="32">
        <f>IFERROR('Profit &amp; Loss'!C12/'Profit &amp; Loss'!C4,"NA")</f>
        <v>9.0432864626413006E-2</v>
      </c>
      <c r="D30" s="32">
        <f>IFERROR('Profit &amp; Loss'!D12/'Profit &amp; Loss'!D4,"NA")</f>
        <v>5.9972583961617539E-2</v>
      </c>
      <c r="E30" s="32">
        <f>IFERROR('Profit &amp; Loss'!E12/'Profit &amp; Loss'!E4,"NA")</f>
        <v>6.4697354113809349E-2</v>
      </c>
      <c r="F30" s="32">
        <f>IFERROR('Profit &amp; Loss'!F12/'Profit &amp; Loss'!F4,"NA")</f>
        <v>8.902898439301915E-2</v>
      </c>
      <c r="G30" s="32">
        <f>IFERROR('Profit &amp; Loss'!G12/'Profit &amp; Loss'!G4,"NA")</f>
        <v>6.9196428571428575E-2</v>
      </c>
      <c r="H30" s="32">
        <f>IFERROR('Profit &amp; Loss'!H12/'Profit &amp; Loss'!H4,"NA")</f>
        <v>5.3739263389845748E-2</v>
      </c>
      <c r="I30" s="32">
        <f>IFERROR('Profit &amp; Loss'!I12/'Profit &amp; Loss'!I4,"NA")</f>
        <v>7.1517517584895496E-2</v>
      </c>
      <c r="J30" s="32">
        <f>IFERROR('Profit &amp; Loss'!J12/'Profit &amp; Loss'!J4,"NA")</f>
        <v>7.1005208645153556E-2</v>
      </c>
      <c r="K30" s="32">
        <f>IFERROR('Profit &amp; Loss'!K12/'Profit &amp; Loss'!K4,"NA")</f>
        <v>9.6359743040685231E-2</v>
      </c>
      <c r="L30" s="32">
        <f>IFERROR('Profit &amp; Loss'!L12/'Profit &amp; Loss'!L4,"NA")</f>
        <v>8.6888311018460812E-2</v>
      </c>
      <c r="N30" s="32">
        <f t="shared" si="2"/>
        <v>-4.9855600809428635E-3</v>
      </c>
      <c r="O30" s="32"/>
      <c r="P30" s="32"/>
    </row>
    <row r="31" spans="1:16" x14ac:dyDescent="0.25">
      <c r="A31" s="58"/>
      <c r="B31" s="41"/>
      <c r="C31" s="32"/>
      <c r="D31" s="32"/>
      <c r="E31" s="32"/>
      <c r="F31" s="32"/>
      <c r="G31" s="32"/>
      <c r="H31" s="32"/>
      <c r="I31" s="32"/>
      <c r="J31" s="32"/>
      <c r="K31" s="32"/>
      <c r="L31" s="32"/>
      <c r="N31" s="32"/>
      <c r="O31" s="32"/>
      <c r="P31" s="32"/>
    </row>
    <row r="32" spans="1:16" ht="18.75" x14ac:dyDescent="0.25">
      <c r="A32" s="56" t="s">
        <v>238</v>
      </c>
      <c r="B32" s="41"/>
      <c r="C32" s="52">
        <f>C1</f>
        <v>39172</v>
      </c>
      <c r="D32" s="52">
        <f t="shared" ref="D32:L32" si="3">D1</f>
        <v>39538</v>
      </c>
      <c r="E32" s="52">
        <f t="shared" si="3"/>
        <v>39903</v>
      </c>
      <c r="F32" s="52">
        <f t="shared" si="3"/>
        <v>40268</v>
      </c>
      <c r="G32" s="52">
        <f t="shared" si="3"/>
        <v>40633</v>
      </c>
      <c r="H32" s="52">
        <f t="shared" si="3"/>
        <v>40999</v>
      </c>
      <c r="I32" s="52">
        <f t="shared" si="3"/>
        <v>41364</v>
      </c>
      <c r="J32" s="52">
        <f t="shared" si="3"/>
        <v>41729</v>
      </c>
      <c r="K32" s="52">
        <f t="shared" si="3"/>
        <v>42094</v>
      </c>
      <c r="L32" s="52">
        <f t="shared" si="3"/>
        <v>42430</v>
      </c>
      <c r="N32" s="32"/>
      <c r="O32" s="32"/>
      <c r="P32" s="32"/>
    </row>
    <row r="33" spans="1:16" x14ac:dyDescent="0.25">
      <c r="A33" s="58" t="s">
        <v>319</v>
      </c>
      <c r="B33" s="41"/>
      <c r="C33" s="106"/>
      <c r="D33" s="106"/>
      <c r="E33" s="106"/>
      <c r="F33" s="106"/>
      <c r="G33" s="106">
        <v>1290</v>
      </c>
      <c r="H33" s="106">
        <v>615</v>
      </c>
      <c r="I33" s="106">
        <v>717</v>
      </c>
      <c r="J33" s="106">
        <v>528</v>
      </c>
      <c r="K33" s="106">
        <v>787</v>
      </c>
      <c r="L33" s="106">
        <v>715</v>
      </c>
      <c r="N33" s="32"/>
      <c r="O33" s="32"/>
      <c r="P33" s="32"/>
    </row>
    <row r="34" spans="1:16" x14ac:dyDescent="0.25">
      <c r="A34" s="58" t="s">
        <v>320</v>
      </c>
      <c r="B34" s="41"/>
      <c r="C34" s="106"/>
      <c r="D34" s="106"/>
      <c r="E34" s="106"/>
      <c r="F34" s="106"/>
      <c r="G34" s="106">
        <v>436</v>
      </c>
      <c r="H34" s="106">
        <v>420</v>
      </c>
      <c r="I34" s="106">
        <v>117</v>
      </c>
      <c r="J34" s="106">
        <v>213</v>
      </c>
      <c r="K34" s="106">
        <v>480</v>
      </c>
      <c r="L34" s="106">
        <v>497</v>
      </c>
      <c r="N34" s="32"/>
      <c r="O34" s="32"/>
      <c r="P34" s="32"/>
    </row>
    <row r="35" spans="1:16" x14ac:dyDescent="0.25">
      <c r="A35" s="58" t="s">
        <v>215</v>
      </c>
      <c r="B35" s="41" t="s">
        <v>216</v>
      </c>
      <c r="C35" s="52"/>
      <c r="D35" s="52"/>
      <c r="E35" s="52"/>
      <c r="F35" s="52"/>
      <c r="G35" s="52"/>
      <c r="H35" s="52"/>
      <c r="I35" s="52"/>
      <c r="J35" s="52"/>
      <c r="K35" s="52"/>
      <c r="L35" s="52"/>
      <c r="N35" s="32"/>
      <c r="O35" s="32"/>
      <c r="P35" s="32"/>
    </row>
    <row r="36" spans="1:16" x14ac:dyDescent="0.25">
      <c r="A36" s="58" t="s">
        <v>140</v>
      </c>
      <c r="B36" s="41" t="s">
        <v>159</v>
      </c>
      <c r="C36" s="48"/>
      <c r="D36" s="48"/>
      <c r="E36" s="48"/>
      <c r="F36" s="48"/>
      <c r="G36" s="48"/>
      <c r="H36" s="48"/>
      <c r="I36" s="48">
        <v>55</v>
      </c>
      <c r="J36" s="48">
        <v>90</v>
      </c>
      <c r="K36" s="48">
        <v>527</v>
      </c>
      <c r="L36" s="48">
        <v>673</v>
      </c>
      <c r="N36" s="32">
        <f>(L36/I36)^(1/(3-1))-1</f>
        <v>2.4980514056205116</v>
      </c>
      <c r="O36" s="32"/>
      <c r="P36" s="32"/>
    </row>
    <row r="37" spans="1:16" x14ac:dyDescent="0.25">
      <c r="A37" s="58" t="s">
        <v>221</v>
      </c>
      <c r="B37" s="44" t="s">
        <v>222</v>
      </c>
      <c r="C37" s="49">
        <f>'Data Sheet'!C70/10000000</f>
        <v>1.0942262</v>
      </c>
      <c r="D37" s="49">
        <f>'Data Sheet'!D70/10000000</f>
        <v>1.0942262</v>
      </c>
      <c r="E37" s="49">
        <f>'Data Sheet'!E70/10000000</f>
        <v>1.0942262</v>
      </c>
      <c r="F37" s="49">
        <f>'Data Sheet'!F70/10000000</f>
        <v>1.0942262</v>
      </c>
      <c r="G37" s="49">
        <f>'Data Sheet'!G70/10000000</f>
        <v>1.0942262</v>
      </c>
      <c r="H37" s="49">
        <f>'Data Sheet'!H70/10000000</f>
        <v>1.0942262</v>
      </c>
      <c r="I37" s="49">
        <f>'Data Sheet'!I70/10000000</f>
        <v>1.0942262</v>
      </c>
      <c r="J37" s="49">
        <f>'Data Sheet'!J70/10000000</f>
        <v>1.0942262</v>
      </c>
      <c r="K37" s="49">
        <f>'Data Sheet'!K70/10000000</f>
        <v>1.0942262</v>
      </c>
      <c r="L37" s="49">
        <f>'Data Sheet'!L70/10000000</f>
        <v>1.0942262</v>
      </c>
      <c r="N37" s="32">
        <f t="shared" ref="N37:N50" si="4">(L37/C37)^(1/(9-1))-1</f>
        <v>0</v>
      </c>
      <c r="O37" s="32"/>
      <c r="P37" s="32"/>
    </row>
    <row r="38" spans="1:16" ht="23.25" x14ac:dyDescent="0.25">
      <c r="A38" s="58" t="s">
        <v>143</v>
      </c>
      <c r="B38" s="41" t="s">
        <v>160</v>
      </c>
      <c r="C38" s="50">
        <f>'Data Sheet'!C70*'Financial Analysis'!C36/10000000</f>
        <v>0</v>
      </c>
      <c r="D38" s="50">
        <f>'Data Sheet'!D70*'Financial Analysis'!D36/10000000</f>
        <v>0</v>
      </c>
      <c r="E38" s="50">
        <f>'Data Sheet'!E70*'Financial Analysis'!E36/10000000</f>
        <v>0</v>
      </c>
      <c r="F38" s="50">
        <f>'Data Sheet'!F70*'Financial Analysis'!F36/10000000</f>
        <v>0</v>
      </c>
      <c r="G38" s="50">
        <f>'Data Sheet'!G70*'Financial Analysis'!G36/10000000</f>
        <v>0</v>
      </c>
      <c r="H38" s="50">
        <f>'Data Sheet'!H70*'Financial Analysis'!H36/10000000</f>
        <v>0</v>
      </c>
      <c r="I38" s="50">
        <f>'Data Sheet'!I70*'Financial Analysis'!I36/10000000</f>
        <v>60.182440999999997</v>
      </c>
      <c r="J38" s="50">
        <f>'Data Sheet'!J70*'Financial Analysis'!J36/10000000</f>
        <v>98.480357999999995</v>
      </c>
      <c r="K38" s="50">
        <f>'Data Sheet'!K70*'Financial Analysis'!K36/10000000</f>
        <v>576.65720739999995</v>
      </c>
      <c r="L38" s="50">
        <f>'Data Sheet'!L70*'Financial Analysis'!L36/10000000</f>
        <v>736.41423259999999</v>
      </c>
      <c r="N38" s="32">
        <f>(L38/I38)^(1/(3-1))-1</f>
        <v>2.4980514056205116</v>
      </c>
      <c r="O38" s="32"/>
      <c r="P38" s="32"/>
    </row>
    <row r="39" spans="1:16" x14ac:dyDescent="0.25">
      <c r="A39" s="58" t="s">
        <v>220</v>
      </c>
      <c r="B39" s="41" t="s">
        <v>222</v>
      </c>
      <c r="C39" s="51">
        <f>'Data Sheet'!C31</f>
        <v>1.37</v>
      </c>
      <c r="D39" s="51">
        <f>'Data Sheet'!D31</f>
        <v>1.37</v>
      </c>
      <c r="E39" s="51">
        <f>'Data Sheet'!E31</f>
        <v>1.37</v>
      </c>
      <c r="F39" s="51">
        <f>'Data Sheet'!F31</f>
        <v>1.37</v>
      </c>
      <c r="G39" s="51">
        <f>'Data Sheet'!G31</f>
        <v>1.37</v>
      </c>
      <c r="H39" s="51">
        <f>'Data Sheet'!H31</f>
        <v>1.37</v>
      </c>
      <c r="I39" s="51">
        <f>'Data Sheet'!I31</f>
        <v>1.64</v>
      </c>
      <c r="J39" s="51">
        <f>'Data Sheet'!J31</f>
        <v>1.64</v>
      </c>
      <c r="K39" s="51">
        <f>'Data Sheet'!K31</f>
        <v>1.64</v>
      </c>
      <c r="L39" s="51">
        <f>'Data Sheet'!L31</f>
        <v>1.64</v>
      </c>
      <c r="N39" s="32">
        <f t="shared" si="4"/>
        <v>2.2740396342956437E-2</v>
      </c>
      <c r="O39" s="32"/>
      <c r="P39" s="32"/>
    </row>
    <row r="40" spans="1:16" x14ac:dyDescent="0.25">
      <c r="A40" s="58" t="s">
        <v>217</v>
      </c>
      <c r="B40" s="41" t="s">
        <v>222</v>
      </c>
      <c r="C40" s="47">
        <f>'Cash Flow'!C4</f>
        <v>4.9000000000000004</v>
      </c>
      <c r="D40" s="47">
        <f>'Cash Flow'!D4</f>
        <v>12.8</v>
      </c>
      <c r="E40" s="47">
        <f>'Cash Flow'!E4</f>
        <v>14.82</v>
      </c>
      <c r="F40" s="47">
        <f>'Cash Flow'!F4</f>
        <v>23.94</v>
      </c>
      <c r="G40" s="47">
        <f>'Cash Flow'!G4</f>
        <v>41.24</v>
      </c>
      <c r="H40" s="47">
        <f>'Cash Flow'!H4</f>
        <v>55.57</v>
      </c>
      <c r="I40" s="47">
        <f>'Cash Flow'!I4</f>
        <v>61.81</v>
      </c>
      <c r="J40" s="47">
        <f>'Cash Flow'!J4</f>
        <v>67.61</v>
      </c>
      <c r="K40" s="47">
        <f>'Cash Flow'!K4</f>
        <v>97.2</v>
      </c>
      <c r="L40" s="47">
        <f>'Cash Flow'!L4</f>
        <v>104</v>
      </c>
      <c r="N40" s="32">
        <f t="shared" si="4"/>
        <v>0.46505745737787141</v>
      </c>
      <c r="O40" s="32"/>
      <c r="P40" s="32"/>
    </row>
    <row r="41" spans="1:16" ht="23.25" x14ac:dyDescent="0.25">
      <c r="A41" s="58" t="s">
        <v>218</v>
      </c>
      <c r="B41" s="41" t="s">
        <v>237</v>
      </c>
      <c r="C41" s="47"/>
      <c r="D41" s="47">
        <f>('Data Sheet'!D62-'Data Sheet'!C62)+('Data Sheet'!D63-'Data Sheet'!C63)+'Data Sheet'!D26</f>
        <v>14.170000000000002</v>
      </c>
      <c r="E41" s="47">
        <f>('Data Sheet'!E62-'Data Sheet'!D62)+('Data Sheet'!E63-'Data Sheet'!D63)+'Data Sheet'!E26</f>
        <v>25.299999999999997</v>
      </c>
      <c r="F41" s="47">
        <f>('Data Sheet'!F62-'Data Sheet'!E62)+('Data Sheet'!F63-'Data Sheet'!E63)+'Data Sheet'!F26</f>
        <v>64.570000000000007</v>
      </c>
      <c r="G41" s="47">
        <f>('Data Sheet'!G62-'Data Sheet'!F62)+('Data Sheet'!G63-'Data Sheet'!F63)+'Data Sheet'!G26</f>
        <v>89.32</v>
      </c>
      <c r="H41" s="47">
        <f>('Data Sheet'!H62-'Data Sheet'!G62)+('Data Sheet'!H63-'Data Sheet'!G63)+'Data Sheet'!H26</f>
        <v>77.319999999999979</v>
      </c>
      <c r="I41" s="47">
        <f>('Data Sheet'!I62-'Data Sheet'!H62)+('Data Sheet'!I63-'Data Sheet'!H63)+'Data Sheet'!I26</f>
        <v>10.14</v>
      </c>
      <c r="J41" s="47">
        <f>('Data Sheet'!J62-'Data Sheet'!I62)+('Data Sheet'!J63-'Data Sheet'!I63)+'Data Sheet'!J26</f>
        <v>14.240000000000029</v>
      </c>
      <c r="K41" s="47">
        <f>('Data Sheet'!K62-'Data Sheet'!J62)+('Data Sheet'!K63-'Data Sheet'!J63)+'Data Sheet'!K26</f>
        <v>36.68</v>
      </c>
      <c r="L41" s="47">
        <f>('Data Sheet'!L62-'Data Sheet'!K62)+('Data Sheet'!L63-'Data Sheet'!K63)+'Data Sheet'!L26</f>
        <v>71.889999999999986</v>
      </c>
      <c r="N41" s="55">
        <f>SUM(D41:L41)/COUNT(D41:L41)</f>
        <v>44.847777777777779</v>
      </c>
      <c r="O41" s="32"/>
      <c r="P41" s="32"/>
    </row>
    <row r="42" spans="1:16" ht="23.25" x14ac:dyDescent="0.25">
      <c r="A42" s="58" t="s">
        <v>219</v>
      </c>
      <c r="B42" s="41" t="s">
        <v>291</v>
      </c>
      <c r="C42" s="47">
        <f>'Data Sheet'!C82-'Financial Analysis'!C41</f>
        <v>4.9000000000000004</v>
      </c>
      <c r="D42" s="47">
        <f>'Data Sheet'!D82-'Financial Analysis'!D41</f>
        <v>-1.370000000000001</v>
      </c>
      <c r="E42" s="47">
        <f>'Data Sheet'!E82-'Financial Analysis'!E41</f>
        <v>-10.479999999999997</v>
      </c>
      <c r="F42" s="47">
        <f>'Data Sheet'!F82-'Financial Analysis'!F41</f>
        <v>-40.63000000000001</v>
      </c>
      <c r="G42" s="47">
        <f>'Data Sheet'!G82-'Financial Analysis'!G41</f>
        <v>-48.079999999999991</v>
      </c>
      <c r="H42" s="47">
        <f>'Data Sheet'!H82-'Financial Analysis'!H41</f>
        <v>-21.749999999999979</v>
      </c>
      <c r="I42" s="47">
        <f>'Data Sheet'!I82-'Financial Analysis'!I41</f>
        <v>51.67</v>
      </c>
      <c r="J42" s="47">
        <f>'Data Sheet'!J82-'Financial Analysis'!J41</f>
        <v>53.369999999999969</v>
      </c>
      <c r="K42" s="47">
        <f>'Data Sheet'!K82-'Financial Analysis'!K41</f>
        <v>60.52</v>
      </c>
      <c r="L42" s="47">
        <f>'Data Sheet'!L82-'Financial Analysis'!L41</f>
        <v>32.110000000000014</v>
      </c>
      <c r="N42" s="32"/>
      <c r="O42" s="32"/>
      <c r="P42" s="32"/>
    </row>
    <row r="43" spans="1:16" ht="23.25" x14ac:dyDescent="0.25">
      <c r="A43" s="58" t="s">
        <v>223</v>
      </c>
      <c r="B43" s="41" t="s">
        <v>185</v>
      </c>
      <c r="C43" s="47">
        <f>'Balance Sheet'!C16</f>
        <v>3.7800000000000011</v>
      </c>
      <c r="D43" s="47">
        <f>'Balance Sheet'!D16</f>
        <v>-0.47000000000000242</v>
      </c>
      <c r="E43" s="47">
        <f>'Balance Sheet'!E16</f>
        <v>16.290000000000003</v>
      </c>
      <c r="F43" s="47">
        <f>'Balance Sheet'!F16</f>
        <v>4.16</v>
      </c>
      <c r="G43" s="47">
        <f>'Balance Sheet'!G16</f>
        <v>16.04</v>
      </c>
      <c r="H43" s="47">
        <f>'Balance Sheet'!H16</f>
        <v>-3.2299999999999969</v>
      </c>
      <c r="I43" s="47">
        <f>'Balance Sheet'!I16</f>
        <v>2</v>
      </c>
      <c r="J43" s="47">
        <f>'Balance Sheet'!J16</f>
        <v>0.14999999999999147</v>
      </c>
      <c r="K43" s="47">
        <f>'Balance Sheet'!K16</f>
        <v>-0.25</v>
      </c>
      <c r="L43" s="47">
        <f>'Balance Sheet'!L16</f>
        <v>-52.790000000000006</v>
      </c>
      <c r="N43" s="32" t="e">
        <f t="shared" si="4"/>
        <v>#NUM!</v>
      </c>
      <c r="O43" s="32"/>
      <c r="P43" s="32"/>
    </row>
    <row r="44" spans="1:16" ht="34.5" x14ac:dyDescent="0.25">
      <c r="A44" s="58" t="s">
        <v>224</v>
      </c>
      <c r="B44" s="41" t="s">
        <v>236</v>
      </c>
      <c r="C44" s="47">
        <f>C43-'Data Sheet'!C69</f>
        <v>-2.2199999999999989</v>
      </c>
      <c r="D44" s="47">
        <f>D43-'Data Sheet'!D69</f>
        <v>-3.5400000000000023</v>
      </c>
      <c r="E44" s="47">
        <f>E43-'Data Sheet'!E69</f>
        <v>-5.0399999999999956</v>
      </c>
      <c r="F44" s="47">
        <f>F43-'Data Sheet'!F69</f>
        <v>-8.67</v>
      </c>
      <c r="G44" s="47">
        <f>G43-'Data Sheet'!G69</f>
        <v>-12.280000000000001</v>
      </c>
      <c r="H44" s="47">
        <f>H43-'Data Sheet'!H69</f>
        <v>-27.99</v>
      </c>
      <c r="I44" s="47">
        <f>I43-'Data Sheet'!I69</f>
        <v>-28.96</v>
      </c>
      <c r="J44" s="47">
        <f>J43-'Data Sheet'!J69</f>
        <v>-34.780000000000008</v>
      </c>
      <c r="K44" s="47">
        <f>K43-'Data Sheet'!K69</f>
        <v>-55.76</v>
      </c>
      <c r="L44" s="47">
        <f>L43-'Data Sheet'!L69</f>
        <v>-103.84</v>
      </c>
      <c r="N44" s="32">
        <f t="shared" si="4"/>
        <v>0.61715431207614602</v>
      </c>
      <c r="O44" s="32"/>
      <c r="P44" s="32"/>
    </row>
    <row r="45" spans="1:16" x14ac:dyDescent="0.25">
      <c r="A45" s="58" t="s">
        <v>225</v>
      </c>
      <c r="B45" s="41"/>
      <c r="C45" s="51">
        <f>SUM('Data Sheet'!C57:C59)</f>
        <v>53.75</v>
      </c>
      <c r="D45" s="51">
        <f>SUM('Data Sheet'!D57:D59)</f>
        <v>62.54</v>
      </c>
      <c r="E45" s="51">
        <f>SUM('Data Sheet'!E57:E59)</f>
        <v>100.68</v>
      </c>
      <c r="F45" s="51">
        <f>SUM('Data Sheet'!F57:F59)</f>
        <v>148.43</v>
      </c>
      <c r="G45" s="51">
        <f>SUM('Data Sheet'!G57:G59)</f>
        <v>243</v>
      </c>
      <c r="H45" s="51">
        <f>SUM('Data Sheet'!H57:H59)</f>
        <v>288.92</v>
      </c>
      <c r="I45" s="51">
        <f>SUM('Data Sheet'!I57:I59)</f>
        <v>289.77999999999997</v>
      </c>
      <c r="J45" s="51">
        <f>SUM('Data Sheet'!J57:J59)</f>
        <v>285.87</v>
      </c>
      <c r="K45" s="51">
        <f>SUM('Data Sheet'!K57:K59)</f>
        <v>301.07</v>
      </c>
      <c r="L45" s="51">
        <f>SUM('Data Sheet'!L57:L59)</f>
        <v>300.02</v>
      </c>
      <c r="N45" s="32">
        <f t="shared" si="4"/>
        <v>0.23978525604628964</v>
      </c>
      <c r="O45" s="32"/>
      <c r="P45" s="32"/>
    </row>
    <row r="46" spans="1:16" x14ac:dyDescent="0.25">
      <c r="A46" s="58" t="s">
        <v>226</v>
      </c>
      <c r="B46" s="41"/>
      <c r="C46" s="51">
        <f>C45-'Data Sheet'!C69</f>
        <v>47.75</v>
      </c>
      <c r="D46" s="51">
        <f>D45-'Data Sheet'!D69</f>
        <v>59.47</v>
      </c>
      <c r="E46" s="51">
        <f>E45-'Data Sheet'!E69</f>
        <v>79.350000000000009</v>
      </c>
      <c r="F46" s="51">
        <f>F45-'Data Sheet'!F69</f>
        <v>135.6</v>
      </c>
      <c r="G46" s="51">
        <f>G45-'Data Sheet'!G69</f>
        <v>214.68</v>
      </c>
      <c r="H46" s="51">
        <f>H45-'Data Sheet'!H69</f>
        <v>264.16000000000003</v>
      </c>
      <c r="I46" s="51">
        <f>I45-'Data Sheet'!I69</f>
        <v>258.82</v>
      </c>
      <c r="J46" s="51">
        <f>J45-'Data Sheet'!J69</f>
        <v>250.94</v>
      </c>
      <c r="K46" s="51">
        <f>K45-'Data Sheet'!K69</f>
        <v>245.56</v>
      </c>
      <c r="L46" s="51">
        <f>L45-'Data Sheet'!L69</f>
        <v>248.96999999999997</v>
      </c>
      <c r="N46" s="32">
        <f t="shared" si="4"/>
        <v>0.22926836541990259</v>
      </c>
      <c r="O46" s="32"/>
      <c r="P46" s="32"/>
    </row>
    <row r="47" spans="1:16" x14ac:dyDescent="0.25">
      <c r="A47" s="58" t="s">
        <v>227</v>
      </c>
      <c r="B47" s="41"/>
      <c r="C47" s="51">
        <f>'Data Sheet'!C62+'Data Sheet'!C63+'Financial Analysis'!C44</f>
        <v>46.870000000000005</v>
      </c>
      <c r="D47" s="51">
        <f>'Data Sheet'!D62+'Data Sheet'!D63+'Financial Analysis'!D44</f>
        <v>55.870000000000005</v>
      </c>
      <c r="E47" s="51">
        <f>'Data Sheet'!E62+'Data Sheet'!E63+'Financial Analysis'!E44</f>
        <v>75.75</v>
      </c>
      <c r="F47" s="51">
        <f>'Data Sheet'!F62+'Data Sheet'!F63+'Financial Analysis'!F44</f>
        <v>132.00000000000003</v>
      </c>
      <c r="G47" s="51">
        <f>'Data Sheet'!G62+'Data Sheet'!G63+'Financial Analysis'!G44</f>
        <v>211.07999999999998</v>
      </c>
      <c r="H47" s="51">
        <f>'Data Sheet'!H62+'Data Sheet'!H63+'Financial Analysis'!H44</f>
        <v>260.55999999999995</v>
      </c>
      <c r="I47" s="51">
        <f>'Data Sheet'!I62+'Data Sheet'!I63+'Financial Analysis'!I44</f>
        <v>255.22</v>
      </c>
      <c r="J47" s="51">
        <f>'Data Sheet'!J62+'Data Sheet'!J63+'Financial Analysis'!J44</f>
        <v>247.34</v>
      </c>
      <c r="K47" s="51">
        <f>'Data Sheet'!K62+'Data Sheet'!K63+'Financial Analysis'!K44</f>
        <v>241.84000000000003</v>
      </c>
      <c r="L47" s="51">
        <f>'Data Sheet'!L62+'Data Sheet'!L63+'Financial Analysis'!L44</f>
        <v>245.24999999999997</v>
      </c>
      <c r="N47" s="32">
        <f t="shared" si="4"/>
        <v>0.22981350484814334</v>
      </c>
      <c r="O47" s="32"/>
      <c r="P47" s="32"/>
    </row>
    <row r="48" spans="1:16" x14ac:dyDescent="0.25">
      <c r="A48" s="58" t="s">
        <v>228</v>
      </c>
      <c r="B48" s="41"/>
      <c r="C48" s="51">
        <f>'Data Sheet'!C62+'Financial Analysis'!C44</f>
        <v>44.6</v>
      </c>
      <c r="D48" s="51">
        <f>'Data Sheet'!D62+'Financial Analysis'!D44</f>
        <v>49.410000000000004</v>
      </c>
      <c r="E48" s="51">
        <f>'Data Sheet'!E62+'Financial Analysis'!E44</f>
        <v>55.650000000000006</v>
      </c>
      <c r="F48" s="51">
        <f>'Data Sheet'!F62+'Financial Analysis'!F44</f>
        <v>89.78</v>
      </c>
      <c r="G48" s="51">
        <f>'Data Sheet'!G62+'Financial Analysis'!G44</f>
        <v>172.98</v>
      </c>
      <c r="H48" s="51">
        <f>'Data Sheet'!H62+'Financial Analysis'!H44</f>
        <v>260.40999999999997</v>
      </c>
      <c r="I48" s="51">
        <f>'Data Sheet'!I62+'Financial Analysis'!I44</f>
        <v>250.49999999999997</v>
      </c>
      <c r="J48" s="51">
        <f>'Data Sheet'!J62+'Financial Analysis'!J44</f>
        <v>242.4</v>
      </c>
      <c r="K48" s="51">
        <f>'Data Sheet'!K62+'Financial Analysis'!K44</f>
        <v>225.17000000000002</v>
      </c>
      <c r="L48" s="51">
        <f>'Data Sheet'!L62+'Financial Analysis'!L44</f>
        <v>235.16</v>
      </c>
      <c r="N48" s="32">
        <f t="shared" si="4"/>
        <v>0.23098730489933406</v>
      </c>
      <c r="O48" s="32"/>
      <c r="P48" s="32"/>
    </row>
    <row r="49" spans="1:16" x14ac:dyDescent="0.25">
      <c r="A49" s="58" t="s">
        <v>229</v>
      </c>
      <c r="B49" s="41"/>
      <c r="C49" s="51">
        <f>'Data Sheet'!C27+'Data Sheet'!C28</f>
        <v>11.48</v>
      </c>
      <c r="D49" s="51">
        <f>'Data Sheet'!D27+'Data Sheet'!D28</f>
        <v>11.25</v>
      </c>
      <c r="E49" s="51">
        <f>'Data Sheet'!E27+'Data Sheet'!E28</f>
        <v>15.459999999999999</v>
      </c>
      <c r="F49" s="51">
        <f>'Data Sheet'!F27+'Data Sheet'!F28</f>
        <v>22.06</v>
      </c>
      <c r="G49" s="51">
        <f>'Data Sheet'!G27+'Data Sheet'!G28</f>
        <v>30.64</v>
      </c>
      <c r="H49" s="51">
        <f>'Data Sheet'!H27+'Data Sheet'!H28</f>
        <v>32.819999999999993</v>
      </c>
      <c r="I49" s="51">
        <f>'Data Sheet'!I27+'Data Sheet'!I28</f>
        <v>58.79</v>
      </c>
      <c r="J49" s="51">
        <f>'Data Sheet'!J27+'Data Sheet'!J28</f>
        <v>61.260000000000005</v>
      </c>
      <c r="K49" s="51">
        <f>'Data Sheet'!K27+'Data Sheet'!K28</f>
        <v>79.81</v>
      </c>
      <c r="L49" s="51">
        <f>'Data Sheet'!L27+'Data Sheet'!L28</f>
        <v>79.349999999999994</v>
      </c>
      <c r="N49" s="32">
        <f t="shared" si="4"/>
        <v>0.27335832027457507</v>
      </c>
      <c r="O49" s="32"/>
      <c r="P49" s="32"/>
    </row>
    <row r="50" spans="1:16" ht="34.5" x14ac:dyDescent="0.25">
      <c r="A50" s="58" t="s">
        <v>168</v>
      </c>
      <c r="B50" s="41" t="s">
        <v>174</v>
      </c>
      <c r="C50" s="51">
        <f>'Data Sheet'!C57+'Data Sheet'!C58+'Data Sheet'!C59</f>
        <v>53.75</v>
      </c>
      <c r="D50" s="51">
        <f>'Data Sheet'!D57+'Data Sheet'!D58+'Data Sheet'!D59</f>
        <v>62.54</v>
      </c>
      <c r="E50" s="51">
        <f>'Data Sheet'!E57+'Data Sheet'!E58+'Data Sheet'!E59</f>
        <v>100.68</v>
      </c>
      <c r="F50" s="51">
        <f>'Data Sheet'!F57+'Data Sheet'!F58+'Data Sheet'!F59</f>
        <v>148.43</v>
      </c>
      <c r="G50" s="51">
        <f>'Data Sheet'!G57+'Data Sheet'!G58+'Data Sheet'!G59</f>
        <v>243</v>
      </c>
      <c r="H50" s="51">
        <f>'Data Sheet'!H57+'Data Sheet'!H58+'Data Sheet'!H59</f>
        <v>288.92</v>
      </c>
      <c r="I50" s="51">
        <f>'Data Sheet'!I57+'Data Sheet'!I58+'Data Sheet'!I59</f>
        <v>289.77999999999997</v>
      </c>
      <c r="J50" s="51">
        <f>'Data Sheet'!J57+'Data Sheet'!J58+'Data Sheet'!J59</f>
        <v>285.87</v>
      </c>
      <c r="K50" s="51">
        <f>'Data Sheet'!K57+'Data Sheet'!K58+'Data Sheet'!K59</f>
        <v>301.07</v>
      </c>
      <c r="L50" s="51">
        <f>'Data Sheet'!L57+'Data Sheet'!L58+'Data Sheet'!L59</f>
        <v>300.02</v>
      </c>
      <c r="N50" s="32">
        <f t="shared" si="4"/>
        <v>0.23978525604628964</v>
      </c>
      <c r="O50" s="32"/>
      <c r="P50" s="32"/>
    </row>
    <row r="51" spans="1:16" x14ac:dyDescent="0.25">
      <c r="A51" s="58"/>
      <c r="B51" s="41"/>
      <c r="C51" s="51"/>
      <c r="D51" s="51"/>
      <c r="E51" s="51"/>
      <c r="F51" s="51"/>
      <c r="G51" s="51"/>
      <c r="H51" s="51"/>
      <c r="I51" s="51"/>
      <c r="J51" s="51"/>
      <c r="K51" s="51"/>
      <c r="L51" s="51"/>
      <c r="N51" s="32"/>
      <c r="O51" s="32"/>
      <c r="P51" s="32"/>
    </row>
    <row r="52" spans="1:16" ht="18.75" x14ac:dyDescent="0.25">
      <c r="A52" s="56" t="s">
        <v>239</v>
      </c>
      <c r="B52" s="41"/>
      <c r="C52" s="52">
        <f>C32</f>
        <v>39172</v>
      </c>
      <c r="D52" s="52">
        <f t="shared" ref="D52:L52" si="5">D32</f>
        <v>39538</v>
      </c>
      <c r="E52" s="52">
        <f t="shared" si="5"/>
        <v>39903</v>
      </c>
      <c r="F52" s="52">
        <f t="shared" si="5"/>
        <v>40268</v>
      </c>
      <c r="G52" s="52">
        <f t="shared" si="5"/>
        <v>40633</v>
      </c>
      <c r="H52" s="52">
        <f t="shared" si="5"/>
        <v>40999</v>
      </c>
      <c r="I52" s="52">
        <f t="shared" si="5"/>
        <v>41364</v>
      </c>
      <c r="J52" s="52">
        <f t="shared" si="5"/>
        <v>41729</v>
      </c>
      <c r="K52" s="52">
        <f t="shared" si="5"/>
        <v>42094</v>
      </c>
      <c r="L52" s="52">
        <f t="shared" si="5"/>
        <v>42430</v>
      </c>
      <c r="N52" s="32"/>
      <c r="O52" s="32"/>
      <c r="P52" s="32"/>
    </row>
    <row r="53" spans="1:16" x14ac:dyDescent="0.25">
      <c r="A53" s="58" t="s">
        <v>230</v>
      </c>
      <c r="C53" s="35">
        <f>(C49/C45)*(1-('Data Sheet'!C29/'Data Sheet'!C28))</f>
        <v>0.13669209302325583</v>
      </c>
      <c r="D53" s="35">
        <f>(D49/D45)*(1-('Data Sheet'!D29/'Data Sheet'!D28))</f>
        <v>0.11616181879759317</v>
      </c>
      <c r="E53" s="35">
        <f>(E49/E45)*(1-('Data Sheet'!E29/'Data Sheet'!E28))</f>
        <v>9.9400594542784479E-2</v>
      </c>
      <c r="F53" s="35">
        <f>(F49/F45)*(1-('Data Sheet'!F29/'Data Sheet'!F28))</f>
        <v>9.9944576697188994E-2</v>
      </c>
      <c r="G53" s="35">
        <f>(G49/G45)*(1-('Data Sheet'!G29/'Data Sheet'!G28))</f>
        <v>7.8056045463452878E-2</v>
      </c>
      <c r="H53" s="35">
        <f>(H49/H45)*(1-('Data Sheet'!H29/'Data Sheet'!H28))</f>
        <v>8.3587791530749092E-2</v>
      </c>
      <c r="I53" s="35">
        <f>(I49/I45)*(1-('Data Sheet'!I29/'Data Sheet'!I28))</f>
        <v>0.13760480258673624</v>
      </c>
      <c r="J53" s="35">
        <f>(J49/J45)*(1-('Data Sheet'!J29/'Data Sheet'!J28))</f>
        <v>0.13620136511131981</v>
      </c>
      <c r="K53" s="35">
        <f>(K49/K45)*(1-('Data Sheet'!K29/'Data Sheet'!K28))</f>
        <v>0.17262157031138831</v>
      </c>
      <c r="L53" s="35">
        <f>(L49/L45)*(1-('Data Sheet'!L29/'Data Sheet'!L28))</f>
        <v>0.1728626385035256</v>
      </c>
      <c r="N53" s="32">
        <f t="shared" ref="N53:N57" si="6">(L53/C53)^(1/(9-1))-1</f>
        <v>2.978062871082332E-2</v>
      </c>
      <c r="O53" s="32"/>
      <c r="P53" s="32"/>
    </row>
    <row r="54" spans="1:16" x14ac:dyDescent="0.25">
      <c r="A54" s="58" t="s">
        <v>231</v>
      </c>
      <c r="C54" s="35">
        <f>(C49/C46)*(1-('Data Sheet'!C29/'Data Sheet'!C28))</f>
        <v>0.15386806282722515</v>
      </c>
      <c r="D54" s="35">
        <f>(D49/D46)*(1-('Data Sheet'!D29/'Data Sheet'!D28))</f>
        <v>0.12215840167481884</v>
      </c>
      <c r="E54" s="35">
        <f>(E49/E46)*(1-('Data Sheet'!E29/'Data Sheet'!E28))</f>
        <v>0.126120376289446</v>
      </c>
      <c r="F54" s="35">
        <f>(F49/F46)*(1-('Data Sheet'!F29/'Data Sheet'!F28))</f>
        <v>0.10940098465460003</v>
      </c>
      <c r="G54" s="35">
        <f>(G49/G46)*(1-('Data Sheet'!G29/'Data Sheet'!G28))</f>
        <v>8.8352986061202954E-2</v>
      </c>
      <c r="H54" s="35">
        <f>(H49/H46)*(1-('Data Sheet'!H29/'Data Sheet'!H28))</f>
        <v>9.1422564843519197E-2</v>
      </c>
      <c r="I54" s="35">
        <f>(I49/I46)*(1-('Data Sheet'!I29/'Data Sheet'!I28))</f>
        <v>0.15406506333971262</v>
      </c>
      <c r="J54" s="35">
        <f>(J49/J46)*(1-('Data Sheet'!J29/'Data Sheet'!J28))</f>
        <v>0.15516013487037936</v>
      </c>
      <c r="K54" s="35">
        <f>(K49/K46)*(1-('Data Sheet'!K29/'Data Sheet'!K28))</f>
        <v>0.21164349313263431</v>
      </c>
      <c r="L54" s="35">
        <f>(L49/L46)*(1-('Data Sheet'!L29/'Data Sheet'!L28))</f>
        <v>0.20830722096568965</v>
      </c>
      <c r="N54" s="32">
        <f t="shared" si="6"/>
        <v>3.8590820647735447E-2</v>
      </c>
      <c r="O54" s="32"/>
      <c r="P54" s="32"/>
    </row>
    <row r="55" spans="1:16" x14ac:dyDescent="0.25">
      <c r="A55" s="58" t="s">
        <v>232</v>
      </c>
      <c r="C55" s="35">
        <f>(C49/C47)*(1-('Data Sheet'!C29/'Data Sheet'!C28))</f>
        <v>0.15675698741199059</v>
      </c>
      <c r="D55" s="35">
        <f>(D49/D47)*(1-('Data Sheet'!D29/'Data Sheet'!D28))</f>
        <v>0.1300297144729099</v>
      </c>
      <c r="E55" s="35">
        <f>(E49/E47)*(1-('Data Sheet'!E29/'Data Sheet'!E28))</f>
        <v>0.13211421595468703</v>
      </c>
      <c r="F55" s="35">
        <f>(F49/F47)*(1-('Data Sheet'!F29/'Data Sheet'!F28))</f>
        <v>0.11238464787245273</v>
      </c>
      <c r="G55" s="35">
        <f>(G49/G47)*(1-('Data Sheet'!G29/'Data Sheet'!G28))</f>
        <v>8.9859859046897139E-2</v>
      </c>
      <c r="H55" s="35">
        <f>(H49/H47)*(1-('Data Sheet'!H29/'Data Sheet'!H28))</f>
        <v>9.2685695152993686E-2</v>
      </c>
      <c r="I55" s="35">
        <f>(I49/I47)*(1-('Data Sheet'!I29/'Data Sheet'!I28))</f>
        <v>0.15623822464377565</v>
      </c>
      <c r="J55" s="35">
        <f>(J49/J47)*(1-('Data Sheet'!J29/'Data Sheet'!J28))</f>
        <v>0.1574184694928964</v>
      </c>
      <c r="K55" s="35">
        <f>(K49/K47)*(1-('Data Sheet'!K29/'Data Sheet'!K28))</f>
        <v>0.21489900832637146</v>
      </c>
      <c r="L55" s="35">
        <f>(L49/L47)*(1-('Data Sheet'!L29/'Data Sheet'!L28))</f>
        <v>0.21146686566290623</v>
      </c>
      <c r="N55" s="32">
        <f t="shared" si="6"/>
        <v>3.8130444498089888E-2</v>
      </c>
      <c r="O55" s="32"/>
      <c r="P55" s="32"/>
    </row>
    <row r="56" spans="1:16" x14ac:dyDescent="0.25">
      <c r="A56" s="58" t="s">
        <v>233</v>
      </c>
      <c r="C56" s="35">
        <f>(C49/C48)*(1-('Data Sheet'!C29/'Data Sheet'!C28))</f>
        <v>0.16473542600896859</v>
      </c>
      <c r="D56" s="35">
        <f>(D49/D48)*(1-('Data Sheet'!D29/'Data Sheet'!D28))</f>
        <v>0.14703015882617843</v>
      </c>
      <c r="E56" s="35">
        <f>(E49/E48)*(1-('Data Sheet'!E29/'Data Sheet'!E28))</f>
        <v>0.17983201902187854</v>
      </c>
      <c r="F56" s="35">
        <f>(F49/F48)*(1-('Data Sheet'!F29/'Data Sheet'!F28))</f>
        <v>0.16523472398266609</v>
      </c>
      <c r="G56" s="35">
        <f>(G49/G48)*(1-('Data Sheet'!G29/'Data Sheet'!G28))</f>
        <v>0.1096520930027694</v>
      </c>
      <c r="H56" s="35">
        <f>(H49/H48)*(1-('Data Sheet'!H29/'Data Sheet'!H28))</f>
        <v>9.2739083480142995E-2</v>
      </c>
      <c r="I56" s="35">
        <f>(I49/I48)*(1-('Data Sheet'!I29/'Data Sheet'!I28))</f>
        <v>0.15918211454524722</v>
      </c>
      <c r="J56" s="35">
        <f>(J49/J48)*(1-('Data Sheet'!J29/'Data Sheet'!J28))</f>
        <v>0.16062658516655526</v>
      </c>
      <c r="K56" s="35">
        <f>(K49/K48)*(1-('Data Sheet'!K29/'Data Sheet'!K28))</f>
        <v>0.23080861648376638</v>
      </c>
      <c r="L56" s="35">
        <f>(L49/L48)*(1-('Data Sheet'!L29/'Data Sheet'!L28))</f>
        <v>0.22054026536752741</v>
      </c>
      <c r="N56" s="32">
        <f t="shared" si="6"/>
        <v>3.7140541869488786E-2</v>
      </c>
      <c r="O56" s="32"/>
      <c r="P56" s="32"/>
    </row>
    <row r="57" spans="1:16" x14ac:dyDescent="0.25">
      <c r="A57" s="58" t="s">
        <v>109</v>
      </c>
      <c r="B57" s="41" t="s">
        <v>152</v>
      </c>
      <c r="C57" s="35">
        <f>'Data Sheet'!C30/'Data Sheet'!C66</f>
        <v>8.6921955744004242E-2</v>
      </c>
      <c r="D57" s="35">
        <f>'Data Sheet'!D30/'Data Sheet'!D66</f>
        <v>5.916826327059619E-2</v>
      </c>
      <c r="E57" s="35">
        <f>'Data Sheet'!E30/'Data Sheet'!E66</f>
        <v>5.9018019507356585E-2</v>
      </c>
      <c r="F57" s="35">
        <f>'Data Sheet'!F30/'Data Sheet'!F66</f>
        <v>6.6406698015827506E-2</v>
      </c>
      <c r="G57" s="35">
        <f>'Data Sheet'!G30/'Data Sheet'!G66</f>
        <v>4.2553940375206781E-2</v>
      </c>
      <c r="H57" s="35">
        <f>'Data Sheet'!H30/'Data Sheet'!H66</f>
        <v>3.5132592461927438E-2</v>
      </c>
      <c r="I57" s="35">
        <f>'Data Sheet'!I30/'Data Sheet'!I66</f>
        <v>6.1311636227242568E-2</v>
      </c>
      <c r="J57" s="35">
        <f>'Data Sheet'!J30/'Data Sheet'!J66</f>
        <v>6.7208794945173261E-2</v>
      </c>
      <c r="K57" s="35">
        <f>'Data Sheet'!K30/'Data Sheet'!K66</f>
        <v>9.9419411190463963E-2</v>
      </c>
      <c r="L57" s="35">
        <f>'Data Sheet'!L30/'Data Sheet'!L66</f>
        <v>9.5743189570580811E-2</v>
      </c>
      <c r="N57" s="32">
        <f t="shared" si="6"/>
        <v>1.2155641851912646E-2</v>
      </c>
      <c r="O57" s="32"/>
      <c r="P57" s="32"/>
    </row>
    <row r="58" spans="1:16" x14ac:dyDescent="0.25">
      <c r="A58" s="58" t="s">
        <v>153</v>
      </c>
      <c r="B58" s="41"/>
      <c r="C58" s="35"/>
      <c r="D58" s="35"/>
      <c r="E58" s="35"/>
      <c r="F58" s="35"/>
      <c r="G58" s="35"/>
      <c r="H58" s="35"/>
      <c r="I58" s="35"/>
      <c r="J58" s="35"/>
      <c r="K58" s="35"/>
      <c r="N58" s="32"/>
      <c r="O58" s="32"/>
      <c r="P58" s="32"/>
    </row>
    <row r="59" spans="1:16" x14ac:dyDescent="0.25">
      <c r="A59" s="58" t="s">
        <v>98</v>
      </c>
      <c r="B59" s="41" t="s">
        <v>173</v>
      </c>
      <c r="C59" s="35">
        <f>C49/C50</f>
        <v>0.21358139534883722</v>
      </c>
      <c r="D59" s="35">
        <f t="shared" ref="D59:L59" si="7">D49/D50</f>
        <v>0.17988487368084427</v>
      </c>
      <c r="E59" s="35">
        <f t="shared" si="7"/>
        <v>0.15355582042113625</v>
      </c>
      <c r="F59" s="35">
        <f t="shared" si="7"/>
        <v>0.1486222461766489</v>
      </c>
      <c r="G59" s="35">
        <f t="shared" si="7"/>
        <v>0.12609053497942388</v>
      </c>
      <c r="H59" s="35">
        <f t="shared" si="7"/>
        <v>0.11359545895057452</v>
      </c>
      <c r="I59" s="35">
        <f t="shared" si="7"/>
        <v>0.20287804541376217</v>
      </c>
      <c r="J59" s="35">
        <f t="shared" si="7"/>
        <v>0.21429321020044079</v>
      </c>
      <c r="K59" s="35">
        <f t="shared" si="7"/>
        <v>0.26508785332314744</v>
      </c>
      <c r="L59" s="35">
        <f t="shared" si="7"/>
        <v>0.26448236784214385</v>
      </c>
      <c r="N59" s="32">
        <f t="shared" ref="N59" si="8">(L59/C59)^(1/(9-1))-1</f>
        <v>2.7079741483094333E-2</v>
      </c>
      <c r="O59" s="32"/>
      <c r="P59" s="32"/>
    </row>
    <row r="60" spans="1:16" x14ac:dyDescent="0.25">
      <c r="A60" s="58" t="s">
        <v>99</v>
      </c>
      <c r="B60" s="43"/>
      <c r="C60" s="33"/>
      <c r="D60" s="33"/>
      <c r="E60" s="33"/>
      <c r="F60" s="33"/>
      <c r="G60" s="33"/>
      <c r="H60" s="33"/>
      <c r="I60" s="33"/>
      <c r="J60" s="33"/>
      <c r="K60" s="33"/>
      <c r="N60" s="32"/>
      <c r="O60" s="32"/>
      <c r="P60" s="32"/>
    </row>
    <row r="61" spans="1:16" x14ac:dyDescent="0.25">
      <c r="A61" s="58" t="s">
        <v>55</v>
      </c>
      <c r="B61" s="41" t="s">
        <v>154</v>
      </c>
      <c r="C61" s="35">
        <f>'Data Sheet'!C30/('Data Sheet'!C57+'Data Sheet'!C58)</f>
        <v>0.31134314190792595</v>
      </c>
      <c r="D61" s="35">
        <f>'Data Sheet'!D30/('Data Sheet'!D57+'Data Sheet'!D58)</f>
        <v>0.21237864077669905</v>
      </c>
      <c r="E61" s="35">
        <f>'Data Sheet'!E30/('Data Sheet'!E57+'Data Sheet'!E58)</f>
        <v>0.23595505617977527</v>
      </c>
      <c r="F61" s="35">
        <f>'Data Sheet'!F30/('Data Sheet'!F57+'Data Sheet'!F58)</f>
        <v>0.28770186335403725</v>
      </c>
      <c r="G61" s="35">
        <f>'Data Sheet'!G30/('Data Sheet'!G57+'Data Sheet'!G58)</f>
        <v>0.23822660098522166</v>
      </c>
      <c r="H61" s="35">
        <f>'Data Sheet'!H30/('Data Sheet'!H57+'Data Sheet'!H58)</f>
        <v>0.19554900998199967</v>
      </c>
      <c r="I61" s="35">
        <f>'Data Sheet'!I30/('Data Sheet'!I57+'Data Sheet'!I58)</f>
        <v>0.2641720537046246</v>
      </c>
      <c r="J61" s="35">
        <f>'Data Sheet'!J30/('Data Sheet'!J57+'Data Sheet'!J58)</f>
        <v>0.23200312989045382</v>
      </c>
      <c r="K61" s="35">
        <f>'Data Sheet'!K30/('Data Sheet'!K57+'Data Sheet'!K58)</f>
        <v>0.27962427745664742</v>
      </c>
      <c r="L61" s="35">
        <f>'Data Sheet'!L30/('Data Sheet'!L57+'Data Sheet'!L58)</f>
        <v>0.23549017354327087</v>
      </c>
      <c r="N61" s="32">
        <f t="shared" ref="N61:N65" si="9">(L61/C61)^(1/(9-1))-1</f>
        <v>-3.4301213328003843E-2</v>
      </c>
      <c r="O61" s="32"/>
      <c r="P61" s="32"/>
    </row>
    <row r="62" spans="1:16" x14ac:dyDescent="0.25">
      <c r="A62" s="58" t="s">
        <v>100</v>
      </c>
      <c r="B62" s="41" t="s">
        <v>165</v>
      </c>
      <c r="C62" s="34">
        <f t="shared" ref="C62:L62" si="10">C30</f>
        <v>9.0432864626413006E-2</v>
      </c>
      <c r="D62" s="34">
        <f t="shared" si="10"/>
        <v>5.9972583961617539E-2</v>
      </c>
      <c r="E62" s="34">
        <f t="shared" si="10"/>
        <v>6.4697354113809349E-2</v>
      </c>
      <c r="F62" s="34">
        <f t="shared" si="10"/>
        <v>8.902898439301915E-2</v>
      </c>
      <c r="G62" s="34">
        <f t="shared" si="10"/>
        <v>6.9196428571428575E-2</v>
      </c>
      <c r="H62" s="34">
        <f t="shared" si="10"/>
        <v>5.3739263389845748E-2</v>
      </c>
      <c r="I62" s="34">
        <f t="shared" si="10"/>
        <v>7.1517517584895496E-2</v>
      </c>
      <c r="J62" s="34">
        <f t="shared" si="10"/>
        <v>7.1005208645153556E-2</v>
      </c>
      <c r="K62" s="34">
        <f t="shared" si="10"/>
        <v>9.6359743040685231E-2</v>
      </c>
      <c r="L62" s="34">
        <f t="shared" si="10"/>
        <v>8.6888311018460812E-2</v>
      </c>
      <c r="N62" s="32">
        <f t="shared" si="9"/>
        <v>-4.9855600809428635E-3</v>
      </c>
      <c r="O62" s="32"/>
      <c r="P62" s="32"/>
    </row>
    <row r="63" spans="1:16" x14ac:dyDescent="0.25">
      <c r="A63" s="58" t="s">
        <v>101</v>
      </c>
      <c r="B63" s="41" t="s">
        <v>166</v>
      </c>
      <c r="C63" s="36">
        <f>'Data Sheet'!C17/'Data Sheet'!C66</f>
        <v>0.96117662647409574</v>
      </c>
      <c r="D63" s="36">
        <f>'Data Sheet'!D17/'Data Sheet'!D66</f>
        <v>0.98658852699199817</v>
      </c>
      <c r="E63" s="36">
        <f>'Data Sheet'!E17/'Data Sheet'!E66</f>
        <v>0.91221689535460404</v>
      </c>
      <c r="F63" s="36">
        <f>'Data Sheet'!F17/'Data Sheet'!F66</f>
        <v>0.74589975914669115</v>
      </c>
      <c r="G63" s="36">
        <f>'Data Sheet'!G17/'Data Sheet'!G66</f>
        <v>0.61497307380944</v>
      </c>
      <c r="H63" s="36">
        <f>'Data Sheet'!H17/'Data Sheet'!H66</f>
        <v>0.65376021638149007</v>
      </c>
      <c r="I63" s="36">
        <f>'Data Sheet'!I17/'Data Sheet'!I66</f>
        <v>0.85729536339767454</v>
      </c>
      <c r="J63" s="36">
        <f>'Data Sheet'!J17/'Data Sheet'!J66</f>
        <v>0.94653330688805148</v>
      </c>
      <c r="K63" s="36">
        <f>'Data Sheet'!K17/'Data Sheet'!K66</f>
        <v>1.0317525561321481</v>
      </c>
      <c r="L63" s="36">
        <f>'Data Sheet'!L17/'Data Sheet'!L66</f>
        <v>1.0863978318770151</v>
      </c>
      <c r="N63" s="32">
        <f t="shared" si="9"/>
        <v>1.5425840522225398E-2</v>
      </c>
      <c r="O63" s="32"/>
      <c r="P63" s="32"/>
    </row>
    <row r="64" spans="1:16" x14ac:dyDescent="0.25">
      <c r="A64" s="58" t="s">
        <v>102</v>
      </c>
      <c r="B64" s="41" t="s">
        <v>167</v>
      </c>
      <c r="C64" s="37">
        <f>'Data Sheet'!C66/('Data Sheet'!C57+'Data Sheet'!C58)</f>
        <v>3.5818699572852397</v>
      </c>
      <c r="D64" s="37">
        <f>'Data Sheet'!D66/('Data Sheet'!D57+'Data Sheet'!D58)</f>
        <v>3.5894012944983822</v>
      </c>
      <c r="E64" s="37">
        <f>'Data Sheet'!E66/('Data Sheet'!E57+'Data Sheet'!E58)</f>
        <v>3.9980171844018511</v>
      </c>
      <c r="F64" s="37">
        <f>'Data Sheet'!F66/('Data Sheet'!F57+'Data Sheet'!F58)</f>
        <v>4.3324223602484473</v>
      </c>
      <c r="G64" s="37">
        <f>'Data Sheet'!G66/('Data Sheet'!G57+'Data Sheet'!G58)</f>
        <v>5.598226600985222</v>
      </c>
      <c r="H64" s="37">
        <f>'Data Sheet'!H66/('Data Sheet'!H57+'Data Sheet'!H58)</f>
        <v>5.5660284732449679</v>
      </c>
      <c r="I64" s="37">
        <f>'Data Sheet'!I66/('Data Sheet'!I57+'Data Sheet'!I58)</f>
        <v>4.3086772749875681</v>
      </c>
      <c r="J64" s="37">
        <f>'Data Sheet'!J66/('Data Sheet'!J57+'Data Sheet'!J58)</f>
        <v>3.4519757433489828</v>
      </c>
      <c r="K64" s="37">
        <f>'Data Sheet'!K66/('Data Sheet'!K57+'Data Sheet'!K58)</f>
        <v>2.8125722543352598</v>
      </c>
      <c r="L64" s="37">
        <f>'Data Sheet'!L66/('Data Sheet'!L57+'Data Sheet'!L58)</f>
        <v>2.4596023445580966</v>
      </c>
      <c r="N64" s="32">
        <f t="shared" si="9"/>
        <v>-4.5898924294800914E-2</v>
      </c>
      <c r="O64" s="32"/>
      <c r="P64" s="32"/>
    </row>
    <row r="65" spans="1:16" ht="23.25" x14ac:dyDescent="0.25">
      <c r="A65" s="58" t="s">
        <v>141</v>
      </c>
      <c r="B65" s="41" t="s">
        <v>157</v>
      </c>
      <c r="C65" s="35">
        <f>C62*C63*C64</f>
        <v>0.31134314190792595</v>
      </c>
      <c r="D65" s="35">
        <f t="shared" ref="D65:L65" si="11">D62*D63*D64</f>
        <v>0.21237864077669902</v>
      </c>
      <c r="E65" s="35">
        <f t="shared" si="11"/>
        <v>0.2359550561797753</v>
      </c>
      <c r="F65" s="35">
        <f t="shared" si="11"/>
        <v>0.2877018633540373</v>
      </c>
      <c r="G65" s="35">
        <f t="shared" si="11"/>
        <v>0.23822660098522169</v>
      </c>
      <c r="H65" s="35">
        <f t="shared" si="11"/>
        <v>0.19554900998199967</v>
      </c>
      <c r="I65" s="35">
        <f t="shared" si="11"/>
        <v>0.26417205370462454</v>
      </c>
      <c r="J65" s="35">
        <f t="shared" si="11"/>
        <v>0.23200312989045382</v>
      </c>
      <c r="K65" s="35">
        <f t="shared" si="11"/>
        <v>0.27962427745664736</v>
      </c>
      <c r="L65" s="35">
        <f t="shared" si="11"/>
        <v>0.23217483406266107</v>
      </c>
      <c r="N65" s="32">
        <f t="shared" si="9"/>
        <v>-3.6011218026288705E-2</v>
      </c>
      <c r="O65" s="32"/>
      <c r="P65" s="32"/>
    </row>
    <row r="66" spans="1:16" x14ac:dyDescent="0.25">
      <c r="A66" s="58" t="s">
        <v>103</v>
      </c>
      <c r="B66" s="41" t="s">
        <v>156</v>
      </c>
      <c r="C66" s="35" t="str">
        <f>IFERROR((C39/C37)/C36,"NA")</f>
        <v>NA</v>
      </c>
      <c r="D66" s="35" t="str">
        <f t="shared" ref="D66:L66" si="12">IFERROR((D39/D37)/D36,"NA")</f>
        <v>NA</v>
      </c>
      <c r="E66" s="35" t="str">
        <f t="shared" si="12"/>
        <v>NA</v>
      </c>
      <c r="F66" s="35" t="str">
        <f t="shared" si="12"/>
        <v>NA</v>
      </c>
      <c r="G66" s="35" t="str">
        <f t="shared" si="12"/>
        <v>NA</v>
      </c>
      <c r="H66" s="35" t="str">
        <f t="shared" si="12"/>
        <v>NA</v>
      </c>
      <c r="I66" s="35">
        <f t="shared" si="12"/>
        <v>2.725047327342538E-2</v>
      </c>
      <c r="J66" s="35">
        <f t="shared" si="12"/>
        <v>1.6653067000426621E-2</v>
      </c>
      <c r="K66" s="35">
        <f t="shared" si="12"/>
        <v>2.8439772866003716E-3</v>
      </c>
      <c r="L66" s="35">
        <f t="shared" si="12"/>
        <v>2.2270074740540799E-3</v>
      </c>
      <c r="N66" s="32"/>
      <c r="O66" s="32"/>
      <c r="P66" s="32"/>
    </row>
    <row r="67" spans="1:16" ht="23.25" x14ac:dyDescent="0.25">
      <c r="A67" s="58" t="s">
        <v>104</v>
      </c>
      <c r="B67" s="41" t="s">
        <v>155</v>
      </c>
      <c r="C67" s="32">
        <f>'Data Sheet'!C31/'Data Sheet'!C30</f>
        <v>0.20884146341463417</v>
      </c>
      <c r="D67" s="32">
        <f>'Data Sheet'!D31/'Data Sheet'!D30</f>
        <v>0.26095238095238099</v>
      </c>
      <c r="E67" s="32">
        <f>'Data Sheet'!E31/'Data Sheet'!E30</f>
        <v>0.19187675070028012</v>
      </c>
      <c r="F67" s="32">
        <f>'Data Sheet'!F31/'Data Sheet'!F30</f>
        <v>0.11830742659758205</v>
      </c>
      <c r="G67" s="32">
        <f>'Data Sheet'!G31/'Data Sheet'!G30</f>
        <v>0.11331679073614559</v>
      </c>
      <c r="H67" s="32">
        <f>'Data Sheet'!H31/'Data Sheet'!H30</f>
        <v>0.11464435146443516</v>
      </c>
      <c r="I67" s="32">
        <f>'Data Sheet'!I31/'Data Sheet'!I30</f>
        <v>7.7176470588235291E-2</v>
      </c>
      <c r="J67" s="32">
        <f>'Data Sheet'!J31/'Data Sheet'!J30</f>
        <v>6.9139966273187178E-2</v>
      </c>
      <c r="K67" s="32">
        <f>'Data Sheet'!K31/'Data Sheet'!K30</f>
        <v>4.2377260981912142E-2</v>
      </c>
      <c r="L67" s="32">
        <f>'Data Sheet'!L31/'Data Sheet'!L30</f>
        <v>4.0019521717911177E-2</v>
      </c>
      <c r="N67" s="32"/>
      <c r="O67" s="32"/>
      <c r="P67" s="32"/>
    </row>
    <row r="68" spans="1:16" x14ac:dyDescent="0.25">
      <c r="A68" s="58"/>
      <c r="B68" s="41"/>
      <c r="C68" s="32"/>
      <c r="D68" s="32"/>
      <c r="E68" s="32"/>
      <c r="F68" s="32"/>
      <c r="G68" s="32"/>
      <c r="H68" s="32"/>
      <c r="I68" s="32"/>
      <c r="J68" s="32"/>
      <c r="K68" s="32"/>
      <c r="L68" s="32"/>
      <c r="N68" s="32"/>
      <c r="O68" s="32"/>
      <c r="P68" s="32"/>
    </row>
    <row r="69" spans="1:16" ht="18.75" x14ac:dyDescent="0.25">
      <c r="A69" s="56" t="s">
        <v>240</v>
      </c>
      <c r="C69" s="53">
        <f>C52</f>
        <v>39172</v>
      </c>
      <c r="D69" s="53">
        <f t="shared" ref="D69:L69" si="13">D52</f>
        <v>39538</v>
      </c>
      <c r="E69" s="53">
        <f t="shared" si="13"/>
        <v>39903</v>
      </c>
      <c r="F69" s="53">
        <f t="shared" si="13"/>
        <v>40268</v>
      </c>
      <c r="G69" s="53">
        <f t="shared" si="13"/>
        <v>40633</v>
      </c>
      <c r="H69" s="53">
        <f t="shared" si="13"/>
        <v>40999</v>
      </c>
      <c r="I69" s="53">
        <f t="shared" si="13"/>
        <v>41364</v>
      </c>
      <c r="J69" s="53">
        <f t="shared" si="13"/>
        <v>41729</v>
      </c>
      <c r="K69" s="53">
        <f t="shared" si="13"/>
        <v>42094</v>
      </c>
      <c r="L69" s="53">
        <f t="shared" si="13"/>
        <v>42430</v>
      </c>
      <c r="N69" s="32"/>
      <c r="O69" s="32"/>
      <c r="P69" s="32"/>
    </row>
    <row r="70" spans="1:16" x14ac:dyDescent="0.25">
      <c r="A70" s="58" t="s">
        <v>265</v>
      </c>
      <c r="B70" s="41" t="s">
        <v>266</v>
      </c>
      <c r="C70" s="54">
        <f>'Data Sheet'!C67/'Data Sheet'!C17</f>
        <v>2.5089605734767022E-2</v>
      </c>
      <c r="D70" s="54">
        <f>'Data Sheet'!D67/'Data Sheet'!D17</f>
        <v>3.7125885309572761E-2</v>
      </c>
      <c r="E70" s="54">
        <f>'Data Sheet'!E67/'Data Sheet'!E17</f>
        <v>2.9720913374411018E-2</v>
      </c>
      <c r="F70" s="54">
        <f>'Data Sheet'!F67/'Data Sheet'!F17</f>
        <v>3.3212885369416474E-2</v>
      </c>
      <c r="G70" s="54">
        <f>'Data Sheet'!G67/'Data Sheet'!G17</f>
        <v>3.7889194139194143E-2</v>
      </c>
      <c r="H70" s="54">
        <f>'Data Sheet'!H67/'Data Sheet'!H17</f>
        <v>1.4390430363808068E-2</v>
      </c>
      <c r="I70" s="54">
        <f>'Data Sheet'!I67/'Data Sheet'!I17</f>
        <v>1.3966950493050181E-2</v>
      </c>
      <c r="J70" s="54">
        <f>'Data Sheet'!J67/'Data Sheet'!J17</f>
        <v>2.1702688139855115E-2</v>
      </c>
      <c r="K70" s="54">
        <f>'Data Sheet'!K67/'Data Sheet'!K17</f>
        <v>2.5148149992530251E-2</v>
      </c>
      <c r="L70" s="54">
        <f>'Data Sheet'!L67/'Data Sheet'!L17</f>
        <v>1.9290322580645163E-2</v>
      </c>
      <c r="N70" s="32">
        <f>AVERAGE(C70:L70)</f>
        <v>2.5753702549725022E-2</v>
      </c>
      <c r="O70" s="32"/>
      <c r="P70" s="32"/>
    </row>
    <row r="71" spans="1:16" x14ac:dyDescent="0.25">
      <c r="A71" s="58" t="s">
        <v>267</v>
      </c>
      <c r="B71" s="41" t="s">
        <v>268</v>
      </c>
      <c r="C71" s="54">
        <f>'Data Sheet'!C68/'Data Sheet'!C17</f>
        <v>3.6531568789633304E-2</v>
      </c>
      <c r="D71" s="54">
        <f>'Data Sheet'!D68/'Data Sheet'!D17</f>
        <v>4.5693397304089556E-2</v>
      </c>
      <c r="E71" s="54">
        <f>'Data Sheet'!E68/'Data Sheet'!E17</f>
        <v>3.5791953606379122E-2</v>
      </c>
      <c r="F71" s="54">
        <f>'Data Sheet'!F68/'Data Sheet'!F17</f>
        <v>3.8440839547935729E-2</v>
      </c>
      <c r="G71" s="54">
        <f>'Data Sheet'!G68/'Data Sheet'!G17</f>
        <v>3.2967032967032968E-2</v>
      </c>
      <c r="H71" s="54">
        <f>'Data Sheet'!H68/'Data Sheet'!H17</f>
        <v>3.2648288887889551E-2</v>
      </c>
      <c r="I71" s="54">
        <f>'Data Sheet'!I68/'Data Sheet'!I17</f>
        <v>3.0020529734459664E-2</v>
      </c>
      <c r="J71" s="54">
        <f>'Data Sheet'!J68/'Data Sheet'!J17</f>
        <v>2.8976830509489314E-2</v>
      </c>
      <c r="K71" s="54">
        <f>'Data Sheet'!K68/'Data Sheet'!K17</f>
        <v>2.0716099795826903E-2</v>
      </c>
      <c r="L71" s="54">
        <f>'Data Sheet'!L68/'Data Sheet'!L17</f>
        <v>1.8365591397849462E-2</v>
      </c>
      <c r="N71" s="32">
        <f t="shared" ref="N71:N74" si="14">AVERAGE(C71:L71)</f>
        <v>3.2015213254058553E-2</v>
      </c>
      <c r="O71" s="32"/>
      <c r="P71" s="32"/>
    </row>
    <row r="72" spans="1:16" x14ac:dyDescent="0.25">
      <c r="A72" s="58" t="s">
        <v>271</v>
      </c>
      <c r="B72" s="41" t="s">
        <v>272</v>
      </c>
      <c r="C72" s="54">
        <f>'Data Sheet'!C69/'Data Sheet'!C59</f>
        <v>0.18359853121175032</v>
      </c>
      <c r="D72" s="54">
        <f>'Data Sheet'!D69/'Data Sheet'!D59</f>
        <v>8.1173982020095181E-2</v>
      </c>
      <c r="E72" s="54">
        <f>'Data Sheet'!E69/'Data Sheet'!E59</f>
        <v>0.30289690428855437</v>
      </c>
      <c r="F72" s="54">
        <f>'Data Sheet'!F69/'Data Sheet'!F59</f>
        <v>0.11859863190977998</v>
      </c>
      <c r="G72" s="54">
        <f>'Data Sheet'!G69/'Data Sheet'!G59</f>
        <v>0.14730819245773732</v>
      </c>
      <c r="H72" s="54">
        <f>'Data Sheet'!H69/'Data Sheet'!H59</f>
        <v>0.1086870637812212</v>
      </c>
      <c r="I72" s="54">
        <f>'Data Sheet'!I69/'Data Sheet'!I59</f>
        <v>0.1478933791917455</v>
      </c>
      <c r="J72" s="54">
        <f>'Data Sheet'!J69/'Data Sheet'!J59</f>
        <v>0.19021946305069978</v>
      </c>
      <c r="K72" s="54">
        <f>'Data Sheet'!K69/'Data Sheet'!K59</f>
        <v>0.3412430073154239</v>
      </c>
      <c r="L72" s="54">
        <f>'Data Sheet'!L69/'Data Sheet'!L59</f>
        <v>0.40515873015873016</v>
      </c>
      <c r="N72" s="32"/>
      <c r="O72" s="32"/>
      <c r="P72" s="32"/>
    </row>
    <row r="73" spans="1:16" x14ac:dyDescent="0.25">
      <c r="A73" s="58" t="s">
        <v>273</v>
      </c>
      <c r="B73" s="41"/>
      <c r="C73" s="54">
        <f>'Data Sheet'!C27/'Data Sheet'!C59</f>
        <v>3.763769889840881E-2</v>
      </c>
      <c r="D73" s="54">
        <f>'Data Sheet'!D27/'Data Sheet'!D59</f>
        <v>8.2496033844526709E-2</v>
      </c>
      <c r="E73" s="54">
        <f>'Data Sheet'!E27/'Data Sheet'!E59</f>
        <v>6.2908264697529109E-2</v>
      </c>
      <c r="F73" s="54">
        <f>'Data Sheet'!F27/'Data Sheet'!F59</f>
        <v>4.4740247735256047E-2</v>
      </c>
      <c r="G73" s="54">
        <f>'Data Sheet'!G27/'Data Sheet'!G59</f>
        <v>5.7789336801040307E-2</v>
      </c>
      <c r="H73" s="54">
        <f>'Data Sheet'!H27/'Data Sheet'!H59</f>
        <v>7.2779948202449402E-2</v>
      </c>
      <c r="I73" s="54">
        <f>'Data Sheet'!I27/'Data Sheet'!I59</f>
        <v>0.13117416642782076</v>
      </c>
      <c r="J73" s="54">
        <f>'Data Sheet'!J27/'Data Sheet'!J59</f>
        <v>0.13037085443554974</v>
      </c>
      <c r="K73" s="54">
        <f>'Data Sheet'!K27/'Data Sheet'!K59</f>
        <v>0.12528431794430442</v>
      </c>
      <c r="L73" s="54">
        <f>'Data Sheet'!L27/'Data Sheet'!L59</f>
        <v>0.13214285714285715</v>
      </c>
      <c r="N73" s="32"/>
      <c r="O73" s="32"/>
      <c r="P73" s="32"/>
    </row>
    <row r="74" spans="1:16" x14ac:dyDescent="0.25">
      <c r="A74" s="58" t="s">
        <v>269</v>
      </c>
      <c r="B74" s="41" t="s">
        <v>270</v>
      </c>
      <c r="C74" s="54">
        <f>('Data Sheet'!C67+'Data Sheet'!C68)/'Data Sheet'!C17</f>
        <v>6.1621174524400323E-2</v>
      </c>
      <c r="D74" s="54">
        <f>('Data Sheet'!D67+'Data Sheet'!D68)/'Data Sheet'!D17</f>
        <v>8.2819282613662323E-2</v>
      </c>
      <c r="E74" s="54">
        <f>('Data Sheet'!E67+'Data Sheet'!E68)/'Data Sheet'!E17</f>
        <v>6.5512866980790146E-2</v>
      </c>
      <c r="F74" s="54">
        <f>('Data Sheet'!F67+'Data Sheet'!F68)/'Data Sheet'!F17</f>
        <v>7.1653724917352196E-2</v>
      </c>
      <c r="G74" s="54">
        <f>('Data Sheet'!G67+'Data Sheet'!G68)/'Data Sheet'!G17</f>
        <v>7.0856227106227104E-2</v>
      </c>
      <c r="H74" s="54">
        <f>('Data Sheet'!H67+'Data Sheet'!H68)/'Data Sheet'!H17</f>
        <v>4.7038719251697621E-2</v>
      </c>
      <c r="I74" s="54">
        <f>('Data Sheet'!I67+'Data Sheet'!I68)/'Data Sheet'!I17</f>
        <v>4.3987480227509847E-2</v>
      </c>
      <c r="J74" s="54">
        <f>('Data Sheet'!J67+'Data Sheet'!J68)/'Data Sheet'!J17</f>
        <v>5.0679518649344425E-2</v>
      </c>
      <c r="K74" s="54">
        <f>('Data Sheet'!K67+'Data Sheet'!K68)/'Data Sheet'!K17</f>
        <v>4.586424978835716E-2</v>
      </c>
      <c r="L74" s="54">
        <f>('Data Sheet'!L67+'Data Sheet'!L68)/'Data Sheet'!L17</f>
        <v>3.7655913978494618E-2</v>
      </c>
      <c r="N74" s="32">
        <f t="shared" si="14"/>
        <v>5.7768915803783585E-2</v>
      </c>
      <c r="O74" s="32"/>
      <c r="P74" s="32"/>
    </row>
    <row r="75" spans="1:16" ht="23.25" x14ac:dyDescent="0.25">
      <c r="A75" s="58" t="s">
        <v>184</v>
      </c>
      <c r="B75" s="41" t="s">
        <v>186</v>
      </c>
      <c r="C75" s="47">
        <f>'Balance Sheet'!C13/'Balance Sheet'!C7</f>
        <v>1.1740331491712708</v>
      </c>
      <c r="D75" s="47">
        <f>'Balance Sheet'!D13/'Balance Sheet'!D7</f>
        <v>0.98205421916762115</v>
      </c>
      <c r="E75" s="47">
        <f>'Balance Sheet'!E13/'Balance Sheet'!E7</f>
        <v>1.8024630541871922</v>
      </c>
      <c r="F75" s="47">
        <f>'Balance Sheet'!F13/'Balance Sheet'!F7</f>
        <v>1.1603082851637765</v>
      </c>
      <c r="G75" s="47">
        <f>'Balance Sheet'!G13/'Balance Sheet'!G7</f>
        <v>1.3901727073704695</v>
      </c>
      <c r="H75" s="47">
        <f>'Balance Sheet'!H13/'Balance Sheet'!H7</f>
        <v>0.93693869582194467</v>
      </c>
      <c r="I75" s="47">
        <f>'Balance Sheet'!I13/'Balance Sheet'!I7</f>
        <v>1.0352050695300123</v>
      </c>
      <c r="J75" s="47">
        <f>'Balance Sheet'!J13/'Balance Sheet'!J7</f>
        <v>1.0022368028631075</v>
      </c>
      <c r="K75" s="47">
        <f>'Balance Sheet'!K13/'Balance Sheet'!K7</f>
        <v>0.99716521147522397</v>
      </c>
      <c r="L75" s="47">
        <f>'Balance Sheet'!L13/'Balance Sheet'!L7</f>
        <v>0.58757812499999995</v>
      </c>
      <c r="N75" s="32"/>
      <c r="O75" s="32"/>
      <c r="P75" s="32"/>
    </row>
    <row r="76" spans="1:16" x14ac:dyDescent="0.25">
      <c r="A76" s="58" t="s">
        <v>169</v>
      </c>
      <c r="B76" s="41" t="s">
        <v>175</v>
      </c>
      <c r="C76" s="32">
        <f>C43/'Profit &amp; Loss'!C4</f>
        <v>5.2109181141439219E-2</v>
      </c>
      <c r="D76" s="32">
        <f>D43/'Profit &amp; Loss'!D4</f>
        <v>-5.36897418323055E-3</v>
      </c>
      <c r="E76" s="32">
        <f>E43/'Profit &amp; Loss'!E4</f>
        <v>0.14760782892352303</v>
      </c>
      <c r="F76" s="32">
        <f>F43/'Profit &amp; Loss'!F4</f>
        <v>3.1982778503882529E-2</v>
      </c>
      <c r="G76" s="32">
        <f>G43/'Profit &amp; Loss'!G4</f>
        <v>9.1804029304029297E-2</v>
      </c>
      <c r="H76" s="32">
        <f>H43/'Profit &amp; Loss'!H4</f>
        <v>-1.4525340648468754E-2</v>
      </c>
      <c r="I76" s="32">
        <f>I43/'Profit &amp; Loss'!I4</f>
        <v>6.7310604785784005E-3</v>
      </c>
      <c r="J76" s="32">
        <f>J43/'Profit &amp; Loss'!J4</f>
        <v>4.4902113392801134E-4</v>
      </c>
      <c r="K76" s="32">
        <f>K43/'Profit &amp; Loss'!K4</f>
        <v>-6.2247896021114485E-4</v>
      </c>
      <c r="L76" s="32">
        <f>L43/'Profit &amp; Loss'!L4</f>
        <v>-0.11345124755539319</v>
      </c>
      <c r="N76" s="32"/>
      <c r="O76" s="32"/>
      <c r="P76" s="32"/>
    </row>
    <row r="77" spans="1:16" x14ac:dyDescent="0.25">
      <c r="A77" s="58" t="s">
        <v>170</v>
      </c>
      <c r="B77" s="41" t="s">
        <v>176</v>
      </c>
      <c r="C77" s="32">
        <f>C50/'Profit &amp; Loss'!C4</f>
        <v>0.74097049903501511</v>
      </c>
      <c r="D77" s="32">
        <f>D50/'Profit &amp; Loss'!D4</f>
        <v>0.71441626684944015</v>
      </c>
      <c r="E77" s="32">
        <f>E50/'Profit &amp; Loss'!E4</f>
        <v>0.9122870605291773</v>
      </c>
      <c r="F77" s="32">
        <f>F50/'Profit &amp; Loss'!F4</f>
        <v>1.14115476282002</v>
      </c>
      <c r="G77" s="32">
        <f>G50/'Profit &amp; Loss'!G4</f>
        <v>1.3907967032967032</v>
      </c>
      <c r="H77" s="32">
        <f>H50/'Profit &amp; Loss'!H4</f>
        <v>1.2992759814723209</v>
      </c>
      <c r="I77" s="32">
        <f>I50/'Profit &amp; Loss'!I4</f>
        <v>0.97526335274122433</v>
      </c>
      <c r="J77" s="32">
        <f>J50/'Profit &amp; Loss'!J4</f>
        <v>0.85574447704005274</v>
      </c>
      <c r="K77" s="32">
        <f>K50/'Profit &amp; Loss'!K4</f>
        <v>0.74963896220307746</v>
      </c>
      <c r="L77" s="32">
        <f>L50/'Profit &amp; Loss'!L4</f>
        <v>0.64477445144097478</v>
      </c>
      <c r="N77" s="32"/>
      <c r="O77" s="32"/>
      <c r="P77" s="32"/>
    </row>
    <row r="78" spans="1:16" x14ac:dyDescent="0.25">
      <c r="A78" s="58" t="s">
        <v>177</v>
      </c>
      <c r="B78" s="41" t="s">
        <v>181</v>
      </c>
      <c r="C78" s="32">
        <f>C43/'Profit &amp; Loss'!C12</f>
        <v>0.57621951219512213</v>
      </c>
      <c r="D78" s="32">
        <f>D43/'Profit &amp; Loss'!D12</f>
        <v>-8.9523809523809977E-2</v>
      </c>
      <c r="E78" s="32">
        <f>E43/'Profit &amp; Loss'!E12</f>
        <v>2.2815126050420171</v>
      </c>
      <c r="F78" s="32">
        <f>F43/'Profit &amp; Loss'!F12</f>
        <v>0.35924006908462869</v>
      </c>
      <c r="G78" s="32">
        <f>G43/'Profit &amp; Loss'!G12</f>
        <v>1.3267162944582298</v>
      </c>
      <c r="H78" s="32">
        <f>H43/'Profit &amp; Loss'!H12</f>
        <v>-0.27029288702928844</v>
      </c>
      <c r="I78" s="32">
        <f>I43/'Profit &amp; Loss'!I12</f>
        <v>9.4117647058823528E-2</v>
      </c>
      <c r="J78" s="32">
        <f>J43/'Profit &amp; Loss'!J12</f>
        <v>6.3237774030350542E-3</v>
      </c>
      <c r="K78" s="32">
        <f>K43/'Profit &amp; Loss'!K12</f>
        <v>-6.4599483204134363E-3</v>
      </c>
      <c r="L78" s="32">
        <f>L43/'Profit &amp; Loss'!L12</f>
        <v>-1.3057135790254764</v>
      </c>
      <c r="N78" s="32"/>
      <c r="O78" s="32"/>
      <c r="P78" s="32"/>
    </row>
    <row r="79" spans="1:16" x14ac:dyDescent="0.25">
      <c r="A79" s="58" t="s">
        <v>178</v>
      </c>
      <c r="B79" s="41" t="s">
        <v>247</v>
      </c>
      <c r="C79" s="46">
        <f>'Profit &amp; Loss'!C12/'Financial Analysis'!C50</f>
        <v>0.12204651162790697</v>
      </c>
      <c r="D79" s="46">
        <f>'Profit &amp; Loss'!D12/'Financial Analysis'!D50</f>
        <v>8.394627438439399E-2</v>
      </c>
      <c r="E79" s="46">
        <f>'Profit &amp; Loss'!E12/'Financial Analysis'!E50</f>
        <v>7.0917759237187114E-2</v>
      </c>
      <c r="F79" s="46">
        <f>'Profit &amp; Loss'!F12/'Financial Analysis'!F50</f>
        <v>7.8016573468975267E-2</v>
      </c>
      <c r="G79" s="46">
        <f>'Profit &amp; Loss'!G12/'Financial Analysis'!G50</f>
        <v>4.9753086419753088E-2</v>
      </c>
      <c r="H79" s="46">
        <f>'Profit &amp; Loss'!H12/'Financial Analysis'!H50</f>
        <v>4.1360930361345694E-2</v>
      </c>
      <c r="I79" s="46">
        <f>'Profit &amp; Loss'!I12/'Financial Analysis'!I50</f>
        <v>7.3331492856649874E-2</v>
      </c>
      <c r="J79" s="46">
        <f>'Profit &amp; Loss'!J12/'Financial Analysis'!J50</f>
        <v>8.2974778745583649E-2</v>
      </c>
      <c r="K79" s="46">
        <f>'Profit &amp; Loss'!K12/'Financial Analysis'!K50</f>
        <v>0.12854153519115158</v>
      </c>
      <c r="L79" s="46">
        <f>'Profit &amp; Loss'!L12/'Financial Analysis'!L50</f>
        <v>0.13475768282114525</v>
      </c>
      <c r="N79" s="32"/>
      <c r="O79" s="32"/>
      <c r="P79" s="32"/>
    </row>
    <row r="80" spans="1:16" x14ac:dyDescent="0.25">
      <c r="A80" s="58" t="s">
        <v>179</v>
      </c>
      <c r="B80" s="41" t="s">
        <v>182</v>
      </c>
      <c r="C80" s="32"/>
      <c r="D80" s="32"/>
      <c r="E80" s="32"/>
      <c r="F80" s="32"/>
      <c r="G80" s="32"/>
      <c r="H80" s="32"/>
      <c r="I80" s="32"/>
      <c r="J80" s="32"/>
      <c r="K80" s="32"/>
      <c r="N80" s="32"/>
      <c r="O80" s="32"/>
      <c r="P80" s="32"/>
    </row>
    <row r="81" spans="1:16" x14ac:dyDescent="0.25">
      <c r="A81" s="58" t="s">
        <v>180</v>
      </c>
      <c r="B81" s="41" t="s">
        <v>183</v>
      </c>
      <c r="C81" s="32"/>
      <c r="D81" s="32"/>
      <c r="E81" s="32"/>
      <c r="F81" s="32"/>
      <c r="G81" s="32"/>
      <c r="H81" s="32"/>
      <c r="I81" s="32"/>
      <c r="J81" s="32"/>
      <c r="K81" s="32"/>
      <c r="N81" s="32"/>
      <c r="O81" s="32"/>
      <c r="P81" s="32"/>
    </row>
    <row r="82" spans="1:16" x14ac:dyDescent="0.25">
      <c r="A82" s="58" t="s">
        <v>171</v>
      </c>
      <c r="B82" s="41" t="s">
        <v>146</v>
      </c>
      <c r="C82" s="32"/>
      <c r="D82" s="32"/>
      <c r="E82" s="32"/>
      <c r="F82" s="32"/>
      <c r="G82" s="32"/>
      <c r="H82" s="32"/>
      <c r="I82" s="32"/>
      <c r="J82" s="32"/>
      <c r="K82" s="32"/>
      <c r="N82" s="32"/>
      <c r="O82" s="32"/>
      <c r="P82" s="32"/>
    </row>
    <row r="83" spans="1:16" x14ac:dyDescent="0.25">
      <c r="A83" s="58" t="s">
        <v>172</v>
      </c>
      <c r="B83" s="41" t="s">
        <v>146</v>
      </c>
      <c r="C83" s="32"/>
      <c r="D83" s="32">
        <f>(D50-C50)/C50</f>
        <v>0.16353488372093022</v>
      </c>
      <c r="E83" s="32">
        <f t="shared" ref="E83:L83" si="15">(E50-D50)/D50</f>
        <v>0.60984969619443574</v>
      </c>
      <c r="F83" s="32">
        <f t="shared" si="15"/>
        <v>0.47427493047278502</v>
      </c>
      <c r="G83" s="32">
        <f t="shared" si="15"/>
        <v>0.63713534999663135</v>
      </c>
      <c r="H83" s="32">
        <f t="shared" si="15"/>
        <v>0.18897119341563792</v>
      </c>
      <c r="I83" s="32">
        <f t="shared" si="15"/>
        <v>2.9766025197284951E-3</v>
      </c>
      <c r="J83" s="32">
        <f t="shared" si="15"/>
        <v>-1.3492994685623467E-2</v>
      </c>
      <c r="K83" s="32">
        <f t="shared" si="15"/>
        <v>5.3171021793122705E-2</v>
      </c>
      <c r="L83" s="32">
        <f t="shared" si="15"/>
        <v>-3.4875610323181036E-3</v>
      </c>
      <c r="N83" s="32"/>
      <c r="O83" s="32"/>
      <c r="P83" s="32"/>
    </row>
    <row r="84" spans="1:16" x14ac:dyDescent="0.25">
      <c r="A84" s="58" t="s">
        <v>42</v>
      </c>
      <c r="B84" s="41" t="s">
        <v>192</v>
      </c>
      <c r="C84" s="37">
        <f>IFERROR('Data Sheet'!C17/'Data Sheet'!C68,"NA")</f>
        <v>27.37358490566038</v>
      </c>
      <c r="D84" s="37">
        <f>IFERROR('Data Sheet'!D17/'Data Sheet'!D68,"NA")</f>
        <v>21.885000000000002</v>
      </c>
      <c r="E84" s="37">
        <f>IFERROR('Data Sheet'!E17/'Data Sheet'!E68,"NA")</f>
        <v>27.939240506329114</v>
      </c>
      <c r="F84" s="37">
        <f>IFERROR('Data Sheet'!F17/'Data Sheet'!F68,"NA")</f>
        <v>26.013999999999999</v>
      </c>
      <c r="G84" s="37">
        <f>IFERROR('Data Sheet'!G17/'Data Sheet'!G68,"NA")</f>
        <v>30.333333333333336</v>
      </c>
      <c r="H84" s="37">
        <f>IFERROR('Data Sheet'!H17/'Data Sheet'!H68,"NA")</f>
        <v>30.62947658402204</v>
      </c>
      <c r="I84" s="37">
        <f>IFERROR('Data Sheet'!I17/'Data Sheet'!I68,"NA")</f>
        <v>33.310538116591928</v>
      </c>
      <c r="J84" s="37">
        <f>IFERROR('Data Sheet'!J17/'Data Sheet'!J68,"NA")</f>
        <v>34.510330578512395</v>
      </c>
      <c r="K84" s="37">
        <f>IFERROR('Data Sheet'!K17/'Data Sheet'!K68,"NA")</f>
        <v>48.271634615384613</v>
      </c>
      <c r="L84" s="37">
        <f>IFERROR('Data Sheet'!L17/'Data Sheet'!L68,"NA")</f>
        <v>54.449648711943802</v>
      </c>
      <c r="N84" s="32"/>
      <c r="O84" s="32"/>
      <c r="P84" s="32"/>
    </row>
    <row r="85" spans="1:16" x14ac:dyDescent="0.25">
      <c r="A85" s="58" t="s">
        <v>114</v>
      </c>
      <c r="B85" s="41" t="s">
        <v>193</v>
      </c>
      <c r="C85" s="37">
        <f>'Data Sheet'!C17/'Data Sheet'!C62</f>
        <v>1.5493378897906878</v>
      </c>
      <c r="D85" s="37">
        <f>'Data Sheet'!D17/'Data Sheet'!D62</f>
        <v>1.6532577903682719</v>
      </c>
      <c r="E85" s="37">
        <f>'Data Sheet'!E17/'Data Sheet'!E62</f>
        <v>1.8184214862415555</v>
      </c>
      <c r="F85" s="37">
        <f>'Data Sheet'!F17/'Data Sheet'!F62</f>
        <v>1.3211782630777043</v>
      </c>
      <c r="G85" s="37">
        <f>'Data Sheet'!G17/'Data Sheet'!G62</f>
        <v>0.94310698477814969</v>
      </c>
      <c r="H85" s="37">
        <f>'Data Sheet'!H17/'Data Sheet'!H62</f>
        <v>0.77104715672676849</v>
      </c>
      <c r="I85" s="37">
        <f>'Data Sheet'!I17/'Data Sheet'!I62</f>
        <v>1.0632290846632793</v>
      </c>
      <c r="J85" s="37">
        <f>'Data Sheet'!J17/'Data Sheet'!J62</f>
        <v>1.2052096110830508</v>
      </c>
      <c r="K85" s="37">
        <f>'Data Sheet'!K17/'Data Sheet'!K62</f>
        <v>1.4296087993450326</v>
      </c>
      <c r="L85" s="37">
        <f>'Data Sheet'!L17/'Data Sheet'!L62</f>
        <v>1.3716814159292035</v>
      </c>
      <c r="N85" s="32"/>
      <c r="O85" s="32"/>
      <c r="P85" s="32"/>
    </row>
    <row r="86" spans="1:16" x14ac:dyDescent="0.25">
      <c r="A86" s="58" t="s">
        <v>115</v>
      </c>
      <c r="B86" s="41" t="s">
        <v>194</v>
      </c>
      <c r="N86" s="32"/>
      <c r="O86" s="32"/>
      <c r="P86" s="32"/>
    </row>
    <row r="87" spans="1:16" x14ac:dyDescent="0.25">
      <c r="A87" s="58" t="s">
        <v>234</v>
      </c>
      <c r="B87" s="41" t="s">
        <v>191</v>
      </c>
      <c r="C87" s="37">
        <f>IFERROR(('Data Sheet'!C68/'Data Sheet'!C17)*365,"NA")</f>
        <v>13.334022608216156</v>
      </c>
      <c r="D87" s="37">
        <f>IFERROR(('Data Sheet'!D68/'Data Sheet'!D18)*365,"NA")</f>
        <v>47.947454844006572</v>
      </c>
      <c r="E87" s="37">
        <f>IFERROR(('Data Sheet'!E68/'Data Sheet'!E18)*365,"NA")</f>
        <v>38.590738758029978</v>
      </c>
      <c r="F87" s="37">
        <f>IFERROR(('Data Sheet'!F68/'Data Sheet'!F18)*365,"NA")</f>
        <v>42.412270508947245</v>
      </c>
      <c r="G87" s="37">
        <f>IFERROR(('Data Sheet'!G68/'Data Sheet'!G18)*365,"NA")</f>
        <v>36.092703862660947</v>
      </c>
      <c r="H87" s="37">
        <f>IFERROR(('Data Sheet'!H68/'Data Sheet'!H18)*365,"NA")</f>
        <v>35.650477599892369</v>
      </c>
      <c r="I87" s="37">
        <f>IFERROR(('Data Sheet'!I68/'Data Sheet'!I18)*365,"NA")</f>
        <v>35.065158858373721</v>
      </c>
      <c r="J87" s="37">
        <f>IFERROR(('Data Sheet'!J68/'Data Sheet'!J18)*365,"NA")</f>
        <v>33.244260444109898</v>
      </c>
      <c r="K87" s="37">
        <f>IFERROR(('Data Sheet'!K68/'Data Sheet'!K18)*365,"NA")</f>
        <v>24.93472370473766</v>
      </c>
      <c r="L87" s="37">
        <f>IFERROR(('Data Sheet'!L68/'Data Sheet'!L18)*365,"NA")</f>
        <v>21.693228477973413</v>
      </c>
      <c r="N87" s="32"/>
      <c r="O87" s="32"/>
      <c r="P87" s="32"/>
    </row>
    <row r="88" spans="1:16" ht="23.25" x14ac:dyDescent="0.25">
      <c r="A88" s="58" t="s">
        <v>235</v>
      </c>
      <c r="B88" s="41" t="s">
        <v>195</v>
      </c>
      <c r="C88" s="37">
        <f>IFERROR(('Data Sheet'!C67/'Data Sheet'!C17)*365,"NA")</f>
        <v>9.1577060931899634</v>
      </c>
      <c r="D88" s="37">
        <f>IFERROR(('Data Sheet'!D67/'Data Sheet'!D17)*365,"NA")</f>
        <v>13.550948137994057</v>
      </c>
      <c r="E88" s="37">
        <f>IFERROR(('Data Sheet'!E67/'Data Sheet'!E17)*365,"NA")</f>
        <v>10.848133381660022</v>
      </c>
      <c r="F88" s="37">
        <f>IFERROR(('Data Sheet'!F67/'Data Sheet'!F17)*365,"NA")</f>
        <v>12.122703159837013</v>
      </c>
      <c r="G88" s="37">
        <f>IFERROR(('Data Sheet'!G67/'Data Sheet'!G17)*365,"NA")</f>
        <v>13.829555860805863</v>
      </c>
      <c r="H88" s="37">
        <f>IFERROR(('Data Sheet'!H67/'Data Sheet'!H17)*365,"NA")</f>
        <v>5.2525070827899452</v>
      </c>
      <c r="I88" s="37">
        <f>IFERROR(('Data Sheet'!I67/'Data Sheet'!I17)*365,"NA")</f>
        <v>5.0979369299633159</v>
      </c>
      <c r="J88" s="37">
        <f>IFERROR(('Data Sheet'!J67/'Data Sheet'!J17)*365,"NA")</f>
        <v>7.9214811710471169</v>
      </c>
      <c r="K88" s="37">
        <f>IFERROR(('Data Sheet'!K67/'Data Sheet'!K17)*365,"NA")</f>
        <v>9.1790747472735408</v>
      </c>
      <c r="L88" s="37">
        <f>IFERROR(('Data Sheet'!L67/'Data Sheet'!L17)*365,"NA")</f>
        <v>7.0409677419354839</v>
      </c>
      <c r="N88" s="32"/>
      <c r="O88" s="32"/>
      <c r="P88" s="32"/>
    </row>
    <row r="89" spans="1:16" ht="23.25" x14ac:dyDescent="0.25">
      <c r="A89" s="58" t="s">
        <v>142</v>
      </c>
      <c r="B89" s="41" t="s">
        <v>196</v>
      </c>
      <c r="C89" s="33"/>
      <c r="D89" s="33"/>
      <c r="E89" s="33"/>
      <c r="F89" s="33"/>
      <c r="G89" s="33"/>
      <c r="H89" s="33"/>
      <c r="I89" s="33"/>
      <c r="J89" s="33"/>
      <c r="K89" s="33"/>
      <c r="N89" s="32"/>
      <c r="O89" s="32"/>
      <c r="P89" s="32"/>
    </row>
    <row r="90" spans="1:16" x14ac:dyDescent="0.25">
      <c r="A90" s="58" t="s">
        <v>113</v>
      </c>
      <c r="B90" s="41" t="s">
        <v>190</v>
      </c>
      <c r="C90" s="33"/>
      <c r="D90" s="33"/>
      <c r="E90" s="33"/>
      <c r="F90" s="33"/>
      <c r="G90" s="33"/>
      <c r="H90" s="33"/>
      <c r="I90" s="33"/>
      <c r="J90" s="33"/>
      <c r="K90" s="33"/>
      <c r="N90" s="32"/>
      <c r="O90" s="32"/>
      <c r="P90" s="32"/>
    </row>
    <row r="91" spans="1:16" x14ac:dyDescent="0.25">
      <c r="A91" s="58" t="s">
        <v>116</v>
      </c>
      <c r="B91" s="41" t="s">
        <v>190</v>
      </c>
      <c r="N91" s="32"/>
      <c r="O91" s="32"/>
      <c r="P91" s="32"/>
    </row>
    <row r="92" spans="1:16" x14ac:dyDescent="0.25">
      <c r="A92" s="58"/>
      <c r="B92" s="41"/>
      <c r="N92" s="32"/>
      <c r="O92" s="32"/>
      <c r="P92" s="32"/>
    </row>
    <row r="93" spans="1:16" ht="18.75" x14ac:dyDescent="0.25">
      <c r="A93" s="56" t="s">
        <v>241</v>
      </c>
      <c r="B93" s="41"/>
      <c r="C93" s="53">
        <f>C69</f>
        <v>39172</v>
      </c>
      <c r="D93" s="53">
        <f t="shared" ref="D93:L93" si="16">D69</f>
        <v>39538</v>
      </c>
      <c r="E93" s="53">
        <f t="shared" si="16"/>
        <v>39903</v>
      </c>
      <c r="F93" s="53">
        <f t="shared" si="16"/>
        <v>40268</v>
      </c>
      <c r="G93" s="53">
        <f t="shared" si="16"/>
        <v>40633</v>
      </c>
      <c r="H93" s="53">
        <f t="shared" si="16"/>
        <v>40999</v>
      </c>
      <c r="I93" s="53">
        <f t="shared" si="16"/>
        <v>41364</v>
      </c>
      <c r="J93" s="53">
        <f t="shared" si="16"/>
        <v>41729</v>
      </c>
      <c r="K93" s="53">
        <f t="shared" si="16"/>
        <v>42094</v>
      </c>
      <c r="L93" s="53">
        <f t="shared" si="16"/>
        <v>42430</v>
      </c>
    </row>
    <row r="94" spans="1:16" x14ac:dyDescent="0.25">
      <c r="A94" s="58" t="s">
        <v>106</v>
      </c>
      <c r="B94" s="41" t="s">
        <v>158</v>
      </c>
      <c r="C94" s="36">
        <f>('Data Sheet'!C59+'Data Sheet'!C60)/('Data Sheet'!C57+'Data Sheet'!C58)</f>
        <v>2.5818699572852397</v>
      </c>
      <c r="D94" s="36">
        <f>('Data Sheet'!D59+'Data Sheet'!D60)/('Data Sheet'!D57+'Data Sheet'!D58)</f>
        <v>2.5894012944983822</v>
      </c>
      <c r="E94" s="36">
        <f>('Data Sheet'!E59+'Data Sheet'!E60)/('Data Sheet'!E57+'Data Sheet'!E58)</f>
        <v>2.9980171844018506</v>
      </c>
      <c r="F94" s="36">
        <f>('Data Sheet'!F59+'Data Sheet'!F60)/('Data Sheet'!F57+'Data Sheet'!F58)</f>
        <v>3.3324223602484473</v>
      </c>
      <c r="G94" s="36">
        <f>('Data Sheet'!G59+'Data Sheet'!G60)/('Data Sheet'!G57+'Data Sheet'!G58)</f>
        <v>4.598226600985222</v>
      </c>
      <c r="H94" s="36">
        <f>('Data Sheet'!H59+'Data Sheet'!H60)/('Data Sheet'!H57+'Data Sheet'!H58)</f>
        <v>4.5660284732449679</v>
      </c>
      <c r="I94" s="36">
        <f>('Data Sheet'!I59+'Data Sheet'!I60)/('Data Sheet'!I57+'Data Sheet'!I58)</f>
        <v>3.3086772749875681</v>
      </c>
      <c r="J94" s="36">
        <f>('Data Sheet'!J59+'Data Sheet'!J60)/('Data Sheet'!J57+'Data Sheet'!J58)</f>
        <v>2.4519757433489828</v>
      </c>
      <c r="K94" s="36">
        <f>('Data Sheet'!K59+'Data Sheet'!K60)/('Data Sheet'!K57+'Data Sheet'!K58)</f>
        <v>1.81257225433526</v>
      </c>
      <c r="L94" s="36">
        <f>('Data Sheet'!L59+'Data Sheet'!L60)/('Data Sheet'!L57+'Data Sheet'!L58)</f>
        <v>1.4596023445580968</v>
      </c>
      <c r="N94" s="32">
        <f t="shared" ref="N94:N103" si="17">(L94/C94)^(1/(9-1))-1</f>
        <v>-6.8811672300645332E-2</v>
      </c>
    </row>
    <row r="95" spans="1:16" x14ac:dyDescent="0.25">
      <c r="A95" s="58" t="s">
        <v>107</v>
      </c>
      <c r="B95" s="41" t="s">
        <v>187</v>
      </c>
      <c r="C95" s="37">
        <f>C49/'Profit &amp; Loss'!C9</f>
        <v>9.3333333333333339</v>
      </c>
      <c r="D95" s="37">
        <f>D49/'Profit &amp; Loss'!D9</f>
        <v>3.6057692307692308</v>
      </c>
      <c r="E95" s="37">
        <f>E49/'Profit &amp; Loss'!E9</f>
        <v>3.489841986455982</v>
      </c>
      <c r="F95" s="37">
        <f>F49/'Profit &amp; Loss'!F9</f>
        <v>4.5578512396694215</v>
      </c>
      <c r="G95" s="37">
        <f>G49/'Profit &amp; Loss'!G9</f>
        <v>2.7578757875787581</v>
      </c>
      <c r="H95" s="37">
        <f>H49/'Profit &amp; Loss'!H9</f>
        <v>1.9794933655006028</v>
      </c>
      <c r="I95" s="37">
        <f>I49/'Profit &amp; Loss'!I9</f>
        <v>2.1409322651128915</v>
      </c>
      <c r="J95" s="37">
        <f>J49/'Profit &amp; Loss'!J9</f>
        <v>2.5588972431077694</v>
      </c>
      <c r="K95" s="37">
        <f>K49/'Profit &amp; Loss'!K9</f>
        <v>3.9160942100098137</v>
      </c>
      <c r="L95" s="37">
        <f>L49/'Profit &amp; Loss'!L9</f>
        <v>4.7657657657657655</v>
      </c>
      <c r="N95" s="32">
        <f t="shared" si="17"/>
        <v>-8.0584143210626569E-2</v>
      </c>
    </row>
    <row r="96" spans="1:16" ht="23.25" x14ac:dyDescent="0.25">
      <c r="A96" s="58" t="s">
        <v>108</v>
      </c>
      <c r="B96" s="41" t="s">
        <v>201</v>
      </c>
      <c r="C96" s="37">
        <f>'Data Sheet'!C82/('Data Sheet'!C59+'Data Sheet'!C60)</f>
        <v>9.0073529411764719E-2</v>
      </c>
      <c r="D96" s="37">
        <f>'Data Sheet'!D82/('Data Sheet'!D59+'Data Sheet'!D60)</f>
        <v>0.19996875488204968</v>
      </c>
      <c r="E96" s="37">
        <f>'Data Sheet'!E82/('Data Sheet'!E59+'Data Sheet'!E60)</f>
        <v>0.16335978835978837</v>
      </c>
      <c r="F96" s="37">
        <f>'Data Sheet'!F82/('Data Sheet'!F59+'Data Sheet'!F60)</f>
        <v>0.17848356072467012</v>
      </c>
      <c r="G96" s="37">
        <f>'Data Sheet'!G82/('Data Sheet'!G59+'Data Sheet'!G60)</f>
        <v>0.176722660267398</v>
      </c>
      <c r="H96" s="37">
        <f>'Data Sheet'!H82/('Data Sheet'!H59+'Data Sheet'!H60)</f>
        <v>0.19915421280865858</v>
      </c>
      <c r="I96" s="37">
        <f>'Data Sheet'!I82/('Data Sheet'!I59+'Data Sheet'!I60)</f>
        <v>0.23223746007890289</v>
      </c>
      <c r="J96" s="37">
        <f>'Data Sheet'!J82/('Data Sheet'!J59+'Data Sheet'!J60)</f>
        <v>0.26969564003350754</v>
      </c>
      <c r="K96" s="37">
        <f>'Data Sheet'!K82/('Data Sheet'!K59+'Data Sheet'!K60)</f>
        <v>0.38746711313082999</v>
      </c>
      <c r="L96" s="37">
        <f>'Data Sheet'!L82/('Data Sheet'!L59+'Data Sheet'!L60)</f>
        <v>0.40944881889763779</v>
      </c>
      <c r="N96" s="32">
        <f t="shared" si="17"/>
        <v>0.20837103146845481</v>
      </c>
    </row>
    <row r="97" spans="1:14" ht="23.25" x14ac:dyDescent="0.25">
      <c r="A97" s="58" t="s">
        <v>110</v>
      </c>
      <c r="B97" s="41" t="s">
        <v>186</v>
      </c>
      <c r="C97" s="37">
        <f>C75</f>
        <v>1.1740331491712708</v>
      </c>
      <c r="D97" s="37">
        <f t="shared" ref="D97:L97" si="18">D75</f>
        <v>0.98205421916762115</v>
      </c>
      <c r="E97" s="37">
        <f t="shared" si="18"/>
        <v>1.8024630541871922</v>
      </c>
      <c r="F97" s="37">
        <f t="shared" si="18"/>
        <v>1.1603082851637765</v>
      </c>
      <c r="G97" s="37">
        <f t="shared" si="18"/>
        <v>1.3901727073704695</v>
      </c>
      <c r="H97" s="37">
        <f t="shared" si="18"/>
        <v>0.93693869582194467</v>
      </c>
      <c r="I97" s="37">
        <f t="shared" si="18"/>
        <v>1.0352050695300123</v>
      </c>
      <c r="J97" s="37">
        <f t="shared" si="18"/>
        <v>1.0022368028631075</v>
      </c>
      <c r="K97" s="37">
        <f t="shared" si="18"/>
        <v>0.99716521147522397</v>
      </c>
      <c r="L97" s="37">
        <f t="shared" si="18"/>
        <v>0.58757812499999995</v>
      </c>
      <c r="N97" s="32">
        <f t="shared" si="17"/>
        <v>-8.2886349878546484E-2</v>
      </c>
    </row>
    <row r="98" spans="1:14" ht="34.5" x14ac:dyDescent="0.25">
      <c r="A98" s="58" t="s">
        <v>111</v>
      </c>
      <c r="B98" s="41" t="s">
        <v>188</v>
      </c>
      <c r="C98" s="37">
        <f>('Data Sheet'!C65-'Data Sheet'!C68)/'Data Sheet'!C60</f>
        <v>1.0520257826887662</v>
      </c>
      <c r="D98" s="37">
        <f>('Data Sheet'!D65-'Data Sheet'!D68)/'Data Sheet'!D60</f>
        <v>0.82932416953035504</v>
      </c>
      <c r="E98" s="37">
        <f>('Data Sheet'!E65-'Data Sheet'!E68)/'Data Sheet'!E60</f>
        <v>1.6078817733990147</v>
      </c>
      <c r="F98" s="37">
        <f>('Data Sheet'!F65-'Data Sheet'!F68)/'Data Sheet'!F60</f>
        <v>0.96763005780346822</v>
      </c>
      <c r="G98" s="37">
        <f>('Data Sheet'!G65-'Data Sheet'!G68)/'Data Sheet'!G60</f>
        <v>1.2500608124543906</v>
      </c>
      <c r="H98" s="37">
        <f>('Data Sheet'!H65-'Data Sheet'!H68)/'Data Sheet'!H60</f>
        <v>0.79519718859820387</v>
      </c>
      <c r="I98" s="37">
        <f>('Data Sheet'!I65-'Data Sheet'!I68)/'Data Sheet'!I60</f>
        <v>0.87819045942615737</v>
      </c>
      <c r="J98" s="37">
        <f>('Data Sheet'!J65-'Data Sheet'!J68)/'Data Sheet'!J60</f>
        <v>0.85788845809722625</v>
      </c>
      <c r="K98" s="37">
        <f>('Data Sheet'!K65-'Data Sheet'!K68)/'Data Sheet'!K60</f>
        <v>0.90282344937067704</v>
      </c>
      <c r="L98" s="37">
        <f>('Data Sheet'!L65-'Data Sheet'!L68)/'Data Sheet'!L60</f>
        <v>0.5208593749999999</v>
      </c>
      <c r="N98" s="32">
        <f t="shared" si="17"/>
        <v>-8.4123822819159089E-2</v>
      </c>
    </row>
    <row r="99" spans="1:14" ht="34.5" x14ac:dyDescent="0.25">
      <c r="A99" s="58" t="s">
        <v>112</v>
      </c>
      <c r="B99" s="41" t="s">
        <v>189</v>
      </c>
      <c r="C99" s="37">
        <f>'Data Sheet'!C69/'Data Sheet'!C60</f>
        <v>0.27624309392265195</v>
      </c>
      <c r="D99" s="37">
        <f>'Data Sheet'!D69/'Data Sheet'!D60</f>
        <v>0.11722031309660175</v>
      </c>
      <c r="E99" s="37">
        <f>'Data Sheet'!E69/'Data Sheet'!E60</f>
        <v>1.0507389162561576</v>
      </c>
      <c r="F99" s="37">
        <f>'Data Sheet'!F69/'Data Sheet'!F60</f>
        <v>0.49441233140655105</v>
      </c>
      <c r="G99" s="37">
        <f>'Data Sheet'!G69/'Data Sheet'!G60</f>
        <v>0.68888348333738747</v>
      </c>
      <c r="H99" s="37">
        <f>'Data Sheet'!H69/'Data Sheet'!H60</f>
        <v>0.48340491995314333</v>
      </c>
      <c r="I99" s="37">
        <f>'Data Sheet'!I69/'Data Sheet'!I60</f>
        <v>0.54497447632459073</v>
      </c>
      <c r="J99" s="37">
        <f>'Data Sheet'!J69/'Data Sheet'!J60</f>
        <v>0.52087682672233815</v>
      </c>
      <c r="K99" s="37">
        <f>'Data Sheet'!K69/'Data Sheet'!K60</f>
        <v>0.62943644404127452</v>
      </c>
      <c r="L99" s="37">
        <f>'Data Sheet'!L69/'Data Sheet'!L60</f>
        <v>0.39882812499999998</v>
      </c>
      <c r="N99" s="32">
        <f t="shared" si="17"/>
        <v>4.6976161576178344E-2</v>
      </c>
    </row>
    <row r="100" spans="1:14" ht="23.25" x14ac:dyDescent="0.25">
      <c r="A100" s="58" t="s">
        <v>206</v>
      </c>
      <c r="B100" s="41" t="s">
        <v>208</v>
      </c>
      <c r="C100" s="37">
        <f>'Data Sheet'!C82/'Data Sheet'!C60</f>
        <v>0.22559852670349911</v>
      </c>
      <c r="D100" s="37">
        <f>'Data Sheet'!D82/'Data Sheet'!D60</f>
        <v>0.48873615883925164</v>
      </c>
      <c r="E100" s="37">
        <f>'Data Sheet'!E82/'Data Sheet'!E60</f>
        <v>0.73004926108374379</v>
      </c>
      <c r="F100" s="37">
        <f>'Data Sheet'!F82/'Data Sheet'!F60</f>
        <v>0.92254335260115616</v>
      </c>
      <c r="G100" s="37">
        <f>'Data Sheet'!G82/'Data Sheet'!G60</f>
        <v>1.0031622476283144</v>
      </c>
      <c r="H100" s="37">
        <f>'Data Sheet'!H82/'Data Sheet'!H60</f>
        <v>1.0849277625927372</v>
      </c>
      <c r="I100" s="37">
        <f>'Data Sheet'!I82/'Data Sheet'!I60</f>
        <v>1.0880126738250309</v>
      </c>
      <c r="J100" s="37">
        <f>'Data Sheet'!J82/'Data Sheet'!J60</f>
        <v>1.0082016104980613</v>
      </c>
      <c r="K100" s="37">
        <f>'Data Sheet'!K82/'Data Sheet'!K60</f>
        <v>1.1021657784329291</v>
      </c>
      <c r="L100" s="37">
        <f>'Data Sheet'!L82/'Data Sheet'!L60</f>
        <v>0.8125</v>
      </c>
      <c r="N100" s="32">
        <f t="shared" si="17"/>
        <v>0.17371022710582418</v>
      </c>
    </row>
    <row r="101" spans="1:14" x14ac:dyDescent="0.25">
      <c r="A101" s="58" t="s">
        <v>207</v>
      </c>
      <c r="B101" s="41" t="s">
        <v>209</v>
      </c>
      <c r="C101" s="46" t="e">
        <f>'Data Sheet'!C82/'Financial Analysis'!C41</f>
        <v>#DIV/0!</v>
      </c>
      <c r="D101" s="46">
        <f>'Data Sheet'!D82/'Financial Analysis'!D41</f>
        <v>0.90331686661961885</v>
      </c>
      <c r="E101" s="46">
        <f>'Data Sheet'!E82/'Financial Analysis'!E41</f>
        <v>0.58577075098814235</v>
      </c>
      <c r="F101" s="46">
        <f>'Data Sheet'!F82/'Financial Analysis'!F41</f>
        <v>0.37076041505343038</v>
      </c>
      <c r="G101" s="46">
        <f>'Data Sheet'!G82/'Financial Analysis'!G41</f>
        <v>0.4617107030900135</v>
      </c>
      <c r="H101" s="46">
        <f>'Data Sheet'!H82/'Financial Analysis'!H41</f>
        <v>0.71870150025866553</v>
      </c>
      <c r="I101" s="46">
        <f>'Data Sheet'!I82/'Financial Analysis'!I41</f>
        <v>6.0956607495069033</v>
      </c>
      <c r="J101" s="46">
        <f>'Data Sheet'!J82/'Financial Analysis'!J41</f>
        <v>4.7478932584269566</v>
      </c>
      <c r="K101" s="46">
        <f>'Data Sheet'!K82/'Financial Analysis'!K41</f>
        <v>2.6499454743729554</v>
      </c>
      <c r="L101" s="46">
        <f>'Data Sheet'!L82/'Financial Analysis'!L41</f>
        <v>1.4466546112115735</v>
      </c>
      <c r="N101" s="32">
        <f>(L101/D101)^(1/(8-1))-1</f>
        <v>6.9591195896343327E-2</v>
      </c>
    </row>
    <row r="102" spans="1:14" x14ac:dyDescent="0.25">
      <c r="A102" s="58" t="s">
        <v>117</v>
      </c>
      <c r="B102" s="41" t="s">
        <v>202</v>
      </c>
      <c r="C102" s="32">
        <f>'Data Sheet'!C82/'Data Sheet'!C17</f>
        <v>6.7548938516680451E-2</v>
      </c>
      <c r="D102" s="32">
        <f>'Data Sheet'!D82/'Data Sheet'!D17</f>
        <v>0.14621887137308659</v>
      </c>
      <c r="E102" s="32">
        <f>'Data Sheet'!E82/'Data Sheet'!E17</f>
        <v>0.13428778542950345</v>
      </c>
      <c r="F102" s="32">
        <f>'Data Sheet'!F82/'Data Sheet'!F17</f>
        <v>0.18405473975551628</v>
      </c>
      <c r="G102" s="32">
        <f>'Data Sheet'!G82/'Data Sheet'!G17</f>
        <v>0.23603479853479856</v>
      </c>
      <c r="H102" s="32">
        <f>'Data Sheet'!H82/'Data Sheet'!H17</f>
        <v>0.24989881728650448</v>
      </c>
      <c r="I102" s="32">
        <f>'Data Sheet'!I82/'Data Sheet'!I17</f>
        <v>0.20802342409046545</v>
      </c>
      <c r="J102" s="32">
        <f>'Data Sheet'!J82/'Data Sheet'!J17</f>
        <v>0.20238879243249716</v>
      </c>
      <c r="K102" s="32">
        <f>'Data Sheet'!K82/'Data Sheet'!K17</f>
        <v>0.24201981973009312</v>
      </c>
      <c r="L102" s="32">
        <f>'Data Sheet'!L82/'Data Sheet'!L17</f>
        <v>0.22365591397849463</v>
      </c>
      <c r="N102" s="32">
        <f t="shared" si="17"/>
        <v>0.16143586322769288</v>
      </c>
    </row>
    <row r="103" spans="1:14" x14ac:dyDescent="0.25">
      <c r="A103" s="58" t="s">
        <v>118</v>
      </c>
      <c r="B103" s="41" t="s">
        <v>203</v>
      </c>
      <c r="C103" s="32">
        <f>'Data Sheet'!C85/'Data Sheet'!C17</f>
        <v>6.9065343258891632E-2</v>
      </c>
      <c r="D103" s="32">
        <f>'Data Sheet'!D85/'Data Sheet'!D17</f>
        <v>-3.3470413525245601E-2</v>
      </c>
      <c r="E103" s="32">
        <f>'Data Sheet'!E85/'Data Sheet'!E17</f>
        <v>0.16545849945632476</v>
      </c>
      <c r="F103" s="32">
        <f>'Data Sheet'!F85/'Data Sheet'!F17</f>
        <v>-6.5349427231490745E-2</v>
      </c>
      <c r="G103" s="32">
        <f>'Data Sheet'!G85/'Data Sheet'!G17</f>
        <v>8.8656135531135535E-2</v>
      </c>
      <c r="H103" s="32">
        <f>'Data Sheet'!H85/'Data Sheet'!H17</f>
        <v>-1.6009353779736474E-2</v>
      </c>
      <c r="I103" s="32">
        <f>'Data Sheet'!I85/'Data Sheet'!I17</f>
        <v>1.9486420085484468E-2</v>
      </c>
      <c r="J103" s="32">
        <f>'Data Sheet'!J85/'Data Sheet'!J17</f>
        <v>1.1884092677962043E-2</v>
      </c>
      <c r="K103" s="32">
        <f>'Data Sheet'!K85/'Data Sheet'!K17</f>
        <v>5.1242468004581439E-2</v>
      </c>
      <c r="L103" s="32">
        <f>'Data Sheet'!L85/'Data Sheet'!L17</f>
        <v>0</v>
      </c>
      <c r="N103" s="32">
        <f t="shared" si="17"/>
        <v>-1</v>
      </c>
    </row>
    <row r="105" spans="1:14" ht="18.75" x14ac:dyDescent="0.25">
      <c r="A105" s="56" t="s">
        <v>242</v>
      </c>
    </row>
    <row r="106" spans="1:14" ht="57" x14ac:dyDescent="0.25">
      <c r="A106" s="58" t="s">
        <v>124</v>
      </c>
      <c r="B106" s="41" t="s">
        <v>210</v>
      </c>
      <c r="C106" s="40"/>
      <c r="D106" s="40"/>
      <c r="E106" s="40"/>
      <c r="F106" s="40"/>
      <c r="G106" s="40"/>
      <c r="H106" s="40"/>
      <c r="I106" s="40"/>
      <c r="J106" s="40"/>
      <c r="K106" s="40"/>
    </row>
    <row r="107" spans="1:14" x14ac:dyDescent="0.25">
      <c r="A107" s="60" t="s">
        <v>125</v>
      </c>
      <c r="B107" s="43"/>
      <c r="C107" s="40"/>
      <c r="D107" s="40"/>
      <c r="E107" s="40"/>
      <c r="F107" s="40"/>
      <c r="G107" s="40"/>
      <c r="H107" s="40"/>
      <c r="I107" s="40"/>
      <c r="J107" s="40"/>
      <c r="K107" s="40"/>
    </row>
    <row r="108" spans="1:14" x14ac:dyDescent="0.25">
      <c r="A108" s="58" t="s">
        <v>119</v>
      </c>
      <c r="B108" s="41" t="s">
        <v>161</v>
      </c>
      <c r="C108" s="37">
        <f>C36/'Profit &amp; Loss'!B13</f>
        <v>0</v>
      </c>
      <c r="D108" s="37">
        <f>D36/'Profit &amp; Loss'!C13</f>
        <v>0</v>
      </c>
      <c r="E108" s="37">
        <f>E36/'Profit &amp; Loss'!D13</f>
        <v>0</v>
      </c>
      <c r="F108" s="37">
        <f>F36/'Profit &amp; Loss'!E13</f>
        <v>0</v>
      </c>
      <c r="G108" s="37">
        <f>G36/'Profit &amp; Loss'!F13</f>
        <v>0</v>
      </c>
      <c r="H108" s="37">
        <f>H36/'Profit &amp; Loss'!G13</f>
        <v>0</v>
      </c>
      <c r="I108" s="37">
        <f>I36/'Profit &amp; Loss'!H13</f>
        <v>5.0361875313807536</v>
      </c>
      <c r="J108" s="37">
        <f>J36/'Profit &amp; Loss'!I13</f>
        <v>4.6343697882352943</v>
      </c>
      <c r="K108" s="37">
        <f>K36/'Profit &amp; Loss'!J13</f>
        <v>24.311012116357507</v>
      </c>
      <c r="L108" s="37">
        <f>L36/'Profit &amp; Loss'!K13</f>
        <v>19.028791540051682</v>
      </c>
    </row>
    <row r="109" spans="1:14" ht="23.25" x14ac:dyDescent="0.25">
      <c r="A109" s="60" t="s">
        <v>120</v>
      </c>
      <c r="B109" s="43" t="s">
        <v>211</v>
      </c>
    </row>
    <row r="110" spans="1:14" x14ac:dyDescent="0.25">
      <c r="A110" s="60" t="s">
        <v>121</v>
      </c>
      <c r="B110" s="43" t="s">
        <v>212</v>
      </c>
    </row>
    <row r="111" spans="1:14" x14ac:dyDescent="0.25">
      <c r="A111" s="58" t="s">
        <v>122</v>
      </c>
      <c r="B111" s="41" t="s">
        <v>162</v>
      </c>
      <c r="D111" s="36">
        <f t="shared" ref="D111:K111" si="19">(D108/D8)/100</f>
        <v>0</v>
      </c>
      <c r="E111" s="36">
        <f t="shared" si="19"/>
        <v>0</v>
      </c>
      <c r="F111" s="36">
        <f t="shared" si="19"/>
        <v>0</v>
      </c>
      <c r="G111" s="36">
        <f t="shared" si="19"/>
        <v>0</v>
      </c>
      <c r="H111" s="36">
        <f t="shared" si="19"/>
        <v>0</v>
      </c>
      <c r="I111" s="36">
        <f t="shared" si="19"/>
        <v>6.4712302150537637E-2</v>
      </c>
      <c r="J111" s="36">
        <f t="shared" si="19"/>
        <v>0.39870590283400853</v>
      </c>
      <c r="K111" s="36">
        <f t="shared" si="19"/>
        <v>0.38495140680907869</v>
      </c>
      <c r="L111" s="36">
        <f t="shared" ref="L111" si="20">(L108/L8)/100</f>
        <v>4.2362597785735359</v>
      </c>
    </row>
    <row r="112" spans="1:14" ht="23.25" x14ac:dyDescent="0.25">
      <c r="A112" s="58" t="s">
        <v>123</v>
      </c>
      <c r="B112" s="41" t="s">
        <v>163</v>
      </c>
      <c r="C112" s="36">
        <f>C38/'Data Sheet'!C17</f>
        <v>0</v>
      </c>
      <c r="D112" s="36">
        <f>D38/'Data Sheet'!D17</f>
        <v>0</v>
      </c>
      <c r="E112" s="36">
        <f>E38/'Data Sheet'!E17</f>
        <v>0</v>
      </c>
      <c r="F112" s="36">
        <f>F38/'Data Sheet'!F17</f>
        <v>0</v>
      </c>
      <c r="G112" s="36">
        <f>G38/'Data Sheet'!G17</f>
        <v>0</v>
      </c>
      <c r="H112" s="36">
        <f>H38/'Data Sheet'!H17</f>
        <v>0</v>
      </c>
      <c r="I112" s="36">
        <f>I38/'Data Sheet'!I17</f>
        <v>0.20254582505973814</v>
      </c>
      <c r="J112" s="36">
        <f>J38/'Data Sheet'!J17</f>
        <v>0.29479841345866009</v>
      </c>
      <c r="K112" s="36">
        <f>K38/'Data Sheet'!K17</f>
        <v>1.4358279154424578</v>
      </c>
      <c r="L112" s="36">
        <f>L38/'Data Sheet'!L17</f>
        <v>1.5836865217204301</v>
      </c>
    </row>
    <row r="113" spans="1:14" ht="23.25" x14ac:dyDescent="0.25">
      <c r="A113" s="60" t="s">
        <v>139</v>
      </c>
      <c r="B113" s="41" t="s">
        <v>164</v>
      </c>
      <c r="C113" s="37">
        <f>'Data Sheet'!C69/'Financial Analysis'!C37</f>
        <v>5.4833269391648631</v>
      </c>
      <c r="D113" s="37">
        <f>'Data Sheet'!D69/'Financial Analysis'!D37</f>
        <v>2.8056356172060215</v>
      </c>
      <c r="E113" s="37">
        <f>'Data Sheet'!E69/'Financial Analysis'!E37</f>
        <v>19.49322726873109</v>
      </c>
      <c r="F113" s="37">
        <f>'Data Sheet'!F69/'Financial Analysis'!F37</f>
        <v>11.725180771580867</v>
      </c>
      <c r="G113" s="37">
        <f>'Data Sheet'!G69/'Financial Analysis'!G37</f>
        <v>25.881303152858155</v>
      </c>
      <c r="H113" s="37">
        <f>'Data Sheet'!H69/'Financial Analysis'!H37</f>
        <v>22.627862502287005</v>
      </c>
      <c r="I113" s="37">
        <f>'Data Sheet'!I69/'Financial Analysis'!I37</f>
        <v>28.293967006090696</v>
      </c>
      <c r="J113" s="37">
        <f>'Data Sheet'!J69/'Financial Analysis'!J37</f>
        <v>31.922101664171446</v>
      </c>
      <c r="K113" s="37">
        <f>'Data Sheet'!K69/'Financial Analysis'!K37</f>
        <v>50.729913065506928</v>
      </c>
      <c r="L113" s="37">
        <f>'Data Sheet'!L69/'Financial Analysis'!L37</f>
        <v>46.653973374061046</v>
      </c>
      <c r="N113" s="32"/>
    </row>
    <row r="114" spans="1:14" x14ac:dyDescent="0.25">
      <c r="A114" s="60" t="s">
        <v>260</v>
      </c>
      <c r="B114" s="41" t="s">
        <v>261</v>
      </c>
      <c r="C114" s="32" t="e">
        <f>C113/C36</f>
        <v>#DIV/0!</v>
      </c>
      <c r="D114" s="32" t="e">
        <f t="shared" ref="D114:K114" si="21">D113/D36</f>
        <v>#DIV/0!</v>
      </c>
      <c r="E114" s="32" t="e">
        <f t="shared" si="21"/>
        <v>#DIV/0!</v>
      </c>
      <c r="F114" s="32" t="e">
        <f t="shared" si="21"/>
        <v>#DIV/0!</v>
      </c>
      <c r="G114" s="32" t="e">
        <f t="shared" si="21"/>
        <v>#DIV/0!</v>
      </c>
      <c r="H114" s="32" t="e">
        <f t="shared" si="21"/>
        <v>#DIV/0!</v>
      </c>
      <c r="I114" s="32">
        <f t="shared" si="21"/>
        <v>0.51443576374710354</v>
      </c>
      <c r="J114" s="32">
        <f t="shared" si="21"/>
        <v>0.35469001849079385</v>
      </c>
      <c r="K114" s="32">
        <f t="shared" si="21"/>
        <v>9.6261694621455271E-2</v>
      </c>
      <c r="L114" s="32">
        <f t="shared" ref="L114" si="22">L113/L36</f>
        <v>6.9322397286866344E-2</v>
      </c>
    </row>
    <row r="115" spans="1:14" x14ac:dyDescent="0.25">
      <c r="A115" s="60"/>
      <c r="B115" s="41"/>
    </row>
    <row r="116" spans="1:14" ht="18.75" x14ac:dyDescent="0.25">
      <c r="A116" s="56" t="s">
        <v>244</v>
      </c>
    </row>
    <row r="117" spans="1:14" ht="34.5" x14ac:dyDescent="0.25">
      <c r="A117" s="60" t="s">
        <v>128</v>
      </c>
      <c r="B117" s="43" t="s">
        <v>213</v>
      </c>
    </row>
    <row r="118" spans="1:14" x14ac:dyDescent="0.25">
      <c r="A118" s="60" t="s">
        <v>129</v>
      </c>
      <c r="B118" s="43" t="s">
        <v>214</v>
      </c>
    </row>
    <row r="119" spans="1:14" x14ac:dyDescent="0.25">
      <c r="A119" s="60" t="s">
        <v>130</v>
      </c>
      <c r="B119" s="43" t="s">
        <v>214</v>
      </c>
    </row>
    <row r="120" spans="1:14" x14ac:dyDescent="0.25">
      <c r="A120" s="60" t="s">
        <v>131</v>
      </c>
      <c r="B120" s="43" t="s">
        <v>214</v>
      </c>
    </row>
    <row r="121" spans="1:14" x14ac:dyDescent="0.25">
      <c r="A121" s="58"/>
      <c r="B121" s="41"/>
    </row>
    <row r="122" spans="1:14" ht="18.75" x14ac:dyDescent="0.25">
      <c r="A122" s="56" t="s">
        <v>243</v>
      </c>
      <c r="B122" s="41"/>
    </row>
    <row r="123" spans="1:14" x14ac:dyDescent="0.25">
      <c r="A123" s="60" t="s">
        <v>132</v>
      </c>
      <c r="B123" s="43" t="s">
        <v>197</v>
      </c>
    </row>
    <row r="124" spans="1:14" x14ac:dyDescent="0.25">
      <c r="A124" s="60" t="s">
        <v>133</v>
      </c>
      <c r="B124" s="43" t="s">
        <v>198</v>
      </c>
    </row>
    <row r="125" spans="1:14" x14ac:dyDescent="0.25">
      <c r="A125" s="60" t="s">
        <v>134</v>
      </c>
      <c r="B125" s="43" t="s">
        <v>199</v>
      </c>
    </row>
    <row r="126" spans="1:14" x14ac:dyDescent="0.25">
      <c r="A126" s="60" t="s">
        <v>135</v>
      </c>
      <c r="B126" s="43" t="s">
        <v>214</v>
      </c>
    </row>
    <row r="127" spans="1:14" x14ac:dyDescent="0.25">
      <c r="A127" s="60" t="s">
        <v>136</v>
      </c>
      <c r="B127" s="43" t="s">
        <v>214</v>
      </c>
    </row>
    <row r="128" spans="1:14" x14ac:dyDescent="0.25">
      <c r="A128" s="60" t="s">
        <v>137</v>
      </c>
      <c r="B128" s="43" t="s">
        <v>214</v>
      </c>
    </row>
    <row r="129" spans="1:2" x14ac:dyDescent="0.25">
      <c r="A129" s="60" t="s">
        <v>138</v>
      </c>
      <c r="B129" s="43" t="s">
        <v>214</v>
      </c>
    </row>
    <row r="130" spans="1:2" x14ac:dyDescent="0.25">
      <c r="A130" s="61" t="s">
        <v>274</v>
      </c>
    </row>
    <row r="132" spans="1:2" ht="18.75" x14ac:dyDescent="0.25">
      <c r="A132" s="56"/>
    </row>
  </sheetData>
  <conditionalFormatting sqref="C3:L8">
    <cfRule type="expression" dxfId="8" priority="9" stopIfTrue="1">
      <formula>C3&lt;0</formula>
    </cfRule>
    <cfRule type="expression" dxfId="7" priority="10" stopIfTrue="1">
      <formula>0&lt;C3&lt;0.05</formula>
    </cfRule>
    <cfRule type="expression" dxfId="6" priority="11" stopIfTrue="1">
      <formula>0.05&lt;C3&lt;0.1</formula>
    </cfRule>
    <cfRule type="expression" dxfId="5" priority="12" stopIfTrue="1">
      <formula>C3&gt;0.1</formula>
    </cfRule>
  </conditionalFormatting>
  <conditionalFormatting sqref="N3:P8">
    <cfRule type="expression" dxfId="4" priority="1" stopIfTrue="1">
      <formula>N3&lt;0</formula>
    </cfRule>
    <cfRule type="expression" dxfId="3" priority="2" stopIfTrue="1">
      <formula>0&lt;N3&lt;0.05</formula>
    </cfRule>
    <cfRule type="expression" dxfId="2" priority="3" stopIfTrue="1">
      <formula>0.05&lt;N3&lt;0.1</formula>
    </cfRule>
    <cfRule type="expression" dxfId="1" priority="4" stopIfTrue="1">
      <formula>N3&gt;0.1</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topLeftCell="A30" zoomScaleNormal="100" workbookViewId="0">
      <selection activeCell="K59" sqref="K59"/>
    </sheetView>
  </sheetViews>
  <sheetFormatPr defaultColWidth="8.7109375" defaultRowHeight="15" x14ac:dyDescent="0.25"/>
  <cols>
    <col min="1" max="1" width="31.42578125" style="157" customWidth="1"/>
    <col min="2" max="2" width="11.28515625" style="157" customWidth="1"/>
    <col min="3" max="3" width="10.42578125" style="157" customWidth="1"/>
    <col min="4" max="4" width="10.85546875" style="157" customWidth="1"/>
    <col min="5" max="5" width="10.42578125" style="157" customWidth="1"/>
    <col min="6" max="6" width="10.5703125" style="157" customWidth="1"/>
    <col min="7" max="8" width="10.42578125" style="157" customWidth="1"/>
    <col min="9" max="10" width="10.7109375" style="157" customWidth="1"/>
    <col min="11" max="11" width="11.140625" style="157" customWidth="1"/>
    <col min="12" max="12" width="14.7109375" style="157" customWidth="1"/>
    <col min="13" max="13" width="14.42578125" style="157" customWidth="1"/>
    <col min="14" max="20" width="11.140625" style="157" customWidth="1"/>
    <col min="21" max="16384" width="8.7109375" style="157"/>
  </cols>
  <sheetData>
    <row r="1" spans="1:14" x14ac:dyDescent="0.25">
      <c r="A1" s="155" t="str">
        <f>'Data Sheet'!A1</f>
        <v>COMPANY NAME</v>
      </c>
      <c r="B1" s="156"/>
      <c r="C1" s="156"/>
      <c r="D1" s="156"/>
      <c r="E1" s="156"/>
      <c r="F1" s="156"/>
      <c r="G1" s="156"/>
      <c r="H1" s="156"/>
      <c r="I1" s="156"/>
      <c r="J1" s="156"/>
      <c r="K1" s="156"/>
    </row>
    <row r="2" spans="1:14" x14ac:dyDescent="0.25">
      <c r="A2" s="155"/>
      <c r="B2" s="156"/>
      <c r="C2" s="156"/>
      <c r="D2" s="156"/>
      <c r="E2" s="156"/>
      <c r="F2" s="156"/>
      <c r="G2" s="156"/>
      <c r="H2" s="156"/>
      <c r="I2" s="156"/>
      <c r="J2" s="156"/>
      <c r="K2" s="156"/>
      <c r="M2" s="157" t="s">
        <v>390</v>
      </c>
    </row>
    <row r="3" spans="1:14" ht="15" customHeight="1" x14ac:dyDescent="0.25">
      <c r="A3" s="158" t="s">
        <v>336</v>
      </c>
      <c r="M3" s="157" t="s">
        <v>390</v>
      </c>
    </row>
    <row r="4" spans="1:14" ht="30" customHeight="1" x14ac:dyDescent="0.25">
      <c r="A4" s="159"/>
      <c r="B4" s="160" t="s">
        <v>391</v>
      </c>
      <c r="C4" s="160" t="s">
        <v>392</v>
      </c>
      <c r="D4" s="159" t="s">
        <v>393</v>
      </c>
      <c r="F4" s="257" t="s">
        <v>394</v>
      </c>
      <c r="G4" s="258"/>
      <c r="H4" s="258"/>
      <c r="I4" s="258"/>
      <c r="J4" s="258"/>
      <c r="K4" s="259"/>
      <c r="M4" s="260" t="s">
        <v>395</v>
      </c>
      <c r="N4" s="260"/>
    </row>
    <row r="5" spans="1:14" ht="15" customHeight="1" x14ac:dyDescent="0.25">
      <c r="A5" s="161" t="s">
        <v>396</v>
      </c>
      <c r="B5" s="230">
        <f>Other_input_data!L41-Other_input_data!B41</f>
        <v>157.92000000000002</v>
      </c>
      <c r="C5" s="230">
        <f>Other_input_data!L36-Other_input_data!B36</f>
        <v>758.99906136800007</v>
      </c>
      <c r="D5" s="231">
        <f>C5/B5</f>
        <v>4.8062250593211751</v>
      </c>
      <c r="F5" s="162"/>
      <c r="G5" s="163" t="s">
        <v>397</v>
      </c>
      <c r="H5" s="163" t="s">
        <v>398</v>
      </c>
      <c r="I5" s="164" t="s">
        <v>121</v>
      </c>
      <c r="J5" s="164" t="s">
        <v>399</v>
      </c>
      <c r="K5" s="164" t="s">
        <v>400</v>
      </c>
      <c r="M5" s="165" t="s">
        <v>401</v>
      </c>
      <c r="N5" s="166">
        <v>0.1</v>
      </c>
    </row>
    <row r="6" spans="1:14" ht="15" customHeight="1" x14ac:dyDescent="0.25">
      <c r="A6" s="161" t="s">
        <v>402</v>
      </c>
      <c r="B6" s="230">
        <f>Other_input_data!L41-Other_input_data!E41</f>
        <v>143.76000000000002</v>
      </c>
      <c r="C6" s="230">
        <f>Other_input_data!L36-Other_input_data!E36</f>
        <v>754.88477085600005</v>
      </c>
      <c r="D6" s="231">
        <f>C6/B6</f>
        <v>5.2510070315525876</v>
      </c>
      <c r="F6" s="167" t="s">
        <v>403</v>
      </c>
      <c r="G6" s="168">
        <f>MIN(Other_input_data!B69:L69)</f>
        <v>7.0838691092748745</v>
      </c>
      <c r="H6" s="168">
        <f>MIN(Other_input_data!B71:L71)</f>
        <v>1.6434798050860722</v>
      </c>
      <c r="I6" s="168">
        <f>MIN(Other_input_data!B75:L75)</f>
        <v>4.0836690984012378</v>
      </c>
      <c r="J6" s="168">
        <f>MIN(Other_input_data!B74:L74)</f>
        <v>0.50299160411902055</v>
      </c>
      <c r="K6" s="169">
        <f>MIN(Other_input_data!B76:L76)</f>
        <v>1.9877666180880584E-3</v>
      </c>
      <c r="M6" s="170" t="s">
        <v>404</v>
      </c>
      <c r="N6" s="168">
        <f>('Profit &amp; Loss'!L10/'Data Sheet'!L93)/N5</f>
        <v>567.98128211516041</v>
      </c>
    </row>
    <row r="7" spans="1:14" ht="15" customHeight="1" x14ac:dyDescent="0.25">
      <c r="A7" s="161" t="s">
        <v>405</v>
      </c>
      <c r="B7" s="230">
        <f>Other_input_data!L41-Other_input_data!G41</f>
        <v>123.27000000000001</v>
      </c>
      <c r="C7" s="230">
        <f>Other_input_data!L36-Other_input_data!G36</f>
        <v>690.74123101200007</v>
      </c>
      <c r="D7" s="231">
        <f>C7/B7</f>
        <v>5.6034820395229987</v>
      </c>
      <c r="F7" s="167" t="s">
        <v>406</v>
      </c>
      <c r="G7" s="168">
        <f>MAX(Other_input_data!B69:L69)</f>
        <v>18.670789018055899</v>
      </c>
      <c r="H7" s="168">
        <f>MAX(Other_input_data!B71:L71)</f>
        <v>5.0126470596965316</v>
      </c>
      <c r="I7" s="168">
        <f>MAX(Other_input_data!B75:L75)</f>
        <v>9.5489829181308483</v>
      </c>
      <c r="J7" s="168">
        <f>MAX(Other_input_data!B74:L74)</f>
        <v>1.7742936662365594</v>
      </c>
      <c r="K7" s="169">
        <f>MAX(Other_input_data!B76:L76)</f>
        <v>2.7420637708628501E-2</v>
      </c>
      <c r="M7" s="171" t="s">
        <v>407</v>
      </c>
      <c r="N7" s="169">
        <f>('Profit &amp; Loss'!L10/'Data Sheet'!L93)/'Data Sheet'!B8</f>
        <v>8.2316127842776879E-2</v>
      </c>
    </row>
    <row r="8" spans="1:14" ht="15" customHeight="1" x14ac:dyDescent="0.25">
      <c r="A8" s="161" t="s">
        <v>408</v>
      </c>
      <c r="B8" s="230">
        <f>Other_input_data!L41-Other_input_data!I41</f>
        <v>93.580000000000013</v>
      </c>
      <c r="C8" s="230">
        <f>Other_input_data!L36-Other_input_data!I36</f>
        <v>645.94361038400007</v>
      </c>
      <c r="D8" s="231">
        <f>C8/B8</f>
        <v>6.9025818592006836</v>
      </c>
      <c r="F8" s="167" t="s">
        <v>409</v>
      </c>
      <c r="G8" s="168">
        <f>'Data Sheet'!B8/'Profit &amp; Loss'!L13</f>
        <v>18.670789018055899</v>
      </c>
      <c r="H8" s="168"/>
      <c r="I8" s="168">
        <f>('[1]Other Input Data'!$B$37+'[1]Other Input Data'!B42+'[1]Other Input Data'!B43-'[1]Other Input Data'!B8)/'[1]Other Input Data'!B28</f>
        <v>5.6393514036786057</v>
      </c>
      <c r="J8" s="168">
        <f>'[1]Other Input Data'!$B$37/'[1]Profit &amp; Loss'!L4</f>
        <v>1.0439874641323592</v>
      </c>
      <c r="K8" s="169"/>
      <c r="M8" s="164"/>
      <c r="N8" s="172"/>
    </row>
    <row r="9" spans="1:14" ht="15" customHeight="1" x14ac:dyDescent="0.25">
      <c r="A9" s="161" t="s">
        <v>410</v>
      </c>
      <c r="B9" s="230">
        <f>Other_input_data!L41-Other_input_data!K41</f>
        <v>35.620000000000005</v>
      </c>
      <c r="C9" s="230">
        <f>Other_input_data!L36-Other_input_data!K36</f>
        <v>131.29620173800004</v>
      </c>
      <c r="D9" s="231">
        <f>C9/B9</f>
        <v>3.6860247540145989</v>
      </c>
      <c r="F9" s="162"/>
      <c r="G9" s="173"/>
      <c r="H9" s="162"/>
      <c r="I9" s="162"/>
      <c r="J9" s="162"/>
      <c r="K9" s="162"/>
      <c r="M9" s="174" t="s">
        <v>390</v>
      </c>
      <c r="N9" s="162"/>
    </row>
    <row r="10" spans="1:14" ht="15" customHeight="1" x14ac:dyDescent="0.25">
      <c r="A10" s="261" t="s">
        <v>411</v>
      </c>
      <c r="B10" s="261"/>
      <c r="C10" s="261"/>
      <c r="D10" s="261"/>
      <c r="E10" s="261"/>
      <c r="F10" s="261"/>
      <c r="G10" s="261"/>
      <c r="H10" s="261"/>
      <c r="I10" s="261"/>
      <c r="J10" s="261"/>
    </row>
    <row r="11" spans="1:14" ht="15" customHeight="1" x14ac:dyDescent="0.25">
      <c r="A11" s="175"/>
      <c r="B11" s="175"/>
      <c r="C11" s="175"/>
      <c r="D11" s="175"/>
      <c r="E11" s="175"/>
      <c r="F11" s="175"/>
      <c r="G11" s="175"/>
      <c r="H11" s="175"/>
      <c r="I11" s="175"/>
      <c r="J11" s="175"/>
    </row>
    <row r="12" spans="1:14" ht="30" x14ac:dyDescent="0.25">
      <c r="A12" s="176" t="str">
        <f>'Data Sheet'!A1</f>
        <v>COMPANY NAME</v>
      </c>
      <c r="B12" s="176" t="s">
        <v>412</v>
      </c>
      <c r="C12" s="177" t="s">
        <v>413</v>
      </c>
      <c r="D12" s="176" t="s">
        <v>229</v>
      </c>
      <c r="E12" s="176" t="s">
        <v>356</v>
      </c>
      <c r="F12" s="176" t="s">
        <v>414</v>
      </c>
      <c r="G12" s="176" t="s">
        <v>415</v>
      </c>
      <c r="H12" s="176" t="s">
        <v>416</v>
      </c>
      <c r="I12" s="176" t="s">
        <v>417</v>
      </c>
      <c r="J12" s="176" t="s">
        <v>286</v>
      </c>
      <c r="K12" s="176" t="s">
        <v>418</v>
      </c>
      <c r="L12" s="177" t="s">
        <v>419</v>
      </c>
    </row>
    <row r="13" spans="1:14" x14ac:dyDescent="0.25">
      <c r="A13" s="178" t="s">
        <v>420</v>
      </c>
      <c r="B13" s="179">
        <f>POWER(Other_input_data!L25/Other_input_data!B25,1/10)-1</f>
        <v>0.24691045712726689</v>
      </c>
      <c r="C13" s="180">
        <f>POWER(Other_input_data!L27/Other_input_data!B27,1/10)-1</f>
        <v>0.20166218899804078</v>
      </c>
      <c r="D13" s="180">
        <f>POWER(Other_input_data!L30/Other_input_data!B30,1/10)-1</f>
        <v>0.27708146007606627</v>
      </c>
      <c r="E13" s="181">
        <f>POWER(Other_input_data!L34/Other_input_data!B34,1/10)-1</f>
        <v>0.26452267703428767</v>
      </c>
      <c r="F13" s="180">
        <f>POWER(Other_input_data!L35/Other_input_data!B35,1/10)-1</f>
        <v>4.169777133861019E-2</v>
      </c>
      <c r="G13" s="228">
        <f>POWER(L63/B63,1/10)-1</f>
        <v>0.30724693572061645</v>
      </c>
      <c r="H13" s="228">
        <f>POWER(L65/B65,1/10)-1</f>
        <v>0.28724795773665179</v>
      </c>
      <c r="I13" s="229">
        <f>(Other_input_data!L61/Other_input_data!B61)^(1/10)-1</f>
        <v>0.2882653598121323</v>
      </c>
      <c r="J13" s="229">
        <f>(Other_input_data!L62/Other_input_data!C61)^(1/9)-1</f>
        <v>0.23229879855291102</v>
      </c>
      <c r="K13" s="229">
        <f>(Other_input_data!L41/Other_input_data!C41)^(1/10)-1</f>
        <v>0.23507537515558741</v>
      </c>
      <c r="L13" s="229">
        <f>(Other_input_data!L66/Other_input_data!C66)^(1/10)-1</f>
        <v>0.30922283646014614</v>
      </c>
    </row>
    <row r="14" spans="1:14" x14ac:dyDescent="0.25">
      <c r="A14" s="178" t="s">
        <v>421</v>
      </c>
      <c r="B14" s="179">
        <f>POWER(Other_input_data!L25/Other_input_data!G25,1/5)-1</f>
        <v>0.21624779626413049</v>
      </c>
      <c r="C14" s="180">
        <f>POWER(Other_input_data!L27/Other_input_data!G27,1/5)-1</f>
        <v>0.22501676793926162</v>
      </c>
      <c r="D14" s="180">
        <f>POWER(Other_input_data!L30/Other_input_data!G30,1/5)-1</f>
        <v>0.20834421820738513</v>
      </c>
      <c r="E14" s="181">
        <f>POWER(Other_input_data!L34/Other_input_data!G34,1/5)-1</f>
        <v>0.27389704174985008</v>
      </c>
      <c r="F14" s="180">
        <f>POWER(Other_input_data!L35/Other_input_data!G35,1/5)-1</f>
        <v>3.6632107757692101E-2</v>
      </c>
      <c r="G14" s="228">
        <f>POWER(L63/G63,1/5)-1</f>
        <v>-2.3203954246925491</v>
      </c>
      <c r="H14" s="228">
        <f>POWER(L65/G65,1/5)-1</f>
        <v>0.43772904149256719</v>
      </c>
      <c r="I14" s="229">
        <f>(Other_input_data!L61/Other_input_data!G61)^(1/5)-1</f>
        <v>0.20321416630160893</v>
      </c>
      <c r="J14" s="229">
        <f>(Other_input_data!L62/Other_input_data!G62)^(1/5)-1</f>
        <v>-1.9224337176588997</v>
      </c>
      <c r="K14" s="229">
        <f>(Other_input_data!L41/Other_input_data!G41)^(1/5)-1</f>
        <v>0.27947741296258144</v>
      </c>
      <c r="L14" s="229">
        <f>(Other_input_data!L66/Other_input_data!G66)^(1/5)-1</f>
        <v>0.43538367153205737</v>
      </c>
    </row>
    <row r="15" spans="1:14" x14ac:dyDescent="0.25">
      <c r="A15" s="178" t="s">
        <v>422</v>
      </c>
      <c r="B15" s="179">
        <f>POWER(Other_input_data!L25/Other_input_data!I25,1/3)-1</f>
        <v>0.16100872454799142</v>
      </c>
      <c r="C15" s="180">
        <f>POWER(Other_input_data!L27/Other_input_data!I27,1/3)-1</f>
        <v>0.16296362456849378</v>
      </c>
      <c r="D15" s="180">
        <f>POWER(Other_input_data!L30/Other_input_data!I30,1/3)-1</f>
        <v>0.1030545095605655</v>
      </c>
      <c r="E15" s="181">
        <f>POWER(Other_input_data!L34/Other_input_data!I34,1/3)-1</f>
        <v>0.24006224593317915</v>
      </c>
      <c r="F15" s="180">
        <f>POWER(Other_input_data!L35/Other_input_data!I35,1/3)-1</f>
        <v>0</v>
      </c>
      <c r="G15" s="228">
        <f>POWER(L63/I63,1/3)-1</f>
        <v>0.25132368122301041</v>
      </c>
      <c r="H15" s="228">
        <f>POWER(L65/I65,1/3)-1</f>
        <v>0.66389241955878897</v>
      </c>
      <c r="I15" s="229">
        <f>(Other_input_data!L61/Other_input_data!I61)^(1/3)-1</f>
        <v>0.1893915951738947</v>
      </c>
      <c r="J15" s="229">
        <f>(Other_input_data!L62/Other_input_data!I62)^(1/3)-1</f>
        <v>-0.14663672656248894</v>
      </c>
      <c r="K15" s="229">
        <f>(Other_input_data!L41/Other_input_data!I41)^(1/3)-1</f>
        <v>0.29332905470585224</v>
      </c>
      <c r="L15" s="229">
        <f>(Other_input_data!L66/Other_input_data!I66)^(1/3)-1</f>
        <v>0.65994299441411375</v>
      </c>
    </row>
    <row r="16" spans="1:14" x14ac:dyDescent="0.25">
      <c r="A16" s="178" t="s">
        <v>423</v>
      </c>
      <c r="B16" s="179">
        <f>POWER(Other_input_data!L25/Other_input_data!K25,1/1)-1</f>
        <v>0.15781086599272953</v>
      </c>
      <c r="C16" s="180">
        <f>POWER(Other_input_data!L27/Other_input_data!K27,1/1)-1</f>
        <v>0.14823285566236644</v>
      </c>
      <c r="D16" s="180">
        <f>POWER(Other_input_data!L30/Other_input_data!K30,1/1)-1</f>
        <v>-1.0902255639097413E-2</v>
      </c>
      <c r="E16" s="181">
        <f>POWER(Other_input_data!L34/Other_input_data!K34,1/1)-1</f>
        <v>4.8332902558801516E-2</v>
      </c>
      <c r="F16" s="180">
        <f>POWER(Other_input_data!L35/Other_input_data!K35,1/1)-1</f>
        <v>0</v>
      </c>
      <c r="G16" s="228">
        <f>POWER(L63/K63,1/1)-1</f>
        <v>-2.0666618816197579E-2</v>
      </c>
      <c r="H16" s="228">
        <f>POWER(L65/K65,1/1)-1</f>
        <v>0.18925568997334441</v>
      </c>
      <c r="I16" s="229">
        <f>(Other_input_data!L61/Other_input_data!K61)^(1/1)-1</f>
        <v>6.9958847736625529E-2</v>
      </c>
      <c r="J16" s="229">
        <f>(Other_input_data!L62/Other_input_data!K62)^(1/1)-1</f>
        <v>-0.46943159286186364</v>
      </c>
      <c r="K16" s="229">
        <f>(Other_input_data!L41/Other_input_data!K41)^(1/1)-1</f>
        <v>0.25736994219653186</v>
      </c>
      <c r="L16" s="229">
        <f>(Other_input_data!L66/Other_input_data!K66)^(1/1)-1</f>
        <v>0.18880935169702284</v>
      </c>
    </row>
    <row r="17" spans="1:13" x14ac:dyDescent="0.25">
      <c r="A17" s="155"/>
      <c r="B17" s="182"/>
    </row>
    <row r="18" spans="1:13" x14ac:dyDescent="0.25">
      <c r="A18" s="176" t="str">
        <f>'Data Sheet'!A1</f>
        <v>COMPANY NAME</v>
      </c>
      <c r="B18" s="183">
        <f>'Data Sheet'!B16</f>
        <v>38807</v>
      </c>
      <c r="C18" s="183">
        <f>'Data Sheet'!C16</f>
        <v>39172</v>
      </c>
      <c r="D18" s="183">
        <f>'Data Sheet'!D16</f>
        <v>39538</v>
      </c>
      <c r="E18" s="183">
        <f>'Data Sheet'!E16</f>
        <v>39903</v>
      </c>
      <c r="F18" s="183">
        <f>'Data Sheet'!F16</f>
        <v>40268</v>
      </c>
      <c r="G18" s="183">
        <f>'Data Sheet'!G16</f>
        <v>40633</v>
      </c>
      <c r="H18" s="183">
        <f>'Data Sheet'!H16</f>
        <v>40999</v>
      </c>
      <c r="I18" s="183">
        <f>'Data Sheet'!I16</f>
        <v>41364</v>
      </c>
      <c r="J18" s="183">
        <f>'Data Sheet'!J16</f>
        <v>41729</v>
      </c>
      <c r="K18" s="183">
        <f>'Data Sheet'!K16</f>
        <v>42094</v>
      </c>
      <c r="L18" s="183">
        <f>'Data Sheet'!L16</f>
        <v>42430</v>
      </c>
      <c r="M18" s="157" t="s">
        <v>424</v>
      </c>
    </row>
    <row r="19" spans="1:13" x14ac:dyDescent="0.25">
      <c r="A19" s="178" t="s">
        <v>102</v>
      </c>
      <c r="B19" s="208">
        <f>Other_input_data!B59/(Other_input_data!B39+Other_input_data!B40)</f>
        <v>2.8795031055900617</v>
      </c>
      <c r="C19" s="208">
        <f>Other_input_data!C59/(Other_input_data!C39+Other_input_data!C40)</f>
        <v>3.5818699572852397</v>
      </c>
      <c r="D19" s="208">
        <f>Other_input_data!D59/(Other_input_data!D39+Other_input_data!D40)</f>
        <v>3.5894012944983822</v>
      </c>
      <c r="E19" s="208">
        <f>Other_input_data!E59/(Other_input_data!E39+Other_input_data!E40)</f>
        <v>3.9980171844018511</v>
      </c>
      <c r="F19" s="208">
        <f>Other_input_data!F59/(Other_input_data!F39+Other_input_data!F40)</f>
        <v>4.3324223602484473</v>
      </c>
      <c r="G19" s="208">
        <f>Other_input_data!G59/(Other_input_data!G39+Other_input_data!G40)</f>
        <v>5.598226600985222</v>
      </c>
      <c r="H19" s="208">
        <f>Other_input_data!H59/(Other_input_data!H39+Other_input_data!H40)</f>
        <v>5.5660284732449679</v>
      </c>
      <c r="I19" s="208">
        <f>Other_input_data!I59/(Other_input_data!I39+Other_input_data!I40)</f>
        <v>4.3086772749875681</v>
      </c>
      <c r="J19" s="208">
        <f>Other_input_data!J59/(Other_input_data!J39+Other_input_data!J40)</f>
        <v>3.4519757433489828</v>
      </c>
      <c r="K19" s="208">
        <f>Other_input_data!K59/(Other_input_data!K39+Other_input_data!K40)</f>
        <v>2.8125722543352598</v>
      </c>
      <c r="L19" s="208">
        <f>Other_input_data!L59/(Other_input_data!L39+Other_input_data!L40)</f>
        <v>2.4596023445580966</v>
      </c>
      <c r="M19" s="243">
        <f>(L19/B19)^(1/10)-1</f>
        <v>-1.5638238620297118E-2</v>
      </c>
    </row>
    <row r="20" spans="1:13" x14ac:dyDescent="0.25">
      <c r="A20" s="178" t="s">
        <v>425</v>
      </c>
      <c r="B20" s="208">
        <f>Other_input_data!B44/Other_input_data!B34</f>
        <v>3.6984536082474242</v>
      </c>
      <c r="C20" s="208">
        <f>Other_input_data!C44/Other_input_data!C34</f>
        <v>4.9817073170731652</v>
      </c>
      <c r="D20" s="208">
        <f>Other_input_data!D44/Other_input_data!D34</f>
        <v>7.2038095238095252</v>
      </c>
      <c r="E20" s="208">
        <f>Other_input_data!E44/Other_input_data!E34</f>
        <v>9.8627450980392126</v>
      </c>
      <c r="F20" s="208">
        <f>Other_input_data!F44/Other_input_data!F34</f>
        <v>9.3419689119171139</v>
      </c>
      <c r="G20" s="208">
        <f>Other_input_data!G44/Other_input_data!G34</f>
        <v>15.901571546732843</v>
      </c>
      <c r="H20" s="208">
        <f>Other_input_data!H44/Other_input_data!H34</f>
        <v>19.063598326359816</v>
      </c>
      <c r="I20" s="208">
        <f>Other_input_data!I44/Other_input_data!I34</f>
        <v>9.8420310296191715</v>
      </c>
      <c r="J20" s="208">
        <f>Other_input_data!J44/Other_input_data!J34</f>
        <v>7.7415682967959505</v>
      </c>
      <c r="K20" s="208">
        <f>Other_input_data!K44/Other_input_data!K34</f>
        <v>4.2044455931765325</v>
      </c>
      <c r="L20" s="208">
        <f>Other_input_data!L44/Other_input_data!L34</f>
        <v>3.1065088757396442</v>
      </c>
      <c r="M20" s="243">
        <f t="shared" ref="M20:M33" si="0">(L20/B20)^(1/10)-1</f>
        <v>-1.7290301171330347E-2</v>
      </c>
    </row>
    <row r="21" spans="1:13" x14ac:dyDescent="0.25">
      <c r="A21" s="178" t="s">
        <v>426</v>
      </c>
      <c r="B21" s="208">
        <f>Other_input_data!B51/Other_input_data!B34</f>
        <v>-1.2500000000000004</v>
      </c>
      <c r="C21" s="208">
        <f>Other_input_data!C51/Other_input_data!C34</f>
        <v>0.57621951219512146</v>
      </c>
      <c r="D21" s="208">
        <f>Other_input_data!D51/Other_input_data!D34</f>
        <v>-8.9523809523810005E-2</v>
      </c>
      <c r="E21" s="208">
        <f>Other_input_data!E51/Other_input_data!E34</f>
        <v>2.2815126050420163</v>
      </c>
      <c r="F21" s="208">
        <f>Other_input_data!F51/Other_input_data!F34</f>
        <v>0.3592400690846293</v>
      </c>
      <c r="G21" s="208">
        <f>Other_input_data!G51/Other_input_data!G34</f>
        <v>1.3267162944582302</v>
      </c>
      <c r="H21" s="208">
        <f>Other_input_data!H51/Other_input_data!H34</f>
        <v>-0.27029288702928822</v>
      </c>
      <c r="I21" s="208">
        <f>Other_input_data!I51/Other_input_data!I34</f>
        <v>9.4029149036201118E-2</v>
      </c>
      <c r="J21" s="208">
        <f>Other_input_data!J51/Other_input_data!J34</f>
        <v>6.3237774030350524E-3</v>
      </c>
      <c r="K21" s="208">
        <f>Other_input_data!K51/Other_input_data!K34</f>
        <v>-6.4616179891444844E-3</v>
      </c>
      <c r="L21" s="208">
        <f>Other_input_data!L51/Other_input_data!L34</f>
        <v>-1.3015285996055226</v>
      </c>
      <c r="M21" s="243">
        <f t="shared" si="0"/>
        <v>4.047756952302306E-3</v>
      </c>
    </row>
    <row r="22" spans="1:13" x14ac:dyDescent="0.25">
      <c r="A22" s="178" t="s">
        <v>427</v>
      </c>
      <c r="B22" s="208">
        <f>Other_input_data!B58/Other_input_data!B34</f>
        <v>7.7989690721649518</v>
      </c>
      <c r="C22" s="208">
        <f>Other_input_data!C58/Other_input_data!C34</f>
        <v>8.2926829268292579</v>
      </c>
      <c r="D22" s="208">
        <f>Other_input_data!D58/Other_input_data!D34</f>
        <v>12.192380952380955</v>
      </c>
      <c r="E22" s="208">
        <f>Other_input_data!E58/Other_input_data!E34</f>
        <v>12.705882352941172</v>
      </c>
      <c r="F22" s="208">
        <f>Other_input_data!F58/Other_input_data!F34</f>
        <v>11.582901554404165</v>
      </c>
      <c r="G22" s="208">
        <f>Other_input_data!G58/Other_input_data!G34</f>
        <v>19.301902398676599</v>
      </c>
      <c r="H22" s="208">
        <f>Other_input_data!H58/Other_input_data!H34</f>
        <v>23.349790794979057</v>
      </c>
      <c r="I22" s="208">
        <f>Other_input_data!I58/Other_input_data!I34</f>
        <v>12.512929007992462</v>
      </c>
      <c r="J22" s="208">
        <f>Other_input_data!J58/Other_input_data!J34</f>
        <v>10.568718381112982</v>
      </c>
      <c r="K22" s="208">
        <f>Other_input_data!K58/Other_input_data!K34</f>
        <v>6.4838459550271414</v>
      </c>
      <c r="L22" s="208">
        <f>Other_input_data!L58/Other_input_data!L34</f>
        <v>6.2623274161735685</v>
      </c>
      <c r="M22" s="243">
        <f t="shared" si="0"/>
        <v>-2.1704947426867904E-2</v>
      </c>
    </row>
    <row r="23" spans="1:13" x14ac:dyDescent="0.25">
      <c r="A23" s="184" t="s">
        <v>428</v>
      </c>
      <c r="B23" s="208">
        <f>Other_input_data!B44/Other_input_data!B41</f>
        <v>0.89130434782608681</v>
      </c>
      <c r="C23" s="208">
        <f>Other_input_data!C44/Other_input_data!C41</f>
        <v>1.5510204081632653</v>
      </c>
      <c r="D23" s="208">
        <f>Other_input_data!D44/Other_input_data!D41</f>
        <v>1.5299352750809063</v>
      </c>
      <c r="E23" s="208">
        <f>Other_input_data!E44/Other_input_data!E41</f>
        <v>2.3271645736946467</v>
      </c>
      <c r="F23" s="208">
        <f>Other_input_data!F44/Other_input_data!F41</f>
        <v>2.6877018633540373</v>
      </c>
      <c r="G23" s="208">
        <f>Other_input_data!G44/Other_input_data!G41</f>
        <v>3.7881773399014778</v>
      </c>
      <c r="H23" s="208">
        <f>Other_input_data!H44/Other_input_data!H41</f>
        <v>3.7278677794141712</v>
      </c>
      <c r="I23" s="208">
        <f>Other_input_data!I44/Other_input_data!I41</f>
        <v>2.602436598707111</v>
      </c>
      <c r="J23" s="208">
        <f>Other_input_data!J44/Other_input_data!J41</f>
        <v>1.796068075117371</v>
      </c>
      <c r="K23" s="208">
        <f>Other_input_data!K44/Other_input_data!K41</f>
        <v>1.1753612716763004</v>
      </c>
      <c r="L23" s="208">
        <f>Other_input_data!L44/Other_input_data!L41</f>
        <v>0.72405470635559122</v>
      </c>
      <c r="M23" s="243">
        <f t="shared" si="0"/>
        <v>-2.0567444326570428E-2</v>
      </c>
    </row>
    <row r="24" spans="1:13" x14ac:dyDescent="0.25">
      <c r="A24" s="184" t="s">
        <v>429</v>
      </c>
      <c r="B24" s="208">
        <f>Other_input_data!B30/Other_input_data!B31</f>
        <v>7.1249999999999982</v>
      </c>
      <c r="C24" s="208">
        <f>Other_input_data!C30/Other_input_data!C31</f>
        <v>9.3333333333333393</v>
      </c>
      <c r="D24" s="208">
        <f>Other_input_data!D30/Other_input_data!D31</f>
        <v>3.6057692307692308</v>
      </c>
      <c r="E24" s="208">
        <f>Other_input_data!E30/Other_input_data!E31</f>
        <v>3.4898419864559829</v>
      </c>
      <c r="F24" s="208">
        <f>Other_input_data!F30/Other_input_data!F31</f>
        <v>4.557851239669418</v>
      </c>
      <c r="G24" s="208">
        <f>Other_input_data!G30/Other_input_data!G31</f>
        <v>2.7578757875787576</v>
      </c>
      <c r="H24" s="208">
        <f>Other_input_data!H30/Other_input_data!H31</f>
        <v>1.9794933655006037</v>
      </c>
      <c r="I24" s="208">
        <f>Other_input_data!I30/Other_input_data!I31</f>
        <v>2.1416605972323386</v>
      </c>
      <c r="J24" s="208">
        <f>Other_input_data!J30/Other_input_data!J31</f>
        <v>2.5588972431077694</v>
      </c>
      <c r="K24" s="208">
        <f>Other_input_data!K30/Other_input_data!K31</f>
        <v>3.9156035328753673</v>
      </c>
      <c r="L24" s="208">
        <f>Other_input_data!L30/Other_input_data!L31</f>
        <v>4.7405405405405414</v>
      </c>
      <c r="M24" s="243">
        <f t="shared" si="0"/>
        <v>-3.9926904128522622E-2</v>
      </c>
    </row>
    <row r="25" spans="1:13" s="158" customFormat="1" x14ac:dyDescent="0.25">
      <c r="A25" s="178" t="s">
        <v>175</v>
      </c>
      <c r="B25" s="209">
        <f>Other_input_data!B51/Other_input_data!B25</f>
        <v>-9.4763579523251262E-2</v>
      </c>
      <c r="C25" s="209">
        <f>Other_input_data!C51/Other_input_data!C25</f>
        <v>5.2109181141439219E-2</v>
      </c>
      <c r="D25" s="209">
        <f>Other_input_data!D51/Other_input_data!D25</f>
        <v>-5.36897418323055E-3</v>
      </c>
      <c r="E25" s="209">
        <f>Other_input_data!E51/Other_input_data!E25</f>
        <v>0.14760782892352303</v>
      </c>
      <c r="F25" s="209">
        <f>Other_input_data!F51/Other_input_data!F25</f>
        <v>3.1982778503882529E-2</v>
      </c>
      <c r="G25" s="209">
        <f>Other_input_data!G51/Other_input_data!G25</f>
        <v>9.1804029304029297E-2</v>
      </c>
      <c r="H25" s="209">
        <f>Other_input_data!H51/Other_input_data!H25</f>
        <v>-1.4525340648468754E-2</v>
      </c>
      <c r="I25" s="209">
        <f>Other_input_data!I51/Other_input_data!I25</f>
        <v>6.7310604785784005E-3</v>
      </c>
      <c r="J25" s="209">
        <f>Other_input_data!J51/Other_input_data!J25</f>
        <v>4.4902113392801134E-4</v>
      </c>
      <c r="K25" s="209">
        <f>Other_input_data!K51/Other_input_data!K25</f>
        <v>-6.2247896021114485E-4</v>
      </c>
      <c r="L25" s="209">
        <f>Other_input_data!L51/Other_input_data!L25</f>
        <v>-0.11352688172043011</v>
      </c>
      <c r="M25" s="243">
        <f t="shared" si="0"/>
        <v>1.8229617238674223E-2</v>
      </c>
    </row>
    <row r="26" spans="1:13" s="158" customFormat="1" x14ac:dyDescent="0.25">
      <c r="A26" s="178" t="s">
        <v>41</v>
      </c>
      <c r="B26" s="210">
        <f>IFERROR((Other_input_data!B7/Other_input_data!B25)*365,"NA")</f>
        <v>10.19831965611567</v>
      </c>
      <c r="C26" s="210">
        <f>IFERROR((Other_input_data!C7/Other_input_data!C25)*365,"NA")</f>
        <v>9.1577060931899634</v>
      </c>
      <c r="D26" s="210">
        <f>IFERROR((Other_input_data!D7/Other_input_data!D25)*365,"NA")</f>
        <v>13.550948137994057</v>
      </c>
      <c r="E26" s="210">
        <f>IFERROR((Other_input_data!E7/Other_input_data!E25)*365,"NA")</f>
        <v>10.848133381660022</v>
      </c>
      <c r="F26" s="210">
        <f>IFERROR((Other_input_data!F7/Other_input_data!F25)*365,"NA")</f>
        <v>12.122703159837013</v>
      </c>
      <c r="G26" s="210">
        <f>IFERROR((Other_input_data!G7/Other_input_data!G25)*365,"NA")</f>
        <v>13.829555860805863</v>
      </c>
      <c r="H26" s="210">
        <f>IFERROR((Other_input_data!H7/Other_input_data!H25)*365,"NA")</f>
        <v>5.2525070827899452</v>
      </c>
      <c r="I26" s="210">
        <f>IFERROR((Other_input_data!I7/Other_input_data!I25)*365,"NA")</f>
        <v>5.0979369299633159</v>
      </c>
      <c r="J26" s="210">
        <f>IFERROR((Other_input_data!J7/Other_input_data!J25)*365,"NA")</f>
        <v>7.9214811710471169</v>
      </c>
      <c r="K26" s="210">
        <f>IFERROR((Other_input_data!K7/Other_input_data!K25)*365,"NA")</f>
        <v>9.1790747472735408</v>
      </c>
      <c r="L26" s="210">
        <f>IFERROR((Other_input_data!L7/Other_input_data!L25)*365,"NA")</f>
        <v>7.0409677419354839</v>
      </c>
      <c r="M26" s="243">
        <f t="shared" si="0"/>
        <v>-3.6369863964288873E-2</v>
      </c>
    </row>
    <row r="27" spans="1:13" s="158" customFormat="1" x14ac:dyDescent="0.25">
      <c r="A27" s="178" t="s">
        <v>430</v>
      </c>
      <c r="B27" s="210">
        <f>IFERROR((Other_input_data!B6/Other_input_data!B25)*365,"NA")</f>
        <v>20.254005470887066</v>
      </c>
      <c r="C27" s="210">
        <f>IFERROR((Other_input_data!C6/Other_input_data!C25)*365,"NA")</f>
        <v>13.334022608216156</v>
      </c>
      <c r="D27" s="210">
        <f>IFERROR((Other_input_data!D6/Other_input_data!D25)*365,"NA")</f>
        <v>16.678090015992687</v>
      </c>
      <c r="E27" s="210">
        <f>IFERROR((Other_input_data!E6/Other_input_data!E25)*365,"NA")</f>
        <v>13.06406306632838</v>
      </c>
      <c r="F27" s="210">
        <f>IFERROR((Other_input_data!F6/Other_input_data!F25)*365,"NA")</f>
        <v>14.030906434996542</v>
      </c>
      <c r="G27" s="210">
        <f>IFERROR((Other_input_data!G6/Other_input_data!G25)*365,"NA")</f>
        <v>12.032967032967033</v>
      </c>
      <c r="H27" s="210">
        <f>IFERROR((Other_input_data!H6/Other_input_data!H25)*365,"NA")</f>
        <v>11.916625444079687</v>
      </c>
      <c r="I27" s="210">
        <f>IFERROR((Other_input_data!I6/Other_input_data!I25)*365,"NA")</f>
        <v>10.957493353077778</v>
      </c>
      <c r="J27" s="210">
        <f>IFERROR((Other_input_data!J6/Other_input_data!J25)*365,"NA")</f>
        <v>10.5765431359636</v>
      </c>
      <c r="K27" s="210">
        <f>IFERROR((Other_input_data!K6/Other_input_data!K25)*365,"NA")</f>
        <v>7.5613764254768192</v>
      </c>
      <c r="L27" s="210">
        <f>IFERROR((Other_input_data!L6/Other_input_data!L25)*365,"NA")</f>
        <v>6.7034408602150535</v>
      </c>
      <c r="M27" s="243">
        <f t="shared" si="0"/>
        <v>-0.10467917559981688</v>
      </c>
    </row>
    <row r="28" spans="1:13" s="158" customFormat="1" x14ac:dyDescent="0.25">
      <c r="A28" s="178" t="s">
        <v>431</v>
      </c>
      <c r="B28" s="208">
        <f t="shared" ref="B28:L28" si="1">365/B27</f>
        <v>18.02112676056338</v>
      </c>
      <c r="C28" s="208">
        <f t="shared" si="1"/>
        <v>27.37358490566038</v>
      </c>
      <c r="D28" s="208">
        <f t="shared" si="1"/>
        <v>21.885000000000002</v>
      </c>
      <c r="E28" s="208">
        <f t="shared" si="1"/>
        <v>27.939240506329114</v>
      </c>
      <c r="F28" s="208">
        <f t="shared" si="1"/>
        <v>26.013999999999996</v>
      </c>
      <c r="G28" s="208">
        <f t="shared" si="1"/>
        <v>30.333333333333332</v>
      </c>
      <c r="H28" s="208">
        <f t="shared" si="1"/>
        <v>30.62947658402204</v>
      </c>
      <c r="I28" s="208">
        <f t="shared" si="1"/>
        <v>33.310538116591928</v>
      </c>
      <c r="J28" s="208">
        <f t="shared" si="1"/>
        <v>34.510330578512395</v>
      </c>
      <c r="K28" s="208">
        <f t="shared" si="1"/>
        <v>48.271634615384613</v>
      </c>
      <c r="L28" s="208">
        <f t="shared" si="1"/>
        <v>54.449648711943794</v>
      </c>
      <c r="M28" s="243">
        <f t="shared" si="0"/>
        <v>0.11691806193600618</v>
      </c>
    </row>
    <row r="29" spans="1:13" s="158" customFormat="1" x14ac:dyDescent="0.25">
      <c r="A29" s="178" t="s">
        <v>432</v>
      </c>
      <c r="B29" s="208">
        <f>(Other_input_data!B7+Other_input_data!B8)/(Other_input_data!B10)</f>
        <v>0.15210559396605908</v>
      </c>
      <c r="C29" s="208">
        <f>(Other_input_data!C7+Other_input_data!C8)/(Other_input_data!C10)</f>
        <v>0.36003683241252304</v>
      </c>
      <c r="D29" s="208">
        <f>(Other_input_data!D7+Other_input_data!D8)/(Other_input_data!D10)</f>
        <v>0.2413134784268805</v>
      </c>
      <c r="E29" s="208">
        <f>(Other_input_data!E7+Other_input_data!E8)/(Other_input_data!E10)</f>
        <v>1.2123152709359606</v>
      </c>
      <c r="F29" s="208">
        <f>(Other_input_data!F7+Other_input_data!F8)/(Other_input_data!F10)</f>
        <v>0.66088631984585733</v>
      </c>
      <c r="G29" s="208">
        <f>(Other_input_data!G7+Other_input_data!G8)/(Other_input_data!G10)</f>
        <v>0.84991486256385307</v>
      </c>
      <c r="H29" s="208">
        <f>(Other_input_data!H7+Other_input_data!H8)/(Other_input_data!H10)</f>
        <v>0.54588051542366267</v>
      </c>
      <c r="I29" s="208">
        <f>(Other_input_data!I7+Other_input_data!I8)/(Other_input_data!I10)</f>
        <v>0.6180249955993663</v>
      </c>
      <c r="J29" s="208">
        <f>(Other_input_data!J7+Other_input_data!J8)/(Other_input_data!J10)</f>
        <v>0.62898896510587532</v>
      </c>
      <c r="K29" s="208">
        <f>(Other_input_data!K7+Other_input_data!K8)/(Other_input_data!K10)</f>
        <v>0.74396190044222699</v>
      </c>
      <c r="L29" s="208">
        <f>(Other_input_data!L7+Other_input_data!L8)/(Other_input_data!L10)</f>
        <v>0.46890624999999997</v>
      </c>
      <c r="M29" s="243">
        <f t="shared" si="0"/>
        <v>0.11916490630866905</v>
      </c>
    </row>
    <row r="30" spans="1:13" s="158" customFormat="1" x14ac:dyDescent="0.25">
      <c r="A30" s="178" t="s">
        <v>110</v>
      </c>
      <c r="B30" s="208">
        <f>Other_input_data!B9/Other_input_data!B10</f>
        <v>0.6951602765556254</v>
      </c>
      <c r="C30" s="208">
        <f>Other_input_data!C9/Other_input_data!C10</f>
        <v>1.1740331491712708</v>
      </c>
      <c r="D30" s="208">
        <f>Other_input_data!D9/Other_input_data!D10</f>
        <v>0.98205421916762115</v>
      </c>
      <c r="E30" s="208">
        <f>Other_input_data!E9/Other_input_data!E10</f>
        <v>1.8024630541871922</v>
      </c>
      <c r="F30" s="208">
        <f>Other_input_data!F9/Other_input_data!F10</f>
        <v>1.1603082851637765</v>
      </c>
      <c r="G30" s="208">
        <f>Other_input_data!G9/Other_input_data!G10</f>
        <v>1.3901727073704695</v>
      </c>
      <c r="H30" s="208">
        <f>Other_input_data!H9/Other_input_data!H10</f>
        <v>0.93693869582194467</v>
      </c>
      <c r="I30" s="208">
        <f>Other_input_data!I9/Other_input_data!I10</f>
        <v>1.0352050695300123</v>
      </c>
      <c r="J30" s="208">
        <f>Other_input_data!J9/Other_input_data!J10</f>
        <v>1.0022368028631075</v>
      </c>
      <c r="K30" s="208">
        <f>Other_input_data!K9/Other_input_data!K10</f>
        <v>0.99716521147522397</v>
      </c>
      <c r="L30" s="208">
        <f>Other_input_data!L9/Other_input_data!L10</f>
        <v>0.58757812499999995</v>
      </c>
      <c r="M30" s="243">
        <f t="shared" si="0"/>
        <v>-1.6672766624508562E-2</v>
      </c>
    </row>
    <row r="31" spans="1:13" s="158" customFormat="1" x14ac:dyDescent="0.25">
      <c r="A31" s="244" t="s">
        <v>525</v>
      </c>
      <c r="B31" s="208"/>
      <c r="C31" s="208">
        <f>Other_input_data!C23/Other_input_data!C62</f>
        <v>-1.3938906752411577</v>
      </c>
      <c r="D31" s="208">
        <f>Other_input_data!D23/Other_input_data!D62</f>
        <v>-10.343065693430651</v>
      </c>
      <c r="E31" s="208">
        <f>Other_input_data!E23/Other_input_data!E62</f>
        <v>-2.4141221374045805</v>
      </c>
      <c r="F31" s="208">
        <f>Other_input_data!F23/Other_input_data!F62</f>
        <v>-1.5892197883337433</v>
      </c>
      <c r="G31" s="208">
        <f>Other_input_data!G23/Other_input_data!G62</f>
        <v>-1.8577371048252913</v>
      </c>
      <c r="H31" s="208">
        <f>Other_input_data!H23/Other_input_data!H62</f>
        <v>-3.5549425287356349</v>
      </c>
      <c r="I31" s="208">
        <f>Other_input_data!I23/Other_input_data!I62</f>
        <v>0.1962454035223534</v>
      </c>
      <c r="J31" s="208">
        <f>Other_input_data!J23/Other_input_data!J62</f>
        <v>0.2668165636125171</v>
      </c>
      <c r="K31" s="208">
        <f>Other_input_data!K23/Other_input_data!K62</f>
        <v>0.60608063450099137</v>
      </c>
      <c r="L31" s="208">
        <f>Other_input_data!L23/Other_input_data!L62</f>
        <v>2.2388663967611322</v>
      </c>
      <c r="M31" s="243">
        <f>(L31/C31)^(1/9)-1</f>
        <v>-2.0540630931315009</v>
      </c>
    </row>
    <row r="32" spans="1:13" s="158" customFormat="1" x14ac:dyDescent="0.25">
      <c r="A32" s="244" t="s">
        <v>524</v>
      </c>
      <c r="B32" s="208"/>
      <c r="C32" s="208">
        <f>Other_input_data!C62/Other_input_data!C34</f>
        <v>-1.8963414634146314</v>
      </c>
      <c r="D32" s="208">
        <f>Other_input_data!D62/Other_input_data!D34</f>
        <v>-0.26095238095238121</v>
      </c>
      <c r="E32" s="208">
        <f>Other_input_data!E62/Other_input_data!E34</f>
        <v>-1.4677871148459374</v>
      </c>
      <c r="F32" s="208">
        <f>Other_input_data!F62/Other_input_data!F34</f>
        <v>-3.508635578583772</v>
      </c>
      <c r="G32" s="208">
        <f>Other_input_data!G62/Other_input_data!G34</f>
        <v>-3.9768403639371388</v>
      </c>
      <c r="H32" s="208">
        <f>Other_input_data!H62/Other_input_data!H34</f>
        <v>-1.820083682008365</v>
      </c>
      <c r="I32" s="208">
        <f>Other_input_data!I62/Other_input_data!I34</f>
        <v>2.4292430653502559</v>
      </c>
      <c r="J32" s="208">
        <f>Other_input_data!J62/Other_input_data!J34</f>
        <v>2.2499999999999982</v>
      </c>
      <c r="K32" s="208">
        <f>Other_input_data!K62/Other_input_data!K34</f>
        <v>1.5642284828120969</v>
      </c>
      <c r="L32" s="208">
        <f>Other_input_data!L62/Other_input_data!L34</f>
        <v>0.79166666666666685</v>
      </c>
      <c r="M32" s="243">
        <f>(L32/C32)^(1/9)-1</f>
        <v>-1.9075014197396511</v>
      </c>
    </row>
    <row r="33" spans="1:14" s="158" customFormat="1" x14ac:dyDescent="0.25">
      <c r="A33" s="185" t="s">
        <v>433</v>
      </c>
      <c r="B33" s="208">
        <f>Other_input_data!B61/Other_input_data!B34</f>
        <v>2.1288659793814442</v>
      </c>
      <c r="C33" s="208">
        <f>Other_input_data!C61/Other_input_data!C34</f>
        <v>0.74695121951219434</v>
      </c>
      <c r="D33" s="208">
        <f>Other_input_data!D61/Other_input_data!D34</f>
        <v>2.4380952380952388</v>
      </c>
      <c r="E33" s="208">
        <f>Other_input_data!E61/Other_input_data!E34</f>
        <v>2.0756302521008396</v>
      </c>
      <c r="F33" s="208">
        <f>Other_input_data!F61/Other_input_data!F34</f>
        <v>2.0673575129533717</v>
      </c>
      <c r="G33" s="208">
        <f>Other_input_data!G61/Other_input_data!G34</f>
        <v>3.4110835401157993</v>
      </c>
      <c r="H33" s="208">
        <f>Other_input_data!H61/Other_input_data!H34</f>
        <v>4.6502092050209169</v>
      </c>
      <c r="I33" s="208">
        <f>Other_input_data!I61/Other_input_data!I34</f>
        <v>2.9059708509637954</v>
      </c>
      <c r="J33" s="208">
        <f>Other_input_data!J61/Other_input_data!J34</f>
        <v>2.8503372681281611</v>
      </c>
      <c r="K33" s="208">
        <f>Other_input_data!K61/Other_input_data!K34</f>
        <v>2.5122770741793756</v>
      </c>
      <c r="L33" s="208">
        <f>Other_input_data!L61/Other_input_data!L34</f>
        <v>2.5641025641025634</v>
      </c>
      <c r="M33" s="243">
        <f t="shared" si="0"/>
        <v>1.8776003949196651E-2</v>
      </c>
    </row>
    <row r="34" spans="1:14" x14ac:dyDescent="0.25">
      <c r="A34" s="262"/>
      <c r="B34" s="262"/>
      <c r="C34" s="262"/>
      <c r="D34" s="262"/>
      <c r="E34" s="262"/>
      <c r="F34" s="262"/>
      <c r="G34" s="262"/>
      <c r="H34" s="262"/>
      <c r="I34" s="262"/>
      <c r="J34" s="262"/>
      <c r="K34" s="262"/>
      <c r="L34" s="157" t="s">
        <v>390</v>
      </c>
    </row>
    <row r="35" spans="1:14" x14ac:dyDescent="0.25">
      <c r="A35" s="186" t="s">
        <v>434</v>
      </c>
      <c r="B35" s="211">
        <f>Other_input_data!B27/Other_input_data!B25</f>
        <v>1</v>
      </c>
      <c r="C35" s="211">
        <f>Other_input_data!C27/Other_input_data!C25</f>
        <v>1</v>
      </c>
      <c r="D35" s="211">
        <f>Other_input_data!D27/Other_input_data!D25</f>
        <v>0.65215901302261825</v>
      </c>
      <c r="E35" s="211">
        <f>Other_input_data!E27/Other_input_data!E25</f>
        <v>0.6614715476621964</v>
      </c>
      <c r="F35" s="211">
        <f>Other_input_data!F27/Other_input_data!F25</f>
        <v>0.66917813485046507</v>
      </c>
      <c r="G35" s="211">
        <f>Other_input_data!G27/Other_input_data!G25</f>
        <v>0.66660943223443225</v>
      </c>
      <c r="H35" s="211">
        <f>Other_input_data!H27/Other_input_data!H25</f>
        <v>0.66573728470567084</v>
      </c>
      <c r="I35" s="211">
        <f>Other_input_data!I27/Other_input_data!I25</f>
        <v>0.68751051728199775</v>
      </c>
      <c r="J35" s="211">
        <f>Other_input_data!J27/Other_input_data!J25</f>
        <v>0.68185355924085489</v>
      </c>
      <c r="K35" s="211">
        <f>Other_input_data!K27/Other_input_data!K25</f>
        <v>0.69675314974353864</v>
      </c>
      <c r="L35" s="211">
        <f>Other_input_data!L27/Other_input_data!L25</f>
        <v>0.69098924731182798</v>
      </c>
      <c r="M35" s="187"/>
      <c r="N35" s="187"/>
    </row>
    <row r="36" spans="1:14" x14ac:dyDescent="0.25">
      <c r="A36" s="178" t="s">
        <v>435</v>
      </c>
      <c r="B36" s="212">
        <f>Other_input_data!B28/Other_input_data!B25</f>
        <v>0.19363032434544741</v>
      </c>
      <c r="C36" s="212">
        <f>Other_input_data!C28/Other_input_data!C25</f>
        <v>0.20678246484698107</v>
      </c>
      <c r="D36" s="212">
        <f>Other_input_data!D28/Other_input_data!D25</f>
        <v>0.17249257482293806</v>
      </c>
      <c r="E36" s="212">
        <f>Other_input_data!E28/Other_input_data!E25</f>
        <v>0.17560710402319685</v>
      </c>
      <c r="F36" s="212">
        <f>Other_input_data!F28/Other_input_data!F25</f>
        <v>0.20565849158145602</v>
      </c>
      <c r="G36" s="212">
        <f>Other_input_data!G28/Other_input_data!G25</f>
        <v>0.21331272893772893</v>
      </c>
      <c r="H36" s="212">
        <f>Other_input_data!H28/Other_input_data!H25</f>
        <v>0.20214057651661649</v>
      </c>
      <c r="I36" s="212">
        <f>Other_input_data!I28/Other_input_data!I25</f>
        <v>0.24676067714468422</v>
      </c>
      <c r="J36" s="212">
        <f>Other_input_data!J28/Other_input_data!J25</f>
        <v>0.23217386098305695</v>
      </c>
      <c r="K36" s="212">
        <f>Other_input_data!K28/Other_input_data!K25</f>
        <v>0.2514814999253025</v>
      </c>
      <c r="L36" s="212">
        <f>Other_input_data!L28/Other_input_data!L25</f>
        <v>0.21361290322580645</v>
      </c>
      <c r="M36" s="187"/>
      <c r="N36" s="187"/>
    </row>
    <row r="37" spans="1:14" x14ac:dyDescent="0.25">
      <c r="A37" s="178" t="s">
        <v>436</v>
      </c>
      <c r="B37" s="212">
        <f>Other_input_data!B34/Other_input_data!B25</f>
        <v>7.5810863618600982E-2</v>
      </c>
      <c r="C37" s="212">
        <f>Other_input_data!C34/Other_input_data!C25</f>
        <v>9.0432864626413104E-2</v>
      </c>
      <c r="D37" s="212">
        <f>Other_input_data!D34/Other_input_data!D25</f>
        <v>5.9972583961617532E-2</v>
      </c>
      <c r="E37" s="212">
        <f>Other_input_data!E34/Other_input_data!E25</f>
        <v>6.4697354113809377E-2</v>
      </c>
      <c r="F37" s="212">
        <f>Other_input_data!F34/Other_input_data!F25</f>
        <v>8.9028984393018998E-2</v>
      </c>
      <c r="G37" s="212">
        <f>Other_input_data!G34/Other_input_data!G25</f>
        <v>6.9196428571428548E-2</v>
      </c>
      <c r="H37" s="212">
        <f>Other_input_data!H34/Other_input_data!H25</f>
        <v>5.3739263389845797E-2</v>
      </c>
      <c r="I37" s="212">
        <f>Other_input_data!I34/Other_input_data!I25</f>
        <v>7.1584828189681371E-2</v>
      </c>
      <c r="J37" s="212">
        <f>Other_input_data!J34/Other_input_data!J25</f>
        <v>7.1005208645153584E-2</v>
      </c>
      <c r="K37" s="212">
        <f>Other_input_data!K34/Other_input_data!K25</f>
        <v>9.6334843882276741E-2</v>
      </c>
      <c r="L37" s="212">
        <f>Other_input_data!L34/Other_input_data!L25</f>
        <v>8.7225806451612917E-2</v>
      </c>
      <c r="M37" s="187"/>
      <c r="N37" s="187"/>
    </row>
    <row r="38" spans="1:14" x14ac:dyDescent="0.25">
      <c r="A38" s="178" t="s">
        <v>437</v>
      </c>
      <c r="B38" s="212">
        <f>Other_input_data!B62/Other_input_data!B25</f>
        <v>0</v>
      </c>
      <c r="C38" s="212">
        <f>Other_input_data!C62/Other_input_data!C25</f>
        <v>-0.17149159084642948</v>
      </c>
      <c r="D38" s="212">
        <f>Other_input_data!D62/Other_input_data!D25</f>
        <v>-1.5649988576650686E-2</v>
      </c>
      <c r="E38" s="212">
        <f>Other_input_data!E62/Other_input_data!E25</f>
        <v>-9.4961942732874199E-2</v>
      </c>
      <c r="F38" s="212">
        <f>Other_input_data!F62/Other_input_data!F25</f>
        <v>-0.3123702621665258</v>
      </c>
      <c r="G38" s="212">
        <f>Other_input_data!G62/Other_input_data!G25</f>
        <v>-0.27518315018315015</v>
      </c>
      <c r="H38" s="212">
        <f>Other_input_data!H62/Other_input_data!H25</f>
        <v>-9.7809956379007856E-2</v>
      </c>
      <c r="I38" s="212">
        <f>Other_input_data!I62/Other_input_data!I25</f>
        <v>0.17389694746407297</v>
      </c>
      <c r="J38" s="212">
        <f>Other_input_data!J62/Other_input_data!J25</f>
        <v>0.15976171945159542</v>
      </c>
      <c r="K38" s="212">
        <f>Other_input_data!K62/Other_input_data!K25</f>
        <v>0.15068970668791395</v>
      </c>
      <c r="L38" s="212">
        <f>Other_input_data!L62/Other_input_data!L25</f>
        <v>6.9053763440860241E-2</v>
      </c>
      <c r="M38" s="187"/>
      <c r="N38" s="187"/>
    </row>
    <row r="39" spans="1:14" x14ac:dyDescent="0.25">
      <c r="A39" s="262"/>
      <c r="B39" s="262"/>
      <c r="C39" s="262"/>
      <c r="D39" s="262"/>
      <c r="E39" s="262"/>
      <c r="F39" s="262"/>
      <c r="G39" s="262"/>
      <c r="H39" s="262"/>
      <c r="I39" s="262"/>
      <c r="J39" s="262"/>
      <c r="K39" s="262"/>
    </row>
    <row r="40" spans="1:14" x14ac:dyDescent="0.25">
      <c r="A40" s="178" t="s">
        <v>438</v>
      </c>
      <c r="B40" s="208">
        <f>Other_input_data!B25/Other_input_data!B56</f>
        <v>1.6807881773399014</v>
      </c>
      <c r="C40" s="208">
        <f>Other_input_data!C25/Other_input_data!C56</f>
        <v>1.3495813953488374</v>
      </c>
      <c r="D40" s="208">
        <f>Other_input_data!D25/Other_input_data!D56</f>
        <v>1.3997441637352095</v>
      </c>
      <c r="E40" s="208">
        <f>Other_input_data!E25/Other_input_data!E56</f>
        <v>1.0961462058005562</v>
      </c>
      <c r="F40" s="208">
        <f>Other_input_data!F25/Other_input_data!F56</f>
        <v>0.87630532911136549</v>
      </c>
      <c r="G40" s="208">
        <f>Other_input_data!G25/Other_input_data!G56</f>
        <v>0.71901234567901229</v>
      </c>
      <c r="H40" s="208">
        <f>Other_input_data!H25/Other_input_data!H56</f>
        <v>0.76965942129309151</v>
      </c>
      <c r="I40" s="208">
        <f>Other_input_data!I25/Other_input_data!I56</f>
        <v>1.0253640692939472</v>
      </c>
      <c r="J40" s="208">
        <f>Other_input_data!J25/Other_input_data!J56</f>
        <v>1.1685731276454332</v>
      </c>
      <c r="K40" s="208">
        <f>Other_input_data!K25/Other_input_data!K56</f>
        <v>1.3339754874281728</v>
      </c>
      <c r="L40" s="208">
        <f>Other_input_data!L25/Other_input_data!L56</f>
        <v>1.5498966735550965</v>
      </c>
    </row>
    <row r="41" spans="1:14" s="158" customFormat="1" x14ac:dyDescent="0.25">
      <c r="A41" s="178" t="s">
        <v>439</v>
      </c>
      <c r="B41" s="208">
        <f>Other_input_data!B25/Other_input_data!B49</f>
        <v>1.4749279538904898</v>
      </c>
      <c r="C41" s="208">
        <f>Other_input_data!C25/Other_input_data!C49</f>
        <v>1.5493378897906878</v>
      </c>
      <c r="D41" s="208">
        <f>Other_input_data!D25/Other_input_data!D49</f>
        <v>1.6532577903682719</v>
      </c>
      <c r="E41" s="208">
        <f>Other_input_data!E25/Other_input_data!E49</f>
        <v>1.8184214862415555</v>
      </c>
      <c r="F41" s="208">
        <f>Other_input_data!F25/Other_input_data!F49</f>
        <v>1.3211782630777043</v>
      </c>
      <c r="G41" s="208">
        <f>Other_input_data!G25/Other_input_data!G49</f>
        <v>0.94310698477814969</v>
      </c>
      <c r="H41" s="208">
        <f>Other_input_data!H25/Other_input_data!H49</f>
        <v>0.77104715672676849</v>
      </c>
      <c r="I41" s="208">
        <f>Other_input_data!I25/Other_input_data!I49</f>
        <v>1.0632290846632793</v>
      </c>
      <c r="J41" s="208">
        <f>Other_input_data!J25/Other_input_data!J49</f>
        <v>1.2052096110830508</v>
      </c>
      <c r="K41" s="208">
        <f>Other_input_data!K25/Other_input_data!K49</f>
        <v>1.4296087993450326</v>
      </c>
      <c r="L41" s="208">
        <f>Other_input_data!L25/Other_input_data!L49</f>
        <v>1.3716814159292035</v>
      </c>
    </row>
    <row r="42" spans="1:14" x14ac:dyDescent="0.25">
      <c r="A42" s="178" t="s">
        <v>440</v>
      </c>
      <c r="B42" s="208">
        <f>Other_input_data!B25/Other_input_data!B59</f>
        <v>1.1039689387402933</v>
      </c>
      <c r="C42" s="208">
        <f>Other_input_data!C25/Other_input_data!C59</f>
        <v>0.96117662647409574</v>
      </c>
      <c r="D42" s="208">
        <f>Other_input_data!D25/Other_input_data!D59</f>
        <v>0.98658852699199817</v>
      </c>
      <c r="E42" s="208">
        <f>Other_input_data!E25/Other_input_data!E59</f>
        <v>0.91221689535460404</v>
      </c>
      <c r="F42" s="208">
        <f>Other_input_data!F25/Other_input_data!F59</f>
        <v>0.74589975914669115</v>
      </c>
      <c r="G42" s="208">
        <f>Other_input_data!G25/Other_input_data!G59</f>
        <v>0.61497307380944</v>
      </c>
      <c r="H42" s="208">
        <f>Other_input_data!H25/Other_input_data!H59</f>
        <v>0.65376021638149007</v>
      </c>
      <c r="I42" s="208">
        <f>Other_input_data!I25/Other_input_data!I59</f>
        <v>0.85729536339767454</v>
      </c>
      <c r="J42" s="208">
        <f>Other_input_data!J25/Other_input_data!J59</f>
        <v>0.94653330688805148</v>
      </c>
      <c r="K42" s="208">
        <f>Other_input_data!K25/Other_input_data!K59</f>
        <v>1.0317525561321481</v>
      </c>
      <c r="L42" s="208">
        <f>Other_input_data!L25/Other_input_data!L59</f>
        <v>1.0863978318770151</v>
      </c>
    </row>
    <row r="43" spans="1:14" x14ac:dyDescent="0.25">
      <c r="A43" s="178" t="s">
        <v>441</v>
      </c>
      <c r="B43" s="212">
        <f>B37*B42</f>
        <v>8.3692838654012044E-2</v>
      </c>
      <c r="C43" s="212">
        <f t="shared" ref="C43:L43" si="2">C37*C42</f>
        <v>8.6921955744004339E-2</v>
      </c>
      <c r="D43" s="212">
        <f t="shared" si="2"/>
        <v>5.9168263270596176E-2</v>
      </c>
      <c r="E43" s="212">
        <f t="shared" si="2"/>
        <v>5.9018019507356613E-2</v>
      </c>
      <c r="F43" s="212">
        <f t="shared" si="2"/>
        <v>6.6406698015827395E-2</v>
      </c>
      <c r="G43" s="212">
        <f t="shared" si="2"/>
        <v>4.2553940375206774E-2</v>
      </c>
      <c r="H43" s="212">
        <f t="shared" si="2"/>
        <v>3.5132592461927473E-2</v>
      </c>
      <c r="I43" s="212">
        <f t="shared" si="2"/>
        <v>6.136934129663299E-2</v>
      </c>
      <c r="J43" s="212">
        <f t="shared" si="2"/>
        <v>6.7208794945173289E-2</v>
      </c>
      <c r="K43" s="212">
        <f t="shared" si="2"/>
        <v>9.9393721420130463E-2</v>
      </c>
      <c r="L43" s="212">
        <f t="shared" si="2"/>
        <v>9.4761927012756431E-2</v>
      </c>
    </row>
    <row r="44" spans="1:14" x14ac:dyDescent="0.25">
      <c r="A44" s="178" t="s">
        <v>442</v>
      </c>
      <c r="B44" s="212">
        <f>B37*B42*B19</f>
        <v>0.24099378881987565</v>
      </c>
      <c r="C44" s="212">
        <f t="shared" ref="C44:L44" si="3">C37*C42*C19</f>
        <v>0.31134314190792634</v>
      </c>
      <c r="D44" s="212">
        <f t="shared" si="3"/>
        <v>0.21237864077669899</v>
      </c>
      <c r="E44" s="212">
        <f t="shared" si="3"/>
        <v>0.23595505617977541</v>
      </c>
      <c r="F44" s="212">
        <f t="shared" si="3"/>
        <v>0.2877018633540368</v>
      </c>
      <c r="G44" s="212">
        <f t="shared" si="3"/>
        <v>0.23822660098522161</v>
      </c>
      <c r="H44" s="212">
        <f t="shared" si="3"/>
        <v>0.19554900998199984</v>
      </c>
      <c r="I44" s="212">
        <f t="shared" si="3"/>
        <v>0.26442068622575865</v>
      </c>
      <c r="J44" s="212">
        <f t="shared" si="3"/>
        <v>0.23200312989045394</v>
      </c>
      <c r="K44" s="212">
        <f t="shared" si="3"/>
        <v>0.27955202312138716</v>
      </c>
      <c r="L44" s="212">
        <f t="shared" si="3"/>
        <v>0.23307665785541895</v>
      </c>
    </row>
    <row r="45" spans="1:14" x14ac:dyDescent="0.25">
      <c r="A45" s="178" t="s">
        <v>443</v>
      </c>
      <c r="B45" s="212">
        <f>Other_input_data!B30/Other_input_data!B57</f>
        <v>0.22463054187192114</v>
      </c>
      <c r="C45" s="212">
        <f>Other_input_data!C30/Other_input_data!C57</f>
        <v>0.21358139534883736</v>
      </c>
      <c r="D45" s="212">
        <f>Other_input_data!D30/Other_input_data!D57</f>
        <v>0.17988487368084424</v>
      </c>
      <c r="E45" s="212">
        <f>Other_input_data!E30/Other_input_data!E57</f>
        <v>0.1535558204211363</v>
      </c>
      <c r="F45" s="212">
        <f>Other_input_data!F30/Other_input_data!F57</f>
        <v>0.14862224617664879</v>
      </c>
      <c r="G45" s="212">
        <f>Other_input_data!G30/Other_input_data!G57</f>
        <v>0.12609053497942385</v>
      </c>
      <c r="H45" s="212">
        <f>Other_input_data!H30/Other_input_data!H57</f>
        <v>0.1135954589505746</v>
      </c>
      <c r="I45" s="212">
        <f>Other_input_data!I30/Other_input_data!I57</f>
        <v>0.20294706328939205</v>
      </c>
      <c r="J45" s="212">
        <f>Other_input_data!J30/Other_input_data!J57</f>
        <v>0.21429321020044079</v>
      </c>
      <c r="K45" s="212">
        <f>Other_input_data!K30/Other_input_data!K57</f>
        <v>0.26505463845617294</v>
      </c>
      <c r="L45" s="212">
        <f>Other_input_data!L30/Other_input_data!L57</f>
        <v>0.26308246116925543</v>
      </c>
    </row>
    <row r="46" spans="1:14" x14ac:dyDescent="0.25">
      <c r="A46" s="178" t="s">
        <v>444</v>
      </c>
      <c r="B46" s="212">
        <f t="shared" ref="B46:L46" si="4">B61*(1-B54)</f>
        <v>0.14822559565698193</v>
      </c>
      <c r="C46" s="212">
        <f t="shared" si="4"/>
        <v>0.13669209302325597</v>
      </c>
      <c r="D46" s="212">
        <f t="shared" si="4"/>
        <v>0.11616181879759314</v>
      </c>
      <c r="E46" s="212">
        <f t="shared" si="4"/>
        <v>9.9400594542784521E-2</v>
      </c>
      <c r="F46" s="212">
        <f t="shared" si="4"/>
        <v>9.9944576697188842E-2</v>
      </c>
      <c r="G46" s="212">
        <f t="shared" si="4"/>
        <v>7.805604546345285E-2</v>
      </c>
      <c r="H46" s="212">
        <f t="shared" si="4"/>
        <v>8.3587791530749161E-2</v>
      </c>
      <c r="I46" s="212">
        <f t="shared" si="4"/>
        <v>0.13769327069108039</v>
      </c>
      <c r="J46" s="212">
        <f t="shared" si="4"/>
        <v>0.13620136511131981</v>
      </c>
      <c r="K46" s="212">
        <f t="shared" si="4"/>
        <v>0.17258438172112639</v>
      </c>
      <c r="L46" s="212">
        <f t="shared" si="4"/>
        <v>0.17133308646475595</v>
      </c>
    </row>
    <row r="47" spans="1:14" x14ac:dyDescent="0.25">
      <c r="A47" s="178" t="s">
        <v>445</v>
      </c>
      <c r="B47" s="212"/>
      <c r="C47" s="212">
        <f>(Other_input_data!C64-Other_input_data!B64)/(Other_input_data!C56-Other_input_data!B56)</f>
        <v>0.12161933958132655</v>
      </c>
      <c r="D47" s="212">
        <f>(Other_input_data!D64-Other_input_data!C64)/(Other_input_data!D56-Other_input_data!C56)</f>
        <v>-9.3788227984679205E-3</v>
      </c>
      <c r="E47" s="212">
        <f>(Other_input_data!E64-Other_input_data!D64)/(Other_input_data!E56-Other_input_data!D56)</f>
        <v>7.1916405636236747E-2</v>
      </c>
      <c r="F47" s="212">
        <f>(Other_input_data!F64-Other_input_data!E64)/(Other_input_data!F56-Other_input_data!E56)</f>
        <v>0.10109155310149102</v>
      </c>
      <c r="G47" s="212">
        <f>(Other_input_data!G64-Other_input_data!F64)/(Other_input_data!G56-Other_input_data!F56)</f>
        <v>4.3701443676168981E-2</v>
      </c>
      <c r="H47" s="212">
        <f>(Other_input_data!H64-Other_input_data!G64)/(Other_input_data!H56-Other_input_data!G56)</f>
        <v>0.11286075090254807</v>
      </c>
      <c r="I47" s="212">
        <f>(Other_input_data!I64-Other_input_data!H64)/(Other_input_data!I56-Other_input_data!H56)</f>
        <v>18.314617734648856</v>
      </c>
      <c r="J47" s="212">
        <f>(Other_input_data!J64-Other_input_data!I64)/(Other_input_data!J56-Other_input_data!I56)</f>
        <v>0.2467702650865197</v>
      </c>
      <c r="K47" s="212">
        <f>(Other_input_data!K64-Other_input_data!J64)/(Other_input_data!K56-Other_input_data!J56)</f>
        <v>0.8568483921320087</v>
      </c>
      <c r="L47" s="212">
        <f>(Other_input_data!L64-Other_input_data!K64)/(Other_input_data!L56-Other_input_data!K56)</f>
        <v>0.53012114630802776</v>
      </c>
    </row>
    <row r="48" spans="1:14" ht="15" customHeight="1" x14ac:dyDescent="0.25">
      <c r="A48" s="178" t="s">
        <v>446</v>
      </c>
      <c r="B48" s="254"/>
      <c r="C48" s="255"/>
      <c r="D48" s="256"/>
      <c r="E48" s="212">
        <f>(Other_input_data!E64-Other_input_data!B64)/(Other_input_data!E56-Other_input_data!B56)</f>
        <v>7.8231275392459707E-2</v>
      </c>
      <c r="F48" s="212">
        <f>(Other_input_data!F64-Other_input_data!C64)/(Other_input_data!F56-Other_input_data!C56)</f>
        <v>7.90829480266554E-2</v>
      </c>
      <c r="G48" s="212">
        <f>(Other_input_data!G64-Other_input_data!D64)/(Other_input_data!G56-Other_input_data!D56)</f>
        <v>6.4850154604995935E-2</v>
      </c>
      <c r="H48" s="212">
        <f>(Other_input_data!H64-Other_input_data!E64)/(Other_input_data!H56-Other_input_data!E56)</f>
        <v>7.5130327616322282E-2</v>
      </c>
      <c r="I48" s="212">
        <f>(Other_input_data!I64-Other_input_data!F64)/(Other_input_data!I56-Other_input_data!F56)</f>
        <v>0.17733273761370741</v>
      </c>
      <c r="J48" s="212">
        <f>(Other_input_data!J64-Other_input_data!G64)/(Other_input_data!J56-Other_input_data!G56)</f>
        <v>0.4657864519886622</v>
      </c>
      <c r="K48" s="212">
        <f>(Other_input_data!K64-Other_input_data!H64)/(Other_input_data!K56-Other_input_data!H56)</f>
        <v>2.2888720226926349</v>
      </c>
      <c r="L48" s="212">
        <f>(Other_input_data!L64-Other_input_data!I64)/(Other_input_data!L56-Other_input_data!I56)</f>
        <v>1.1233004512006632</v>
      </c>
    </row>
    <row r="49" spans="1:13" ht="15" customHeight="1" x14ac:dyDescent="0.25">
      <c r="A49" s="178" t="s">
        <v>447</v>
      </c>
      <c r="B49" s="254"/>
      <c r="C49" s="255"/>
      <c r="D49" s="255"/>
      <c r="E49" s="255"/>
      <c r="F49" s="256"/>
      <c r="G49" s="212">
        <f>(Other_input_data!G64-Other_input_data!B64)/(Other_input_data!G56-Other_input_data!B56)</f>
        <v>6.8003526981246495E-2</v>
      </c>
      <c r="H49" s="212">
        <f>(Other_input_data!H64-Other_input_data!C64)/(Other_input_data!H56-Other_input_data!C56)</f>
        <v>7.1450375171425107E-2</v>
      </c>
      <c r="I49" s="212">
        <f>(Other_input_data!I64-Other_input_data!D64)/(Other_input_data!I56-Other_input_data!D56)</f>
        <v>0.14361906281138798</v>
      </c>
      <c r="J49" s="212">
        <f>(Other_input_data!J64-Other_input_data!E64)/(Other_input_data!J56-Other_input_data!E56)</f>
        <v>0.15620839346511933</v>
      </c>
      <c r="K49" s="212">
        <f>(Other_input_data!K64-Other_input_data!F64)/(Other_input_data!K56-Other_input_data!F56)</f>
        <v>0.24322069107452685</v>
      </c>
      <c r="L49" s="212">
        <f>(Other_input_data!L64-Other_input_data!G64)/(Other_input_data!L56-Other_input_data!G56)</f>
        <v>0.56884836116339954</v>
      </c>
    </row>
    <row r="50" spans="1:13" ht="15" customHeight="1" x14ac:dyDescent="0.25">
      <c r="A50" s="178" t="s">
        <v>448</v>
      </c>
      <c r="B50" s="254"/>
      <c r="C50" s="255"/>
      <c r="D50" s="255"/>
      <c r="E50" s="255"/>
      <c r="F50" s="255"/>
      <c r="G50" s="255"/>
      <c r="H50" s="255"/>
      <c r="I50" s="255"/>
      <c r="J50" s="255"/>
      <c r="K50" s="256"/>
      <c r="L50" s="227">
        <f>(Other_input_data!L64-Other_input_data!B64)/(Other_input_data!L56-Other_input_data!B56)</f>
        <v>0.17394325486293349</v>
      </c>
    </row>
    <row r="51" spans="1:13" ht="15" customHeight="1" x14ac:dyDescent="0.25">
      <c r="A51" s="178"/>
      <c r="B51" s="179"/>
      <c r="C51" s="204"/>
      <c r="D51" s="188"/>
      <c r="E51" s="188"/>
      <c r="F51" s="188"/>
      <c r="G51" s="188"/>
      <c r="H51" s="188"/>
      <c r="I51" s="188"/>
      <c r="J51" s="188"/>
      <c r="K51" s="189"/>
    </row>
    <row r="52" spans="1:13" x14ac:dyDescent="0.25">
      <c r="A52" s="205"/>
      <c r="B52" s="206">
        <f>B18</f>
        <v>38807</v>
      </c>
      <c r="C52" s="206">
        <f t="shared" ref="C52:L52" si="5">C18</f>
        <v>39172</v>
      </c>
      <c r="D52" s="206">
        <f t="shared" si="5"/>
        <v>39538</v>
      </c>
      <c r="E52" s="206">
        <f t="shared" si="5"/>
        <v>39903</v>
      </c>
      <c r="F52" s="206">
        <f t="shared" si="5"/>
        <v>40268</v>
      </c>
      <c r="G52" s="206">
        <f t="shared" si="5"/>
        <v>40633</v>
      </c>
      <c r="H52" s="206">
        <f t="shared" si="5"/>
        <v>40999</v>
      </c>
      <c r="I52" s="206">
        <f t="shared" si="5"/>
        <v>41364</v>
      </c>
      <c r="J52" s="206">
        <f t="shared" si="5"/>
        <v>41729</v>
      </c>
      <c r="K52" s="206">
        <f t="shared" si="5"/>
        <v>42094</v>
      </c>
      <c r="L52" s="206">
        <f t="shared" si="5"/>
        <v>42430</v>
      </c>
    </row>
    <row r="53" spans="1:13" x14ac:dyDescent="0.25">
      <c r="A53" s="190" t="s">
        <v>380</v>
      </c>
      <c r="B53" s="214">
        <f>Other_input_data!B83</f>
        <v>8.6393387365297727</v>
      </c>
      <c r="C53" s="214">
        <f>Other_input_data!C83</f>
        <v>4.8739201378860431</v>
      </c>
      <c r="D53" s="214">
        <f>Other_input_data!D83</f>
        <v>3.9952174553656832</v>
      </c>
      <c r="E53" s="214">
        <f>Other_input_data!E83</f>
        <v>4.0744059707292752</v>
      </c>
      <c r="F53" s="214">
        <f>Other_input_data!F83</f>
        <v>5.1507368076593956</v>
      </c>
      <c r="G53" s="214">
        <f>Other_input_data!G83</f>
        <v>2.9608764999793284</v>
      </c>
      <c r="H53" s="214">
        <f>Other_input_data!H83</f>
        <v>2.3756997754700686</v>
      </c>
      <c r="I53" s="214">
        <f>Other_input_data!I83</f>
        <v>3.6893155135305378</v>
      </c>
      <c r="J53" s="214">
        <f>Other_input_data!J83</f>
        <v>3.7846022404947437</v>
      </c>
      <c r="K53" s="214">
        <f>Other_input_data!K83</f>
        <v>10.82364854885995</v>
      </c>
      <c r="L53" s="214">
        <f>Other_input_data!L83</f>
        <v>25.840899274402467</v>
      </c>
    </row>
    <row r="54" spans="1:13" x14ac:dyDescent="0.25">
      <c r="A54" s="191" t="s">
        <v>369</v>
      </c>
      <c r="B54" s="215">
        <f>Other_input_data!B33/Other_input_data!B32</f>
        <v>0.34013605442176881</v>
      </c>
      <c r="C54" s="215">
        <f>Other_input_data!C33/Other_input_data!C32</f>
        <v>0.35999999999999976</v>
      </c>
      <c r="D54" s="215">
        <f>Other_input_data!D33/Other_input_data!D32</f>
        <v>0.35424354243542439</v>
      </c>
      <c r="E54" s="215">
        <f>Other_input_data!E33/Other_input_data!E32</f>
        <v>0.35267452402538524</v>
      </c>
      <c r="F54" s="215">
        <f>Other_input_data!F33/Other_input_data!F32</f>
        <v>0.32752613240418155</v>
      </c>
      <c r="G54" s="215">
        <f>Other_input_data!G33/Other_input_data!G32</f>
        <v>0.38095238095238104</v>
      </c>
      <c r="H54" s="215">
        <f>Other_input_data!H33/Other_input_data!H32</f>
        <v>0.26416256157635454</v>
      </c>
      <c r="I54" s="215">
        <f>Other_input_data!I33/Other_input_data!I32</f>
        <v>0.32153110047846867</v>
      </c>
      <c r="J54" s="215">
        <f>Other_input_data!J33/Other_input_data!J32</f>
        <v>0.3644158628081457</v>
      </c>
      <c r="K54" s="215">
        <f>Other_input_data!K33/Other_input_data!K32</f>
        <v>0.34887243352406605</v>
      </c>
      <c r="L54" s="215">
        <f>Other_input_data!L33/Other_input_data!L32</f>
        <v>0.34874759152215795</v>
      </c>
    </row>
    <row r="55" spans="1:13" x14ac:dyDescent="0.25">
      <c r="A55" s="191" t="s">
        <v>449</v>
      </c>
      <c r="B55" s="215"/>
      <c r="C55" s="215">
        <f>(Other_input_data!C39-Other_input_data!B39)/Other_input_data!B39</f>
        <v>9.1491308325707111E-4</v>
      </c>
      <c r="D55" s="215">
        <f>(Other_input_data!D39-Other_input_data!C39)/Other_input_data!C39</f>
        <v>0</v>
      </c>
      <c r="E55" s="215">
        <f>(Other_input_data!E39-Other_input_data!D39)/Other_input_data!D39</f>
        <v>0</v>
      </c>
      <c r="F55" s="215">
        <f>(Other_input_data!F39-Other_input_data!E39)/Other_input_data!E39</f>
        <v>0</v>
      </c>
      <c r="G55" s="215">
        <f>(Other_input_data!G39-Other_input_data!F39)/Other_input_data!F39</f>
        <v>0</v>
      </c>
      <c r="H55" s="215">
        <f>(Other_input_data!H39-Other_input_data!G39)/Other_input_data!G39</f>
        <v>0</v>
      </c>
      <c r="I55" s="215">
        <f>(Other_input_data!I39-Other_input_data!H39)/Other_input_data!H39</f>
        <v>0</v>
      </c>
      <c r="J55" s="215">
        <f>(Other_input_data!J39-Other_input_data!I39)/Other_input_data!I39</f>
        <v>0</v>
      </c>
      <c r="K55" s="215">
        <f>(Other_input_data!K39-Other_input_data!J39)/Other_input_data!J39</f>
        <v>0</v>
      </c>
      <c r="L55" s="215">
        <f>(Other_input_data!L39-Other_input_data!K39)/Other_input_data!K39</f>
        <v>0</v>
      </c>
      <c r="M55" s="243" t="e">
        <f>(L55/F55)^(1/6)-1</f>
        <v>#DIV/0!</v>
      </c>
    </row>
    <row r="56" spans="1:13" x14ac:dyDescent="0.25">
      <c r="A56" s="191" t="s">
        <v>450</v>
      </c>
      <c r="B56" s="216"/>
      <c r="C56" s="214">
        <f>((Other_input_data!C6-Other_input_data!B6)/Other_input_data!B6)/((Other_input_data!C25-Other_input_data!B25)/Other_input_data!B25)</f>
        <v>-0.16030028485519851</v>
      </c>
      <c r="D56" s="214">
        <f>((Other_input_data!D6-Other_input_data!C6)/Other_input_data!C6)/((Other_input_data!D25-Other_input_data!C25)/Other_input_data!C25)</f>
        <v>2.463622641509434</v>
      </c>
      <c r="E56" s="214">
        <f>((Other_input_data!E6-Other_input_data!D6)/Other_input_data!D6)/((Other_input_data!E25-Other_input_data!D25)/Other_input_data!D25)</f>
        <v>-4.7951358457493272E-2</v>
      </c>
      <c r="F56" s="214">
        <f>((Other_input_data!F6-Other_input_data!E6)/Other_input_data!E6)/((Other_input_data!F25-Other_input_data!E25)/Other_input_data!E25)</f>
        <v>1.4883918077953104</v>
      </c>
      <c r="G56" s="214">
        <f>((Other_input_data!G6-Other_input_data!F6)/Other_input_data!F6)/((Other_input_data!G25-Other_input_data!F25)/Other_input_data!F25)</f>
        <v>0.44279148936170198</v>
      </c>
      <c r="H56" s="214">
        <f>((Other_input_data!H6-Other_input_data!G6)/Other_input_data!G6)/((Other_input_data!H25-Other_input_data!G25)/Other_input_data!G25)</f>
        <v>0.95487932843651624</v>
      </c>
      <c r="I56" s="214">
        <f>((Other_input_data!I6-Other_input_data!H6)/Other_input_data!H6)/((Other_input_data!I25-Other_input_data!H25)/Other_input_data!H25)</f>
        <v>0.68010876310161317</v>
      </c>
      <c r="J56" s="214">
        <f>((Other_input_data!J6-Other_input_data!I6)/Other_input_data!I6)/((Other_input_data!J25-Other_input_data!I25)/Other_input_data!I25)</f>
        <v>0.68551337580855287</v>
      </c>
      <c r="K56" s="214">
        <f>((Other_input_data!K6-Other_input_data!J6)/Other_input_data!J6)/((Other_input_data!K25-Other_input_data!J25)/Other_input_data!J25)</f>
        <v>-0.69470174047923083</v>
      </c>
      <c r="L56" s="214">
        <f>((Other_input_data!L6-Other_input_data!K6)/Other_input_data!K6)/((Other_input_data!L25-Other_input_data!K25)/Other_input_data!K25)</f>
        <v>0.16755695196252068</v>
      </c>
    </row>
    <row r="57" spans="1:13" x14ac:dyDescent="0.25">
      <c r="A57" s="191" t="s">
        <v>451</v>
      </c>
      <c r="B57" s="216"/>
      <c r="C57" s="214">
        <f>((Other_input_data!C7-Other_input_data!B7)/Other_input_data!B7)/((Other_input_data!C25-Other_input_data!B25)/Other_input_data!B25)</f>
        <v>0.65347293156281927</v>
      </c>
      <c r="D57" s="214">
        <f>((Other_input_data!D7-Other_input_data!C7)/Other_input_data!C7)/((Other_input_data!D25-Other_input_data!C25)/Other_input_data!C25)</f>
        <v>3.7997142857142858</v>
      </c>
      <c r="E57" s="214">
        <f>((Other_input_data!E7-Other_input_data!D7)/Other_input_data!D7)/((Other_input_data!E25-Other_input_data!D25)/Other_input_data!D25)</f>
        <v>3.5410233937841082E-2</v>
      </c>
      <c r="F57" s="214">
        <f>((Other_input_data!F7-Other_input_data!E7)/Other_input_data!E7)/((Other_input_data!F25-Other_input_data!E25)/Other_input_data!E25)</f>
        <v>1.7753523653958017</v>
      </c>
      <c r="G57" s="214">
        <f>((Other_input_data!G7-Other_input_data!F7)/Other_input_data!F7)/((Other_input_data!G25-Other_input_data!F25)/Other_input_data!F25)</f>
        <v>1.5509570320600552</v>
      </c>
      <c r="H57" s="214">
        <f>((Other_input_data!H7-Other_input_data!G7)/Other_input_data!G7)/((Other_input_data!H25-Other_input_data!G25)/Other_input_data!G25)</f>
        <v>-1.8942959583823384</v>
      </c>
      <c r="I57" s="214">
        <f>((Other_input_data!I7-Other_input_data!H7)/Other_input_data!H7)/((Other_input_data!I25-Other_input_data!H25)/Other_input_data!H25)</f>
        <v>0.88304031233279856</v>
      </c>
      <c r="J57" s="214">
        <f>((Other_input_data!J7-Other_input_data!I7)/Other_input_data!I7)/((Other_input_data!J25-Other_input_data!I25)/Other_input_data!I25)</f>
        <v>6.0100874660298365</v>
      </c>
      <c r="K57" s="214">
        <f>((Other_input_data!K7-Other_input_data!J7)/Other_input_data!J7)/((Other_input_data!K25-Other_input_data!J25)/Other_input_data!J25)</f>
        <v>1.9437557420224165</v>
      </c>
      <c r="L57" s="214">
        <f>((Other_input_data!L7-Other_input_data!K7)/Other_input_data!K7)/((Other_input_data!L25-Other_input_data!K25)/Other_input_data!K25)</f>
        <v>-0.7089574435512338</v>
      </c>
    </row>
    <row r="58" spans="1:13" x14ac:dyDescent="0.25">
      <c r="A58" s="191" t="s">
        <v>452</v>
      </c>
      <c r="B58" s="216"/>
      <c r="C58" s="216">
        <f>Other_input_data!C23/Other_input_data!C29</f>
        <v>4.9261363636363624</v>
      </c>
      <c r="D58" s="216">
        <f>Other_input_data!D23/Other_input_data!D29</f>
        <v>3.680519480519481</v>
      </c>
      <c r="E58" s="216">
        <f>Other_input_data!E23/Other_input_data!E29</f>
        <v>6.454081632653061</v>
      </c>
      <c r="F58" s="216">
        <f>Other_input_data!F23/Other_input_data!F29</f>
        <v>13.767590618336888</v>
      </c>
      <c r="G58" s="216">
        <f>Other_input_data!G23/Other_input_data!G29</f>
        <v>13.472096530920059</v>
      </c>
      <c r="H58" s="216">
        <f>Other_input_data!H23/Other_input_data!H29</f>
        <v>6.374278647980212</v>
      </c>
      <c r="I58" s="216">
        <f>Other_input_data!I23/Other_input_data!I29</f>
        <v>0.69882839421088905</v>
      </c>
      <c r="J58" s="216">
        <f>Other_input_data!J23/Other_input_data!J29</f>
        <v>0.87361963190184222</v>
      </c>
      <c r="K58" s="216">
        <f>Other_input_data!K23/Other_input_data!K29</f>
        <v>1.730188679245283</v>
      </c>
      <c r="L58" s="216">
        <f>Other_input_data!L23/Other_input_data!L29</f>
        <v>3.5240196078431367</v>
      </c>
    </row>
    <row r="59" spans="1:13" x14ac:dyDescent="0.25">
      <c r="A59" s="191" t="s">
        <v>14</v>
      </c>
      <c r="B59" s="215">
        <f>Other_input_data!B35/Other_input_data!B34</f>
        <v>0.28092783505154656</v>
      </c>
      <c r="C59" s="215">
        <f>Other_input_data!C35/Other_input_data!C34</f>
        <v>0.20884146341463392</v>
      </c>
      <c r="D59" s="215">
        <f>Other_input_data!D35/Other_input_data!D34</f>
        <v>0.26095238095238099</v>
      </c>
      <c r="E59" s="215">
        <f>Other_input_data!E35/Other_input_data!E34</f>
        <v>0.19187675070028007</v>
      </c>
      <c r="F59" s="215">
        <f>Other_input_data!F35/Other_input_data!F34</f>
        <v>0.11830742659758224</v>
      </c>
      <c r="G59" s="215">
        <f>Other_input_data!G35/Other_input_data!G34</f>
        <v>0.11331679073614562</v>
      </c>
      <c r="H59" s="215">
        <f>Other_input_data!H35/Other_input_data!H34</f>
        <v>0.11464435146443507</v>
      </c>
      <c r="I59" s="215">
        <f>Other_input_data!I35/Other_input_data!I34</f>
        <v>7.710390220968491E-2</v>
      </c>
      <c r="J59" s="215">
        <f>Other_input_data!J35/Other_input_data!J34</f>
        <v>6.9139966273187164E-2</v>
      </c>
      <c r="K59" s="215">
        <f>Other_input_data!K35/Other_input_data!K34</f>
        <v>4.2388214008787818E-2</v>
      </c>
      <c r="L59" s="215">
        <f>Other_input_data!L35/Other_input_data!L34</f>
        <v>4.0433925049309656E-2</v>
      </c>
      <c r="M59" s="243">
        <f>(L59/F59)^(1/6)-1</f>
        <v>-0.16384078114625367</v>
      </c>
    </row>
    <row r="60" spans="1:13" x14ac:dyDescent="0.25">
      <c r="A60" s="191" t="s">
        <v>453</v>
      </c>
      <c r="B60" s="217">
        <f>Other_input_data!B8/Other_input_data!B48</f>
        <v>2.1354616048317517E-2</v>
      </c>
      <c r="C60" s="217">
        <f>Other_input_data!C8/Other_input_data!C48</f>
        <v>7.9501788790247788E-2</v>
      </c>
      <c r="D60" s="217">
        <f>Other_input_data!D8/Other_input_data!D48</f>
        <v>3.4599346331567672E-2</v>
      </c>
      <c r="E60" s="217">
        <f>Other_input_data!E8/Other_input_data!E48</f>
        <v>0.1763101339064308</v>
      </c>
      <c r="F60" s="217">
        <f>Other_input_data!F8/Other_input_data!F48</f>
        <v>7.3574951255877971E-2</v>
      </c>
      <c r="G60" s="217">
        <f>Other_input_data!G8/Other_input_data!G48</f>
        <v>9.9679701524057585E-2</v>
      </c>
      <c r="H60" s="217">
        <f>Other_input_data!H8/Other_input_data!H48</f>
        <v>7.2793555594755102E-2</v>
      </c>
      <c r="I60" s="217">
        <f>Other_input_data!I8/Other_input_data!I48</f>
        <v>8.932744741625552E-2</v>
      </c>
      <c r="J60" s="217">
        <f>Other_input_data!J8/Other_input_data!J48</f>
        <v>9.8971467429801938E-2</v>
      </c>
      <c r="K60" s="217">
        <f>Other_input_data!K8/Other_input_data!K48</f>
        <v>0.14260391512099882</v>
      </c>
      <c r="L60" s="217">
        <f>Other_input_data!L8/Other_input_data!L48</f>
        <v>0.11927012756413252</v>
      </c>
    </row>
    <row r="61" spans="1:13" x14ac:dyDescent="0.25">
      <c r="A61" s="191" t="s">
        <v>454</v>
      </c>
      <c r="B61" s="215">
        <f>Other_input_data!B30/Other_input_data!B56</f>
        <v>0.22463054187192111</v>
      </c>
      <c r="C61" s="215">
        <f>Other_input_data!C30/Other_input_data!C56</f>
        <v>0.21358139534883736</v>
      </c>
      <c r="D61" s="215">
        <f>Other_input_data!D30/Other_input_data!D56</f>
        <v>0.17988487368084427</v>
      </c>
      <c r="E61" s="215">
        <f>Other_input_data!E30/Other_input_data!E56</f>
        <v>0.1535558204211363</v>
      </c>
      <c r="F61" s="215">
        <f>Other_input_data!F30/Other_input_data!F56</f>
        <v>0.14862224617664879</v>
      </c>
      <c r="G61" s="215">
        <f>Other_input_data!G30/Other_input_data!G56</f>
        <v>0.12609053497942385</v>
      </c>
      <c r="H61" s="215">
        <f>Other_input_data!H30/Other_input_data!H56</f>
        <v>0.11359545895057457</v>
      </c>
      <c r="I61" s="215">
        <f>Other_input_data!I30/Other_input_data!I56</f>
        <v>0.20294706328939205</v>
      </c>
      <c r="J61" s="215">
        <f>Other_input_data!J30/Other_input_data!J56</f>
        <v>0.21429321020044079</v>
      </c>
      <c r="K61" s="215">
        <f>Other_input_data!K30/Other_input_data!K56</f>
        <v>0.26505463845617294</v>
      </c>
      <c r="L61" s="215">
        <f>Other_input_data!L30/Other_input_data!L56</f>
        <v>0.26308246116925543</v>
      </c>
    </row>
    <row r="62" spans="1:13" x14ac:dyDescent="0.25">
      <c r="A62" s="191" t="s">
        <v>455</v>
      </c>
      <c r="B62" s="215">
        <v>0.1</v>
      </c>
      <c r="C62" s="215">
        <v>0.1</v>
      </c>
      <c r="D62" s="215">
        <v>0.1</v>
      </c>
      <c r="E62" s="215">
        <v>0.1</v>
      </c>
      <c r="F62" s="215">
        <v>0.1</v>
      </c>
      <c r="G62" s="215">
        <v>0.1</v>
      </c>
      <c r="H62" s="215">
        <v>0.1</v>
      </c>
      <c r="I62" s="215">
        <v>0.1</v>
      </c>
      <c r="J62" s="215">
        <v>0.1</v>
      </c>
      <c r="K62" s="215">
        <v>0.1</v>
      </c>
      <c r="L62" s="218">
        <v>0.1</v>
      </c>
    </row>
    <row r="63" spans="1:13" x14ac:dyDescent="0.25">
      <c r="A63" s="191" t="s">
        <v>415</v>
      </c>
      <c r="B63" s="216">
        <f>Other_input_data!B56*(Analysis2!B46-Analysis2!B62)</f>
        <v>1.4684693877550996</v>
      </c>
      <c r="C63" s="216">
        <f>Other_input_data!C56*(Analysis2!C46-Analysis2!C62)</f>
        <v>1.9722000000000079</v>
      </c>
      <c r="D63" s="216">
        <f>Other_input_data!D56*(Analysis2!D46-Analysis2!D62)</f>
        <v>1.0107601476014749</v>
      </c>
      <c r="E63" s="216">
        <f>Other_input_data!E56*(Analysis2!E46-Analysis2!E62)</f>
        <v>-6.0348141432455031E-2</v>
      </c>
      <c r="F63" s="216">
        <f>Other_input_data!F56*(Analysis2!F46-Analysis2!F62)</f>
        <v>-8.2264808362610617E-3</v>
      </c>
      <c r="G63" s="216">
        <f>Other_input_data!G56*(Analysis2!G46-Analysis2!G62)</f>
        <v>-5.3323809523809587</v>
      </c>
      <c r="H63" s="216">
        <f>Other_input_data!H56*(Analysis2!H46-Analysis2!H62)</f>
        <v>-4.7418152709359545</v>
      </c>
      <c r="I63" s="216">
        <f>Other_input_data!I56*(Analysis2!I46-Analysis2!I62)</f>
        <v>10.922755980861274</v>
      </c>
      <c r="J63" s="216">
        <f>Other_input_data!J56*(Analysis2!J46-Analysis2!J62)</f>
        <v>10.348884244372991</v>
      </c>
      <c r="K63" s="216">
        <f>Other_input_data!K56*(Analysis2!K46-Analysis2!K62)</f>
        <v>21.852979804779519</v>
      </c>
      <c r="L63" s="216">
        <f>Other_input_data!L56*(Analysis2!L46-Analysis2!L62)</f>
        <v>21.401352601156077</v>
      </c>
    </row>
    <row r="64" spans="1:13" x14ac:dyDescent="0.25">
      <c r="A64" s="191" t="s">
        <v>456</v>
      </c>
      <c r="B64" s="215">
        <f>B63/Other_input_data!B25</f>
        <v>2.869225063999804E-2</v>
      </c>
      <c r="C64" s="215">
        <f>C63/Other_input_data!C25</f>
        <v>2.7187758478081164E-2</v>
      </c>
      <c r="D64" s="215">
        <f>D63/Other_input_data!D25</f>
        <v>1.1546266250873599E-2</v>
      </c>
      <c r="E64" s="215">
        <f>E63/Other_input_data!E25</f>
        <v>-5.4682984262826228E-4</v>
      </c>
      <c r="F64" s="215">
        <f>F63/Other_input_data!F25</f>
        <v>-6.3246565974175916E-5</v>
      </c>
      <c r="G64" s="215">
        <f>G63/Other_input_data!G25</f>
        <v>-3.0519579626722519E-2</v>
      </c>
      <c r="H64" s="215">
        <f>H63/Other_input_data!H25</f>
        <v>-2.1323988267014229E-2</v>
      </c>
      <c r="I64" s="215">
        <f>I63/Other_input_data!I25</f>
        <v>3.6760865549965584E-2</v>
      </c>
      <c r="J64" s="215">
        <f>J63/Other_input_data!J25</f>
        <v>3.0979118255322371E-2</v>
      </c>
      <c r="K64" s="215">
        <f>K63/Other_input_data!K25</f>
        <v>5.4412080585577206E-2</v>
      </c>
      <c r="L64" s="215">
        <f>L63/Other_input_data!L25</f>
        <v>4.6024414196034577E-2</v>
      </c>
    </row>
    <row r="65" spans="1:12" ht="15" customHeight="1" x14ac:dyDescent="0.25">
      <c r="A65" s="192" t="s">
        <v>457</v>
      </c>
      <c r="B65" s="219">
        <f>Other_input_data!B36</f>
        <v>66.047493431999996</v>
      </c>
      <c r="C65" s="219">
        <f>Other_input_data!C36</f>
        <v>54.503407022000005</v>
      </c>
      <c r="D65" s="219">
        <f>Other_input_data!D36</f>
        <v>49.962368292000001</v>
      </c>
      <c r="E65" s="219">
        <f>Other_input_data!E36</f>
        <v>70.161783944000007</v>
      </c>
      <c r="F65" s="219">
        <f>Other_input_data!F36</f>
        <v>160.08529306000003</v>
      </c>
      <c r="G65" s="219">
        <f>Other_input_data!G36</f>
        <v>134.30532378800001</v>
      </c>
      <c r="H65" s="219">
        <f>Other_input_data!H36</f>
        <v>117.80439269199999</v>
      </c>
      <c r="I65" s="219">
        <f>Other_input_data!I36</f>
        <v>179.10294441600001</v>
      </c>
      <c r="J65" s="219">
        <f>Other_input_data!J36</f>
        <v>168.02937527200001</v>
      </c>
      <c r="K65" s="219">
        <f>Other_input_data!K36</f>
        <v>693.75035306200004</v>
      </c>
      <c r="L65" s="219">
        <f>Other_input_data!L36</f>
        <v>825.04655480000008</v>
      </c>
    </row>
    <row r="66" spans="1:12" ht="15" customHeight="1" x14ac:dyDescent="0.25">
      <c r="A66" s="193" t="s">
        <v>458</v>
      </c>
      <c r="B66" s="220"/>
      <c r="C66" s="221">
        <f>C65-B65</f>
        <v>-11.544086409999991</v>
      </c>
      <c r="D66" s="221">
        <f t="shared" ref="D66:L66" si="6">D65-C65</f>
        <v>-4.5410387300000039</v>
      </c>
      <c r="E66" s="221">
        <f t="shared" si="6"/>
        <v>20.199415652000006</v>
      </c>
      <c r="F66" s="221">
        <f t="shared" si="6"/>
        <v>89.92350911600002</v>
      </c>
      <c r="G66" s="221">
        <f t="shared" si="6"/>
        <v>-25.779969272000017</v>
      </c>
      <c r="H66" s="221">
        <f t="shared" si="6"/>
        <v>-16.500931096000016</v>
      </c>
      <c r="I66" s="221">
        <f t="shared" si="6"/>
        <v>61.298551724000021</v>
      </c>
      <c r="J66" s="221">
        <f t="shared" si="6"/>
        <v>-11.073569144000004</v>
      </c>
      <c r="K66" s="221">
        <f t="shared" si="6"/>
        <v>525.72097779000001</v>
      </c>
      <c r="L66" s="221">
        <f t="shared" si="6"/>
        <v>131.29620173800004</v>
      </c>
    </row>
    <row r="67" spans="1:12" x14ac:dyDescent="0.25">
      <c r="A67" s="162" t="s">
        <v>459</v>
      </c>
      <c r="B67" s="222"/>
      <c r="C67" s="222">
        <f t="shared" ref="C67:L67" si="7">C66-C63</f>
        <v>-13.516286409999999</v>
      </c>
      <c r="D67" s="222">
        <f t="shared" si="7"/>
        <v>-5.5517988776014793</v>
      </c>
      <c r="E67" s="222">
        <f t="shared" si="7"/>
        <v>20.259763793432462</v>
      </c>
      <c r="F67" s="222">
        <f t="shared" si="7"/>
        <v>89.931735596836276</v>
      </c>
      <c r="G67" s="222">
        <f t="shared" si="7"/>
        <v>-20.447588319619058</v>
      </c>
      <c r="H67" s="222">
        <f t="shared" si="7"/>
        <v>-11.759115825064061</v>
      </c>
      <c r="I67" s="222">
        <f t="shared" si="7"/>
        <v>50.375795743138745</v>
      </c>
      <c r="J67" s="222">
        <f t="shared" si="7"/>
        <v>-21.422453388372993</v>
      </c>
      <c r="K67" s="222">
        <f t="shared" si="7"/>
        <v>503.86799798522048</v>
      </c>
      <c r="L67" s="222">
        <f t="shared" si="7"/>
        <v>109.89484913684396</v>
      </c>
    </row>
    <row r="68" spans="1:12" x14ac:dyDescent="0.25">
      <c r="A68" s="156"/>
      <c r="B68" s="194"/>
      <c r="C68" s="194"/>
      <c r="D68" s="194"/>
      <c r="E68" s="194"/>
      <c r="F68" s="194"/>
      <c r="G68" s="194"/>
      <c r="H68" s="194"/>
      <c r="I68" s="194"/>
      <c r="J68" s="194"/>
      <c r="K68" s="194"/>
    </row>
    <row r="69" spans="1:12" x14ac:dyDescent="0.25">
      <c r="A69" s="195" t="s">
        <v>460</v>
      </c>
      <c r="B69" s="223">
        <f>SUM(Other_input_data!C23:L23)/SUM(Other_input_data!C61:L61)</f>
        <v>0.86997044782905197</v>
      </c>
      <c r="C69" s="207"/>
      <c r="D69" s="196"/>
      <c r="E69" s="196"/>
      <c r="F69" s="196"/>
      <c r="G69" s="196"/>
      <c r="H69" s="196"/>
      <c r="I69" s="196"/>
      <c r="J69" s="196"/>
      <c r="K69" s="196"/>
    </row>
    <row r="70" spans="1:12" x14ac:dyDescent="0.25">
      <c r="A70" s="195" t="s">
        <v>473</v>
      </c>
      <c r="B70" s="223">
        <f>SUM(Other_input_data!F23:L23)/SUM(Other_input_data!F61:L61)</f>
        <v>0.80678822252254245</v>
      </c>
      <c r="C70" s="197"/>
      <c r="D70" s="197"/>
      <c r="E70" s="197"/>
      <c r="F70" s="197"/>
      <c r="G70" s="197"/>
      <c r="H70" s="197"/>
      <c r="I70" s="197"/>
      <c r="J70" s="197"/>
      <c r="K70" s="197"/>
    </row>
    <row r="71" spans="1:12" x14ac:dyDescent="0.25">
      <c r="A71" s="195" t="s">
        <v>474</v>
      </c>
      <c r="B71" s="223">
        <f>SUM(Other_input_data!H23:L23)/SUM(Other_input_data!H61:L61)</f>
        <v>0.5444729278334498</v>
      </c>
      <c r="C71" s="198"/>
      <c r="D71" s="198"/>
      <c r="E71" s="198"/>
      <c r="F71" s="198"/>
      <c r="G71" s="198"/>
      <c r="H71" s="198"/>
      <c r="I71" s="198"/>
      <c r="J71" s="198"/>
      <c r="K71" s="198"/>
    </row>
    <row r="72" spans="1:12" x14ac:dyDescent="0.25">
      <c r="A72" s="195" t="s">
        <v>475</v>
      </c>
      <c r="B72" s="223">
        <f>SUM(Other_input_data!J23:L23)/SUM(Other_input_data!J61:L61)</f>
        <v>0.45686544399389911</v>
      </c>
      <c r="C72" s="199"/>
      <c r="D72" s="199"/>
      <c r="E72" s="199"/>
      <c r="F72" s="199"/>
      <c r="G72" s="199"/>
      <c r="H72" s="199"/>
      <c r="I72" s="199"/>
      <c r="J72" s="199"/>
      <c r="K72" s="199"/>
    </row>
    <row r="73" spans="1:12" x14ac:dyDescent="0.25">
      <c r="A73" s="162" t="s">
        <v>461</v>
      </c>
      <c r="B73" s="222">
        <f>SUM(Other_input_data!C23:L23)/SUM(Other_input_data!C29:L29)</f>
        <v>3.9287914139057389</v>
      </c>
    </row>
    <row r="74" spans="1:12" x14ac:dyDescent="0.25">
      <c r="B74" s="213"/>
    </row>
    <row r="75" spans="1:12" x14ac:dyDescent="0.25">
      <c r="A75" s="200" t="s">
        <v>462</v>
      </c>
      <c r="B75" s="224">
        <f>AVERAGE(J36:L36)</f>
        <v>0.23242275471138862</v>
      </c>
    </row>
    <row r="76" spans="1:12" x14ac:dyDescent="0.25">
      <c r="A76" s="200" t="s">
        <v>463</v>
      </c>
      <c r="B76" s="224">
        <f>AVERAGE(H36:L36)</f>
        <v>0.22923390355909334</v>
      </c>
    </row>
    <row r="77" spans="1:12" x14ac:dyDescent="0.25">
      <c r="A77" s="200" t="s">
        <v>464</v>
      </c>
      <c r="B77" s="225">
        <f>AVERAGE(J40:L40)</f>
        <v>1.3508150962095675</v>
      </c>
    </row>
    <row r="78" spans="1:12" x14ac:dyDescent="0.25">
      <c r="A78" s="200" t="s">
        <v>465</v>
      </c>
      <c r="B78" s="225">
        <f>AVERAGE(H40:L40)</f>
        <v>1.1694937558431482</v>
      </c>
    </row>
    <row r="79" spans="1:12" x14ac:dyDescent="0.25">
      <c r="A79" s="200" t="s">
        <v>466</v>
      </c>
      <c r="B79" s="224">
        <f>AVERAGE(J46:L46)</f>
        <v>0.16003961109906739</v>
      </c>
    </row>
    <row r="80" spans="1:12" x14ac:dyDescent="0.25">
      <c r="A80" s="200" t="s">
        <v>467</v>
      </c>
      <c r="B80" s="224">
        <f>AVERAGE(H46:L46)</f>
        <v>0.14027997910380635</v>
      </c>
    </row>
    <row r="81" spans="1:2" x14ac:dyDescent="0.25">
      <c r="A81" s="200" t="s">
        <v>468</v>
      </c>
      <c r="B81" s="225">
        <f>AVERAGE(Other_input_data!J56:L56)</f>
        <v>295.65333333333336</v>
      </c>
    </row>
    <row r="82" spans="1:2" x14ac:dyDescent="0.25">
      <c r="A82" s="200" t="s">
        <v>469</v>
      </c>
      <c r="B82" s="225">
        <f>AVERAGE(Other_input_data!G56:L56)</f>
        <v>284.7766666666667</v>
      </c>
    </row>
    <row r="83" spans="1:2" x14ac:dyDescent="0.25">
      <c r="A83" s="200" t="s">
        <v>470</v>
      </c>
      <c r="B83" s="226">
        <f>AVERAGE(J64:L64)</f>
        <v>4.3805204345644722E-2</v>
      </c>
    </row>
    <row r="84" spans="1:2" x14ac:dyDescent="0.25">
      <c r="A84" s="200" t="s">
        <v>471</v>
      </c>
      <c r="B84" s="226">
        <f>AVERAGE(H64:L64)</f>
        <v>2.9370498063977103E-2</v>
      </c>
    </row>
  </sheetData>
  <sheetProtection selectLockedCells="1" selectUnlockedCells="1"/>
  <mergeCells count="8">
    <mergeCell ref="B50:K50"/>
    <mergeCell ref="B49:F49"/>
    <mergeCell ref="B48:D48"/>
    <mergeCell ref="F4:K4"/>
    <mergeCell ref="M4:N4"/>
    <mergeCell ref="A10:J10"/>
    <mergeCell ref="A34:K34"/>
    <mergeCell ref="A39:K39"/>
  </mergeCells>
  <pageMargins left="0.7" right="0.7" top="0.75" bottom="0.75" header="0.51180555555555551" footer="0.51180555555555551"/>
  <pageSetup firstPageNumber="0"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
  <sheetViews>
    <sheetView workbookViewId="0">
      <selection activeCell="L5" sqref="L5"/>
    </sheetView>
  </sheetViews>
  <sheetFormatPr defaultRowHeight="15" x14ac:dyDescent="0.25"/>
  <cols>
    <col min="2" max="2" width="30" bestFit="1" customWidth="1"/>
  </cols>
  <sheetData>
    <row r="1" spans="2:13" x14ac:dyDescent="0.25">
      <c r="C1" t="s">
        <v>532</v>
      </c>
      <c r="D1" t="s">
        <v>533</v>
      </c>
      <c r="E1" t="s">
        <v>534</v>
      </c>
      <c r="F1" t="s">
        <v>535</v>
      </c>
      <c r="G1" t="s">
        <v>536</v>
      </c>
      <c r="H1" t="s">
        <v>537</v>
      </c>
      <c r="I1" t="s">
        <v>538</v>
      </c>
      <c r="J1" t="s">
        <v>539</v>
      </c>
      <c r="K1" t="s">
        <v>540</v>
      </c>
      <c r="L1" t="s">
        <v>541</v>
      </c>
    </row>
    <row r="2" spans="2:13" x14ac:dyDescent="0.25">
      <c r="B2" t="s">
        <v>542</v>
      </c>
      <c r="C2" s="72">
        <v>0.1</v>
      </c>
      <c r="D2" s="72">
        <v>0.08</v>
      </c>
      <c r="E2" s="72">
        <v>7.0000000000000007E-2</v>
      </c>
      <c r="F2" s="72">
        <v>0.04</v>
      </c>
      <c r="G2" s="72">
        <v>0.02</v>
      </c>
      <c r="M2" s="243">
        <f>-((G2/C2)^(1/5)-1)</f>
        <v>0.27522033632230447</v>
      </c>
    </row>
    <row r="3" spans="2:13" x14ac:dyDescent="0.25">
      <c r="B3" t="s">
        <v>529</v>
      </c>
      <c r="C3">
        <v>3</v>
      </c>
      <c r="D3">
        <v>3</v>
      </c>
      <c r="E3">
        <v>2</v>
      </c>
      <c r="F3">
        <v>1</v>
      </c>
      <c r="G3">
        <v>1</v>
      </c>
    </row>
    <row r="4" spans="2:13" x14ac:dyDescent="0.25">
      <c r="B4" t="s">
        <v>530</v>
      </c>
      <c r="H4" s="72">
        <v>0.1</v>
      </c>
      <c r="I4" s="72">
        <v>0.1</v>
      </c>
      <c r="J4" s="72">
        <v>0.1</v>
      </c>
      <c r="K4" s="72">
        <v>0.1</v>
      </c>
      <c r="L4" s="72">
        <v>0.1</v>
      </c>
      <c r="M4" s="72">
        <f>AVERAGE(H4:L4)</f>
        <v>0.1</v>
      </c>
    </row>
    <row r="5" spans="2:13" x14ac:dyDescent="0.25">
      <c r="B5" t="s">
        <v>531</v>
      </c>
      <c r="H5" s="72">
        <v>0.1</v>
      </c>
      <c r="I5" s="72">
        <v>0.1</v>
      </c>
      <c r="J5" s="72">
        <v>0.1</v>
      </c>
      <c r="K5" s="72">
        <v>0.1</v>
      </c>
      <c r="L5" s="72">
        <v>0.1</v>
      </c>
      <c r="M5" s="72">
        <f>AVERAGE(H5:L5)</f>
        <v>0.1</v>
      </c>
    </row>
    <row r="6" spans="2:13" x14ac:dyDescent="0.25">
      <c r="B6" t="s">
        <v>543</v>
      </c>
      <c r="C6">
        <v>280</v>
      </c>
      <c r="D6">
        <v>283</v>
      </c>
      <c r="E6">
        <v>287</v>
      </c>
      <c r="F6">
        <v>286</v>
      </c>
      <c r="G6">
        <v>290</v>
      </c>
      <c r="M6" s="243">
        <f>((G6/C6)^(1/5)-1)</f>
        <v>7.0429496933102076E-3</v>
      </c>
    </row>
    <row r="7" spans="2:13" x14ac:dyDescent="0.25">
      <c r="B7" t="s">
        <v>544</v>
      </c>
    </row>
    <row r="8" spans="2:13" x14ac:dyDescent="0.25">
      <c r="B8" t="s">
        <v>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Profit &amp; Loss</vt:lpstr>
      <vt:lpstr>Quarters</vt:lpstr>
      <vt:lpstr>Balance Sheet</vt:lpstr>
      <vt:lpstr>Cash Flow</vt:lpstr>
      <vt:lpstr>Customization</vt:lpstr>
      <vt:lpstr>Scorecard</vt:lpstr>
      <vt:lpstr>Financial Analysis</vt:lpstr>
      <vt:lpstr>Analysis2</vt:lpstr>
      <vt:lpstr>Market_scope</vt:lpstr>
      <vt:lpstr>Data Sheet</vt:lpstr>
      <vt:lpstr>Other_input_data</vt:lpstr>
      <vt:lpstr>DCF</vt:lpstr>
      <vt:lpstr>Fair Value</vt:lpstr>
      <vt:lpstr>Expected Return Model</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2016-06-08T15:42:18Z</dcterms:modified>
</cp:coreProperties>
</file>