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8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0" i="1"/>
  <c r="J20"/>
  <c r="AF20"/>
  <c r="AG20"/>
  <c r="AF19"/>
  <c r="AG19"/>
  <c r="AF18"/>
  <c r="AF16"/>
  <c r="AF15"/>
  <c r="AF14"/>
  <c r="AF13"/>
  <c r="AF12"/>
  <c r="AF17" s="1"/>
  <c r="AF11"/>
  <c r="AF10"/>
  <c r="AF9"/>
  <c r="AF8"/>
  <c r="AG18"/>
  <c r="AG16"/>
  <c r="AG15"/>
  <c r="AG14"/>
  <c r="AG13"/>
  <c r="AG12"/>
  <c r="AG17" s="1"/>
  <c r="AG11"/>
  <c r="AG10"/>
  <c r="AG9"/>
  <c r="AG8"/>
  <c r="AJ18"/>
  <c r="AJ16"/>
  <c r="AJ15"/>
  <c r="AJ14"/>
  <c r="AJ13"/>
  <c r="AJ12"/>
  <c r="AJ17" s="1"/>
  <c r="AJ11"/>
  <c r="AJ10"/>
  <c r="AJ9"/>
  <c r="AJ8"/>
  <c r="AK18"/>
  <c r="AK17"/>
  <c r="AK16"/>
  <c r="AK15"/>
  <c r="AK14"/>
  <c r="AK13"/>
  <c r="AK12"/>
  <c r="AK11"/>
  <c r="AK10"/>
  <c r="AK9"/>
  <c r="AK8"/>
  <c r="AH20"/>
  <c r="AH18"/>
  <c r="AH17"/>
  <c r="AH16"/>
  <c r="AH15"/>
  <c r="AH14"/>
  <c r="AH13"/>
  <c r="AH12"/>
  <c r="AH11"/>
  <c r="AH10"/>
  <c r="AH9"/>
  <c r="AH8"/>
  <c r="AI20"/>
  <c r="AH19"/>
  <c r="AI18"/>
  <c r="AI16"/>
  <c r="AI15"/>
  <c r="AI14"/>
  <c r="AI13"/>
  <c r="AI12"/>
  <c r="AI17" s="1"/>
  <c r="AI11"/>
  <c r="AI10"/>
  <c r="AI9"/>
  <c r="AI8"/>
  <c r="Y18"/>
  <c r="Y16"/>
  <c r="Y14"/>
  <c r="Y13"/>
  <c r="X11"/>
  <c r="X16" s="1"/>
  <c r="Y11"/>
  <c r="X10"/>
  <c r="X15" s="1"/>
  <c r="Y10"/>
  <c r="Y15" s="1"/>
  <c r="X9"/>
  <c r="X14" s="1"/>
  <c r="Y9"/>
  <c r="X8"/>
  <c r="X18" s="1"/>
  <c r="Y8"/>
  <c r="Y12" s="1"/>
  <c r="Y17" s="1"/>
  <c r="T15"/>
  <c r="T13"/>
  <c r="T18" s="1"/>
  <c r="T11"/>
  <c r="T16" s="1"/>
  <c r="T10"/>
  <c r="T9"/>
  <c r="T14" s="1"/>
  <c r="T8"/>
  <c r="T12" s="1"/>
  <c r="T17" s="1"/>
  <c r="T19"/>
  <c r="T20" s="1"/>
  <c r="U13"/>
  <c r="U11"/>
  <c r="U10"/>
  <c r="U15" s="1"/>
  <c r="U9"/>
  <c r="U8"/>
  <c r="U20" s="1"/>
  <c r="V19"/>
  <c r="W18"/>
  <c r="W16"/>
  <c r="W14"/>
  <c r="V13"/>
  <c r="V18" s="1"/>
  <c r="W13"/>
  <c r="W12"/>
  <c r="W17" s="1"/>
  <c r="V11"/>
  <c r="V16" s="1"/>
  <c r="W11"/>
  <c r="V10"/>
  <c r="V15" s="1"/>
  <c r="W10"/>
  <c r="W15" s="1"/>
  <c r="V9"/>
  <c r="V14" s="1"/>
  <c r="W9"/>
  <c r="V8"/>
  <c r="V12" s="1"/>
  <c r="V17" s="1"/>
  <c r="W8"/>
  <c r="W20" s="1"/>
  <c r="Z13"/>
  <c r="Z18" s="1"/>
  <c r="Z11"/>
  <c r="Z16" s="1"/>
  <c r="Z10"/>
  <c r="Z9"/>
  <c r="Z14" s="1"/>
  <c r="Z19"/>
  <c r="AA20"/>
  <c r="AA19"/>
  <c r="AA18"/>
  <c r="AA16"/>
  <c r="AA14"/>
  <c r="AA13"/>
  <c r="AA11"/>
  <c r="AA10"/>
  <c r="AA15" s="1"/>
  <c r="AA9"/>
  <c r="Z8"/>
  <c r="Z12" s="1"/>
  <c r="Z17" s="1"/>
  <c r="AA8"/>
  <c r="AD13"/>
  <c r="AD11"/>
  <c r="AD10"/>
  <c r="AD15" s="1"/>
  <c r="AD9"/>
  <c r="AE18"/>
  <c r="AE16"/>
  <c r="AE14"/>
  <c r="AE13"/>
  <c r="AE11"/>
  <c r="AE10"/>
  <c r="AE15" s="1"/>
  <c r="AE9"/>
  <c r="AD8"/>
  <c r="AD18" s="1"/>
  <c r="AE8"/>
  <c r="AC20"/>
  <c r="AB19"/>
  <c r="AB20" s="1"/>
  <c r="AC19"/>
  <c r="AC18"/>
  <c r="AC15"/>
  <c r="AB13"/>
  <c r="AB18" s="1"/>
  <c r="AC13"/>
  <c r="AB11"/>
  <c r="AB16" s="1"/>
  <c r="AC11"/>
  <c r="AC16" s="1"/>
  <c r="AB10"/>
  <c r="AB15" s="1"/>
  <c r="AC10"/>
  <c r="AC9"/>
  <c r="AC14" s="1"/>
  <c r="AB9"/>
  <c r="AB14" s="1"/>
  <c r="AB8"/>
  <c r="AB12" s="1"/>
  <c r="AB17" s="1"/>
  <c r="AC8"/>
  <c r="N19"/>
  <c r="N20" s="1"/>
  <c r="O19"/>
  <c r="O20" s="1"/>
  <c r="N13"/>
  <c r="N11"/>
  <c r="N10"/>
  <c r="N15" s="1"/>
  <c r="N9"/>
  <c r="N8"/>
  <c r="N18" s="1"/>
  <c r="O13"/>
  <c r="O18" s="1"/>
  <c r="O11"/>
  <c r="O16" s="1"/>
  <c r="O9"/>
  <c r="O14" s="1"/>
  <c r="O10"/>
  <c r="O15" s="1"/>
  <c r="O8"/>
  <c r="O12" s="1"/>
  <c r="O17" s="1"/>
  <c r="R13"/>
  <c r="R18" s="1"/>
  <c r="R11"/>
  <c r="R10"/>
  <c r="R15" s="1"/>
  <c r="R9"/>
  <c r="R8"/>
  <c r="R16" s="1"/>
  <c r="S15"/>
  <c r="S13"/>
  <c r="S18" s="1"/>
  <c r="S11"/>
  <c r="S16" s="1"/>
  <c r="S10"/>
  <c r="S9"/>
  <c r="S14" s="1"/>
  <c r="S8"/>
  <c r="S12" s="1"/>
  <c r="S17" s="1"/>
  <c r="I15"/>
  <c r="H10"/>
  <c r="H15" s="1"/>
  <c r="H11"/>
  <c r="H16" s="1"/>
  <c r="I11"/>
  <c r="I16" s="1"/>
  <c r="I10"/>
  <c r="J11"/>
  <c r="J16" s="1"/>
  <c r="J10"/>
  <c r="J15" s="1"/>
  <c r="K11"/>
  <c r="K16" s="1"/>
  <c r="L11"/>
  <c r="L16" s="1"/>
  <c r="M11"/>
  <c r="M16" s="1"/>
  <c r="L10"/>
  <c r="M10"/>
  <c r="M15" s="1"/>
  <c r="P16"/>
  <c r="P10"/>
  <c r="P15" s="1"/>
  <c r="P11"/>
  <c r="Q10"/>
  <c r="Q15" s="1"/>
  <c r="Q11"/>
  <c r="P19"/>
  <c r="Q19"/>
  <c r="P9"/>
  <c r="P14" s="1"/>
  <c r="P8"/>
  <c r="P18" s="1"/>
  <c r="Q8"/>
  <c r="Q20" s="1"/>
  <c r="Q13"/>
  <c r="Q9"/>
  <c r="J13"/>
  <c r="J18" s="1"/>
  <c r="K13"/>
  <c r="L13"/>
  <c r="L9"/>
  <c r="L8"/>
  <c r="L12" s="1"/>
  <c r="M13"/>
  <c r="M9"/>
  <c r="M8"/>
  <c r="M12" s="1"/>
  <c r="H19"/>
  <c r="H13"/>
  <c r="H12"/>
  <c r="H9"/>
  <c r="H8"/>
  <c r="I13"/>
  <c r="I12"/>
  <c r="I9"/>
  <c r="I8"/>
  <c r="I20" s="1"/>
  <c r="J19"/>
  <c r="K19"/>
  <c r="J9"/>
  <c r="J14" s="1"/>
  <c r="K9"/>
  <c r="K8"/>
  <c r="K12" s="1"/>
  <c r="Q16" l="1"/>
  <c r="P12"/>
  <c r="L15"/>
  <c r="J12"/>
  <c r="J17" s="1"/>
  <c r="R12"/>
  <c r="R17" s="1"/>
  <c r="R14"/>
  <c r="N12"/>
  <c r="N17" s="1"/>
  <c r="N14"/>
  <c r="N16"/>
  <c r="AC12"/>
  <c r="AC17" s="1"/>
  <c r="AE12"/>
  <c r="AE17" s="1"/>
  <c r="AD12"/>
  <c r="AD17" s="1"/>
  <c r="AD14"/>
  <c r="AD16"/>
  <c r="AA12"/>
  <c r="AA17" s="1"/>
  <c r="Z15"/>
  <c r="Z20"/>
  <c r="V20"/>
  <c r="U12"/>
  <c r="U17" s="1"/>
  <c r="U14"/>
  <c r="U16"/>
  <c r="U18"/>
  <c r="X12"/>
  <c r="X17" s="1"/>
  <c r="Q14"/>
  <c r="Q12"/>
  <c r="Q17" s="1"/>
  <c r="K15"/>
  <c r="M18"/>
  <c r="I18"/>
  <c r="L17"/>
  <c r="P20"/>
  <c r="Q18"/>
  <c r="P17"/>
  <c r="M17"/>
  <c r="H18"/>
  <c r="H17"/>
  <c r="H20"/>
  <c r="L14"/>
  <c r="L18"/>
  <c r="K18"/>
  <c r="H14"/>
  <c r="M14"/>
  <c r="K17"/>
  <c r="I17"/>
  <c r="I14"/>
  <c r="K14"/>
</calcChain>
</file>

<file path=xl/sharedStrings.xml><?xml version="1.0" encoding="utf-8"?>
<sst xmlns="http://schemas.openxmlformats.org/spreadsheetml/2006/main" count="49" uniqueCount="25">
  <si>
    <t>Particulars</t>
  </si>
  <si>
    <t>FY14</t>
  </si>
  <si>
    <t>FY15</t>
  </si>
  <si>
    <t>Q1FY16</t>
  </si>
  <si>
    <t>Q2FY16</t>
  </si>
  <si>
    <t>Sales</t>
  </si>
  <si>
    <t xml:space="preserve">Cost of RM </t>
  </si>
  <si>
    <t>Cost of RM as % of sales</t>
  </si>
  <si>
    <t>Inventory</t>
  </si>
  <si>
    <t>Inventory as % of RM</t>
  </si>
  <si>
    <t>FY12</t>
  </si>
  <si>
    <t>FY13</t>
  </si>
  <si>
    <t>WSL</t>
  </si>
  <si>
    <t>JBF Industries</t>
  </si>
  <si>
    <t>PBILDT</t>
  </si>
  <si>
    <t>PBILDT Margin %</t>
  </si>
  <si>
    <t>PAT</t>
  </si>
  <si>
    <t>PAT Margin %</t>
  </si>
  <si>
    <t>Employee Costs</t>
  </si>
  <si>
    <t>Other Expenses</t>
  </si>
  <si>
    <t>Other Expenses as % of sales</t>
  </si>
  <si>
    <t>Employee cost as % of sales</t>
  </si>
  <si>
    <t>Century Enka</t>
  </si>
  <si>
    <t>Sarla Performance Fibers</t>
  </si>
  <si>
    <t xml:space="preserve">Indo Rama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</si>
</sst>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/>
    <xf numFmtId="1" fontId="0" fillId="0" borderId="1" xfId="0" applyNumberFormat="1" applyBorder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6:AK20"/>
  <sheetViews>
    <sheetView tabSelected="1" workbookViewId="0">
      <selection activeCell="G1" sqref="G1:AK1048576"/>
    </sheetView>
  </sheetViews>
  <sheetFormatPr defaultRowHeight="15"/>
  <cols>
    <col min="7" max="7" width="26.85546875" bestFit="1" customWidth="1"/>
    <col min="8" max="8" width="12.28515625" customWidth="1"/>
    <col min="9" max="9" width="10" customWidth="1"/>
    <col min="10" max="34" width="9.140625" customWidth="1"/>
  </cols>
  <sheetData>
    <row r="6" spans="7:37">
      <c r="G6" s="1"/>
      <c r="H6" s="12" t="s">
        <v>12</v>
      </c>
      <c r="I6" s="12"/>
      <c r="J6" s="12"/>
      <c r="K6" s="12"/>
      <c r="L6" s="12"/>
      <c r="M6" s="12"/>
      <c r="N6" s="12" t="s">
        <v>23</v>
      </c>
      <c r="O6" s="12"/>
      <c r="P6" s="12"/>
      <c r="Q6" s="12"/>
      <c r="R6" s="12"/>
      <c r="S6" s="12"/>
      <c r="T6" s="12" t="s">
        <v>24</v>
      </c>
      <c r="U6" s="12"/>
      <c r="V6" s="12"/>
      <c r="W6" s="12"/>
      <c r="X6" s="12"/>
      <c r="Y6" s="12"/>
      <c r="Z6" s="12" t="s">
        <v>22</v>
      </c>
      <c r="AA6" s="12"/>
      <c r="AB6" s="12"/>
      <c r="AC6" s="12"/>
      <c r="AD6" s="12"/>
      <c r="AE6" s="12"/>
      <c r="AF6" s="12" t="s">
        <v>13</v>
      </c>
      <c r="AG6" s="12"/>
      <c r="AH6" s="12"/>
      <c r="AI6" s="12"/>
      <c r="AJ6" s="12"/>
      <c r="AK6" s="12"/>
    </row>
    <row r="7" spans="7:37">
      <c r="G7" s="7" t="s">
        <v>0</v>
      </c>
      <c r="H7" s="8" t="s">
        <v>10</v>
      </c>
      <c r="I7" s="8" t="s">
        <v>11</v>
      </c>
      <c r="J7" s="8" t="s">
        <v>1</v>
      </c>
      <c r="K7" s="8" t="s">
        <v>2</v>
      </c>
      <c r="L7" s="8" t="s">
        <v>3</v>
      </c>
      <c r="M7" s="8" t="s">
        <v>4</v>
      </c>
      <c r="N7" s="8" t="s">
        <v>10</v>
      </c>
      <c r="O7" s="8" t="s">
        <v>11</v>
      </c>
      <c r="P7" s="8" t="s">
        <v>1</v>
      </c>
      <c r="Q7" s="8" t="s">
        <v>2</v>
      </c>
      <c r="R7" s="8" t="s">
        <v>3</v>
      </c>
      <c r="S7" s="8" t="s">
        <v>4</v>
      </c>
      <c r="T7" s="8" t="s">
        <v>10</v>
      </c>
      <c r="U7" s="8" t="s">
        <v>11</v>
      </c>
      <c r="V7" s="8" t="s">
        <v>1</v>
      </c>
      <c r="W7" s="8" t="s">
        <v>2</v>
      </c>
      <c r="X7" s="8" t="s">
        <v>3</v>
      </c>
      <c r="Y7" s="8" t="s">
        <v>4</v>
      </c>
      <c r="Z7" s="8" t="s">
        <v>10</v>
      </c>
      <c r="AA7" s="8" t="s">
        <v>11</v>
      </c>
      <c r="AB7" s="8" t="s">
        <v>1</v>
      </c>
      <c r="AC7" s="8" t="s">
        <v>2</v>
      </c>
      <c r="AD7" s="8" t="s">
        <v>3</v>
      </c>
      <c r="AE7" s="8" t="s">
        <v>4</v>
      </c>
      <c r="AF7" s="8" t="s">
        <v>10</v>
      </c>
      <c r="AG7" s="8" t="s">
        <v>11</v>
      </c>
      <c r="AH7" s="8" t="s">
        <v>1</v>
      </c>
      <c r="AI7" s="8" t="s">
        <v>2</v>
      </c>
      <c r="AJ7" s="8" t="s">
        <v>3</v>
      </c>
      <c r="AK7" s="8" t="s">
        <v>4</v>
      </c>
    </row>
    <row r="8" spans="7:37">
      <c r="G8" s="7" t="s">
        <v>5</v>
      </c>
      <c r="H8" s="5">
        <f>611.55</f>
        <v>611.54999999999995</v>
      </c>
      <c r="I8" s="5">
        <f>776.1182</f>
        <v>776.1182</v>
      </c>
      <c r="J8" s="6">
        <v>896.38149999999996</v>
      </c>
      <c r="K8" s="5">
        <f>834.86</f>
        <v>834.86</v>
      </c>
      <c r="L8" s="5">
        <f>192.84</f>
        <v>192.84</v>
      </c>
      <c r="M8" s="5">
        <f>207.82</f>
        <v>207.82</v>
      </c>
      <c r="N8" s="5">
        <f>182.0592</f>
        <v>182.0592</v>
      </c>
      <c r="O8" s="5">
        <f>233.5398</f>
        <v>233.53980000000001</v>
      </c>
      <c r="P8" s="5">
        <f>246.0591</f>
        <v>246.0591</v>
      </c>
      <c r="Q8" s="5">
        <f>266.928</f>
        <v>266.928</v>
      </c>
      <c r="R8" s="5">
        <f>63.35</f>
        <v>63.35</v>
      </c>
      <c r="S8" s="5">
        <f>64.657</f>
        <v>64.656999999999996</v>
      </c>
      <c r="T8" s="9">
        <f>2968.8</f>
        <v>2968.8</v>
      </c>
      <c r="U8" s="9">
        <f>2910.13</f>
        <v>2910.13</v>
      </c>
      <c r="V8" s="9">
        <f>2592.63</f>
        <v>2592.63</v>
      </c>
      <c r="W8" s="9">
        <f>2708.9</f>
        <v>2708.9</v>
      </c>
      <c r="X8" s="9">
        <f>627.92</f>
        <v>627.91999999999996</v>
      </c>
      <c r="Y8" s="9">
        <f>609.68</f>
        <v>609.67999999999995</v>
      </c>
      <c r="Z8" s="5">
        <f>1649.51</f>
        <v>1649.51</v>
      </c>
      <c r="AA8" s="5">
        <f>1552.17</f>
        <v>1552.17</v>
      </c>
      <c r="AB8" s="5">
        <f>1466.79</f>
        <v>1466.79</v>
      </c>
      <c r="AC8" s="5">
        <f>1218.53</f>
        <v>1218.53</v>
      </c>
      <c r="AD8" s="5">
        <f>301.76</f>
        <v>301.76</v>
      </c>
      <c r="AE8" s="5">
        <f>289.17</f>
        <v>289.17</v>
      </c>
      <c r="AF8" s="5">
        <f>4383.48</f>
        <v>4383.4799999999996</v>
      </c>
      <c r="AG8" s="5">
        <f>4504.09</f>
        <v>4504.09</v>
      </c>
      <c r="AH8" s="5">
        <f>4784.71</f>
        <v>4784.71</v>
      </c>
      <c r="AI8" s="5">
        <f>4126.88</f>
        <v>4126.88</v>
      </c>
      <c r="AJ8" s="5">
        <f>897.92</f>
        <v>897.92</v>
      </c>
      <c r="AK8" s="5">
        <f>830.67</f>
        <v>830.67</v>
      </c>
    </row>
    <row r="9" spans="7:37" hidden="1">
      <c r="G9" s="7" t="s">
        <v>6</v>
      </c>
      <c r="H9" s="5">
        <f>405.3534+6.2316-6.3003</f>
        <v>405.28470000000004</v>
      </c>
      <c r="I9" s="5">
        <f>517.51+7.2611+2.4599</f>
        <v>527.23099999999999</v>
      </c>
      <c r="J9" s="6">
        <f>613.2489-0.4625</f>
        <v>612.78640000000007</v>
      </c>
      <c r="K9" s="5">
        <f>508.8085+8.9557</f>
        <v>517.76419999999996</v>
      </c>
      <c r="L9" s="5">
        <f>112.59-2.62</f>
        <v>109.97</v>
      </c>
      <c r="M9" s="5">
        <f>119.23+0.8</f>
        <v>120.03</v>
      </c>
      <c r="N9" s="5">
        <f>101.1867+7.7005-7/7390</f>
        <v>108.88625277401896</v>
      </c>
      <c r="O9" s="5">
        <f>115.8496+11.7339-3.1488</f>
        <v>124.43470000000001</v>
      </c>
      <c r="P9" s="5">
        <f>127.1859+13.0776+2.4077</f>
        <v>142.6712</v>
      </c>
      <c r="Q9" s="5">
        <f>120.2368+29.6263-5.3716</f>
        <v>144.4915</v>
      </c>
      <c r="R9" s="5">
        <f>28.9143+3.7664+0.4143</f>
        <v>33.094999999999999</v>
      </c>
      <c r="S9" s="5">
        <f>29.3365+5.6095-3.2301</f>
        <v>31.715899999999998</v>
      </c>
      <c r="T9" s="9">
        <f>2278.98+159.4</f>
        <v>2438.38</v>
      </c>
      <c r="U9" s="9">
        <f>2426.62+0.46+8.46</f>
        <v>2435.54</v>
      </c>
      <c r="V9" s="9">
        <f>2125.07+90.57</f>
        <v>2215.6400000000003</v>
      </c>
      <c r="W9" s="10">
        <f>2192.84-39.84</f>
        <v>2153</v>
      </c>
      <c r="X9" s="11">
        <f>554.94-72.33</f>
        <v>482.61000000000007</v>
      </c>
      <c r="Y9" s="9">
        <f>504+9.79</f>
        <v>513.79</v>
      </c>
      <c r="Z9" s="5">
        <f>1163.82+3.74+20.85</f>
        <v>1188.4099999999999</v>
      </c>
      <c r="AA9" s="5">
        <f>1042.32+0.54+46.99</f>
        <v>1089.8499999999999</v>
      </c>
      <c r="AB9" s="5">
        <f>944.87+3.71+14.15</f>
        <v>962.73</v>
      </c>
      <c r="AC9" s="5">
        <f>774.27-14.98+1.74</f>
        <v>761.03</v>
      </c>
      <c r="AD9" s="5">
        <f>159.09+16.31</f>
        <v>175.4</v>
      </c>
      <c r="AE9" s="5">
        <f>168.11+0.09+6.36</f>
        <v>174.56000000000003</v>
      </c>
      <c r="AF9" s="5">
        <f>3558.17+0.14+16.03</f>
        <v>3574.34</v>
      </c>
      <c r="AG9" s="5">
        <f>3558.17+0.14+16.03</f>
        <v>3574.34</v>
      </c>
      <c r="AH9" s="5">
        <f>3798.57+6.98+30.77</f>
        <v>3836.32</v>
      </c>
      <c r="AI9" s="5">
        <f>3105.21+1.57+50.23</f>
        <v>3157.01</v>
      </c>
      <c r="AJ9" s="5">
        <f>792.46-147.31</f>
        <v>645.15000000000009</v>
      </c>
      <c r="AK9" s="5">
        <f>586.09+38.29</f>
        <v>624.38</v>
      </c>
    </row>
    <row r="10" spans="7:37" hidden="1">
      <c r="G10" s="7" t="s">
        <v>19</v>
      </c>
      <c r="H10" s="5">
        <f>139.015</f>
        <v>139.01499999999999</v>
      </c>
      <c r="I10" s="5">
        <f>168.1498</f>
        <v>168.1498</v>
      </c>
      <c r="J10" s="6">
        <f>184.8673</f>
        <v>184.8673</v>
      </c>
      <c r="K10" s="5">
        <v>190.02180000000001</v>
      </c>
      <c r="L10" s="5">
        <f>48.83</f>
        <v>48.83</v>
      </c>
      <c r="M10" s="5">
        <f>52.12</f>
        <v>52.12</v>
      </c>
      <c r="N10" s="5">
        <f>52.7388</f>
        <v>52.738799999999998</v>
      </c>
      <c r="O10" s="5">
        <f>66.0954</f>
        <v>66.095399999999998</v>
      </c>
      <c r="P10" s="5">
        <f>59.5295</f>
        <v>59.529499999999999</v>
      </c>
      <c r="Q10" s="5">
        <f>69.66</f>
        <v>69.66</v>
      </c>
      <c r="R10" s="5">
        <f>15.9767</f>
        <v>15.976699999999999</v>
      </c>
      <c r="S10" s="5">
        <f>15.7295</f>
        <v>15.7295</v>
      </c>
      <c r="T10" s="9">
        <f>345.02</f>
        <v>345.02</v>
      </c>
      <c r="U10" s="9">
        <f>351.68</f>
        <v>351.68</v>
      </c>
      <c r="V10" s="9">
        <f>328.49</f>
        <v>328.49</v>
      </c>
      <c r="W10" s="11">
        <f>393.85</f>
        <v>393.85</v>
      </c>
      <c r="X10" s="9">
        <f>99.77</f>
        <v>99.77</v>
      </c>
      <c r="Y10" s="9">
        <f>83.87</f>
        <v>83.87</v>
      </c>
      <c r="Z10" s="5">
        <f>206.21+114.83</f>
        <v>321.04000000000002</v>
      </c>
      <c r="AA10" s="5">
        <f>178.43+91.54</f>
        <v>269.97000000000003</v>
      </c>
      <c r="AB10" s="5">
        <f>164.42+106.58</f>
        <v>271</v>
      </c>
      <c r="AC10" s="5">
        <f>167.25+103.28</f>
        <v>270.52999999999997</v>
      </c>
      <c r="AD10" s="5">
        <f>43.36+26.99</f>
        <v>70.349999999999994</v>
      </c>
      <c r="AE10" s="5">
        <f>44.18+26.35</f>
        <v>70.53</v>
      </c>
      <c r="AF10" s="5">
        <f>601.76</f>
        <v>601.76</v>
      </c>
      <c r="AG10" s="5">
        <f>601.76</f>
        <v>601.76</v>
      </c>
      <c r="AH10" s="5">
        <f>602.39</f>
        <v>602.39</v>
      </c>
      <c r="AI10" s="5">
        <f>483.68</f>
        <v>483.68</v>
      </c>
      <c r="AJ10" s="5">
        <f>133.76</f>
        <v>133.76</v>
      </c>
      <c r="AK10" s="5">
        <f>92.82</f>
        <v>92.82</v>
      </c>
    </row>
    <row r="11" spans="7:37" hidden="1">
      <c r="G11" s="7" t="s">
        <v>18</v>
      </c>
      <c r="H11" s="5">
        <f>27.7357</f>
        <v>27.735700000000001</v>
      </c>
      <c r="I11" s="5">
        <f>33.7589</f>
        <v>33.758899999999997</v>
      </c>
      <c r="J11" s="6">
        <f>38.8368</f>
        <v>38.836799999999997</v>
      </c>
      <c r="K11" s="5">
        <f>43.3054</f>
        <v>43.305399999999999</v>
      </c>
      <c r="L11" s="5">
        <f>11.66</f>
        <v>11.66</v>
      </c>
      <c r="M11" s="5">
        <f>13.01</f>
        <v>13.01</v>
      </c>
      <c r="N11" s="5">
        <f>4.1717</f>
        <v>4.1717000000000004</v>
      </c>
      <c r="O11" s="5">
        <f>4.9413</f>
        <v>4.9413</v>
      </c>
      <c r="P11" s="5">
        <f>6.1919</f>
        <v>6.1919000000000004</v>
      </c>
      <c r="Q11" s="5">
        <f>7.7829</f>
        <v>7.7828999999999997</v>
      </c>
      <c r="R11" s="5">
        <f>2.4042</f>
        <v>2.4041999999999999</v>
      </c>
      <c r="S11" s="5">
        <f>2.0558</f>
        <v>2.0558000000000001</v>
      </c>
      <c r="T11" s="9">
        <f>73.6</f>
        <v>73.599999999999994</v>
      </c>
      <c r="U11" s="9">
        <f>81.24</f>
        <v>81.239999999999995</v>
      </c>
      <c r="V11" s="9">
        <f>84.41</f>
        <v>84.41</v>
      </c>
      <c r="W11" s="11">
        <f>92.09</f>
        <v>92.09</v>
      </c>
      <c r="X11" s="9">
        <f>27.55</f>
        <v>27.55</v>
      </c>
      <c r="Y11" s="9">
        <f>25.93</f>
        <v>25.93</v>
      </c>
      <c r="Z11" s="5">
        <f>58.79</f>
        <v>58.79</v>
      </c>
      <c r="AA11" s="5">
        <f>56.62</f>
        <v>56.62</v>
      </c>
      <c r="AB11" s="5">
        <f>55.79</f>
        <v>55.79</v>
      </c>
      <c r="AC11" s="5">
        <f>71.3</f>
        <v>71.3</v>
      </c>
      <c r="AD11" s="5">
        <f>17.51</f>
        <v>17.510000000000002</v>
      </c>
      <c r="AE11" s="5">
        <f>18.08</f>
        <v>18.079999999999998</v>
      </c>
      <c r="AF11" s="5">
        <f>56.54</f>
        <v>56.54</v>
      </c>
      <c r="AG11" s="5">
        <f>56.54</f>
        <v>56.54</v>
      </c>
      <c r="AH11" s="5">
        <f>61.77</f>
        <v>61.77</v>
      </c>
      <c r="AI11" s="5">
        <f>73.77</f>
        <v>73.77</v>
      </c>
      <c r="AJ11" s="5">
        <f>20.32</f>
        <v>20.32</v>
      </c>
      <c r="AK11" s="5">
        <f>20.49</f>
        <v>20.49</v>
      </c>
    </row>
    <row r="12" spans="7:37" hidden="1">
      <c r="G12" s="7" t="s">
        <v>14</v>
      </c>
      <c r="H12" s="5">
        <f>41.5181</f>
        <v>41.518099999999997</v>
      </c>
      <c r="I12" s="5">
        <f>49.4819</f>
        <v>49.481900000000003</v>
      </c>
      <c r="J12" s="5">
        <f t="shared" ref="J12:S12" si="0">J8-J9-J10-J11</f>
        <v>59.890999999999892</v>
      </c>
      <c r="K12" s="5">
        <f t="shared" si="0"/>
        <v>83.768600000000049</v>
      </c>
      <c r="L12" s="5">
        <f t="shared" si="0"/>
        <v>22.380000000000006</v>
      </c>
      <c r="M12" s="5">
        <f t="shared" si="0"/>
        <v>22.659999999999997</v>
      </c>
      <c r="N12" s="5">
        <f t="shared" si="0"/>
        <v>16.262447225981049</v>
      </c>
      <c r="O12" s="5">
        <f t="shared" si="0"/>
        <v>38.068400000000011</v>
      </c>
      <c r="P12" s="5">
        <f t="shared" si="0"/>
        <v>37.666499999999999</v>
      </c>
      <c r="Q12" s="5">
        <f t="shared" si="0"/>
        <v>44.993600000000001</v>
      </c>
      <c r="R12" s="5">
        <f t="shared" si="0"/>
        <v>11.874100000000004</v>
      </c>
      <c r="S12" s="5">
        <f t="shared" si="0"/>
        <v>15.155799999999997</v>
      </c>
      <c r="T12" s="5">
        <f t="shared" ref="T12:W12" si="1">T8-T9-T10-T11</f>
        <v>111.8000000000001</v>
      </c>
      <c r="U12" s="5">
        <f t="shared" si="1"/>
        <v>41.670000000000144</v>
      </c>
      <c r="V12" s="5">
        <f t="shared" si="1"/>
        <v>-35.910000000000224</v>
      </c>
      <c r="W12" s="5">
        <f t="shared" si="1"/>
        <v>69.960000000000065</v>
      </c>
      <c r="X12" s="5">
        <f t="shared" ref="X12:AE12" si="2">X8-X9-X10-X11</f>
        <v>17.989999999999892</v>
      </c>
      <c r="Y12" s="5">
        <f t="shared" si="2"/>
        <v>-13.910000000000018</v>
      </c>
      <c r="Z12" s="5">
        <f t="shared" si="2"/>
        <v>81.270000000000124</v>
      </c>
      <c r="AA12" s="5">
        <f t="shared" si="2"/>
        <v>135.73000000000013</v>
      </c>
      <c r="AB12" s="5">
        <f t="shared" si="2"/>
        <v>177.26999999999995</v>
      </c>
      <c r="AC12" s="5">
        <f t="shared" si="2"/>
        <v>115.67000000000003</v>
      </c>
      <c r="AD12" s="5">
        <f t="shared" si="2"/>
        <v>38.499999999999986</v>
      </c>
      <c r="AE12" s="5">
        <f t="shared" si="2"/>
        <v>25.999999999999986</v>
      </c>
      <c r="AF12" s="5">
        <f t="shared" ref="AF12:AK12" si="3">AF8-AF9-AF10-AF11</f>
        <v>150.83999999999943</v>
      </c>
      <c r="AG12" s="5">
        <f t="shared" si="3"/>
        <v>271.45</v>
      </c>
      <c r="AH12" s="5">
        <f t="shared" si="3"/>
        <v>284.2299999999999</v>
      </c>
      <c r="AI12" s="5">
        <f t="shared" si="3"/>
        <v>412.4199999999999</v>
      </c>
      <c r="AJ12" s="5">
        <f t="shared" si="3"/>
        <v>98.689999999999884</v>
      </c>
      <c r="AK12" s="5">
        <f t="shared" si="3"/>
        <v>92.979999999999976</v>
      </c>
    </row>
    <row r="13" spans="7:37" hidden="1">
      <c r="G13" s="7" t="s">
        <v>16</v>
      </c>
      <c r="H13" s="5">
        <f>11.5724</f>
        <v>11.5724</v>
      </c>
      <c r="I13" s="5">
        <f>16.0246</f>
        <v>16.0246</v>
      </c>
      <c r="J13" s="6">
        <f>19.6905</f>
        <v>19.6905</v>
      </c>
      <c r="K13" s="5">
        <f>42.7546</f>
        <v>42.754600000000003</v>
      </c>
      <c r="L13" s="5">
        <f>11.79</f>
        <v>11.79</v>
      </c>
      <c r="M13" s="5">
        <f>12.76</f>
        <v>12.76</v>
      </c>
      <c r="N13" s="5">
        <f>10.9252</f>
        <v>10.9252</v>
      </c>
      <c r="O13" s="5">
        <f>19.4761</f>
        <v>19.476099999999999</v>
      </c>
      <c r="P13" s="5">
        <v>22.2652</v>
      </c>
      <c r="Q13" s="5">
        <f>29.6794</f>
        <v>29.679400000000001</v>
      </c>
      <c r="R13" s="5">
        <f>7.0123</f>
        <v>7.0122999999999998</v>
      </c>
      <c r="S13" s="5">
        <f>13.8558</f>
        <v>13.8558</v>
      </c>
      <c r="T13" s="9">
        <f>31.96</f>
        <v>31.96</v>
      </c>
      <c r="U13" s="9">
        <f>41.26</f>
        <v>41.26</v>
      </c>
      <c r="V13" s="11">
        <f>-8.18</f>
        <v>-8.18</v>
      </c>
      <c r="W13" s="11">
        <f>-21.53</f>
        <v>-21.53</v>
      </c>
      <c r="X13" s="9">
        <v>4.91</v>
      </c>
      <c r="Y13" s="9">
        <f>-43.9</f>
        <v>-43.9</v>
      </c>
      <c r="Z13" s="5">
        <f>8.78</f>
        <v>8.7799999999999994</v>
      </c>
      <c r="AA13" s="5">
        <f>21.89</f>
        <v>21.89</v>
      </c>
      <c r="AB13" s="5">
        <f>62.93</f>
        <v>62.93</v>
      </c>
      <c r="AC13" s="5">
        <f>36.57</f>
        <v>36.57</v>
      </c>
      <c r="AD13" s="5">
        <f>13.63</f>
        <v>13.63</v>
      </c>
      <c r="AE13" s="5">
        <f>11.15</f>
        <v>11.15</v>
      </c>
      <c r="AF13" s="5">
        <f>51.5</f>
        <v>51.5</v>
      </c>
      <c r="AG13" s="5">
        <f>51.48</f>
        <v>51.48</v>
      </c>
      <c r="AH13" s="5">
        <f>14.99</f>
        <v>14.99</v>
      </c>
      <c r="AI13" s="5">
        <f>139.44</f>
        <v>139.44</v>
      </c>
      <c r="AJ13" s="5">
        <f>20.14</f>
        <v>20.14</v>
      </c>
      <c r="AK13" s="5">
        <f>5.43</f>
        <v>5.43</v>
      </c>
    </row>
    <row r="14" spans="7:37">
      <c r="G14" s="7" t="s">
        <v>7</v>
      </c>
      <c r="H14" s="3">
        <f t="shared" ref="H14:AK14" si="4">H9/H8*100</f>
        <v>66.271719401520741</v>
      </c>
      <c r="I14" s="3">
        <f t="shared" si="4"/>
        <v>67.931791832738881</v>
      </c>
      <c r="J14" s="3">
        <f t="shared" si="4"/>
        <v>68.362231929150724</v>
      </c>
      <c r="K14" s="3">
        <f t="shared" si="4"/>
        <v>62.018086864863562</v>
      </c>
      <c r="L14" s="3">
        <f t="shared" si="4"/>
        <v>57.026550508193317</v>
      </c>
      <c r="M14" s="3">
        <f t="shared" si="4"/>
        <v>57.756712539697816</v>
      </c>
      <c r="N14" s="4">
        <f t="shared" si="4"/>
        <v>59.808157332350667</v>
      </c>
      <c r="O14" s="4">
        <f t="shared" si="4"/>
        <v>53.282010175567507</v>
      </c>
      <c r="P14" s="4">
        <f t="shared" si="4"/>
        <v>57.982492823878495</v>
      </c>
      <c r="Q14" s="4">
        <f t="shared" si="4"/>
        <v>54.13126386141581</v>
      </c>
      <c r="R14" s="4">
        <f t="shared" si="4"/>
        <v>52.241515390686658</v>
      </c>
      <c r="S14" s="4">
        <f t="shared" si="4"/>
        <v>49.052538781570441</v>
      </c>
      <c r="T14" s="3">
        <f t="shared" si="4"/>
        <v>82.133521961735383</v>
      </c>
      <c r="U14" s="3">
        <f t="shared" si="4"/>
        <v>83.691793837388701</v>
      </c>
      <c r="V14" s="3">
        <f t="shared" si="4"/>
        <v>85.459166946305501</v>
      </c>
      <c r="W14" s="3">
        <f t="shared" si="4"/>
        <v>79.478755214293614</v>
      </c>
      <c r="X14" s="3">
        <f t="shared" si="4"/>
        <v>76.858517008536126</v>
      </c>
      <c r="Y14" s="3">
        <f t="shared" si="4"/>
        <v>84.27207715522897</v>
      </c>
      <c r="Z14" s="3">
        <f t="shared" si="4"/>
        <v>72.04624403610768</v>
      </c>
      <c r="AA14" s="3">
        <f t="shared" si="4"/>
        <v>70.214602781911765</v>
      </c>
      <c r="AB14" s="3">
        <f t="shared" si="4"/>
        <v>65.635162497699056</v>
      </c>
      <c r="AC14" s="3">
        <f t="shared" si="4"/>
        <v>62.454761064561396</v>
      </c>
      <c r="AD14" s="3">
        <f t="shared" si="4"/>
        <v>58.125662778366916</v>
      </c>
      <c r="AE14" s="3">
        <f t="shared" si="4"/>
        <v>60.365874744959726</v>
      </c>
      <c r="AF14" s="3">
        <f t="shared" si="4"/>
        <v>81.541149953917909</v>
      </c>
      <c r="AG14" s="3">
        <f t="shared" si="4"/>
        <v>79.357650490998182</v>
      </c>
      <c r="AH14" s="3">
        <f t="shared" si="4"/>
        <v>80.178736015348889</v>
      </c>
      <c r="AI14" s="3">
        <f t="shared" si="4"/>
        <v>76.498710890551706</v>
      </c>
      <c r="AJ14" s="3">
        <f t="shared" si="4"/>
        <v>71.849385245901658</v>
      </c>
      <c r="AK14" s="3">
        <f t="shared" si="4"/>
        <v>75.165829992656526</v>
      </c>
    </row>
    <row r="15" spans="7:37">
      <c r="G15" s="7" t="s">
        <v>20</v>
      </c>
      <c r="H15" s="4">
        <f t="shared" ref="H15:I15" si="5">H10/H8*100</f>
        <v>22.731583680811056</v>
      </c>
      <c r="I15" s="4">
        <f t="shared" si="5"/>
        <v>21.665488581507301</v>
      </c>
      <c r="J15" s="4">
        <f t="shared" ref="J15:AK15" si="6">J10/J8*100</f>
        <v>20.623729963190897</v>
      </c>
      <c r="K15" s="4">
        <f t="shared" si="6"/>
        <v>22.760917998227249</v>
      </c>
      <c r="L15" s="4">
        <f t="shared" si="6"/>
        <v>25.321510060153496</v>
      </c>
      <c r="M15" s="4">
        <f t="shared" si="6"/>
        <v>25.079395630834377</v>
      </c>
      <c r="N15" s="4">
        <f t="shared" si="6"/>
        <v>28.96794009860529</v>
      </c>
      <c r="O15" s="4">
        <f t="shared" si="6"/>
        <v>28.301557164988576</v>
      </c>
      <c r="P15" s="4">
        <f t="shared" si="6"/>
        <v>24.193171477909168</v>
      </c>
      <c r="Q15" s="4">
        <f t="shared" si="6"/>
        <v>26.096925013486782</v>
      </c>
      <c r="R15" s="4">
        <f t="shared" si="6"/>
        <v>25.219731649565901</v>
      </c>
      <c r="S15" s="4">
        <f t="shared" si="6"/>
        <v>24.327605673012979</v>
      </c>
      <c r="T15" s="4">
        <f t="shared" si="6"/>
        <v>11.621530584748045</v>
      </c>
      <c r="U15" s="4">
        <f t="shared" si="6"/>
        <v>12.084683502111588</v>
      </c>
      <c r="V15" s="4">
        <f t="shared" si="6"/>
        <v>12.670145759325472</v>
      </c>
      <c r="W15" s="4">
        <f t="shared" si="6"/>
        <v>14.539111816604528</v>
      </c>
      <c r="X15" s="4">
        <f t="shared" si="6"/>
        <v>15.888966747356351</v>
      </c>
      <c r="Y15" s="4">
        <f t="shared" si="6"/>
        <v>13.756396798320432</v>
      </c>
      <c r="Z15" s="4">
        <f t="shared" si="6"/>
        <v>19.46274954380392</v>
      </c>
      <c r="AA15" s="4">
        <f t="shared" si="6"/>
        <v>17.393069058157291</v>
      </c>
      <c r="AB15" s="4">
        <f t="shared" si="6"/>
        <v>18.475719087258572</v>
      </c>
      <c r="AC15" s="4">
        <f t="shared" si="6"/>
        <v>22.20134096000919</v>
      </c>
      <c r="AD15" s="4">
        <f t="shared" si="6"/>
        <v>23.313229056203603</v>
      </c>
      <c r="AE15" s="4">
        <f t="shared" si="6"/>
        <v>24.390496939516545</v>
      </c>
      <c r="AF15" s="4">
        <f t="shared" si="6"/>
        <v>13.727905682243332</v>
      </c>
      <c r="AG15" s="4">
        <f t="shared" si="6"/>
        <v>13.360301414936201</v>
      </c>
      <c r="AH15" s="4">
        <f t="shared" si="6"/>
        <v>12.589895730357744</v>
      </c>
      <c r="AI15" s="4">
        <f t="shared" si="6"/>
        <v>11.720234172062186</v>
      </c>
      <c r="AJ15" s="4">
        <f t="shared" si="6"/>
        <v>14.896650035637919</v>
      </c>
      <c r="AK15" s="4">
        <f t="shared" si="6"/>
        <v>11.174112463433133</v>
      </c>
    </row>
    <row r="16" spans="7:37">
      <c r="G16" s="7" t="s">
        <v>21</v>
      </c>
      <c r="H16" s="4">
        <f t="shared" ref="H16:I16" si="7">H11/H8*100</f>
        <v>4.5353119123538557</v>
      </c>
      <c r="I16" s="4">
        <f t="shared" si="7"/>
        <v>4.3497111651292286</v>
      </c>
      <c r="J16" s="4">
        <f t="shared" ref="J16:AK16" si="8">J11/J8*100</f>
        <v>4.3326195375518122</v>
      </c>
      <c r="K16" s="4">
        <f t="shared" si="8"/>
        <v>5.1871451500850441</v>
      </c>
      <c r="L16" s="4">
        <f t="shared" si="8"/>
        <v>6.0464633893383111</v>
      </c>
      <c r="M16" s="4">
        <f t="shared" si="8"/>
        <v>6.260225194880185</v>
      </c>
      <c r="N16" s="4">
        <f t="shared" si="8"/>
        <v>2.2913975234429245</v>
      </c>
      <c r="O16" s="4">
        <f t="shared" si="8"/>
        <v>2.1158277946628368</v>
      </c>
      <c r="P16" s="4">
        <f t="shared" si="8"/>
        <v>2.516427963850961</v>
      </c>
      <c r="Q16" s="4">
        <f t="shared" si="8"/>
        <v>2.9157300845171732</v>
      </c>
      <c r="R16" s="4">
        <f t="shared" si="8"/>
        <v>3.7951065509076556</v>
      </c>
      <c r="S16" s="4">
        <f t="shared" si="8"/>
        <v>3.1795474581251844</v>
      </c>
      <c r="T16" s="4">
        <f t="shared" si="8"/>
        <v>2.4791161412018323</v>
      </c>
      <c r="U16" s="4">
        <f t="shared" si="8"/>
        <v>2.7916278654218192</v>
      </c>
      <c r="V16" s="4">
        <f t="shared" si="8"/>
        <v>3.2557673096431032</v>
      </c>
      <c r="W16" s="4">
        <f t="shared" si="8"/>
        <v>3.399534866550999</v>
      </c>
      <c r="X16" s="4">
        <f t="shared" si="8"/>
        <v>4.3875015925595626</v>
      </c>
      <c r="Y16" s="4">
        <f t="shared" si="8"/>
        <v>4.2530507807374365</v>
      </c>
      <c r="Z16" s="4">
        <f t="shared" si="8"/>
        <v>3.5640887293802401</v>
      </c>
      <c r="AA16" s="4">
        <f t="shared" si="8"/>
        <v>3.6477963109710916</v>
      </c>
      <c r="AB16" s="4">
        <f t="shared" si="8"/>
        <v>3.8035437929083238</v>
      </c>
      <c r="AC16" s="4">
        <f t="shared" si="8"/>
        <v>5.8513126472060595</v>
      </c>
      <c r="AD16" s="4">
        <f t="shared" si="8"/>
        <v>5.8026246023329806</v>
      </c>
      <c r="AE16" s="4">
        <f t="shared" si="8"/>
        <v>6.2523774942075585</v>
      </c>
      <c r="AF16" s="4">
        <f t="shared" si="8"/>
        <v>1.2898427733216531</v>
      </c>
      <c r="AG16" s="4">
        <f t="shared" si="8"/>
        <v>1.2553035130292689</v>
      </c>
      <c r="AH16" s="4">
        <f t="shared" si="8"/>
        <v>1.29098733256561</v>
      </c>
      <c r="AI16" s="4">
        <f t="shared" si="8"/>
        <v>1.7875489473888264</v>
      </c>
      <c r="AJ16" s="4">
        <f t="shared" si="8"/>
        <v>2.2630078403421243</v>
      </c>
      <c r="AK16" s="4">
        <f t="shared" si="8"/>
        <v>2.4666835205316189</v>
      </c>
    </row>
    <row r="17" spans="7:37">
      <c r="G17" s="7" t="s">
        <v>15</v>
      </c>
      <c r="H17" s="4">
        <f t="shared" ref="H17:AK17" si="9">H12/H8*100</f>
        <v>6.7889951761916434</v>
      </c>
      <c r="I17" s="4">
        <f t="shared" si="9"/>
        <v>6.3755623821216929</v>
      </c>
      <c r="J17" s="4">
        <f t="shared" si="9"/>
        <v>6.6814185701065769</v>
      </c>
      <c r="K17" s="4">
        <f t="shared" si="9"/>
        <v>10.033849986824144</v>
      </c>
      <c r="L17" s="4">
        <f t="shared" si="9"/>
        <v>11.605476042314876</v>
      </c>
      <c r="M17" s="4">
        <f t="shared" si="9"/>
        <v>10.903666634587623</v>
      </c>
      <c r="N17" s="4">
        <f t="shared" si="9"/>
        <v>8.9325050456011272</v>
      </c>
      <c r="O17" s="4">
        <f t="shared" si="9"/>
        <v>16.300604864781082</v>
      </c>
      <c r="P17" s="4">
        <f t="shared" si="9"/>
        <v>15.307907734361379</v>
      </c>
      <c r="Q17" s="4">
        <f t="shared" si="9"/>
        <v>16.856081040580232</v>
      </c>
      <c r="R17" s="4">
        <f t="shared" si="9"/>
        <v>18.743646408839783</v>
      </c>
      <c r="S17" s="4">
        <f t="shared" si="9"/>
        <v>23.440308087291399</v>
      </c>
      <c r="T17" s="4">
        <f t="shared" si="9"/>
        <v>3.7658313123147429</v>
      </c>
      <c r="U17" s="4">
        <f t="shared" si="9"/>
        <v>1.431894795077888</v>
      </c>
      <c r="V17" s="4">
        <f t="shared" si="9"/>
        <v>-1.3850800152740739</v>
      </c>
      <c r="W17" s="4">
        <f t="shared" si="9"/>
        <v>2.5825981025508531</v>
      </c>
      <c r="X17" s="4">
        <f t="shared" si="9"/>
        <v>2.8650146515479507</v>
      </c>
      <c r="Y17" s="4">
        <f t="shared" si="9"/>
        <v>-2.2815247342868421</v>
      </c>
      <c r="Z17" s="4">
        <f t="shared" si="9"/>
        <v>4.9269176907081578</v>
      </c>
      <c r="AA17" s="4">
        <f t="shared" si="9"/>
        <v>8.7445318489598503</v>
      </c>
      <c r="AB17" s="4">
        <f t="shared" si="9"/>
        <v>12.085574622134045</v>
      </c>
      <c r="AC17" s="4">
        <f t="shared" si="9"/>
        <v>9.4925853282233525</v>
      </c>
      <c r="AD17" s="4">
        <f t="shared" si="9"/>
        <v>12.758483563096496</v>
      </c>
      <c r="AE17" s="4">
        <f t="shared" si="9"/>
        <v>8.991250821316175</v>
      </c>
      <c r="AF17" s="4">
        <f t="shared" si="9"/>
        <v>3.441101590517111</v>
      </c>
      <c r="AG17" s="4">
        <f t="shared" si="9"/>
        <v>6.0267445810363469</v>
      </c>
      <c r="AH17" s="4">
        <f t="shared" si="9"/>
        <v>5.9403809217277521</v>
      </c>
      <c r="AI17" s="4">
        <f t="shared" si="9"/>
        <v>9.9935059899972831</v>
      </c>
      <c r="AJ17" s="4">
        <f t="shared" si="9"/>
        <v>10.990956878118304</v>
      </c>
      <c r="AK17" s="4">
        <f t="shared" si="9"/>
        <v>11.193374023378716</v>
      </c>
    </row>
    <row r="18" spans="7:37" hidden="1">
      <c r="G18" s="7" t="s">
        <v>17</v>
      </c>
      <c r="H18" s="4">
        <f t="shared" ref="H18:AK18" si="10">H13/H8*100</f>
        <v>1.89230643446979</v>
      </c>
      <c r="I18" s="4">
        <f t="shared" si="10"/>
        <v>2.0647112772255567</v>
      </c>
      <c r="J18" s="4">
        <f t="shared" si="10"/>
        <v>2.1966651475961965</v>
      </c>
      <c r="K18" s="4">
        <f t="shared" si="10"/>
        <v>5.1211700165297174</v>
      </c>
      <c r="L18" s="4">
        <f t="shared" si="10"/>
        <v>6.1138767890479144</v>
      </c>
      <c r="M18" s="4">
        <f t="shared" si="10"/>
        <v>6.1399287845250701</v>
      </c>
      <c r="N18" s="4">
        <f t="shared" si="10"/>
        <v>6.000905200066792</v>
      </c>
      <c r="O18" s="4">
        <f t="shared" si="10"/>
        <v>8.3395207155268594</v>
      </c>
      <c r="P18" s="4">
        <f t="shared" si="10"/>
        <v>9.0487204090399427</v>
      </c>
      <c r="Q18" s="4">
        <f t="shared" si="10"/>
        <v>11.118878499070911</v>
      </c>
      <c r="R18" s="4">
        <f t="shared" si="10"/>
        <v>11.069139700078926</v>
      </c>
      <c r="S18" s="4">
        <f t="shared" si="10"/>
        <v>21.429698253862693</v>
      </c>
      <c r="T18" s="4">
        <f t="shared" si="10"/>
        <v>1.0765292374023174</v>
      </c>
      <c r="U18" s="4">
        <f t="shared" si="10"/>
        <v>1.4178060773917316</v>
      </c>
      <c r="V18" s="4">
        <f t="shared" si="10"/>
        <v>-0.31550973335956151</v>
      </c>
      <c r="W18" s="4">
        <f t="shared" si="10"/>
        <v>-0.79478755214293628</v>
      </c>
      <c r="X18" s="4">
        <f t="shared" si="10"/>
        <v>0.78194674480825588</v>
      </c>
      <c r="Y18" s="4">
        <f t="shared" si="10"/>
        <v>-7.2004986222280545</v>
      </c>
      <c r="Z18" s="4">
        <f t="shared" si="10"/>
        <v>0.53227928293856963</v>
      </c>
      <c r="AA18" s="4">
        <f t="shared" si="10"/>
        <v>1.4102836673817944</v>
      </c>
      <c r="AB18" s="4">
        <f t="shared" si="10"/>
        <v>4.2903210411851731</v>
      </c>
      <c r="AC18" s="4">
        <f t="shared" si="10"/>
        <v>3.0011571319540757</v>
      </c>
      <c r="AD18" s="4">
        <f t="shared" si="10"/>
        <v>4.5168345705196185</v>
      </c>
      <c r="AE18" s="4">
        <f t="shared" si="10"/>
        <v>3.8558633329875156</v>
      </c>
      <c r="AF18" s="4">
        <f t="shared" si="10"/>
        <v>1.1748656318723938</v>
      </c>
      <c r="AG18" s="4">
        <f t="shared" si="10"/>
        <v>1.1429611752873499</v>
      </c>
      <c r="AH18" s="4">
        <f t="shared" si="10"/>
        <v>0.31328962465854771</v>
      </c>
      <c r="AI18" s="4">
        <f t="shared" si="10"/>
        <v>3.3788237118598068</v>
      </c>
      <c r="AJ18" s="4">
        <f t="shared" si="10"/>
        <v>2.242961511047755</v>
      </c>
      <c r="AK18" s="4">
        <f t="shared" si="10"/>
        <v>0.65368919065332798</v>
      </c>
    </row>
    <row r="19" spans="7:37" hidden="1">
      <c r="G19" s="7" t="s">
        <v>8</v>
      </c>
      <c r="H19" s="5">
        <f>63.9709</f>
        <v>63.9709</v>
      </c>
      <c r="I19" s="5">
        <v>73.754499999999993</v>
      </c>
      <c r="J19" s="6">
        <f>78.2778</f>
        <v>78.277799999999999</v>
      </c>
      <c r="K19" s="5">
        <f>65.0796</f>
        <v>65.079599999999999</v>
      </c>
      <c r="L19" s="1"/>
      <c r="M19" s="1"/>
      <c r="N19" s="5">
        <f>38.3048</f>
        <v>38.3048</v>
      </c>
      <c r="O19" s="5">
        <f>45.532</f>
        <v>45.531999999999996</v>
      </c>
      <c r="P19" s="5">
        <f>40.8638</f>
        <v>40.863799999999998</v>
      </c>
      <c r="Q19" s="5">
        <f>48.7572</f>
        <v>48.757199999999997</v>
      </c>
      <c r="R19" s="1"/>
      <c r="S19" s="1"/>
      <c r="T19" s="9">
        <f>363.6</f>
        <v>363.6</v>
      </c>
      <c r="U19" s="9">
        <v>303.60000000000002</v>
      </c>
      <c r="V19" s="9">
        <f>293.61</f>
        <v>293.61</v>
      </c>
      <c r="W19" s="11">
        <v>273.48</v>
      </c>
      <c r="X19" s="2"/>
      <c r="Y19" s="2"/>
      <c r="Z19" s="5">
        <f>244.62</f>
        <v>244.62</v>
      </c>
      <c r="AA19" s="5">
        <f>207.3</f>
        <v>207.3</v>
      </c>
      <c r="AB19" s="5">
        <f>212.05</f>
        <v>212.05</v>
      </c>
      <c r="AC19" s="5">
        <f>202.52</f>
        <v>202.52</v>
      </c>
      <c r="AD19" s="1"/>
      <c r="AE19" s="1"/>
      <c r="AF19" s="5">
        <f>458.94</f>
        <v>458.94</v>
      </c>
      <c r="AG19" s="5">
        <f>396.24</f>
        <v>396.24</v>
      </c>
      <c r="AH19" s="5">
        <f>440.53</f>
        <v>440.53</v>
      </c>
      <c r="AI19" s="5">
        <v>335.29</v>
      </c>
      <c r="AJ19" s="1"/>
      <c r="AK19" s="1"/>
    </row>
    <row r="20" spans="7:37" hidden="1">
      <c r="G20" s="7" t="s">
        <v>9</v>
      </c>
      <c r="H20" s="4">
        <f>H19/H8*100</f>
        <v>10.460452947428665</v>
      </c>
      <c r="I20" s="4">
        <f>I19/I8*100</f>
        <v>9.5029983834936473</v>
      </c>
      <c r="J20" s="4">
        <f>(J19/J8)*360</f>
        <v>31.437516280735377</v>
      </c>
      <c r="K20" s="4">
        <f>(K19/K8)*360</f>
        <v>28.062975828282585</v>
      </c>
      <c r="L20" s="1"/>
      <c r="M20" s="1"/>
      <c r="N20" s="4">
        <f>N19/N8*100</f>
        <v>21.039749707787355</v>
      </c>
      <c r="O20" s="4">
        <f>O19/O8*100</f>
        <v>19.496462701432474</v>
      </c>
      <c r="P20" s="4">
        <f>P19/P8*100</f>
        <v>16.607311007802597</v>
      </c>
      <c r="Q20" s="4">
        <f>Q19/Q8*100</f>
        <v>18.266049271713719</v>
      </c>
      <c r="R20" s="1"/>
      <c r="S20" s="1"/>
      <c r="T20" s="4">
        <f>T19/T8*100</f>
        <v>12.247372675828618</v>
      </c>
      <c r="U20" s="4">
        <f>U19/U8*100</f>
        <v>10.43252363296485</v>
      </c>
      <c r="V20" s="4">
        <f>V19/V8*100</f>
        <v>11.324793742261718</v>
      </c>
      <c r="W20" s="4">
        <f>W19/W8*100</f>
        <v>10.095610764516962</v>
      </c>
      <c r="X20" s="2"/>
      <c r="Y20" s="2"/>
      <c r="Z20" s="4">
        <f t="shared" ref="Z20:AC20" si="11">Z19/Z8*100</f>
        <v>14.829858564058418</v>
      </c>
      <c r="AA20" s="4">
        <f t="shared" si="11"/>
        <v>13.355495854191229</v>
      </c>
      <c r="AB20" s="4">
        <f t="shared" si="11"/>
        <v>14.456738865140887</v>
      </c>
      <c r="AC20" s="4">
        <f t="shared" si="11"/>
        <v>16.620025768754157</v>
      </c>
      <c r="AD20" s="1"/>
      <c r="AE20" s="1"/>
      <c r="AF20" s="4">
        <f>AF19/AF8*100</f>
        <v>10.469763749349832</v>
      </c>
      <c r="AG20" s="4">
        <f>AG19/AG8*100</f>
        <v>8.7973375309996023</v>
      </c>
      <c r="AH20" s="4">
        <f>AH19/AH8*100</f>
        <v>9.2070365811094081</v>
      </c>
      <c r="AI20" s="4">
        <f>AI19/AI8*100</f>
        <v>8.124539603768465</v>
      </c>
      <c r="AJ20" s="1"/>
      <c r="AK20" s="1"/>
    </row>
  </sheetData>
  <mergeCells count="5">
    <mergeCell ref="H6:M6"/>
    <mergeCell ref="N6:S6"/>
    <mergeCell ref="T6:Y6"/>
    <mergeCell ref="Z6:AE6"/>
    <mergeCell ref="AF6:A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</dc:creator>
  <cp:lastModifiedBy>Ankit</cp:lastModifiedBy>
  <dcterms:created xsi:type="dcterms:W3CDTF">2015-12-15T14:19:30Z</dcterms:created>
  <dcterms:modified xsi:type="dcterms:W3CDTF">2016-05-07T09:19:11Z</dcterms:modified>
</cp:coreProperties>
</file>