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75" windowWidth="11790" windowHeight="5490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Sheet1" sheetId="7" state="hidden" r:id="rId7"/>
  </sheets>
  <definedNames>
    <definedName name="_xlnm.Print_Titles" localSheetId="4">Customization!$1:$1</definedName>
    <definedName name="UPDATE">'Data Sheet'!$E$1</definedName>
  </definedNames>
  <calcPr calcId="124519"/>
</workbook>
</file>

<file path=xl/calcChain.xml><?xml version="1.0" encoding="utf-8"?>
<calcChain xmlns="http://schemas.openxmlformats.org/spreadsheetml/2006/main">
  <c r="H844" i="5"/>
  <c r="I844"/>
  <c r="J844"/>
  <c r="K844"/>
  <c r="G844"/>
  <c r="E843"/>
  <c r="F843"/>
  <c r="G843"/>
  <c r="H843"/>
  <c r="I843"/>
  <c r="J843"/>
  <c r="K843"/>
  <c r="D843"/>
  <c r="E846"/>
  <c r="F846"/>
  <c r="G846"/>
  <c r="H846"/>
  <c r="I846"/>
  <c r="J846"/>
  <c r="K846"/>
  <c r="E845"/>
  <c r="E847" s="1"/>
  <c r="F845"/>
  <c r="F847" s="1"/>
  <c r="G845"/>
  <c r="H845"/>
  <c r="I845"/>
  <c r="I847" s="1"/>
  <c r="J845"/>
  <c r="J847" s="1"/>
  <c r="K845"/>
  <c r="D846"/>
  <c r="D845"/>
  <c r="C835"/>
  <c r="D835"/>
  <c r="E835"/>
  <c r="F835"/>
  <c r="G835"/>
  <c r="H835"/>
  <c r="I835"/>
  <c r="J835"/>
  <c r="K835"/>
  <c r="B835"/>
  <c r="C842"/>
  <c r="D842"/>
  <c r="E842"/>
  <c r="F842"/>
  <c r="G842"/>
  <c r="H842"/>
  <c r="I842"/>
  <c r="J842"/>
  <c r="K842"/>
  <c r="B842"/>
  <c r="C840"/>
  <c r="D840"/>
  <c r="E840"/>
  <c r="F840"/>
  <c r="G840"/>
  <c r="H840"/>
  <c r="I840"/>
  <c r="J840"/>
  <c r="K840"/>
  <c r="B840"/>
  <c r="C839"/>
  <c r="D839"/>
  <c r="E839"/>
  <c r="F839"/>
  <c r="G839"/>
  <c r="H839"/>
  <c r="I839"/>
  <c r="J839"/>
  <c r="K839"/>
  <c r="B839"/>
  <c r="C838"/>
  <c r="D838"/>
  <c r="E838"/>
  <c r="F838"/>
  <c r="G838"/>
  <c r="H838"/>
  <c r="I838"/>
  <c r="J838"/>
  <c r="K838"/>
  <c r="B838"/>
  <c r="C841"/>
  <c r="D841"/>
  <c r="E841"/>
  <c r="F841"/>
  <c r="G841"/>
  <c r="H841"/>
  <c r="I841"/>
  <c r="J841"/>
  <c r="K841"/>
  <c r="B841"/>
  <c r="C837"/>
  <c r="D837"/>
  <c r="E837"/>
  <c r="F837"/>
  <c r="G837"/>
  <c r="H837"/>
  <c r="I837"/>
  <c r="J837"/>
  <c r="K837"/>
  <c r="B837"/>
  <c r="D836"/>
  <c r="E836"/>
  <c r="F836"/>
  <c r="G836"/>
  <c r="H836"/>
  <c r="I836"/>
  <c r="J836"/>
  <c r="K836"/>
  <c r="C836"/>
  <c r="K847" l="1"/>
  <c r="G847"/>
  <c r="D847"/>
  <c r="H847"/>
  <c r="B661"/>
  <c r="C770"/>
  <c r="D770"/>
  <c r="E770"/>
  <c r="F770"/>
  <c r="G770"/>
  <c r="H770"/>
  <c r="I770"/>
  <c r="J770"/>
  <c r="K770"/>
  <c r="B770"/>
  <c r="O19"/>
  <c r="O20"/>
  <c r="O21"/>
  <c r="O38"/>
  <c r="O39"/>
  <c r="O40"/>
  <c r="O45"/>
  <c r="O47"/>
  <c r="O49"/>
  <c r="O50"/>
  <c r="O66"/>
  <c r="O67"/>
  <c r="O81"/>
  <c r="O99"/>
  <c r="O114"/>
  <c r="O119"/>
  <c r="O124"/>
  <c r="O129"/>
  <c r="O148"/>
  <c r="O161"/>
  <c r="O165"/>
  <c r="O167"/>
  <c r="O177"/>
  <c r="O182"/>
  <c r="O187"/>
  <c r="O192"/>
  <c r="O197"/>
  <c r="O202"/>
  <c r="O207"/>
  <c r="O212"/>
  <c r="O217"/>
  <c r="O222"/>
  <c r="O257"/>
  <c r="O271"/>
  <c r="O272"/>
  <c r="O286"/>
  <c r="O308"/>
  <c r="O319"/>
  <c r="O322"/>
  <c r="O334"/>
  <c r="O336"/>
  <c r="O342"/>
  <c r="O347"/>
  <c r="O370"/>
  <c r="O371"/>
  <c r="O375"/>
  <c r="O386"/>
  <c r="O387"/>
  <c r="O392"/>
  <c r="O393"/>
  <c r="O396"/>
  <c r="O409"/>
  <c r="O414"/>
  <c r="O419"/>
  <c r="O420"/>
  <c r="O421"/>
  <c r="O437"/>
  <c r="O439"/>
  <c r="O445"/>
  <c r="O446"/>
  <c r="O447"/>
  <c r="O448"/>
  <c r="O450"/>
  <c r="O452"/>
  <c r="O456"/>
  <c r="O459"/>
  <c r="O463"/>
  <c r="O468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35"/>
  <c r="O539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9"/>
  <c r="O666"/>
  <c r="O677"/>
  <c r="O686"/>
  <c r="O691"/>
  <c r="O692"/>
  <c r="O714"/>
  <c r="O723"/>
  <c r="O727"/>
  <c r="O730"/>
  <c r="O736"/>
  <c r="O737"/>
  <c r="O738"/>
  <c r="O739"/>
  <c r="O740"/>
  <c r="M19"/>
  <c r="N19" s="1"/>
  <c r="M20"/>
  <c r="N20" s="1"/>
  <c r="M21"/>
  <c r="N21" s="1"/>
  <c r="M38"/>
  <c r="N38" s="1"/>
  <c r="M39"/>
  <c r="N39" s="1"/>
  <c r="M40"/>
  <c r="N40" s="1"/>
  <c r="M45"/>
  <c r="N45" s="1"/>
  <c r="M47"/>
  <c r="N47" s="1"/>
  <c r="M49"/>
  <c r="N49" s="1"/>
  <c r="M50"/>
  <c r="N50" s="1"/>
  <c r="M66"/>
  <c r="N66" s="1"/>
  <c r="M67"/>
  <c r="N67" s="1"/>
  <c r="M81"/>
  <c r="N81" s="1"/>
  <c r="M99"/>
  <c r="N99" s="1"/>
  <c r="M114"/>
  <c r="N114" s="1"/>
  <c r="M119"/>
  <c r="N119" s="1"/>
  <c r="M124"/>
  <c r="N124" s="1"/>
  <c r="M129"/>
  <c r="N129" s="1"/>
  <c r="M148"/>
  <c r="N148" s="1"/>
  <c r="M161"/>
  <c r="N161" s="1"/>
  <c r="M165"/>
  <c r="N165" s="1"/>
  <c r="M167"/>
  <c r="N167" s="1"/>
  <c r="M177"/>
  <c r="N177" s="1"/>
  <c r="M182"/>
  <c r="N182" s="1"/>
  <c r="M187"/>
  <c r="N187" s="1"/>
  <c r="M192"/>
  <c r="N192" s="1"/>
  <c r="M197"/>
  <c r="N197" s="1"/>
  <c r="M202"/>
  <c r="N202" s="1"/>
  <c r="M207"/>
  <c r="N207" s="1"/>
  <c r="M212"/>
  <c r="N212" s="1"/>
  <c r="M217"/>
  <c r="N217" s="1"/>
  <c r="M222"/>
  <c r="N222" s="1"/>
  <c r="M257"/>
  <c r="N257" s="1"/>
  <c r="M271"/>
  <c r="N271" s="1"/>
  <c r="M272"/>
  <c r="N272" s="1"/>
  <c r="M286"/>
  <c r="N286" s="1"/>
  <c r="M308"/>
  <c r="N308" s="1"/>
  <c r="M319"/>
  <c r="N319" s="1"/>
  <c r="M322"/>
  <c r="N322" s="1"/>
  <c r="M334"/>
  <c r="N334" s="1"/>
  <c r="M336"/>
  <c r="N336" s="1"/>
  <c r="M342"/>
  <c r="N342" s="1"/>
  <c r="M347"/>
  <c r="N347" s="1"/>
  <c r="M370"/>
  <c r="N370" s="1"/>
  <c r="M371"/>
  <c r="N371" s="1"/>
  <c r="M375"/>
  <c r="N375" s="1"/>
  <c r="M386"/>
  <c r="N386" s="1"/>
  <c r="M387"/>
  <c r="N387" s="1"/>
  <c r="M392"/>
  <c r="N392" s="1"/>
  <c r="M393"/>
  <c r="N393" s="1"/>
  <c r="M396"/>
  <c r="N396" s="1"/>
  <c r="M409"/>
  <c r="N409" s="1"/>
  <c r="M414"/>
  <c r="N414" s="1"/>
  <c r="M419"/>
  <c r="N419" s="1"/>
  <c r="M420"/>
  <c r="N420" s="1"/>
  <c r="M421"/>
  <c r="N421" s="1"/>
  <c r="M437"/>
  <c r="N437" s="1"/>
  <c r="M439"/>
  <c r="N439" s="1"/>
  <c r="M445"/>
  <c r="N445" s="1"/>
  <c r="M446"/>
  <c r="N446" s="1"/>
  <c r="M447"/>
  <c r="N447" s="1"/>
  <c r="M448"/>
  <c r="N448" s="1"/>
  <c r="M450"/>
  <c r="N450" s="1"/>
  <c r="M452"/>
  <c r="N452" s="1"/>
  <c r="M456"/>
  <c r="N456" s="1"/>
  <c r="M459"/>
  <c r="N459" s="1"/>
  <c r="M463"/>
  <c r="N463" s="1"/>
  <c r="M468"/>
  <c r="N468" s="1"/>
  <c r="M476"/>
  <c r="N476" s="1"/>
  <c r="M500"/>
  <c r="N500" s="1"/>
  <c r="M501"/>
  <c r="N501" s="1"/>
  <c r="M519"/>
  <c r="N519" s="1"/>
  <c r="M520"/>
  <c r="N520" s="1"/>
  <c r="M526"/>
  <c r="N526" s="1"/>
  <c r="M535"/>
  <c r="N535" s="1"/>
  <c r="M539"/>
  <c r="N539" s="1"/>
  <c r="M549"/>
  <c r="N549" s="1"/>
  <c r="M550"/>
  <c r="N550" s="1"/>
  <c r="M551"/>
  <c r="N551" s="1"/>
  <c r="M552"/>
  <c r="N552" s="1"/>
  <c r="M553"/>
  <c r="N553" s="1"/>
  <c r="M554"/>
  <c r="N554" s="1"/>
  <c r="M555"/>
  <c r="N555" s="1"/>
  <c r="M556"/>
  <c r="N556" s="1"/>
  <c r="M557"/>
  <c r="N557" s="1"/>
  <c r="M558"/>
  <c r="N558" s="1"/>
  <c r="M559"/>
  <c r="N559" s="1"/>
  <c r="M560"/>
  <c r="N560" s="1"/>
  <c r="M561"/>
  <c r="N561" s="1"/>
  <c r="M562"/>
  <c r="N562" s="1"/>
  <c r="M563"/>
  <c r="N563" s="1"/>
  <c r="M564"/>
  <c r="N564" s="1"/>
  <c r="M565"/>
  <c r="N565" s="1"/>
  <c r="M566"/>
  <c r="N566" s="1"/>
  <c r="M567"/>
  <c r="N567" s="1"/>
  <c r="M568"/>
  <c r="N568" s="1"/>
  <c r="M569"/>
  <c r="N569" s="1"/>
  <c r="M570"/>
  <c r="N570" s="1"/>
  <c r="M571"/>
  <c r="N571" s="1"/>
  <c r="M572"/>
  <c r="N572" s="1"/>
  <c r="M573"/>
  <c r="N573" s="1"/>
  <c r="M574"/>
  <c r="N574" s="1"/>
  <c r="M575"/>
  <c r="N575" s="1"/>
  <c r="M576"/>
  <c r="N576" s="1"/>
  <c r="M577"/>
  <c r="N577" s="1"/>
  <c r="M578"/>
  <c r="N578" s="1"/>
  <c r="M579"/>
  <c r="N579" s="1"/>
  <c r="M581"/>
  <c r="N581" s="1"/>
  <c r="M582"/>
  <c r="N582" s="1"/>
  <c r="M583"/>
  <c r="N583" s="1"/>
  <c r="M584"/>
  <c r="N584" s="1"/>
  <c r="M585"/>
  <c r="N585" s="1"/>
  <c r="M586"/>
  <c r="N586" s="1"/>
  <c r="M587"/>
  <c r="N587" s="1"/>
  <c r="M588"/>
  <c r="N588" s="1"/>
  <c r="M589"/>
  <c r="N589" s="1"/>
  <c r="M590"/>
  <c r="N590" s="1"/>
  <c r="M591"/>
  <c r="N591" s="1"/>
  <c r="M592"/>
  <c r="N592" s="1"/>
  <c r="M593"/>
  <c r="N593" s="1"/>
  <c r="M594"/>
  <c r="N594" s="1"/>
  <c r="M595"/>
  <c r="N595" s="1"/>
  <c r="M596"/>
  <c r="N596" s="1"/>
  <c r="M597"/>
  <c r="N597" s="1"/>
  <c r="M598"/>
  <c r="N598" s="1"/>
  <c r="M599"/>
  <c r="N599" s="1"/>
  <c r="M600"/>
  <c r="N600" s="1"/>
  <c r="M601"/>
  <c r="N601" s="1"/>
  <c r="M602"/>
  <c r="N602" s="1"/>
  <c r="M603"/>
  <c r="N603" s="1"/>
  <c r="M604"/>
  <c r="N604" s="1"/>
  <c r="M605"/>
  <c r="N605" s="1"/>
  <c r="M606"/>
  <c r="N606" s="1"/>
  <c r="M607"/>
  <c r="N607" s="1"/>
  <c r="M608"/>
  <c r="N608" s="1"/>
  <c r="M609"/>
  <c r="N609" s="1"/>
  <c r="M610"/>
  <c r="N610" s="1"/>
  <c r="M611"/>
  <c r="N611" s="1"/>
  <c r="M613"/>
  <c r="N613" s="1"/>
  <c r="M614"/>
  <c r="N614" s="1"/>
  <c r="M615"/>
  <c r="N615" s="1"/>
  <c r="M616"/>
  <c r="N616" s="1"/>
  <c r="M617"/>
  <c r="N617" s="1"/>
  <c r="M618"/>
  <c r="N618" s="1"/>
  <c r="M619"/>
  <c r="N619" s="1"/>
  <c r="M620"/>
  <c r="N620" s="1"/>
  <c r="M621"/>
  <c r="N621" s="1"/>
  <c r="M622"/>
  <c r="N622" s="1"/>
  <c r="M623"/>
  <c r="N623" s="1"/>
  <c r="M624"/>
  <c r="N624" s="1"/>
  <c r="M625"/>
  <c r="N625" s="1"/>
  <c r="M626"/>
  <c r="N626" s="1"/>
  <c r="M627"/>
  <c r="N627" s="1"/>
  <c r="M628"/>
  <c r="N628" s="1"/>
  <c r="M629"/>
  <c r="N629" s="1"/>
  <c r="M630"/>
  <c r="N630" s="1"/>
  <c r="M631"/>
  <c r="N631" s="1"/>
  <c r="M632"/>
  <c r="N632" s="1"/>
  <c r="M633"/>
  <c r="N633" s="1"/>
  <c r="M634"/>
  <c r="N634" s="1"/>
  <c r="M635"/>
  <c r="N635" s="1"/>
  <c r="M636"/>
  <c r="N636" s="1"/>
  <c r="M637"/>
  <c r="N637" s="1"/>
  <c r="M638"/>
  <c r="N638" s="1"/>
  <c r="M639"/>
  <c r="N639" s="1"/>
  <c r="M640"/>
  <c r="N640" s="1"/>
  <c r="M641"/>
  <c r="N641" s="1"/>
  <c r="M642"/>
  <c r="N642" s="1"/>
  <c r="M643"/>
  <c r="N643" s="1"/>
  <c r="M645"/>
  <c r="N645" s="1"/>
  <c r="M646"/>
  <c r="N646" s="1"/>
  <c r="M649"/>
  <c r="N649" s="1"/>
  <c r="M666"/>
  <c r="N666" s="1"/>
  <c r="M677"/>
  <c r="N677" s="1"/>
  <c r="M686"/>
  <c r="N686" s="1"/>
  <c r="M691"/>
  <c r="N691" s="1"/>
  <c r="M692"/>
  <c r="N692" s="1"/>
  <c r="M714"/>
  <c r="N714" s="1"/>
  <c r="M723"/>
  <c r="N723" s="1"/>
  <c r="M727"/>
  <c r="N727" s="1"/>
  <c r="M730"/>
  <c r="N730" s="1"/>
  <c r="M736"/>
  <c r="N736" s="1"/>
  <c r="M737"/>
  <c r="N737" s="1"/>
  <c r="M738"/>
  <c r="N738" s="1"/>
  <c r="M739"/>
  <c r="N739" s="1"/>
  <c r="M740"/>
  <c r="N740" s="1"/>
  <c r="A702"/>
  <c r="A705"/>
  <c r="A704"/>
  <c r="A664" l="1"/>
  <c r="A663"/>
  <c r="A659"/>
  <c r="A657"/>
  <c r="A658"/>
  <c r="A652"/>
  <c r="A653"/>
  <c r="A654"/>
  <c r="A655"/>
  <c r="A656"/>
  <c r="A651"/>
  <c r="C715"/>
  <c r="D715"/>
  <c r="E715"/>
  <c r="F715"/>
  <c r="G715"/>
  <c r="H715"/>
  <c r="I715"/>
  <c r="J715"/>
  <c r="K715"/>
  <c r="B715"/>
  <c r="D717"/>
  <c r="E717"/>
  <c r="F717"/>
  <c r="G717"/>
  <c r="H717"/>
  <c r="I717"/>
  <c r="J717"/>
  <c r="K717"/>
  <c r="C717"/>
  <c r="D716"/>
  <c r="E716"/>
  <c r="F716"/>
  <c r="G716"/>
  <c r="H716"/>
  <c r="I716"/>
  <c r="J716"/>
  <c r="K716"/>
  <c r="C716"/>
  <c r="A291"/>
  <c r="A703"/>
  <c r="E328"/>
  <c r="F328"/>
  <c r="G328"/>
  <c r="H328"/>
  <c r="I328"/>
  <c r="J328"/>
  <c r="K328"/>
  <c r="D328"/>
  <c r="A706"/>
  <c r="B706"/>
  <c r="B704"/>
  <c r="C704"/>
  <c r="D704"/>
  <c r="Y785"/>
  <c r="X785"/>
  <c r="W785"/>
  <c r="V785"/>
  <c r="U785"/>
  <c r="T785"/>
  <c r="S785"/>
  <c r="R785"/>
  <c r="P785"/>
  <c r="Q785"/>
  <c r="B792"/>
  <c r="M785"/>
  <c r="K785"/>
  <c r="J785"/>
  <c r="I785"/>
  <c r="H785"/>
  <c r="G785"/>
  <c r="F785"/>
  <c r="E785"/>
  <c r="D776"/>
  <c r="E776" s="1"/>
  <c r="F776" s="1"/>
  <c r="G776" s="1"/>
  <c r="H776" s="1"/>
  <c r="I776" s="1"/>
  <c r="J776" s="1"/>
  <c r="K776" s="1"/>
  <c r="M776" s="1"/>
  <c r="N776" s="1"/>
  <c r="O776" s="1"/>
  <c r="P776" s="1"/>
  <c r="Q776" s="1"/>
  <c r="R776" s="1"/>
  <c r="S776" s="1"/>
  <c r="T776" s="1"/>
  <c r="U776" s="1"/>
  <c r="V776" s="1"/>
  <c r="W776" s="1"/>
  <c r="X776" s="1"/>
  <c r="Y776" s="1"/>
  <c r="E774"/>
  <c r="F774" s="1"/>
  <c r="G774" s="1"/>
  <c r="H774" s="1"/>
  <c r="I774" s="1"/>
  <c r="J774" s="1"/>
  <c r="K774" s="1"/>
  <c r="M774" s="1"/>
  <c r="N774" s="1"/>
  <c r="O774" s="1"/>
  <c r="P774" s="1"/>
  <c r="Q774" s="1"/>
  <c r="R774" s="1"/>
  <c r="S774" s="1"/>
  <c r="T774" s="1"/>
  <c r="U774" s="1"/>
  <c r="V774" s="1"/>
  <c r="W774" s="1"/>
  <c r="X774" s="1"/>
  <c r="Y774" s="1"/>
  <c r="C228"/>
  <c r="D228"/>
  <c r="E228"/>
  <c r="F228"/>
  <c r="G228"/>
  <c r="H228"/>
  <c r="I228"/>
  <c r="J228"/>
  <c r="K228"/>
  <c r="B228"/>
  <c r="B745"/>
  <c r="A753"/>
  <c r="A761"/>
  <c r="A741"/>
  <c r="B683"/>
  <c r="C683"/>
  <c r="D683"/>
  <c r="E683"/>
  <c r="B682"/>
  <c r="C682"/>
  <c r="D682"/>
  <c r="E682"/>
  <c r="B681"/>
  <c r="C681"/>
  <c r="B680"/>
  <c r="C680"/>
  <c r="A679"/>
  <c r="A680"/>
  <c r="A681"/>
  <c r="A682"/>
  <c r="A683"/>
  <c r="A678"/>
  <c r="A695"/>
  <c r="A698"/>
  <c r="B696"/>
  <c r="A696"/>
  <c r="C735"/>
  <c r="D735"/>
  <c r="E735"/>
  <c r="F735"/>
  <c r="G735"/>
  <c r="H735"/>
  <c r="I735"/>
  <c r="J735"/>
  <c r="K735"/>
  <c r="B735"/>
  <c r="A732"/>
  <c r="A733"/>
  <c r="A734"/>
  <c r="A731"/>
  <c r="C725"/>
  <c r="D725"/>
  <c r="E725"/>
  <c r="F725"/>
  <c r="G725"/>
  <c r="H725"/>
  <c r="I725"/>
  <c r="J725"/>
  <c r="K725"/>
  <c r="B725"/>
  <c r="C724"/>
  <c r="D724"/>
  <c r="E724"/>
  <c r="F724"/>
  <c r="G724"/>
  <c r="H724"/>
  <c r="I724"/>
  <c r="J724"/>
  <c r="K724"/>
  <c r="B724"/>
  <c r="C722"/>
  <c r="D722"/>
  <c r="E722"/>
  <c r="F722"/>
  <c r="G722"/>
  <c r="H722"/>
  <c r="I722"/>
  <c r="J722"/>
  <c r="K722"/>
  <c r="B722"/>
  <c r="C713"/>
  <c r="D713"/>
  <c r="E713"/>
  <c r="F713"/>
  <c r="G713"/>
  <c r="H713"/>
  <c r="I713"/>
  <c r="J713"/>
  <c r="K713"/>
  <c r="B713"/>
  <c r="C701"/>
  <c r="D701"/>
  <c r="E701"/>
  <c r="F701"/>
  <c r="G701"/>
  <c r="H701"/>
  <c r="I701"/>
  <c r="J701"/>
  <c r="K701"/>
  <c r="B701"/>
  <c r="C700"/>
  <c r="D700"/>
  <c r="E700"/>
  <c r="F700"/>
  <c r="G700"/>
  <c r="H700"/>
  <c r="I700"/>
  <c r="J700"/>
  <c r="K700"/>
  <c r="B700"/>
  <c r="C699"/>
  <c r="D699"/>
  <c r="E699"/>
  <c r="F699"/>
  <c r="G699"/>
  <c r="H699"/>
  <c r="I699"/>
  <c r="J699"/>
  <c r="K699"/>
  <c r="B699"/>
  <c r="C687"/>
  <c r="B687"/>
  <c r="C676"/>
  <c r="D676"/>
  <c r="E676"/>
  <c r="F676"/>
  <c r="G676"/>
  <c r="H676"/>
  <c r="I676"/>
  <c r="J676"/>
  <c r="K676"/>
  <c r="B676"/>
  <c r="B674"/>
  <c r="C565"/>
  <c r="C630"/>
  <c r="C629"/>
  <c r="C598"/>
  <c r="C597"/>
  <c r="C566"/>
  <c r="C638"/>
  <c r="C637"/>
  <c r="C634"/>
  <c r="C620" s="1"/>
  <c r="C625" s="1"/>
  <c r="C633"/>
  <c r="C606"/>
  <c r="C605"/>
  <c r="C602"/>
  <c r="C593" s="1"/>
  <c r="C601"/>
  <c r="O328" l="1"/>
  <c r="O715"/>
  <c r="M328"/>
  <c r="N328" s="1"/>
  <c r="M735"/>
  <c r="N735" s="1"/>
  <c r="M228"/>
  <c r="N228" s="1"/>
  <c r="O713"/>
  <c r="O724"/>
  <c r="O735"/>
  <c r="O228"/>
  <c r="O700"/>
  <c r="M700"/>
  <c r="N700" s="1"/>
  <c r="M724"/>
  <c r="N724" s="1"/>
  <c r="M717"/>
  <c r="N717" s="1"/>
  <c r="M676"/>
  <c r="N676" s="1"/>
  <c r="M699"/>
  <c r="N699" s="1"/>
  <c r="M701"/>
  <c r="N701" s="1"/>
  <c r="M722"/>
  <c r="N722" s="1"/>
  <c r="M725"/>
  <c r="N725" s="1"/>
  <c r="M716"/>
  <c r="N716" s="1"/>
  <c r="O717"/>
  <c r="M713"/>
  <c r="N713" s="1"/>
  <c r="M715"/>
  <c r="N715" s="1"/>
  <c r="O676"/>
  <c r="O699"/>
  <c r="O701"/>
  <c r="O722"/>
  <c r="O725"/>
  <c r="O716"/>
  <c r="O785"/>
  <c r="N785"/>
  <c r="K726"/>
  <c r="G726"/>
  <c r="C726"/>
  <c r="J726"/>
  <c r="F726"/>
  <c r="B726"/>
  <c r="H726"/>
  <c r="D726"/>
  <c r="I726"/>
  <c r="E726"/>
  <c r="C631"/>
  <c r="C599"/>
  <c r="C567"/>
  <c r="C588"/>
  <c r="C639"/>
  <c r="C643" s="1"/>
  <c r="C603"/>
  <c r="C610" s="1"/>
  <c r="C635"/>
  <c r="C642" s="1"/>
  <c r="C607"/>
  <c r="C611" s="1"/>
  <c r="C570"/>
  <c r="C556" s="1"/>
  <c r="C561" s="1"/>
  <c r="C569"/>
  <c r="C574"/>
  <c r="C573"/>
  <c r="C554"/>
  <c r="C552"/>
  <c r="C551"/>
  <c r="C558" s="1"/>
  <c r="C550"/>
  <c r="C577" s="1"/>
  <c r="C250"/>
  <c r="D250"/>
  <c r="E250"/>
  <c r="F250"/>
  <c r="G250"/>
  <c r="H250"/>
  <c r="I250"/>
  <c r="J250"/>
  <c r="K250"/>
  <c r="B250"/>
  <c r="C90"/>
  <c r="D90"/>
  <c r="E90"/>
  <c r="F90"/>
  <c r="G90"/>
  <c r="H90"/>
  <c r="I90"/>
  <c r="J90"/>
  <c r="K90"/>
  <c r="B90"/>
  <c r="C256"/>
  <c r="D256"/>
  <c r="E256"/>
  <c r="F256"/>
  <c r="G256"/>
  <c r="H256"/>
  <c r="I256"/>
  <c r="J256"/>
  <c r="K256"/>
  <c r="B256"/>
  <c r="C247"/>
  <c r="C660" s="1"/>
  <c r="D247"/>
  <c r="E247"/>
  <c r="E660" s="1"/>
  <c r="F247"/>
  <c r="F660" s="1"/>
  <c r="G247"/>
  <c r="H247"/>
  <c r="H660" s="1"/>
  <c r="I247"/>
  <c r="J247"/>
  <c r="J660" s="1"/>
  <c r="K247"/>
  <c r="K660" s="1"/>
  <c r="C52"/>
  <c r="C650" s="1"/>
  <c r="D52"/>
  <c r="E52"/>
  <c r="E650" s="1"/>
  <c r="F52"/>
  <c r="F650" s="1"/>
  <c r="G52"/>
  <c r="H52"/>
  <c r="H650" s="1"/>
  <c r="I52"/>
  <c r="J52"/>
  <c r="J650" s="1"/>
  <c r="B52"/>
  <c r="B650" s="1"/>
  <c r="K52"/>
  <c r="K650" s="1"/>
  <c r="B5" i="1"/>
  <c r="C5"/>
  <c r="D5"/>
  <c r="E5"/>
  <c r="F5"/>
  <c r="G5"/>
  <c r="H5"/>
  <c r="I5"/>
  <c r="J5"/>
  <c r="K5"/>
  <c r="O90" i="5" l="1"/>
  <c r="I660"/>
  <c r="O660" s="1"/>
  <c r="O247"/>
  <c r="I650"/>
  <c r="O650" s="1"/>
  <c r="O52"/>
  <c r="G660"/>
  <c r="M256"/>
  <c r="N256" s="1"/>
  <c r="M250"/>
  <c r="N250" s="1"/>
  <c r="M726"/>
  <c r="N726" s="1"/>
  <c r="O256"/>
  <c r="O250"/>
  <c r="O726"/>
  <c r="D650"/>
  <c r="M52"/>
  <c r="N52" s="1"/>
  <c r="G650"/>
  <c r="D660"/>
  <c r="M247"/>
  <c r="N247" s="1"/>
  <c r="M90"/>
  <c r="N90" s="1"/>
  <c r="D580"/>
  <c r="M580" s="1"/>
  <c r="N580" s="1"/>
  <c r="C571"/>
  <c r="C578" s="1"/>
  <c r="C575"/>
  <c r="C579" s="1"/>
  <c r="C616"/>
  <c r="C584"/>
  <c r="C615"/>
  <c r="C618"/>
  <c r="C614"/>
  <c r="C641" s="1"/>
  <c r="C644" s="1"/>
  <c r="C586"/>
  <c r="C583"/>
  <c r="C582"/>
  <c r="C609" s="1"/>
  <c r="C612" s="1"/>
  <c r="M660" l="1"/>
  <c r="N660" s="1"/>
  <c r="M650"/>
  <c r="N650" s="1"/>
  <c r="D644"/>
  <c r="M644" s="1"/>
  <c r="N644" s="1"/>
  <c r="C622"/>
  <c r="D612"/>
  <c r="M612" s="1"/>
  <c r="N612" s="1"/>
  <c r="C590"/>
  <c r="C580"/>
  <c r="D527"/>
  <c r="E527"/>
  <c r="F527"/>
  <c r="G527"/>
  <c r="H527"/>
  <c r="I527"/>
  <c r="J527"/>
  <c r="K527"/>
  <c r="C527"/>
  <c r="D227"/>
  <c r="E227"/>
  <c r="E693" s="1"/>
  <c r="F227"/>
  <c r="F693" s="1"/>
  <c r="G227"/>
  <c r="H227"/>
  <c r="H693" s="1"/>
  <c r="I227"/>
  <c r="J227"/>
  <c r="J693" s="1"/>
  <c r="K227"/>
  <c r="K693" s="1"/>
  <c r="C227"/>
  <c r="C693" s="1"/>
  <c r="B227"/>
  <c r="B693" s="1"/>
  <c r="C403"/>
  <c r="D403"/>
  <c r="E403"/>
  <c r="F403"/>
  <c r="G403"/>
  <c r="H403"/>
  <c r="I403"/>
  <c r="J403"/>
  <c r="K403"/>
  <c r="B403"/>
  <c r="C397"/>
  <c r="D397"/>
  <c r="E397"/>
  <c r="F397"/>
  <c r="G397"/>
  <c r="H397"/>
  <c r="I397"/>
  <c r="J397"/>
  <c r="K397"/>
  <c r="B397"/>
  <c r="C401"/>
  <c r="C410" s="1"/>
  <c r="D401"/>
  <c r="E401"/>
  <c r="F401"/>
  <c r="F410" s="1"/>
  <c r="G401"/>
  <c r="H401"/>
  <c r="H410" s="1"/>
  <c r="I401"/>
  <c r="J401"/>
  <c r="J410" s="1"/>
  <c r="K401"/>
  <c r="K410" s="1"/>
  <c r="B401"/>
  <c r="B410" s="1"/>
  <c r="C402"/>
  <c r="C411" s="1"/>
  <c r="D402"/>
  <c r="E402"/>
  <c r="E411" s="1"/>
  <c r="F402"/>
  <c r="F411" s="1"/>
  <c r="G402"/>
  <c r="H402"/>
  <c r="H411" s="1"/>
  <c r="I402"/>
  <c r="J402"/>
  <c r="K402"/>
  <c r="K411" s="1"/>
  <c r="B402"/>
  <c r="B411" s="1"/>
  <c r="C394"/>
  <c r="D394"/>
  <c r="E394"/>
  <c r="F394"/>
  <c r="G394"/>
  <c r="H394"/>
  <c r="I394"/>
  <c r="J394"/>
  <c r="K394"/>
  <c r="B394"/>
  <c r="O397" l="1"/>
  <c r="G410"/>
  <c r="D410"/>
  <c r="M401"/>
  <c r="N401" s="1"/>
  <c r="G411"/>
  <c r="I410"/>
  <c r="O410" s="1"/>
  <c r="O401"/>
  <c r="D693"/>
  <c r="M227"/>
  <c r="M527"/>
  <c r="N527" s="1"/>
  <c r="O394"/>
  <c r="O403"/>
  <c r="O527"/>
  <c r="I411"/>
  <c r="O402"/>
  <c r="G693"/>
  <c r="N227"/>
  <c r="D411"/>
  <c r="M402"/>
  <c r="N402" s="1"/>
  <c r="I693"/>
  <c r="O693" s="1"/>
  <c r="O227"/>
  <c r="M394"/>
  <c r="N394" s="1"/>
  <c r="M403"/>
  <c r="N403" s="1"/>
  <c r="M397"/>
  <c r="N397" s="1"/>
  <c r="E410"/>
  <c r="E546"/>
  <c r="C546"/>
  <c r="C548"/>
  <c r="C547"/>
  <c r="K540"/>
  <c r="G540"/>
  <c r="J540"/>
  <c r="F540"/>
  <c r="I548"/>
  <c r="E548"/>
  <c r="J547"/>
  <c r="F546"/>
  <c r="C540"/>
  <c r="H540"/>
  <c r="D540"/>
  <c r="J548"/>
  <c r="F548"/>
  <c r="I540"/>
  <c r="E540"/>
  <c r="H548"/>
  <c r="D546"/>
  <c r="H547"/>
  <c r="D547"/>
  <c r="D548"/>
  <c r="K546"/>
  <c r="G546"/>
  <c r="K547"/>
  <c r="G547"/>
  <c r="K548"/>
  <c r="G548"/>
  <c r="H546"/>
  <c r="I546"/>
  <c r="I547"/>
  <c r="E547"/>
  <c r="J411"/>
  <c r="J546"/>
  <c r="F547"/>
  <c r="C93"/>
  <c r="D93"/>
  <c r="E93"/>
  <c r="F93"/>
  <c r="G93"/>
  <c r="H93"/>
  <c r="I93"/>
  <c r="J93"/>
  <c r="K93"/>
  <c r="B93"/>
  <c r="C91"/>
  <c r="D91"/>
  <c r="E91"/>
  <c r="F91"/>
  <c r="G91"/>
  <c r="H91"/>
  <c r="I91"/>
  <c r="J91"/>
  <c r="K91"/>
  <c r="B91"/>
  <c r="L18" i="6"/>
  <c r="L19"/>
  <c r="L20"/>
  <c r="L21"/>
  <c r="L22"/>
  <c r="L23"/>
  <c r="L24"/>
  <c r="L25"/>
  <c r="L26"/>
  <c r="L27"/>
  <c r="L28"/>
  <c r="L29"/>
  <c r="L30"/>
  <c r="L31"/>
  <c r="L42"/>
  <c r="L43"/>
  <c r="L44"/>
  <c r="L45"/>
  <c r="L46"/>
  <c r="L47"/>
  <c r="L48"/>
  <c r="L49"/>
  <c r="L50"/>
  <c r="L57"/>
  <c r="L58"/>
  <c r="L59"/>
  <c r="L60"/>
  <c r="L61"/>
  <c r="L62"/>
  <c r="L63"/>
  <c r="L64"/>
  <c r="L65"/>
  <c r="L66"/>
  <c r="L67"/>
  <c r="L68"/>
  <c r="L69"/>
  <c r="L70"/>
  <c r="L72"/>
  <c r="L82"/>
  <c r="L83"/>
  <c r="L84"/>
  <c r="L85"/>
  <c r="L90"/>
  <c r="L17"/>
  <c r="B247" i="5"/>
  <c r="B660" s="1"/>
  <c r="C279"/>
  <c r="D279"/>
  <c r="E279"/>
  <c r="F279"/>
  <c r="G279"/>
  <c r="H279"/>
  <c r="I279"/>
  <c r="J279"/>
  <c r="K279"/>
  <c r="B279"/>
  <c r="C293"/>
  <c r="D293"/>
  <c r="E293"/>
  <c r="F293"/>
  <c r="G293"/>
  <c r="H293"/>
  <c r="I293"/>
  <c r="J293"/>
  <c r="K293"/>
  <c r="B293"/>
  <c r="C292"/>
  <c r="D292"/>
  <c r="E292"/>
  <c r="F292"/>
  <c r="G292"/>
  <c r="H292"/>
  <c r="I292"/>
  <c r="J292"/>
  <c r="K292"/>
  <c r="B292"/>
  <c r="C289"/>
  <c r="D289"/>
  <c r="E289"/>
  <c r="F289"/>
  <c r="G289"/>
  <c r="H289"/>
  <c r="I289"/>
  <c r="J289"/>
  <c r="K289"/>
  <c r="B289"/>
  <c r="C288"/>
  <c r="D288"/>
  <c r="E288"/>
  <c r="F288"/>
  <c r="G288"/>
  <c r="H288"/>
  <c r="I288"/>
  <c r="J288"/>
  <c r="K288"/>
  <c r="B288"/>
  <c r="C287"/>
  <c r="D287"/>
  <c r="E287"/>
  <c r="F287"/>
  <c r="G287"/>
  <c r="H287"/>
  <c r="I287"/>
  <c r="J287"/>
  <c r="K287"/>
  <c r="B287"/>
  <c r="C290"/>
  <c r="D290"/>
  <c r="E290"/>
  <c r="F290"/>
  <c r="G290"/>
  <c r="H290"/>
  <c r="I290"/>
  <c r="J290"/>
  <c r="K290"/>
  <c r="B290"/>
  <c r="B294" s="1"/>
  <c r="B295" s="1"/>
  <c r="O287" l="1"/>
  <c r="O289"/>
  <c r="O293"/>
  <c r="M693"/>
  <c r="N693" s="1"/>
  <c r="M93"/>
  <c r="N93" s="1"/>
  <c r="M540"/>
  <c r="O93"/>
  <c r="O546"/>
  <c r="M548"/>
  <c r="N548" s="1"/>
  <c r="M547"/>
  <c r="M279"/>
  <c r="N279" s="1"/>
  <c r="M411"/>
  <c r="N411" s="1"/>
  <c r="O411"/>
  <c r="O288"/>
  <c r="O292"/>
  <c r="O279"/>
  <c r="M91"/>
  <c r="O547"/>
  <c r="M546"/>
  <c r="N546" s="1"/>
  <c r="O548"/>
  <c r="M410"/>
  <c r="N410" s="1"/>
  <c r="M290"/>
  <c r="N290" s="1"/>
  <c r="M288"/>
  <c r="N288" s="1"/>
  <c r="M292"/>
  <c r="N292" s="1"/>
  <c r="N91"/>
  <c r="N547"/>
  <c r="O290"/>
  <c r="M287"/>
  <c r="N287" s="1"/>
  <c r="M289"/>
  <c r="N289" s="1"/>
  <c r="M293"/>
  <c r="N293" s="1"/>
  <c r="O91"/>
  <c r="O540"/>
  <c r="N540"/>
  <c r="C302"/>
  <c r="C303"/>
  <c r="E302"/>
  <c r="C294"/>
  <c r="C295" s="1"/>
  <c r="C300"/>
  <c r="D294"/>
  <c r="D300"/>
  <c r="E294"/>
  <c r="E295" s="1"/>
  <c r="E300"/>
  <c r="D303"/>
  <c r="F302"/>
  <c r="E303"/>
  <c r="F300"/>
  <c r="F303"/>
  <c r="D302"/>
  <c r="H303"/>
  <c r="J302"/>
  <c r="K303"/>
  <c r="G303"/>
  <c r="I302"/>
  <c r="I303"/>
  <c r="K302"/>
  <c r="G302"/>
  <c r="J303"/>
  <c r="H302"/>
  <c r="H294"/>
  <c r="H295" s="1"/>
  <c r="H300"/>
  <c r="I294"/>
  <c r="I300"/>
  <c r="J294"/>
  <c r="J295" s="1"/>
  <c r="J300"/>
  <c r="F294"/>
  <c r="F295" s="1"/>
  <c r="K294"/>
  <c r="K300"/>
  <c r="G294"/>
  <c r="G300"/>
  <c r="E297"/>
  <c r="I297"/>
  <c r="B297"/>
  <c r="H297"/>
  <c r="D297"/>
  <c r="J296"/>
  <c r="G296"/>
  <c r="C296"/>
  <c r="B296"/>
  <c r="H296"/>
  <c r="D296"/>
  <c r="J297"/>
  <c r="F297"/>
  <c r="I296"/>
  <c r="E296"/>
  <c r="K297"/>
  <c r="G297"/>
  <c r="C297"/>
  <c r="K296"/>
  <c r="F296"/>
  <c r="D357"/>
  <c r="E357"/>
  <c r="F357"/>
  <c r="G357"/>
  <c r="H357"/>
  <c r="I357"/>
  <c r="J357"/>
  <c r="K357"/>
  <c r="C357"/>
  <c r="C80"/>
  <c r="D80"/>
  <c r="E80"/>
  <c r="F80"/>
  <c r="G80"/>
  <c r="H80"/>
  <c r="I80"/>
  <c r="J80"/>
  <c r="K80"/>
  <c r="C79"/>
  <c r="D79"/>
  <c r="E79"/>
  <c r="F79"/>
  <c r="G79"/>
  <c r="H79"/>
  <c r="I79"/>
  <c r="J79"/>
  <c r="K79"/>
  <c r="C78"/>
  <c r="D78"/>
  <c r="E78"/>
  <c r="F78"/>
  <c r="G78"/>
  <c r="H78"/>
  <c r="I78"/>
  <c r="J78"/>
  <c r="K78"/>
  <c r="C77"/>
  <c r="D77"/>
  <c r="E77"/>
  <c r="F77"/>
  <c r="G77"/>
  <c r="H77"/>
  <c r="I77"/>
  <c r="J77"/>
  <c r="K77"/>
  <c r="C76"/>
  <c r="D76"/>
  <c r="E76"/>
  <c r="F76"/>
  <c r="G76"/>
  <c r="H76"/>
  <c r="I76"/>
  <c r="J76"/>
  <c r="K76"/>
  <c r="C75"/>
  <c r="D75"/>
  <c r="E75"/>
  <c r="F75"/>
  <c r="G75"/>
  <c r="H75"/>
  <c r="I75"/>
  <c r="J75"/>
  <c r="K75"/>
  <c r="C74"/>
  <c r="D74"/>
  <c r="E74"/>
  <c r="F74"/>
  <c r="G74"/>
  <c r="H74"/>
  <c r="I74"/>
  <c r="J74"/>
  <c r="K74"/>
  <c r="C73"/>
  <c r="D73"/>
  <c r="E73"/>
  <c r="F73"/>
  <c r="G73"/>
  <c r="H73"/>
  <c r="I73"/>
  <c r="J73"/>
  <c r="K73"/>
  <c r="C72"/>
  <c r="D72"/>
  <c r="E72"/>
  <c r="F72"/>
  <c r="G72"/>
  <c r="H72"/>
  <c r="I72"/>
  <c r="J72"/>
  <c r="K72"/>
  <c r="C71"/>
  <c r="D71"/>
  <c r="E71"/>
  <c r="F71"/>
  <c r="G71"/>
  <c r="H71"/>
  <c r="I71"/>
  <c r="J71"/>
  <c r="K71"/>
  <c r="C70"/>
  <c r="D70"/>
  <c r="E70"/>
  <c r="F70"/>
  <c r="G70"/>
  <c r="H70"/>
  <c r="I70"/>
  <c r="J70"/>
  <c r="K70"/>
  <c r="C69"/>
  <c r="D69"/>
  <c r="E69"/>
  <c r="F69"/>
  <c r="G69"/>
  <c r="H69"/>
  <c r="I69"/>
  <c r="J69"/>
  <c r="K69"/>
  <c r="C68"/>
  <c r="D68"/>
  <c r="E68"/>
  <c r="F68"/>
  <c r="G68"/>
  <c r="H68"/>
  <c r="I68"/>
  <c r="J68"/>
  <c r="K68"/>
  <c r="B80"/>
  <c r="B79"/>
  <c r="B78"/>
  <c r="B77"/>
  <c r="B76"/>
  <c r="B75"/>
  <c r="B74"/>
  <c r="B73"/>
  <c r="B72"/>
  <c r="B71"/>
  <c r="B70"/>
  <c r="B69"/>
  <c r="B68"/>
  <c r="B252"/>
  <c r="O296" l="1"/>
  <c r="O71"/>
  <c r="O75"/>
  <c r="O79"/>
  <c r="O300"/>
  <c r="O68"/>
  <c r="O72"/>
  <c r="O76"/>
  <c r="O80"/>
  <c r="O302"/>
  <c r="D295"/>
  <c r="M294"/>
  <c r="N294" s="1"/>
  <c r="M70"/>
  <c r="N70" s="1"/>
  <c r="M74"/>
  <c r="N74" s="1"/>
  <c r="M69"/>
  <c r="N69" s="1"/>
  <c r="O70"/>
  <c r="M73"/>
  <c r="N73" s="1"/>
  <c r="O74"/>
  <c r="M77"/>
  <c r="N77" s="1"/>
  <c r="O78"/>
  <c r="O357"/>
  <c r="O297"/>
  <c r="M303"/>
  <c r="N303" s="1"/>
  <c r="I295"/>
  <c r="O294"/>
  <c r="G295"/>
  <c r="M71"/>
  <c r="N71" s="1"/>
  <c r="M75"/>
  <c r="N75" s="1"/>
  <c r="M79"/>
  <c r="N79" s="1"/>
  <c r="M78"/>
  <c r="N78" s="1"/>
  <c r="M357"/>
  <c r="N357" s="1"/>
  <c r="M297"/>
  <c r="N297" s="1"/>
  <c r="O303"/>
  <c r="M68"/>
  <c r="N68" s="1"/>
  <c r="O69"/>
  <c r="M72"/>
  <c r="N72" s="1"/>
  <c r="O73"/>
  <c r="M76"/>
  <c r="N76" s="1"/>
  <c r="O77"/>
  <c r="M80"/>
  <c r="N80" s="1"/>
  <c r="M296"/>
  <c r="N296" s="1"/>
  <c r="M302"/>
  <c r="N302" s="1"/>
  <c r="M300"/>
  <c r="N300" s="1"/>
  <c r="K295"/>
  <c r="C305"/>
  <c r="E304"/>
  <c r="C304"/>
  <c r="D304"/>
  <c r="F304"/>
  <c r="E305"/>
  <c r="F305"/>
  <c r="D305"/>
  <c r="J304"/>
  <c r="H305"/>
  <c r="G305"/>
  <c r="I304"/>
  <c r="H304"/>
  <c r="G304"/>
  <c r="K305"/>
  <c r="J305"/>
  <c r="I305"/>
  <c r="K304"/>
  <c r="C270"/>
  <c r="D270"/>
  <c r="E270"/>
  <c r="F270"/>
  <c r="G270"/>
  <c r="H270"/>
  <c r="I270"/>
  <c r="J270"/>
  <c r="K270"/>
  <c r="B270"/>
  <c r="C268"/>
  <c r="D268"/>
  <c r="E268"/>
  <c r="F268"/>
  <c r="G268"/>
  <c r="H268"/>
  <c r="I268"/>
  <c r="J268"/>
  <c r="K268"/>
  <c r="C269"/>
  <c r="D269"/>
  <c r="E269"/>
  <c r="F269"/>
  <c r="G269"/>
  <c r="H269"/>
  <c r="I269"/>
  <c r="J269"/>
  <c r="K269"/>
  <c r="B269"/>
  <c r="B268"/>
  <c r="C267"/>
  <c r="D267"/>
  <c r="E267"/>
  <c r="F267"/>
  <c r="G267"/>
  <c r="H267"/>
  <c r="I267"/>
  <c r="J267"/>
  <c r="K267"/>
  <c r="B267"/>
  <c r="C266"/>
  <c r="D266"/>
  <c r="E266"/>
  <c r="F266"/>
  <c r="G266"/>
  <c r="H266"/>
  <c r="I266"/>
  <c r="J266"/>
  <c r="K266"/>
  <c r="B266"/>
  <c r="C265"/>
  <c r="D265"/>
  <c r="E265"/>
  <c r="F265"/>
  <c r="G265"/>
  <c r="H265"/>
  <c r="I265"/>
  <c r="J265"/>
  <c r="K265"/>
  <c r="B265"/>
  <c r="C264"/>
  <c r="D264"/>
  <c r="E264"/>
  <c r="F264"/>
  <c r="G264"/>
  <c r="H264"/>
  <c r="I264"/>
  <c r="J264"/>
  <c r="K264"/>
  <c r="B264"/>
  <c r="C262"/>
  <c r="D262"/>
  <c r="E262"/>
  <c r="F262"/>
  <c r="G262"/>
  <c r="H262"/>
  <c r="I262"/>
  <c r="J262"/>
  <c r="K262"/>
  <c r="B262"/>
  <c r="C263"/>
  <c r="D263"/>
  <c r="E263"/>
  <c r="F263"/>
  <c r="G263"/>
  <c r="H263"/>
  <c r="I263"/>
  <c r="J263"/>
  <c r="K263"/>
  <c r="B263"/>
  <c r="O262" l="1"/>
  <c r="O265"/>
  <c r="O267"/>
  <c r="O268"/>
  <c r="M262"/>
  <c r="N262" s="1"/>
  <c r="M265"/>
  <c r="N265" s="1"/>
  <c r="M267"/>
  <c r="N267" s="1"/>
  <c r="M268"/>
  <c r="N268" s="1"/>
  <c r="M269"/>
  <c r="N269" s="1"/>
  <c r="M295"/>
  <c r="N295" s="1"/>
  <c r="M263"/>
  <c r="N263" s="1"/>
  <c r="M264"/>
  <c r="N264" s="1"/>
  <c r="M266"/>
  <c r="N266" s="1"/>
  <c r="O269"/>
  <c r="M270"/>
  <c r="N270" s="1"/>
  <c r="O304"/>
  <c r="M305"/>
  <c r="N305" s="1"/>
  <c r="M304"/>
  <c r="N304" s="1"/>
  <c r="O263"/>
  <c r="O264"/>
  <c r="O266"/>
  <c r="O270"/>
  <c r="O305"/>
  <c r="O295"/>
  <c r="C253"/>
  <c r="D253"/>
  <c r="E253"/>
  <c r="F253"/>
  <c r="G253"/>
  <c r="H253"/>
  <c r="I253"/>
  <c r="J253"/>
  <c r="K253"/>
  <c r="B253"/>
  <c r="C252"/>
  <c r="D252"/>
  <c r="E252"/>
  <c r="F252"/>
  <c r="G252"/>
  <c r="H252"/>
  <c r="I252"/>
  <c r="J252"/>
  <c r="K252"/>
  <c r="C530"/>
  <c r="D530"/>
  <c r="E530"/>
  <c r="F530"/>
  <c r="G530"/>
  <c r="H530"/>
  <c r="I530"/>
  <c r="J530"/>
  <c r="K530"/>
  <c r="B530"/>
  <c r="B527"/>
  <c r="O530" l="1"/>
  <c r="O252"/>
  <c r="M530"/>
  <c r="N530" s="1"/>
  <c r="M253"/>
  <c r="N253" s="1"/>
  <c r="O253"/>
  <c r="M252"/>
  <c r="N252" s="1"/>
  <c r="I534"/>
  <c r="J531"/>
  <c r="F531"/>
  <c r="J534"/>
  <c r="F534"/>
  <c r="E534"/>
  <c r="K534"/>
  <c r="G534"/>
  <c r="D534"/>
  <c r="D531"/>
  <c r="H534"/>
  <c r="E531"/>
  <c r="K531"/>
  <c r="G531"/>
  <c r="H531"/>
  <c r="I531"/>
  <c r="M531" l="1"/>
  <c r="N531" s="1"/>
  <c r="O531"/>
  <c r="M534"/>
  <c r="N534" s="1"/>
  <c r="O534"/>
  <c r="C470"/>
  <c r="C260" s="1"/>
  <c r="D470"/>
  <c r="E470"/>
  <c r="E260" s="1"/>
  <c r="F470"/>
  <c r="F260" s="1"/>
  <c r="G470"/>
  <c r="H470"/>
  <c r="H260" s="1"/>
  <c r="I470"/>
  <c r="J470"/>
  <c r="J260" s="1"/>
  <c r="K470"/>
  <c r="B470"/>
  <c r="B260" s="1"/>
  <c r="C471"/>
  <c r="D361"/>
  <c r="E361"/>
  <c r="F361"/>
  <c r="G361"/>
  <c r="H361"/>
  <c r="I361"/>
  <c r="J361"/>
  <c r="K361"/>
  <c r="C361"/>
  <c r="C65"/>
  <c r="D65"/>
  <c r="E65"/>
  <c r="F65"/>
  <c r="G65"/>
  <c r="H65"/>
  <c r="I65"/>
  <c r="J65"/>
  <c r="K65"/>
  <c r="O361" l="1"/>
  <c r="D260"/>
  <c r="M470"/>
  <c r="N470" s="1"/>
  <c r="M361"/>
  <c r="N361" s="1"/>
  <c r="M65"/>
  <c r="N65" s="1"/>
  <c r="G260"/>
  <c r="I260"/>
  <c r="O470"/>
  <c r="O65"/>
  <c r="K260"/>
  <c r="C362"/>
  <c r="H362"/>
  <c r="D362"/>
  <c r="K362"/>
  <c r="G362"/>
  <c r="E362"/>
  <c r="J362"/>
  <c r="F362"/>
  <c r="I362"/>
  <c r="D461"/>
  <c r="E461"/>
  <c r="F461"/>
  <c r="G461"/>
  <c r="H461"/>
  <c r="I461"/>
  <c r="J461"/>
  <c r="K461"/>
  <c r="C461"/>
  <c r="C464"/>
  <c r="D464"/>
  <c r="E464"/>
  <c r="F464"/>
  <c r="G464"/>
  <c r="H464"/>
  <c r="I464"/>
  <c r="J464"/>
  <c r="K464"/>
  <c r="B464"/>
  <c r="C466"/>
  <c r="D466"/>
  <c r="E466"/>
  <c r="F466"/>
  <c r="G466"/>
  <c r="H466"/>
  <c r="I466"/>
  <c r="J466"/>
  <c r="K466"/>
  <c r="B466"/>
  <c r="D454"/>
  <c r="E454"/>
  <c r="F454"/>
  <c r="G454"/>
  <c r="H454"/>
  <c r="I454"/>
  <c r="J454"/>
  <c r="K454"/>
  <c r="C454"/>
  <c r="B427"/>
  <c r="C432" s="1"/>
  <c r="C422"/>
  <c r="D422"/>
  <c r="E422"/>
  <c r="F422"/>
  <c r="G422"/>
  <c r="H422"/>
  <c r="I422"/>
  <c r="J422"/>
  <c r="K422"/>
  <c r="B422"/>
  <c r="O464" l="1"/>
  <c r="O362"/>
  <c r="M260"/>
  <c r="N260" s="1"/>
  <c r="O260"/>
  <c r="M422"/>
  <c r="N422" s="1"/>
  <c r="M461"/>
  <c r="N461" s="1"/>
  <c r="O422"/>
  <c r="M454"/>
  <c r="N454" s="1"/>
  <c r="O466"/>
  <c r="O461"/>
  <c r="M362"/>
  <c r="N362" s="1"/>
  <c r="M466"/>
  <c r="N466" s="1"/>
  <c r="O454"/>
  <c r="M464"/>
  <c r="N464" s="1"/>
  <c r="C455"/>
  <c r="I455"/>
  <c r="E455"/>
  <c r="J455"/>
  <c r="F455"/>
  <c r="K455"/>
  <c r="G455"/>
  <c r="H455"/>
  <c r="D455"/>
  <c r="C474"/>
  <c r="D474"/>
  <c r="E474"/>
  <c r="F474"/>
  <c r="G474"/>
  <c r="H474"/>
  <c r="I474"/>
  <c r="J474"/>
  <c r="K474"/>
  <c r="B474"/>
  <c r="D471"/>
  <c r="E471"/>
  <c r="F471"/>
  <c r="G471"/>
  <c r="H471"/>
  <c r="I471"/>
  <c r="J471"/>
  <c r="K471"/>
  <c r="O471" l="1"/>
  <c r="M455"/>
  <c r="N455" s="1"/>
  <c r="M474"/>
  <c r="N474" s="1"/>
  <c r="O455"/>
  <c r="M471"/>
  <c r="N471" s="1"/>
  <c r="O474"/>
  <c r="D427"/>
  <c r="E427"/>
  <c r="F432" s="1"/>
  <c r="F427"/>
  <c r="G432" s="1"/>
  <c r="G427"/>
  <c r="H427"/>
  <c r="I432" s="1"/>
  <c r="I427"/>
  <c r="J427"/>
  <c r="K432" s="1"/>
  <c r="K427"/>
  <c r="C427"/>
  <c r="D432" s="1"/>
  <c r="H432" l="1"/>
  <c r="J432"/>
  <c r="O432" s="1"/>
  <c r="O427"/>
  <c r="E432"/>
  <c r="M427"/>
  <c r="N427" s="1"/>
  <c r="K469"/>
  <c r="G469"/>
  <c r="C469"/>
  <c r="H469"/>
  <c r="D469"/>
  <c r="I469"/>
  <c r="E469"/>
  <c r="J469"/>
  <c r="F469"/>
  <c r="F428"/>
  <c r="F363" s="1"/>
  <c r="H428"/>
  <c r="H363" s="1"/>
  <c r="D428"/>
  <c r="I428"/>
  <c r="E428"/>
  <c r="E363" s="1"/>
  <c r="K428"/>
  <c r="K363" s="1"/>
  <c r="G428"/>
  <c r="C428"/>
  <c r="C363" s="1"/>
  <c r="J428"/>
  <c r="J363" s="1"/>
  <c r="M432" l="1"/>
  <c r="N432" s="1"/>
  <c r="G363"/>
  <c r="G415" s="1"/>
  <c r="M469"/>
  <c r="N469" s="1"/>
  <c r="O469"/>
  <c r="D363"/>
  <c r="D415" s="1"/>
  <c r="M428"/>
  <c r="N428" s="1"/>
  <c r="I363"/>
  <c r="O363" s="1"/>
  <c r="O428"/>
  <c r="E415"/>
  <c r="E416" s="1"/>
  <c r="C415"/>
  <c r="C416" s="1"/>
  <c r="F415"/>
  <c r="F416" s="1"/>
  <c r="K415"/>
  <c r="K416" s="1"/>
  <c r="H415"/>
  <c r="H416" s="1"/>
  <c r="J415"/>
  <c r="J416" s="1"/>
  <c r="K429"/>
  <c r="G429"/>
  <c r="I430"/>
  <c r="G430"/>
  <c r="K431"/>
  <c r="E429"/>
  <c r="H429"/>
  <c r="J430"/>
  <c r="I429"/>
  <c r="K430"/>
  <c r="H430"/>
  <c r="F429"/>
  <c r="J429"/>
  <c r="C242"/>
  <c r="D242"/>
  <c r="E242"/>
  <c r="F242"/>
  <c r="G242"/>
  <c r="H242"/>
  <c r="I242"/>
  <c r="J242"/>
  <c r="K242"/>
  <c r="B242"/>
  <c r="C241"/>
  <c r="D241"/>
  <c r="E241"/>
  <c r="F241"/>
  <c r="G241"/>
  <c r="H241"/>
  <c r="I241"/>
  <c r="J241"/>
  <c r="K241"/>
  <c r="B241"/>
  <c r="I415" l="1"/>
  <c r="M415" s="1"/>
  <c r="O242"/>
  <c r="I383"/>
  <c r="M363"/>
  <c r="N363" s="1"/>
  <c r="K383"/>
  <c r="D416"/>
  <c r="G416"/>
  <c r="M241"/>
  <c r="O429"/>
  <c r="O241"/>
  <c r="M429"/>
  <c r="N429" s="1"/>
  <c r="H383"/>
  <c r="J383"/>
  <c r="M242"/>
  <c r="N242" s="1"/>
  <c r="O430"/>
  <c r="D383"/>
  <c r="F383"/>
  <c r="M430"/>
  <c r="N430" s="1"/>
  <c r="O431"/>
  <c r="M431"/>
  <c r="N431" s="1"/>
  <c r="G383"/>
  <c r="E383"/>
  <c r="J449"/>
  <c r="J678"/>
  <c r="H278"/>
  <c r="H679"/>
  <c r="K449"/>
  <c r="K678"/>
  <c r="C449"/>
  <c r="C678"/>
  <c r="E278"/>
  <c r="E679"/>
  <c r="B449"/>
  <c r="B678"/>
  <c r="H449"/>
  <c r="H678"/>
  <c r="D449"/>
  <c r="D678"/>
  <c r="J278"/>
  <c r="J679"/>
  <c r="F278"/>
  <c r="F679"/>
  <c r="F449"/>
  <c r="F678"/>
  <c r="B278"/>
  <c r="B679"/>
  <c r="D278"/>
  <c r="D679"/>
  <c r="G449"/>
  <c r="G678"/>
  <c r="I278"/>
  <c r="I679"/>
  <c r="I449"/>
  <c r="I678"/>
  <c r="E449"/>
  <c r="E678"/>
  <c r="K278"/>
  <c r="K679"/>
  <c r="G278"/>
  <c r="G679"/>
  <c r="C278"/>
  <c r="C679"/>
  <c r="K473"/>
  <c r="K472"/>
  <c r="C472"/>
  <c r="C473"/>
  <c r="G472"/>
  <c r="G473"/>
  <c r="K245"/>
  <c r="K682" s="1"/>
  <c r="I245"/>
  <c r="K246"/>
  <c r="K683" s="1"/>
  <c r="G246"/>
  <c r="J245"/>
  <c r="J682" s="1"/>
  <c r="D244"/>
  <c r="G245"/>
  <c r="H246"/>
  <c r="H683" s="1"/>
  <c r="F246"/>
  <c r="H245"/>
  <c r="H682" s="1"/>
  <c r="I246"/>
  <c r="I243"/>
  <c r="E243"/>
  <c r="E680" s="1"/>
  <c r="K244"/>
  <c r="K681" s="1"/>
  <c r="G244"/>
  <c r="F245"/>
  <c r="J246"/>
  <c r="J683" s="1"/>
  <c r="J243"/>
  <c r="J680" s="1"/>
  <c r="F243"/>
  <c r="F680" s="1"/>
  <c r="H244"/>
  <c r="H681" s="1"/>
  <c r="D243"/>
  <c r="K243"/>
  <c r="K680" s="1"/>
  <c r="G243"/>
  <c r="I244"/>
  <c r="E244"/>
  <c r="E681" s="1"/>
  <c r="J244"/>
  <c r="J681" s="1"/>
  <c r="F244"/>
  <c r="F681" s="1"/>
  <c r="H243"/>
  <c r="H680" s="1"/>
  <c r="A476"/>
  <c r="I416" l="1"/>
  <c r="O416" s="1"/>
  <c r="O415"/>
  <c r="O449"/>
  <c r="O678"/>
  <c r="N415"/>
  <c r="O383"/>
  <c r="F683"/>
  <c r="M246"/>
  <c r="N246" s="1"/>
  <c r="G680"/>
  <c r="G681"/>
  <c r="I683"/>
  <c r="O683" s="1"/>
  <c r="O246"/>
  <c r="G682"/>
  <c r="I681"/>
  <c r="O681" s="1"/>
  <c r="O244"/>
  <c r="F682"/>
  <c r="M245"/>
  <c r="N245" s="1"/>
  <c r="I680"/>
  <c r="O680" s="1"/>
  <c r="O243"/>
  <c r="G683"/>
  <c r="G475"/>
  <c r="O278"/>
  <c r="M278"/>
  <c r="N278" s="1"/>
  <c r="O679"/>
  <c r="M679"/>
  <c r="N679" s="1"/>
  <c r="D680"/>
  <c r="M243"/>
  <c r="N243" s="1"/>
  <c r="D681"/>
  <c r="M244"/>
  <c r="N244" s="1"/>
  <c r="I682"/>
  <c r="O682" s="1"/>
  <c r="O245"/>
  <c r="M449"/>
  <c r="N449" s="1"/>
  <c r="M383"/>
  <c r="N383" s="1"/>
  <c r="M678"/>
  <c r="N678" s="1"/>
  <c r="K685"/>
  <c r="K684"/>
  <c r="K475"/>
  <c r="I472"/>
  <c r="I473"/>
  <c r="J472"/>
  <c r="J473"/>
  <c r="J475" s="1"/>
  <c r="H472"/>
  <c r="H473"/>
  <c r="H475" s="1"/>
  <c r="F472"/>
  <c r="F473"/>
  <c r="D472"/>
  <c r="D473"/>
  <c r="E472"/>
  <c r="E473"/>
  <c r="M416" l="1"/>
  <c r="N416" s="1"/>
  <c r="M472"/>
  <c r="N472" s="1"/>
  <c r="O472"/>
  <c r="M473"/>
  <c r="N473" s="1"/>
  <c r="M681"/>
  <c r="N681" s="1"/>
  <c r="M682"/>
  <c r="N682" s="1"/>
  <c r="M680"/>
  <c r="N680" s="1"/>
  <c r="I475"/>
  <c r="O475" s="1"/>
  <c r="O473"/>
  <c r="O685"/>
  <c r="M685"/>
  <c r="N685" s="1"/>
  <c r="O684"/>
  <c r="M684"/>
  <c r="N684" s="1"/>
  <c r="M683"/>
  <c r="N683" s="1"/>
  <c r="C337"/>
  <c r="D337"/>
  <c r="E337"/>
  <c r="F337"/>
  <c r="G337"/>
  <c r="H337"/>
  <c r="I337"/>
  <c r="J337"/>
  <c r="K337"/>
  <c r="B337"/>
  <c r="C151"/>
  <c r="D151"/>
  <c r="E151"/>
  <c r="F151"/>
  <c r="G151"/>
  <c r="H151"/>
  <c r="I151"/>
  <c r="J151"/>
  <c r="K151"/>
  <c r="B151"/>
  <c r="A1"/>
  <c r="A647" s="1"/>
  <c r="O337" l="1"/>
  <c r="O151"/>
  <c r="M337"/>
  <c r="N337" s="1"/>
  <c r="M151"/>
  <c r="M475"/>
  <c r="N475" s="1"/>
  <c r="B326"/>
  <c r="C326"/>
  <c r="D326"/>
  <c r="E326"/>
  <c r="F326"/>
  <c r="G326"/>
  <c r="H326"/>
  <c r="I326"/>
  <c r="J326"/>
  <c r="K326"/>
  <c r="A326"/>
  <c r="M326" l="1"/>
  <c r="N326" s="1"/>
  <c r="O326"/>
  <c r="K327"/>
  <c r="G327"/>
  <c r="J327"/>
  <c r="F327"/>
  <c r="H327"/>
  <c r="D327"/>
  <c r="I327"/>
  <c r="E327"/>
  <c r="D315"/>
  <c r="E315"/>
  <c r="F315"/>
  <c r="G315"/>
  <c r="H315"/>
  <c r="I315"/>
  <c r="J315"/>
  <c r="K315"/>
  <c r="C315"/>
  <c r="O327" l="1"/>
  <c r="O315"/>
  <c r="M327"/>
  <c r="N327" s="1"/>
  <c r="M315"/>
  <c r="N315" s="1"/>
  <c r="I316"/>
  <c r="E316"/>
  <c r="J316"/>
  <c r="F316"/>
  <c r="K316"/>
  <c r="G316"/>
  <c r="H316"/>
  <c r="C674"/>
  <c r="C745"/>
  <c r="H674"/>
  <c r="H745"/>
  <c r="D674"/>
  <c r="D745"/>
  <c r="I674"/>
  <c r="I745"/>
  <c r="E674"/>
  <c r="E745"/>
  <c r="K674"/>
  <c r="K745"/>
  <c r="G674"/>
  <c r="G745"/>
  <c r="J674"/>
  <c r="J745"/>
  <c r="F674"/>
  <c r="F745"/>
  <c r="C553"/>
  <c r="C555" s="1"/>
  <c r="C617"/>
  <c r="C619" s="1"/>
  <c r="C623" s="1"/>
  <c r="C624" s="1"/>
  <c r="C626" s="1"/>
  <c r="C585"/>
  <c r="C587" s="1"/>
  <c r="C591" s="1"/>
  <c r="C592" s="1"/>
  <c r="C594" s="1"/>
  <c r="F335"/>
  <c r="K335"/>
  <c r="G335"/>
  <c r="J335"/>
  <c r="C335"/>
  <c r="C332"/>
  <c r="H335"/>
  <c r="D335"/>
  <c r="I335"/>
  <c r="E335"/>
  <c r="D314"/>
  <c r="E314"/>
  <c r="F314"/>
  <c r="G314"/>
  <c r="H314"/>
  <c r="I314"/>
  <c r="J314"/>
  <c r="K314"/>
  <c r="C314"/>
  <c r="C164"/>
  <c r="D164"/>
  <c r="E164"/>
  <c r="F164"/>
  <c r="G164"/>
  <c r="H164"/>
  <c r="I164"/>
  <c r="J164"/>
  <c r="K164"/>
  <c r="B164"/>
  <c r="C235"/>
  <c r="C232" s="1"/>
  <c r="C698" s="1"/>
  <c r="D235"/>
  <c r="E235"/>
  <c r="E232" s="1"/>
  <c r="E698" s="1"/>
  <c r="F235"/>
  <c r="F232" s="1"/>
  <c r="F698" s="1"/>
  <c r="G235"/>
  <c r="H235"/>
  <c r="H232" s="1"/>
  <c r="H698" s="1"/>
  <c r="I235"/>
  <c r="J235"/>
  <c r="J232" s="1"/>
  <c r="J698" s="1"/>
  <c r="K235"/>
  <c r="K232" s="1"/>
  <c r="K698" s="1"/>
  <c r="B235"/>
  <c r="B232" s="1"/>
  <c r="B698" s="1"/>
  <c r="C234"/>
  <c r="C695" s="1"/>
  <c r="D234"/>
  <c r="E234"/>
  <c r="E695" s="1"/>
  <c r="F234"/>
  <c r="F695" s="1"/>
  <c r="G234"/>
  <c r="H234"/>
  <c r="H695" s="1"/>
  <c r="I234"/>
  <c r="J234"/>
  <c r="J695" s="1"/>
  <c r="K234"/>
  <c r="K695" s="1"/>
  <c r="B234"/>
  <c r="B695" s="1"/>
  <c r="C276"/>
  <c r="C465" s="1"/>
  <c r="D276"/>
  <c r="E276"/>
  <c r="E465" s="1"/>
  <c r="F276"/>
  <c r="F465" s="1"/>
  <c r="G276"/>
  <c r="H276"/>
  <c r="H465" s="1"/>
  <c r="I276"/>
  <c r="J276"/>
  <c r="J465" s="1"/>
  <c r="K276"/>
  <c r="K465" s="1"/>
  <c r="B276"/>
  <c r="B465" s="1"/>
  <c r="C274"/>
  <c r="D274"/>
  <c r="E274"/>
  <c r="F274"/>
  <c r="G274"/>
  <c r="H274"/>
  <c r="I274"/>
  <c r="J274"/>
  <c r="K274"/>
  <c r="B274"/>
  <c r="O274" l="1"/>
  <c r="O164"/>
  <c r="G465"/>
  <c r="I695"/>
  <c r="O695" s="1"/>
  <c r="O234"/>
  <c r="I465"/>
  <c r="O465" s="1"/>
  <c r="O276"/>
  <c r="G695"/>
  <c r="I232"/>
  <c r="O235"/>
  <c r="D695"/>
  <c r="M234"/>
  <c r="N234" s="1"/>
  <c r="O314"/>
  <c r="M335"/>
  <c r="N335" s="1"/>
  <c r="M674"/>
  <c r="N674" s="1"/>
  <c r="M274"/>
  <c r="N274" s="1"/>
  <c r="M164"/>
  <c r="N164" s="1"/>
  <c r="O335"/>
  <c r="M745"/>
  <c r="N745" s="1"/>
  <c r="O316"/>
  <c r="G232"/>
  <c r="D465"/>
  <c r="M276"/>
  <c r="N276" s="1"/>
  <c r="D232"/>
  <c r="M235"/>
  <c r="N235" s="1"/>
  <c r="O674"/>
  <c r="M316"/>
  <c r="N316" s="1"/>
  <c r="M314"/>
  <c r="N314" s="1"/>
  <c r="O745"/>
  <c r="H746"/>
  <c r="I746"/>
  <c r="E746"/>
  <c r="G746"/>
  <c r="F746"/>
  <c r="K746"/>
  <c r="J746"/>
  <c r="C559"/>
  <c r="C560" s="1"/>
  <c r="C562" s="1"/>
  <c r="D332"/>
  <c r="D367"/>
  <c r="M367" s="1"/>
  <c r="C273"/>
  <c r="C275" s="1"/>
  <c r="D273"/>
  <c r="E273"/>
  <c r="E275" s="1"/>
  <c r="F273"/>
  <c r="F275" s="1"/>
  <c r="G273"/>
  <c r="H273"/>
  <c r="H275" s="1"/>
  <c r="I273"/>
  <c r="J273"/>
  <c r="J275" s="1"/>
  <c r="K273"/>
  <c r="K275" s="1"/>
  <c r="B273"/>
  <c r="B275" s="1"/>
  <c r="M695" l="1"/>
  <c r="N695" s="1"/>
  <c r="M465"/>
  <c r="N465" s="1"/>
  <c r="D275"/>
  <c r="M273"/>
  <c r="N273" s="1"/>
  <c r="I698"/>
  <c r="O698" s="1"/>
  <c r="O232"/>
  <c r="I275"/>
  <c r="O275" s="1"/>
  <c r="O273"/>
  <c r="D698"/>
  <c r="M232"/>
  <c r="N232" s="1"/>
  <c r="G698"/>
  <c r="G275"/>
  <c r="O746"/>
  <c r="M746"/>
  <c r="N746" s="1"/>
  <c r="C150"/>
  <c r="D150"/>
  <c r="E150"/>
  <c r="F150"/>
  <c r="G150"/>
  <c r="H150"/>
  <c r="I150"/>
  <c r="J150"/>
  <c r="K150"/>
  <c r="B150"/>
  <c r="C149"/>
  <c r="D149"/>
  <c r="E149"/>
  <c r="F149"/>
  <c r="G149"/>
  <c r="H149"/>
  <c r="I149"/>
  <c r="J149"/>
  <c r="K149"/>
  <c r="B149"/>
  <c r="C528"/>
  <c r="E528"/>
  <c r="F528"/>
  <c r="G528"/>
  <c r="H528"/>
  <c r="I528"/>
  <c r="J528"/>
  <c r="K528"/>
  <c r="B528"/>
  <c r="O149" l="1"/>
  <c r="M698"/>
  <c r="N698" s="1"/>
  <c r="O150"/>
  <c r="M275"/>
  <c r="N275" s="1"/>
  <c r="M149"/>
  <c r="N149" s="1"/>
  <c r="O528"/>
  <c r="M150"/>
  <c r="N150" s="1"/>
  <c r="K532"/>
  <c r="G532"/>
  <c r="H532"/>
  <c r="I532"/>
  <c r="J532"/>
  <c r="D309"/>
  <c r="D528"/>
  <c r="I309"/>
  <c r="E309"/>
  <c r="J309"/>
  <c r="F309"/>
  <c r="K309"/>
  <c r="G309"/>
  <c r="C309"/>
  <c r="B309"/>
  <c r="H309"/>
  <c r="J152"/>
  <c r="J440" s="1"/>
  <c r="F152"/>
  <c r="F440" s="1"/>
  <c r="B152"/>
  <c r="H152"/>
  <c r="H440" s="1"/>
  <c r="D152"/>
  <c r="I152"/>
  <c r="E152"/>
  <c r="E440" s="1"/>
  <c r="K152"/>
  <c r="K440" s="1"/>
  <c r="G152"/>
  <c r="C152"/>
  <c r="C440" s="1"/>
  <c r="D440" l="1"/>
  <c r="E441" s="1"/>
  <c r="E364" s="1"/>
  <c r="M152"/>
  <c r="N152" s="1"/>
  <c r="I440"/>
  <c r="O440" s="1"/>
  <c r="O152"/>
  <c r="E532"/>
  <c r="M528"/>
  <c r="N528" s="1"/>
  <c r="O309"/>
  <c r="O532"/>
  <c r="G440"/>
  <c r="M309"/>
  <c r="N309" s="1"/>
  <c r="D532"/>
  <c r="F532"/>
  <c r="I311"/>
  <c r="J313"/>
  <c r="J320" s="1"/>
  <c r="J321" s="1"/>
  <c r="H312"/>
  <c r="H317" s="1"/>
  <c r="H318" s="1"/>
  <c r="H323" s="1"/>
  <c r="H330" s="1"/>
  <c r="H313"/>
  <c r="H320" s="1"/>
  <c r="H321" s="1"/>
  <c r="K311"/>
  <c r="H311"/>
  <c r="J312"/>
  <c r="J317" s="1"/>
  <c r="J318" s="1"/>
  <c r="J323" s="1"/>
  <c r="K313"/>
  <c r="K320" s="1"/>
  <c r="K321" s="1"/>
  <c r="D313"/>
  <c r="K312"/>
  <c r="K317" s="1"/>
  <c r="K318" s="1"/>
  <c r="K323" s="1"/>
  <c r="F313"/>
  <c r="F320" s="1"/>
  <c r="F321" s="1"/>
  <c r="I313"/>
  <c r="J311"/>
  <c r="F312"/>
  <c r="E313"/>
  <c r="E320" s="1"/>
  <c r="E321" s="1"/>
  <c r="G313"/>
  <c r="K310"/>
  <c r="G312"/>
  <c r="I312"/>
  <c r="F441"/>
  <c r="F364" s="1"/>
  <c r="K441"/>
  <c r="K364" s="1"/>
  <c r="C98"/>
  <c r="D98"/>
  <c r="E98"/>
  <c r="F98"/>
  <c r="G98"/>
  <c r="H98"/>
  <c r="I98"/>
  <c r="J98"/>
  <c r="K98"/>
  <c r="B98"/>
  <c r="C82"/>
  <c r="D82"/>
  <c r="E82"/>
  <c r="F82"/>
  <c r="G82"/>
  <c r="H82"/>
  <c r="I82"/>
  <c r="J82"/>
  <c r="K82"/>
  <c r="C1"/>
  <c r="C647" s="1"/>
  <c r="D1"/>
  <c r="D647" s="1"/>
  <c r="E1"/>
  <c r="E647" s="1"/>
  <c r="F1"/>
  <c r="F647" s="1"/>
  <c r="G1"/>
  <c r="G647" s="1"/>
  <c r="H1"/>
  <c r="H647" s="1"/>
  <c r="I1"/>
  <c r="I647" s="1"/>
  <c r="J1"/>
  <c r="J647" s="1"/>
  <c r="K1"/>
  <c r="K647" s="1"/>
  <c r="B1"/>
  <c r="B647" s="1"/>
  <c r="B82"/>
  <c r="C64"/>
  <c r="C255" s="1"/>
  <c r="D64"/>
  <c r="E64"/>
  <c r="E255" s="1"/>
  <c r="F64"/>
  <c r="F255" s="1"/>
  <c r="G64"/>
  <c r="H64"/>
  <c r="H255" s="1"/>
  <c r="I64"/>
  <c r="J64"/>
  <c r="J255" s="1"/>
  <c r="K64"/>
  <c r="K255" s="1"/>
  <c r="C63"/>
  <c r="D63"/>
  <c r="E63"/>
  <c r="F63"/>
  <c r="G63"/>
  <c r="H63"/>
  <c r="I63"/>
  <c r="J63"/>
  <c r="K63"/>
  <c r="C62"/>
  <c r="C659" s="1"/>
  <c r="D62"/>
  <c r="E62"/>
  <c r="E659" s="1"/>
  <c r="F62"/>
  <c r="F659" s="1"/>
  <c r="G62"/>
  <c r="H62"/>
  <c r="H659" s="1"/>
  <c r="I62"/>
  <c r="J62"/>
  <c r="J659" s="1"/>
  <c r="K62"/>
  <c r="K659" s="1"/>
  <c r="C61"/>
  <c r="C658" s="1"/>
  <c r="D61"/>
  <c r="E61"/>
  <c r="E658" s="1"/>
  <c r="F61"/>
  <c r="F658" s="1"/>
  <c r="G61"/>
  <c r="H61"/>
  <c r="H658" s="1"/>
  <c r="I61"/>
  <c r="J61"/>
  <c r="J658" s="1"/>
  <c r="K61"/>
  <c r="K658" s="1"/>
  <c r="C60"/>
  <c r="C657" s="1"/>
  <c r="D60"/>
  <c r="E60"/>
  <c r="E657" s="1"/>
  <c r="F60"/>
  <c r="F657" s="1"/>
  <c r="G60"/>
  <c r="H60"/>
  <c r="H657" s="1"/>
  <c r="I60"/>
  <c r="J60"/>
  <c r="J657" s="1"/>
  <c r="K60"/>
  <c r="K657" s="1"/>
  <c r="C59"/>
  <c r="C656" s="1"/>
  <c r="D59"/>
  <c r="E59"/>
  <c r="E656" s="1"/>
  <c r="F59"/>
  <c r="F656" s="1"/>
  <c r="G59"/>
  <c r="H59"/>
  <c r="H656" s="1"/>
  <c r="I59"/>
  <c r="J59"/>
  <c r="J656" s="1"/>
  <c r="K59"/>
  <c r="K656" s="1"/>
  <c r="C58"/>
  <c r="C655" s="1"/>
  <c r="D58"/>
  <c r="E58"/>
  <c r="E655" s="1"/>
  <c r="F58"/>
  <c r="F655" s="1"/>
  <c r="G58"/>
  <c r="H58"/>
  <c r="H655" s="1"/>
  <c r="I58"/>
  <c r="J58"/>
  <c r="J655" s="1"/>
  <c r="K58"/>
  <c r="K655" s="1"/>
  <c r="C57"/>
  <c r="C654" s="1"/>
  <c r="D57"/>
  <c r="E57"/>
  <c r="E654" s="1"/>
  <c r="F57"/>
  <c r="F654" s="1"/>
  <c r="G57"/>
  <c r="H57"/>
  <c r="H654" s="1"/>
  <c r="I57"/>
  <c r="J57"/>
  <c r="J654" s="1"/>
  <c r="K57"/>
  <c r="K654" s="1"/>
  <c r="C56"/>
  <c r="C653" s="1"/>
  <c r="D56"/>
  <c r="E56"/>
  <c r="E653" s="1"/>
  <c r="F56"/>
  <c r="F653" s="1"/>
  <c r="G56"/>
  <c r="H56"/>
  <c r="H653" s="1"/>
  <c r="I56"/>
  <c r="J56"/>
  <c r="J653" s="1"/>
  <c r="K56"/>
  <c r="K653" s="1"/>
  <c r="C55"/>
  <c r="C652" s="1"/>
  <c r="D55"/>
  <c r="E55"/>
  <c r="E652" s="1"/>
  <c r="F55"/>
  <c r="F652" s="1"/>
  <c r="G55"/>
  <c r="H55"/>
  <c r="H652" s="1"/>
  <c r="I55"/>
  <c r="J55"/>
  <c r="J652" s="1"/>
  <c r="K55"/>
  <c r="K652" s="1"/>
  <c r="C54"/>
  <c r="C651" s="1"/>
  <c r="D54"/>
  <c r="E54"/>
  <c r="E651" s="1"/>
  <c r="F54"/>
  <c r="F651" s="1"/>
  <c r="G54"/>
  <c r="H54"/>
  <c r="H651" s="1"/>
  <c r="I54"/>
  <c r="J54"/>
  <c r="J651" s="1"/>
  <c r="K54"/>
  <c r="K651" s="1"/>
  <c r="C53"/>
  <c r="D53"/>
  <c r="E53"/>
  <c r="F53"/>
  <c r="G53"/>
  <c r="H53"/>
  <c r="I53"/>
  <c r="J53"/>
  <c r="K53"/>
  <c r="C51"/>
  <c r="D51"/>
  <c r="E51"/>
  <c r="F51"/>
  <c r="G51"/>
  <c r="H51"/>
  <c r="I51"/>
  <c r="J51"/>
  <c r="K51"/>
  <c r="B65"/>
  <c r="B64"/>
  <c r="B255" s="1"/>
  <c r="B63"/>
  <c r="B62"/>
  <c r="B659" s="1"/>
  <c r="B61"/>
  <c r="B658" s="1"/>
  <c r="B60"/>
  <c r="B657" s="1"/>
  <c r="B59"/>
  <c r="B656" s="1"/>
  <c r="B58"/>
  <c r="B655" s="1"/>
  <c r="B57"/>
  <c r="B654" s="1"/>
  <c r="B56"/>
  <c r="B653" s="1"/>
  <c r="B55"/>
  <c r="B652" s="1"/>
  <c r="B54"/>
  <c r="B651" s="1"/>
  <c r="B53"/>
  <c r="B51"/>
  <c r="K5"/>
  <c r="K6"/>
  <c r="K7"/>
  <c r="K8"/>
  <c r="K9"/>
  <c r="K10"/>
  <c r="K11"/>
  <c r="K12"/>
  <c r="K13"/>
  <c r="K14"/>
  <c r="K15"/>
  <c r="K16"/>
  <c r="K17"/>
  <c r="K18"/>
  <c r="K22"/>
  <c r="K23"/>
  <c r="K24"/>
  <c r="K358" s="1"/>
  <c r="K25"/>
  <c r="K26"/>
  <c r="K27"/>
  <c r="K28"/>
  <c r="K29"/>
  <c r="K30"/>
  <c r="K31"/>
  <c r="K32"/>
  <c r="K541" s="1"/>
  <c r="K33"/>
  <c r="K542" s="1"/>
  <c r="K34"/>
  <c r="K35"/>
  <c r="K36"/>
  <c r="K37"/>
  <c r="K41"/>
  <c r="K42"/>
  <c r="K43"/>
  <c r="K44"/>
  <c r="K46"/>
  <c r="J5"/>
  <c r="J6"/>
  <c r="J7"/>
  <c r="J8"/>
  <c r="J9"/>
  <c r="J10"/>
  <c r="J11"/>
  <c r="J12"/>
  <c r="J13"/>
  <c r="J14"/>
  <c r="J15"/>
  <c r="J16"/>
  <c r="J17"/>
  <c r="J18"/>
  <c r="J22"/>
  <c r="J23"/>
  <c r="J24"/>
  <c r="J358" s="1"/>
  <c r="J25"/>
  <c r="J26"/>
  <c r="J27"/>
  <c r="J28"/>
  <c r="J29"/>
  <c r="J30"/>
  <c r="J31"/>
  <c r="J32"/>
  <c r="J541" s="1"/>
  <c r="J33"/>
  <c r="J542" s="1"/>
  <c r="J34"/>
  <c r="J35"/>
  <c r="J36"/>
  <c r="J37"/>
  <c r="J41"/>
  <c r="J42"/>
  <c r="J43"/>
  <c r="J44"/>
  <c r="J46"/>
  <c r="I5"/>
  <c r="I6"/>
  <c r="I7"/>
  <c r="I8"/>
  <c r="I9"/>
  <c r="I10"/>
  <c r="I11"/>
  <c r="I12"/>
  <c r="I13"/>
  <c r="I14"/>
  <c r="I15"/>
  <c r="I16"/>
  <c r="I17"/>
  <c r="I18"/>
  <c r="I22"/>
  <c r="I23"/>
  <c r="I24"/>
  <c r="I25"/>
  <c r="I26"/>
  <c r="I27"/>
  <c r="I28"/>
  <c r="I29"/>
  <c r="I30"/>
  <c r="I31"/>
  <c r="I32"/>
  <c r="I33"/>
  <c r="I34"/>
  <c r="I35"/>
  <c r="I36"/>
  <c r="O36" s="1"/>
  <c r="I37"/>
  <c r="I41"/>
  <c r="I42"/>
  <c r="I43"/>
  <c r="I44"/>
  <c r="I46"/>
  <c r="H5"/>
  <c r="H6"/>
  <c r="H7"/>
  <c r="H8"/>
  <c r="H9"/>
  <c r="H10"/>
  <c r="H11"/>
  <c r="H12"/>
  <c r="H13"/>
  <c r="H14"/>
  <c r="H15"/>
  <c r="H16"/>
  <c r="H17"/>
  <c r="H18"/>
  <c r="H22"/>
  <c r="H23"/>
  <c r="H24"/>
  <c r="H358" s="1"/>
  <c r="H25"/>
  <c r="H26"/>
  <c r="H27"/>
  <c r="H28"/>
  <c r="H29"/>
  <c r="H30"/>
  <c r="H31"/>
  <c r="H32"/>
  <c r="H541" s="1"/>
  <c r="H33"/>
  <c r="H542" s="1"/>
  <c r="H34"/>
  <c r="H35"/>
  <c r="H36"/>
  <c r="H37"/>
  <c r="H41"/>
  <c r="H42"/>
  <c r="H43"/>
  <c r="H44"/>
  <c r="H46"/>
  <c r="G5"/>
  <c r="G6"/>
  <c r="G7"/>
  <c r="G8"/>
  <c r="G9"/>
  <c r="G10"/>
  <c r="G11"/>
  <c r="G12"/>
  <c r="G13"/>
  <c r="G14"/>
  <c r="G15"/>
  <c r="G16"/>
  <c r="G17"/>
  <c r="G18"/>
  <c r="G22"/>
  <c r="G23"/>
  <c r="G24"/>
  <c r="G25"/>
  <c r="G26"/>
  <c r="G27"/>
  <c r="G28"/>
  <c r="G29"/>
  <c r="G30"/>
  <c r="G31"/>
  <c r="G32"/>
  <c r="G33"/>
  <c r="G34"/>
  <c r="G35"/>
  <c r="G36"/>
  <c r="N36" s="1"/>
  <c r="G37"/>
  <c r="G41"/>
  <c r="G42"/>
  <c r="G43"/>
  <c r="G44"/>
  <c r="G46"/>
  <c r="F5"/>
  <c r="F6"/>
  <c r="F7"/>
  <c r="F8"/>
  <c r="F9"/>
  <c r="F10"/>
  <c r="F11"/>
  <c r="F12"/>
  <c r="F13"/>
  <c r="F14"/>
  <c r="F15"/>
  <c r="F16"/>
  <c r="F17"/>
  <c r="F18"/>
  <c r="F22"/>
  <c r="F23"/>
  <c r="F24"/>
  <c r="F358" s="1"/>
  <c r="F25"/>
  <c r="F26"/>
  <c r="F27"/>
  <c r="F28"/>
  <c r="F29"/>
  <c r="F30"/>
  <c r="F31"/>
  <c r="F32"/>
  <c r="F541" s="1"/>
  <c r="F33"/>
  <c r="F542" s="1"/>
  <c r="F34"/>
  <c r="F35"/>
  <c r="F36"/>
  <c r="F37"/>
  <c r="F41"/>
  <c r="F42"/>
  <c r="F43"/>
  <c r="F44"/>
  <c r="F46"/>
  <c r="E5"/>
  <c r="E6"/>
  <c r="E7"/>
  <c r="E8"/>
  <c r="E9"/>
  <c r="E10"/>
  <c r="E11"/>
  <c r="E12"/>
  <c r="E13"/>
  <c r="E14"/>
  <c r="E15"/>
  <c r="E16"/>
  <c r="E17"/>
  <c r="E18"/>
  <c r="E22"/>
  <c r="E23"/>
  <c r="E24"/>
  <c r="E358" s="1"/>
  <c r="E25"/>
  <c r="E26"/>
  <c r="E27"/>
  <c r="E28"/>
  <c r="E29"/>
  <c r="E30"/>
  <c r="E31"/>
  <c r="E32"/>
  <c r="E541" s="1"/>
  <c r="E33"/>
  <c r="E542" s="1"/>
  <c r="E34"/>
  <c r="E35"/>
  <c r="E36"/>
  <c r="E37"/>
  <c r="E41"/>
  <c r="E42"/>
  <c r="E43"/>
  <c r="E44"/>
  <c r="E46"/>
  <c r="D5"/>
  <c r="D6"/>
  <c r="D7"/>
  <c r="D8"/>
  <c r="D9"/>
  <c r="D10"/>
  <c r="D11"/>
  <c r="D12"/>
  <c r="D13"/>
  <c r="D14"/>
  <c r="D15"/>
  <c r="D16"/>
  <c r="D17"/>
  <c r="D18"/>
  <c r="D22"/>
  <c r="D23"/>
  <c r="D24"/>
  <c r="D25"/>
  <c r="D26"/>
  <c r="D27"/>
  <c r="D28"/>
  <c r="D29"/>
  <c r="D30"/>
  <c r="D31"/>
  <c r="D32"/>
  <c r="D33"/>
  <c r="D34"/>
  <c r="D35"/>
  <c r="D36"/>
  <c r="M36" s="1"/>
  <c r="D37"/>
  <c r="D41"/>
  <c r="D42"/>
  <c r="D43"/>
  <c r="D44"/>
  <c r="D46"/>
  <c r="D4"/>
  <c r="D661" s="1"/>
  <c r="E4"/>
  <c r="F4"/>
  <c r="G4"/>
  <c r="G661" s="1"/>
  <c r="H4"/>
  <c r="I4"/>
  <c r="I661" s="1"/>
  <c r="J4"/>
  <c r="K4"/>
  <c r="C5"/>
  <c r="C6"/>
  <c r="C7"/>
  <c r="C8"/>
  <c r="C9"/>
  <c r="C10"/>
  <c r="C11"/>
  <c r="C12"/>
  <c r="C13"/>
  <c r="C14"/>
  <c r="C15"/>
  <c r="C16"/>
  <c r="C17"/>
  <c r="C18"/>
  <c r="C22"/>
  <c r="C23"/>
  <c r="C24"/>
  <c r="C358" s="1"/>
  <c r="C25"/>
  <c r="C26"/>
  <c r="C27"/>
  <c r="C28"/>
  <c r="C29"/>
  <c r="C30"/>
  <c r="C31"/>
  <c r="C32"/>
  <c r="C541" s="1"/>
  <c r="C33"/>
  <c r="C542" s="1"/>
  <c r="C34"/>
  <c r="C35"/>
  <c r="C36"/>
  <c r="C37"/>
  <c r="C41"/>
  <c r="C42"/>
  <c r="C43"/>
  <c r="C44"/>
  <c r="C46"/>
  <c r="C4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21"/>
  <c r="E522"/>
  <c r="E523"/>
  <c r="E524"/>
  <c r="E525"/>
  <c r="D502"/>
  <c r="D503"/>
  <c r="D504"/>
  <c r="D505"/>
  <c r="D506"/>
  <c r="D507"/>
  <c r="D508"/>
  <c r="D509"/>
  <c r="D510"/>
  <c r="D511"/>
  <c r="D512"/>
  <c r="D513"/>
  <c r="D514"/>
  <c r="D515"/>
  <c r="D516"/>
  <c r="D517"/>
  <c r="M517" s="1"/>
  <c r="N517" s="1"/>
  <c r="D518"/>
  <c r="D521"/>
  <c r="D522"/>
  <c r="D523"/>
  <c r="D524"/>
  <c r="D525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21"/>
  <c r="C522"/>
  <c r="C523"/>
  <c r="C524"/>
  <c r="C525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E478"/>
  <c r="E479"/>
  <c r="E480"/>
  <c r="E481"/>
  <c r="E482"/>
  <c r="E483"/>
  <c r="E484"/>
  <c r="E485"/>
  <c r="E486"/>
  <c r="E487"/>
  <c r="E488"/>
  <c r="E489"/>
  <c r="E490"/>
  <c r="E491"/>
  <c r="E477"/>
  <c r="D478"/>
  <c r="D479"/>
  <c r="D480"/>
  <c r="D481"/>
  <c r="D482"/>
  <c r="D483"/>
  <c r="D484"/>
  <c r="D485"/>
  <c r="D486"/>
  <c r="D487"/>
  <c r="D488"/>
  <c r="D489"/>
  <c r="D490"/>
  <c r="D491"/>
  <c r="D477"/>
  <c r="C478"/>
  <c r="C479"/>
  <c r="C480"/>
  <c r="C481"/>
  <c r="C482"/>
  <c r="C483"/>
  <c r="C484"/>
  <c r="C485"/>
  <c r="C486"/>
  <c r="C487"/>
  <c r="C488"/>
  <c r="C489"/>
  <c r="C490"/>
  <c r="C491"/>
  <c r="C477"/>
  <c r="B487"/>
  <c r="B488"/>
  <c r="B489"/>
  <c r="B490"/>
  <c r="B491"/>
  <c r="B478"/>
  <c r="B479"/>
  <c r="B480"/>
  <c r="B481"/>
  <c r="B482"/>
  <c r="B483"/>
  <c r="B484"/>
  <c r="B485"/>
  <c r="B486"/>
  <c r="B477"/>
  <c r="K93" i="6"/>
  <c r="K721" i="5" s="1"/>
  <c r="C93" i="6"/>
  <c r="C721" i="5" s="1"/>
  <c r="C741" s="1"/>
  <c r="D93" i="6"/>
  <c r="D721" i="5" s="1"/>
  <c r="E93" i="6"/>
  <c r="E721" i="5" s="1"/>
  <c r="F93" i="6"/>
  <c r="F721" i="5" s="1"/>
  <c r="G93" i="6"/>
  <c r="G721" i="5" s="1"/>
  <c r="H93" i="6"/>
  <c r="H721" i="5" s="1"/>
  <c r="I93" i="6"/>
  <c r="I721" i="5" s="1"/>
  <c r="J93" i="6"/>
  <c r="J721" i="5" s="1"/>
  <c r="B93" i="6"/>
  <c r="B721" i="5" s="1"/>
  <c r="B741" s="1"/>
  <c r="M29" l="1"/>
  <c r="N29" s="1"/>
  <c r="B223"/>
  <c r="J348"/>
  <c r="J661"/>
  <c r="F348"/>
  <c r="F661"/>
  <c r="C348"/>
  <c r="C661"/>
  <c r="K348"/>
  <c r="K661"/>
  <c r="H348"/>
  <c r="H661"/>
  <c r="E348"/>
  <c r="E661"/>
  <c r="M524"/>
  <c r="N524" s="1"/>
  <c r="I441"/>
  <c r="I364" s="1"/>
  <c r="M518"/>
  <c r="N518" s="1"/>
  <c r="M514"/>
  <c r="N514" s="1"/>
  <c r="M510"/>
  <c r="N510" s="1"/>
  <c r="M506"/>
  <c r="N506" s="1"/>
  <c r="M502"/>
  <c r="N502" s="1"/>
  <c r="M491"/>
  <c r="N491" s="1"/>
  <c r="M487"/>
  <c r="N487" s="1"/>
  <c r="M483"/>
  <c r="N483" s="1"/>
  <c r="M479"/>
  <c r="N479" s="1"/>
  <c r="O29"/>
  <c r="D441"/>
  <c r="D364" s="1"/>
  <c r="M522"/>
  <c r="N522" s="1"/>
  <c r="M489"/>
  <c r="N489" s="1"/>
  <c r="M485"/>
  <c r="N485" s="1"/>
  <c r="M481"/>
  <c r="N481" s="1"/>
  <c r="M43"/>
  <c r="N43" s="1"/>
  <c r="M28"/>
  <c r="N28" s="1"/>
  <c r="M17"/>
  <c r="M13"/>
  <c r="N13" s="1"/>
  <c r="M9"/>
  <c r="N9" s="1"/>
  <c r="M5"/>
  <c r="N5" s="1"/>
  <c r="O42"/>
  <c r="O35"/>
  <c r="O31"/>
  <c r="O27"/>
  <c r="O23"/>
  <c r="O16"/>
  <c r="O12"/>
  <c r="O8"/>
  <c r="M525"/>
  <c r="N525" s="1"/>
  <c r="M521"/>
  <c r="N521" s="1"/>
  <c r="M515"/>
  <c r="N515" s="1"/>
  <c r="M511"/>
  <c r="N511" s="1"/>
  <c r="M507"/>
  <c r="N507" s="1"/>
  <c r="M503"/>
  <c r="N503" s="1"/>
  <c r="M46"/>
  <c r="N46" s="1"/>
  <c r="M41"/>
  <c r="N41" s="1"/>
  <c r="M34"/>
  <c r="N34" s="1"/>
  <c r="M30"/>
  <c r="N30" s="1"/>
  <c r="M26"/>
  <c r="N26" s="1"/>
  <c r="M22"/>
  <c r="N22" s="1"/>
  <c r="M15"/>
  <c r="N15" s="1"/>
  <c r="M11"/>
  <c r="N11" s="1"/>
  <c r="M7"/>
  <c r="N7" s="1"/>
  <c r="O44"/>
  <c r="O37"/>
  <c r="O25"/>
  <c r="O18"/>
  <c r="O14"/>
  <c r="O10"/>
  <c r="O6"/>
  <c r="O51"/>
  <c r="O82"/>
  <c r="M516"/>
  <c r="N516" s="1"/>
  <c r="M512"/>
  <c r="N512" s="1"/>
  <c r="M508"/>
  <c r="N508" s="1"/>
  <c r="M504"/>
  <c r="N504" s="1"/>
  <c r="I348"/>
  <c r="O4"/>
  <c r="D541"/>
  <c r="M32"/>
  <c r="N32" s="1"/>
  <c r="D358"/>
  <c r="M24"/>
  <c r="N24" s="1"/>
  <c r="G542"/>
  <c r="I651"/>
  <c r="O651" s="1"/>
  <c r="O54"/>
  <c r="G653"/>
  <c r="D654"/>
  <c r="M57"/>
  <c r="N57" s="1"/>
  <c r="I655"/>
  <c r="O655" s="1"/>
  <c r="O58"/>
  <c r="G657"/>
  <c r="D658"/>
  <c r="M61"/>
  <c r="N61" s="1"/>
  <c r="I659"/>
  <c r="O659" s="1"/>
  <c r="O62"/>
  <c r="G255"/>
  <c r="G317"/>
  <c r="F317"/>
  <c r="M312"/>
  <c r="N312" s="1"/>
  <c r="M311"/>
  <c r="N311" s="1"/>
  <c r="D542"/>
  <c r="M33"/>
  <c r="N33" s="1"/>
  <c r="I541"/>
  <c r="O541" s="1"/>
  <c r="O32"/>
  <c r="I358"/>
  <c r="O358" s="1"/>
  <c r="O24"/>
  <c r="G652"/>
  <c r="D653"/>
  <c r="M56"/>
  <c r="N56" s="1"/>
  <c r="I654"/>
  <c r="O654" s="1"/>
  <c r="O57"/>
  <c r="G656"/>
  <c r="D657"/>
  <c r="M60"/>
  <c r="N60" s="1"/>
  <c r="I658"/>
  <c r="O658" s="1"/>
  <c r="O61"/>
  <c r="I317"/>
  <c r="O312"/>
  <c r="M721"/>
  <c r="M523"/>
  <c r="N523" s="1"/>
  <c r="M513"/>
  <c r="N513" s="1"/>
  <c r="M509"/>
  <c r="N509" s="1"/>
  <c r="M505"/>
  <c r="N505" s="1"/>
  <c r="M53"/>
  <c r="N53" s="1"/>
  <c r="O98"/>
  <c r="M440"/>
  <c r="N440" s="1"/>
  <c r="O721"/>
  <c r="M490"/>
  <c r="N490" s="1"/>
  <c r="M486"/>
  <c r="N486" s="1"/>
  <c r="M482"/>
  <c r="N482" s="1"/>
  <c r="M478"/>
  <c r="N478" s="1"/>
  <c r="M44"/>
  <c r="N44" s="1"/>
  <c r="M37"/>
  <c r="N37" s="1"/>
  <c r="M25"/>
  <c r="N25" s="1"/>
  <c r="M18"/>
  <c r="N18" s="1"/>
  <c r="M14"/>
  <c r="N14" s="1"/>
  <c r="M10"/>
  <c r="N10" s="1"/>
  <c r="M6"/>
  <c r="N6" s="1"/>
  <c r="O43"/>
  <c r="O28"/>
  <c r="O17"/>
  <c r="O13"/>
  <c r="O9"/>
  <c r="O5"/>
  <c r="M51"/>
  <c r="N51" s="1"/>
  <c r="O53"/>
  <c r="M64"/>
  <c r="N64" s="1"/>
  <c r="M82"/>
  <c r="N82" s="1"/>
  <c r="H441"/>
  <c r="H364" s="1"/>
  <c r="G441"/>
  <c r="M532"/>
  <c r="N532" s="1"/>
  <c r="G348"/>
  <c r="I542"/>
  <c r="O542" s="1"/>
  <c r="O33"/>
  <c r="G651"/>
  <c r="D652"/>
  <c r="M55"/>
  <c r="N55" s="1"/>
  <c r="I653"/>
  <c r="O653" s="1"/>
  <c r="O56"/>
  <c r="G655"/>
  <c r="D656"/>
  <c r="M59"/>
  <c r="N59" s="1"/>
  <c r="I657"/>
  <c r="O657" s="1"/>
  <c r="O60"/>
  <c r="G659"/>
  <c r="I255"/>
  <c r="O255" s="1"/>
  <c r="O64"/>
  <c r="G320"/>
  <c r="I320"/>
  <c r="O313"/>
  <c r="G541"/>
  <c r="G358"/>
  <c r="D651"/>
  <c r="M54"/>
  <c r="N54" s="1"/>
  <c r="I652"/>
  <c r="O652" s="1"/>
  <c r="O55"/>
  <c r="G654"/>
  <c r="D655"/>
  <c r="M58"/>
  <c r="N58" s="1"/>
  <c r="I656"/>
  <c r="O656" s="1"/>
  <c r="O59"/>
  <c r="G658"/>
  <c r="D659"/>
  <c r="M62"/>
  <c r="N62" s="1"/>
  <c r="O310"/>
  <c r="M310"/>
  <c r="N310" s="1"/>
  <c r="D320"/>
  <c r="M313"/>
  <c r="N313" s="1"/>
  <c r="M63"/>
  <c r="N63" s="1"/>
  <c r="M647"/>
  <c r="N647" s="1"/>
  <c r="M477"/>
  <c r="N477" s="1"/>
  <c r="M488"/>
  <c r="N488" s="1"/>
  <c r="M484"/>
  <c r="N484" s="1"/>
  <c r="M480"/>
  <c r="N480" s="1"/>
  <c r="M4"/>
  <c r="M42"/>
  <c r="N42" s="1"/>
  <c r="M35"/>
  <c r="N35" s="1"/>
  <c r="M31"/>
  <c r="N31" s="1"/>
  <c r="M27"/>
  <c r="N27" s="1"/>
  <c r="M23"/>
  <c r="N23" s="1"/>
  <c r="M16"/>
  <c r="N16" s="1"/>
  <c r="M12"/>
  <c r="N12" s="1"/>
  <c r="M8"/>
  <c r="N8" s="1"/>
  <c r="O46"/>
  <c r="O41"/>
  <c r="O34"/>
  <c r="O30"/>
  <c r="O26"/>
  <c r="O22"/>
  <c r="O15"/>
  <c r="O11"/>
  <c r="O7"/>
  <c r="O63"/>
  <c r="O647"/>
  <c r="M98"/>
  <c r="J441"/>
  <c r="J364" s="1"/>
  <c r="O311"/>
  <c r="E741"/>
  <c r="J741"/>
  <c r="F741"/>
  <c r="K741"/>
  <c r="I741"/>
  <c r="G741"/>
  <c r="H741"/>
  <c r="D741"/>
  <c r="I742"/>
  <c r="E742"/>
  <c r="J742"/>
  <c r="F742"/>
  <c r="K742"/>
  <c r="B742"/>
  <c r="G742"/>
  <c r="C742"/>
  <c r="H742"/>
  <c r="D742"/>
  <c r="I169"/>
  <c r="E169"/>
  <c r="K169"/>
  <c r="G169"/>
  <c r="J169"/>
  <c r="F169"/>
  <c r="H169"/>
  <c r="D169"/>
  <c r="H102"/>
  <c r="D102"/>
  <c r="I102"/>
  <c r="E102"/>
  <c r="B102"/>
  <c r="J102"/>
  <c r="F102"/>
  <c r="K102"/>
  <c r="G102"/>
  <c r="C102"/>
  <c r="D348"/>
  <c r="J379"/>
  <c r="F379"/>
  <c r="D379"/>
  <c r="I379"/>
  <c r="E379"/>
  <c r="K379"/>
  <c r="G379"/>
  <c r="H379"/>
  <c r="E380"/>
  <c r="J380"/>
  <c r="F380"/>
  <c r="K380"/>
  <c r="G380"/>
  <c r="H380"/>
  <c r="D380"/>
  <c r="I380"/>
  <c r="I381"/>
  <c r="J381"/>
  <c r="F381"/>
  <c r="E381"/>
  <c r="K381"/>
  <c r="G381"/>
  <c r="H381"/>
  <c r="D381"/>
  <c r="L93" i="6"/>
  <c r="J352" i="5"/>
  <c r="F352"/>
  <c r="H352"/>
  <c r="D352"/>
  <c r="K352"/>
  <c r="G352"/>
  <c r="C352"/>
  <c r="I352"/>
  <c r="E352"/>
  <c r="D451"/>
  <c r="D255"/>
  <c r="J330"/>
  <c r="K330"/>
  <c r="K365"/>
  <c r="I451"/>
  <c r="E451"/>
  <c r="B451"/>
  <c r="J451"/>
  <c r="F451"/>
  <c r="K451"/>
  <c r="G451"/>
  <c r="C451"/>
  <c r="H451"/>
  <c r="J48"/>
  <c r="F48"/>
  <c r="I48"/>
  <c r="E48"/>
  <c r="K338"/>
  <c r="G338"/>
  <c r="C338"/>
  <c r="C343" s="1"/>
  <c r="I338"/>
  <c r="E338"/>
  <c r="E343" s="1"/>
  <c r="H338"/>
  <c r="H343" s="1"/>
  <c r="D338"/>
  <c r="J338"/>
  <c r="J343" s="1"/>
  <c r="F338"/>
  <c r="F343" s="1"/>
  <c r="K223"/>
  <c r="K83"/>
  <c r="G223"/>
  <c r="G83"/>
  <c r="C223"/>
  <c r="C83"/>
  <c r="C224" s="1"/>
  <c r="H223"/>
  <c r="H83"/>
  <c r="H224" s="1"/>
  <c r="D223"/>
  <c r="D83"/>
  <c r="I223"/>
  <c r="I83"/>
  <c r="E223"/>
  <c r="E83"/>
  <c r="B83"/>
  <c r="B224" s="1"/>
  <c r="J223"/>
  <c r="J83"/>
  <c r="J224" s="1"/>
  <c r="F223"/>
  <c r="F83"/>
  <c r="F224" s="1"/>
  <c r="G333"/>
  <c r="D333"/>
  <c r="I333"/>
  <c r="E333"/>
  <c r="E529" s="1"/>
  <c r="K48"/>
  <c r="G48"/>
  <c r="H48"/>
  <c r="D48"/>
  <c r="K333"/>
  <c r="K529" s="1"/>
  <c r="K536" s="1"/>
  <c r="C333"/>
  <c r="C529" s="1"/>
  <c r="H333"/>
  <c r="H529" s="1"/>
  <c r="B333"/>
  <c r="B529" s="1"/>
  <c r="J333"/>
  <c r="J529" s="1"/>
  <c r="J536" s="1"/>
  <c r="F333"/>
  <c r="F529" s="1"/>
  <c r="C48"/>
  <c r="B6" i="6"/>
  <c r="C17" i="2"/>
  <c r="D17"/>
  <c r="E17"/>
  <c r="F17"/>
  <c r="G17"/>
  <c r="H17"/>
  <c r="I17"/>
  <c r="J17"/>
  <c r="K17"/>
  <c r="C18"/>
  <c r="C239" i="5" s="1"/>
  <c r="D18" i="2"/>
  <c r="D239" i="5" s="1"/>
  <c r="E18" i="2"/>
  <c r="E239" i="5" s="1"/>
  <c r="F18" i="2"/>
  <c r="F239" i="5" s="1"/>
  <c r="G18" i="2"/>
  <c r="G239" i="5" s="1"/>
  <c r="H18" i="2"/>
  <c r="H239" i="5" s="1"/>
  <c r="I18" i="2"/>
  <c r="I239" i="5" s="1"/>
  <c r="J18" i="2"/>
  <c r="J239" i="5" s="1"/>
  <c r="K18" i="2"/>
  <c r="K239" i="5" s="1"/>
  <c r="B17" i="2"/>
  <c r="C4"/>
  <c r="D4"/>
  <c r="E4"/>
  <c r="F4"/>
  <c r="G4"/>
  <c r="H4"/>
  <c r="I4"/>
  <c r="J4"/>
  <c r="K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8"/>
  <c r="D8"/>
  <c r="E8"/>
  <c r="F8"/>
  <c r="G8"/>
  <c r="H8"/>
  <c r="I8"/>
  <c r="J8"/>
  <c r="K8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B14"/>
  <c r="B5"/>
  <c r="B4"/>
  <c r="C4" i="4"/>
  <c r="D4"/>
  <c r="E4"/>
  <c r="F4"/>
  <c r="G4"/>
  <c r="H4"/>
  <c r="I4"/>
  <c r="J4"/>
  <c r="K4"/>
  <c r="C5"/>
  <c r="C732" i="5" s="1"/>
  <c r="D5" i="4"/>
  <c r="D732" i="5" s="1"/>
  <c r="E5" i="4"/>
  <c r="E732" i="5" s="1"/>
  <c r="F5" i="4"/>
  <c r="F732" i="5" s="1"/>
  <c r="G5" i="4"/>
  <c r="G732" i="5" s="1"/>
  <c r="H5" i="4"/>
  <c r="H732" i="5" s="1"/>
  <c r="I5" i="4"/>
  <c r="I732" i="5" s="1"/>
  <c r="J5" i="4"/>
  <c r="J732" i="5" s="1"/>
  <c r="K5" i="4"/>
  <c r="K732" i="5" s="1"/>
  <c r="C6" i="4"/>
  <c r="C733" i="5" s="1"/>
  <c r="D6" i="4"/>
  <c r="D733" i="5" s="1"/>
  <c r="E6" i="4"/>
  <c r="E733" i="5" s="1"/>
  <c r="F6" i="4"/>
  <c r="F733" i="5" s="1"/>
  <c r="G6" i="4"/>
  <c r="G733" i="5" s="1"/>
  <c r="H6" i="4"/>
  <c r="H733" i="5" s="1"/>
  <c r="I6" i="4"/>
  <c r="I733" i="5" s="1"/>
  <c r="J6" i="4"/>
  <c r="J733" i="5" s="1"/>
  <c r="K6" i="4"/>
  <c r="K733" i="5" s="1"/>
  <c r="C7" i="4"/>
  <c r="C734" i="5" s="1"/>
  <c r="D7" i="4"/>
  <c r="D734" i="5" s="1"/>
  <c r="E7" i="4"/>
  <c r="E734" i="5" s="1"/>
  <c r="F7" i="4"/>
  <c r="F734" i="5" s="1"/>
  <c r="G7" i="4"/>
  <c r="G734" i="5" s="1"/>
  <c r="H7" i="4"/>
  <c r="H734" i="5" s="1"/>
  <c r="I7" i="4"/>
  <c r="I734" i="5" s="1"/>
  <c r="J7" i="4"/>
  <c r="J734" i="5" s="1"/>
  <c r="K7" i="4"/>
  <c r="K734" i="5" s="1"/>
  <c r="C4" i="3"/>
  <c r="D4"/>
  <c r="E4"/>
  <c r="F4"/>
  <c r="G4"/>
  <c r="I764" i="5" s="1"/>
  <c r="H4" i="3"/>
  <c r="J764" i="5" s="1"/>
  <c r="I4" i="3"/>
  <c r="K764" i="5" s="1"/>
  <c r="J4" i="3"/>
  <c r="K4"/>
  <c r="C5"/>
  <c r="D5"/>
  <c r="E5"/>
  <c r="F5"/>
  <c r="G5"/>
  <c r="I765" i="5" s="1"/>
  <c r="H5" i="3"/>
  <c r="J765" i="5" s="1"/>
  <c r="I5" i="3"/>
  <c r="K765" i="5" s="1"/>
  <c r="J5" i="3"/>
  <c r="K5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B5"/>
  <c r="C18" i="1"/>
  <c r="C718" i="5" s="1"/>
  <c r="D18" i="1"/>
  <c r="D718" i="5" s="1"/>
  <c r="E18" i="1"/>
  <c r="E718" i="5" s="1"/>
  <c r="F18" i="1"/>
  <c r="F718" i="5" s="1"/>
  <c r="G18" i="1"/>
  <c r="G718" i="5" s="1"/>
  <c r="H18" i="1"/>
  <c r="H718" i="5" s="1"/>
  <c r="I18" i="1"/>
  <c r="I718" i="5" s="1"/>
  <c r="J18" i="1"/>
  <c r="J718" i="5" s="1"/>
  <c r="K18" i="1"/>
  <c r="K718" i="5" s="1"/>
  <c r="B18" i="1"/>
  <c r="B718" i="5" s="1"/>
  <c r="C4" i="1"/>
  <c r="D4"/>
  <c r="E4"/>
  <c r="F4"/>
  <c r="G4"/>
  <c r="H4"/>
  <c r="H324" i="5" s="1"/>
  <c r="H703" s="1"/>
  <c r="I4" i="1"/>
  <c r="J4"/>
  <c r="J324" i="5" s="1"/>
  <c r="K4" i="1"/>
  <c r="K324" i="5" s="1"/>
  <c r="K331" s="1"/>
  <c r="C7" i="1"/>
  <c r="C667" i="5" s="1"/>
  <c r="D7" i="1"/>
  <c r="D667" i="5" s="1"/>
  <c r="E7" i="1"/>
  <c r="E667" i="5" s="1"/>
  <c r="F7" i="1"/>
  <c r="F667" i="5" s="1"/>
  <c r="G7" i="1"/>
  <c r="G667" i="5" s="1"/>
  <c r="H7" i="1"/>
  <c r="H667" i="5" s="1"/>
  <c r="I7" i="1"/>
  <c r="I667" i="5" s="1"/>
  <c r="J7" i="1"/>
  <c r="J667" i="5" s="1"/>
  <c r="K7" i="1"/>
  <c r="K667" i="5" s="1"/>
  <c r="C8" i="1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5"/>
  <c r="C390" i="5" s="1"/>
  <c r="D15" i="1"/>
  <c r="D390" i="5" s="1"/>
  <c r="E15" i="1"/>
  <c r="E390" i="5" s="1"/>
  <c r="F15" i="1"/>
  <c r="F390" i="5" s="1"/>
  <c r="G15" i="1"/>
  <c r="G390" i="5" s="1"/>
  <c r="H15" i="1"/>
  <c r="H390" i="5" s="1"/>
  <c r="I15" i="1"/>
  <c r="I390" i="5" s="1"/>
  <c r="J15" i="1"/>
  <c r="J390" i="5" s="1"/>
  <c r="K15" i="1"/>
  <c r="K390" i="5" s="1"/>
  <c r="B15" i="1"/>
  <c r="B7"/>
  <c r="B667" i="5" s="1"/>
  <c r="B4" i="1"/>
  <c r="A1"/>
  <c r="E1" i="6"/>
  <c r="O348" i="5" l="1"/>
  <c r="F442"/>
  <c r="J768"/>
  <c r="F768"/>
  <c r="I743"/>
  <c r="I709" s="1"/>
  <c r="I748"/>
  <c r="I749" s="1"/>
  <c r="E743"/>
  <c r="E747" s="1"/>
  <c r="E748"/>
  <c r="E749" s="1"/>
  <c r="H675"/>
  <c r="H750"/>
  <c r="D675"/>
  <c r="D750"/>
  <c r="J743"/>
  <c r="J709" s="1"/>
  <c r="J748"/>
  <c r="J749" s="1"/>
  <c r="F743"/>
  <c r="F747" s="1"/>
  <c r="F748"/>
  <c r="F749" s="1"/>
  <c r="I675"/>
  <c r="I750"/>
  <c r="E675"/>
  <c r="E750"/>
  <c r="K743"/>
  <c r="K758" s="1"/>
  <c r="K748"/>
  <c r="K749" s="1"/>
  <c r="G743"/>
  <c r="G710" s="1"/>
  <c r="G748"/>
  <c r="G749" s="1"/>
  <c r="C743"/>
  <c r="C710" s="1"/>
  <c r="C748"/>
  <c r="C749" s="1"/>
  <c r="J675"/>
  <c r="J750"/>
  <c r="F675"/>
  <c r="F750"/>
  <c r="H743"/>
  <c r="H747" s="1"/>
  <c r="H748"/>
  <c r="H749" s="1"/>
  <c r="D743"/>
  <c r="D709" s="1"/>
  <c r="D748"/>
  <c r="D749" s="1"/>
  <c r="G675"/>
  <c r="G750"/>
  <c r="C675"/>
  <c r="K750"/>
  <c r="E768"/>
  <c r="K766"/>
  <c r="I768"/>
  <c r="J766"/>
  <c r="H768"/>
  <c r="D768"/>
  <c r="O48"/>
  <c r="I442"/>
  <c r="I766"/>
  <c r="G768"/>
  <c r="K768"/>
  <c r="C768"/>
  <c r="M542"/>
  <c r="N542" s="1"/>
  <c r="I729"/>
  <c r="E729"/>
  <c r="O734"/>
  <c r="K442"/>
  <c r="O352"/>
  <c r="M441"/>
  <c r="M667"/>
  <c r="N667" s="1"/>
  <c r="J729"/>
  <c r="F729"/>
  <c r="H442"/>
  <c r="O441"/>
  <c r="M653"/>
  <c r="N653" s="1"/>
  <c r="K729"/>
  <c r="G729"/>
  <c r="C729"/>
  <c r="H443"/>
  <c r="G442"/>
  <c r="M380"/>
  <c r="N380" s="1"/>
  <c r="M741"/>
  <c r="N741" s="1"/>
  <c r="M657"/>
  <c r="N657" s="1"/>
  <c r="H729"/>
  <c r="D729"/>
  <c r="D406"/>
  <c r="I443"/>
  <c r="O380"/>
  <c r="I343"/>
  <c r="J369" s="1"/>
  <c r="O338"/>
  <c r="D321"/>
  <c r="D324" s="1"/>
  <c r="M320"/>
  <c r="N320" s="1"/>
  <c r="I318"/>
  <c r="O317"/>
  <c r="G318"/>
  <c r="G529"/>
  <c r="G536" s="1"/>
  <c r="G224"/>
  <c r="I321"/>
  <c r="O321" s="1"/>
  <c r="O320"/>
  <c r="G364"/>
  <c r="M364" s="1"/>
  <c r="N441"/>
  <c r="M390"/>
  <c r="N390" s="1"/>
  <c r="O718"/>
  <c r="M733"/>
  <c r="N733" s="1"/>
  <c r="O732"/>
  <c r="O239"/>
  <c r="M48"/>
  <c r="N48" s="1"/>
  <c r="O223"/>
  <c r="M352"/>
  <c r="N352" s="1"/>
  <c r="O381"/>
  <c r="M169"/>
  <c r="N169" s="1"/>
  <c r="M742"/>
  <c r="N742" s="1"/>
  <c r="M654"/>
  <c r="N654" s="1"/>
  <c r="M358"/>
  <c r="N358" s="1"/>
  <c r="O390"/>
  <c r="M734"/>
  <c r="N734" s="1"/>
  <c r="O733"/>
  <c r="O83"/>
  <c r="J442"/>
  <c r="O451"/>
  <c r="O169"/>
  <c r="M655"/>
  <c r="N655" s="1"/>
  <c r="O364"/>
  <c r="M652"/>
  <c r="N652" s="1"/>
  <c r="D529"/>
  <c r="D536" s="1"/>
  <c r="M333"/>
  <c r="N333" s="1"/>
  <c r="G343"/>
  <c r="H369" s="1"/>
  <c r="F318"/>
  <c r="M317"/>
  <c r="N317" s="1"/>
  <c r="I529"/>
  <c r="O529" s="1"/>
  <c r="O333"/>
  <c r="D343"/>
  <c r="E369" s="1"/>
  <c r="M338"/>
  <c r="N338" s="1"/>
  <c r="G321"/>
  <c r="G324" s="1"/>
  <c r="M223"/>
  <c r="N223" s="1"/>
  <c r="M451"/>
  <c r="N451" s="1"/>
  <c r="M379"/>
  <c r="N379" s="1"/>
  <c r="M102"/>
  <c r="N102" s="1"/>
  <c r="M658"/>
  <c r="N658" s="1"/>
  <c r="M541"/>
  <c r="N541" s="1"/>
  <c r="O667"/>
  <c r="M718"/>
  <c r="N718" s="1"/>
  <c r="M732"/>
  <c r="N732" s="1"/>
  <c r="M239"/>
  <c r="N239" s="1"/>
  <c r="M83"/>
  <c r="N83" s="1"/>
  <c r="K444"/>
  <c r="K443"/>
  <c r="J443"/>
  <c r="M255"/>
  <c r="N255" s="1"/>
  <c r="M381"/>
  <c r="N381" s="1"/>
  <c r="O379"/>
  <c r="M348"/>
  <c r="N348" s="1"/>
  <c r="O102"/>
  <c r="O742"/>
  <c r="O741"/>
  <c r="M659"/>
  <c r="N659" s="1"/>
  <c r="M651"/>
  <c r="N651" s="1"/>
  <c r="M656"/>
  <c r="N656" s="1"/>
  <c r="K224"/>
  <c r="J703"/>
  <c r="J331"/>
  <c r="G404"/>
  <c r="G708"/>
  <c r="C404"/>
  <c r="C708"/>
  <c r="I329"/>
  <c r="I325"/>
  <c r="E406"/>
  <c r="E329"/>
  <c r="E325"/>
  <c r="H404"/>
  <c r="H708"/>
  <c r="D404"/>
  <c r="D708"/>
  <c r="F325"/>
  <c r="F329"/>
  <c r="F705" s="1"/>
  <c r="I404"/>
  <c r="I708"/>
  <c r="E404"/>
  <c r="E708"/>
  <c r="K325"/>
  <c r="K329"/>
  <c r="K705" s="1"/>
  <c r="G325"/>
  <c r="G329"/>
  <c r="E324"/>
  <c r="H331"/>
  <c r="K404"/>
  <c r="K708"/>
  <c r="J329"/>
  <c r="J705" s="1"/>
  <c r="J325"/>
  <c r="J404"/>
  <c r="J708"/>
  <c r="F404"/>
  <c r="F708"/>
  <c r="H329"/>
  <c r="H705" s="1"/>
  <c r="H325"/>
  <c r="F324"/>
  <c r="K366"/>
  <c r="K703"/>
  <c r="C406"/>
  <c r="H752"/>
  <c r="H406"/>
  <c r="J752"/>
  <c r="J406"/>
  <c r="F752"/>
  <c r="F406"/>
  <c r="K752"/>
  <c r="K406"/>
  <c r="G752"/>
  <c r="G406"/>
  <c r="D752"/>
  <c r="I752"/>
  <c r="I406"/>
  <c r="E752"/>
  <c r="H765"/>
  <c r="K162"/>
  <c r="G162"/>
  <c r="C162"/>
  <c r="K675"/>
  <c r="B793"/>
  <c r="J162"/>
  <c r="F162"/>
  <c r="D648"/>
  <c r="D163"/>
  <c r="J648"/>
  <c r="J163"/>
  <c r="F648"/>
  <c r="F163"/>
  <c r="H162"/>
  <c r="D162"/>
  <c r="H648"/>
  <c r="H163"/>
  <c r="B648"/>
  <c r="B163"/>
  <c r="I648"/>
  <c r="I163"/>
  <c r="E648"/>
  <c r="E163"/>
  <c r="K648"/>
  <c r="K163"/>
  <c r="G648"/>
  <c r="G163"/>
  <c r="C648"/>
  <c r="C163"/>
  <c r="I162"/>
  <c r="E162"/>
  <c r="J170"/>
  <c r="I224"/>
  <c r="F170"/>
  <c r="E224"/>
  <c r="E170"/>
  <c r="D224"/>
  <c r="I170"/>
  <c r="J670"/>
  <c r="F670"/>
  <c r="K170"/>
  <c r="D170"/>
  <c r="G170"/>
  <c r="H170"/>
  <c r="D103"/>
  <c r="K103"/>
  <c r="F103"/>
  <c r="H103"/>
  <c r="C103"/>
  <c r="G103"/>
  <c r="I103"/>
  <c r="E103"/>
  <c r="J103"/>
  <c r="F104"/>
  <c r="B104"/>
  <c r="I104"/>
  <c r="H104"/>
  <c r="G104"/>
  <c r="J104"/>
  <c r="E104"/>
  <c r="D104"/>
  <c r="C104"/>
  <c r="K104"/>
  <c r="K105" s="1"/>
  <c r="I670"/>
  <c r="E670"/>
  <c r="I13" i="1"/>
  <c r="I671" i="5"/>
  <c r="G688"/>
  <c r="G669"/>
  <c r="C669"/>
  <c r="D728"/>
  <c r="D668"/>
  <c r="J731"/>
  <c r="J673"/>
  <c r="J13" i="1"/>
  <c r="J14" s="1"/>
  <c r="J671" i="5"/>
  <c r="F13" i="1"/>
  <c r="F671" i="5"/>
  <c r="H669"/>
  <c r="H688"/>
  <c r="D669"/>
  <c r="D688"/>
  <c r="I668"/>
  <c r="I728"/>
  <c r="E668"/>
  <c r="E728"/>
  <c r="K731"/>
  <c r="K673"/>
  <c r="G731"/>
  <c r="G673"/>
  <c r="C731"/>
  <c r="C673"/>
  <c r="K13" i="1"/>
  <c r="K14" s="1"/>
  <c r="K720" i="5" s="1"/>
  <c r="K753" s="1"/>
  <c r="K671"/>
  <c r="G13" i="1"/>
  <c r="G671" i="5"/>
  <c r="C13" i="1"/>
  <c r="C14" s="1"/>
  <c r="C720" i="5" s="1"/>
  <c r="C753" s="1"/>
  <c r="C671"/>
  <c r="I669"/>
  <c r="I688"/>
  <c r="E669"/>
  <c r="E688"/>
  <c r="J668"/>
  <c r="J728"/>
  <c r="F668"/>
  <c r="F728"/>
  <c r="H673"/>
  <c r="H731"/>
  <c r="D673"/>
  <c r="D731"/>
  <c r="K670"/>
  <c r="G670"/>
  <c r="C670"/>
  <c r="H670"/>
  <c r="D670"/>
  <c r="E13" i="1"/>
  <c r="E14" s="1"/>
  <c r="E720" i="5" s="1"/>
  <c r="E753" s="1"/>
  <c r="E671"/>
  <c r="K688"/>
  <c r="K669"/>
  <c r="H728"/>
  <c r="H668"/>
  <c r="F731"/>
  <c r="F673"/>
  <c r="H13" i="1"/>
  <c r="H671" i="5"/>
  <c r="D13" i="1"/>
  <c r="D14" s="1"/>
  <c r="D720" i="5" s="1"/>
  <c r="D671"/>
  <c r="J688"/>
  <c r="J669"/>
  <c r="F688"/>
  <c r="F669"/>
  <c r="K668"/>
  <c r="K728"/>
  <c r="G668"/>
  <c r="G728"/>
  <c r="C668"/>
  <c r="C728"/>
  <c r="I673"/>
  <c r="I731"/>
  <c r="E673"/>
  <c r="E731"/>
  <c r="J388"/>
  <c r="K388"/>
  <c r="G388"/>
  <c r="C388"/>
  <c r="F388"/>
  <c r="K237"/>
  <c r="K240" s="1"/>
  <c r="K238"/>
  <c r="G237"/>
  <c r="G238"/>
  <c r="C237"/>
  <c r="C240" s="1"/>
  <c r="C238"/>
  <c r="H237"/>
  <c r="H240" s="1"/>
  <c r="H238"/>
  <c r="D237"/>
  <c r="D238"/>
  <c r="B238"/>
  <c r="I238"/>
  <c r="I237"/>
  <c r="E238"/>
  <c r="E237"/>
  <c r="E240" s="1"/>
  <c r="J238"/>
  <c r="J237"/>
  <c r="J240" s="1"/>
  <c r="F238"/>
  <c r="F237"/>
  <c r="F240" s="1"/>
  <c r="L5" i="1"/>
  <c r="D388" i="5"/>
  <c r="I388"/>
  <c r="E388"/>
  <c r="H388"/>
  <c r="H353"/>
  <c r="I374"/>
  <c r="E374"/>
  <c r="I353"/>
  <c r="I382"/>
  <c r="E382"/>
  <c r="J382"/>
  <c r="F382"/>
  <c r="K382"/>
  <c r="G382"/>
  <c r="H382"/>
  <c r="D382"/>
  <c r="F374"/>
  <c r="J374"/>
  <c r="K374"/>
  <c r="G374"/>
  <c r="H374"/>
  <c r="D374"/>
  <c r="K251"/>
  <c r="G251"/>
  <c r="C251"/>
  <c r="K343"/>
  <c r="I88"/>
  <c r="E88"/>
  <c r="E100" s="1"/>
  <c r="H251"/>
  <c r="D251"/>
  <c r="E251"/>
  <c r="J251"/>
  <c r="F251"/>
  <c r="I251"/>
  <c r="B251"/>
  <c r="J88"/>
  <c r="J100" s="1"/>
  <c r="F88"/>
  <c r="F100" s="1"/>
  <c r="K88"/>
  <c r="G88"/>
  <c r="C88"/>
  <c r="C100" s="1"/>
  <c r="H88"/>
  <c r="H100" s="1"/>
  <c r="D88"/>
  <c r="H155"/>
  <c r="D155"/>
  <c r="I155"/>
  <c r="E155"/>
  <c r="G153"/>
  <c r="C153"/>
  <c r="H153"/>
  <c r="F154"/>
  <c r="I153"/>
  <c r="E153"/>
  <c r="J155"/>
  <c r="F155"/>
  <c r="D153"/>
  <c r="J154"/>
  <c r="K153"/>
  <c r="J153"/>
  <c r="F153"/>
  <c r="K155"/>
  <c r="G155"/>
  <c r="H154"/>
  <c r="D154"/>
  <c r="I154"/>
  <c r="E154"/>
  <c r="K154"/>
  <c r="G154"/>
  <c r="C154"/>
  <c r="E353"/>
  <c r="F353"/>
  <c r="J353"/>
  <c r="C353"/>
  <c r="K353"/>
  <c r="G353"/>
  <c r="F369"/>
  <c r="E536"/>
  <c r="F536"/>
  <c r="H536"/>
  <c r="E339"/>
  <c r="E344" s="1"/>
  <c r="D339"/>
  <c r="I423"/>
  <c r="E423"/>
  <c r="E360" s="1"/>
  <c r="K423"/>
  <c r="K360" s="1"/>
  <c r="G423"/>
  <c r="H423"/>
  <c r="H360" s="1"/>
  <c r="D423"/>
  <c r="J423"/>
  <c r="J360" s="1"/>
  <c r="F423"/>
  <c r="F360" s="1"/>
  <c r="H339"/>
  <c r="H344" s="1"/>
  <c r="I339"/>
  <c r="F339"/>
  <c r="F344" s="1"/>
  <c r="G339"/>
  <c r="J339"/>
  <c r="J344" s="1"/>
  <c r="C339"/>
  <c r="C344" s="1"/>
  <c r="K339"/>
  <c r="I6" i="3"/>
  <c r="H6"/>
  <c r="D6"/>
  <c r="I23" i="2"/>
  <c r="I689" i="5" s="1"/>
  <c r="E23" i="2"/>
  <c r="E689" i="5" s="1"/>
  <c r="J23" i="2"/>
  <c r="J689" i="5" s="1"/>
  <c r="E1" i="2"/>
  <c r="E1" i="4"/>
  <c r="E1" i="3"/>
  <c r="J6"/>
  <c r="F6"/>
  <c r="K6"/>
  <c r="G6"/>
  <c r="C6"/>
  <c r="H16" i="2"/>
  <c r="D16"/>
  <c r="K23"/>
  <c r="K689" i="5" s="1"/>
  <c r="G16" i="2"/>
  <c r="F23"/>
  <c r="F689" i="5" s="1"/>
  <c r="C23" i="2"/>
  <c r="C689" i="5" s="1"/>
  <c r="I16" i="2"/>
  <c r="E16"/>
  <c r="K16"/>
  <c r="C16"/>
  <c r="G23"/>
  <c r="G689" i="5" s="1"/>
  <c r="J16" i="2"/>
  <c r="F16"/>
  <c r="E6" i="1"/>
  <c r="E834" i="5" s="1"/>
  <c r="E6" i="3"/>
  <c r="H23" i="2"/>
  <c r="H689" i="5" s="1"/>
  <c r="D23" i="2"/>
  <c r="D689" i="5" s="1"/>
  <c r="I6" i="1"/>
  <c r="I834" i="5" s="1"/>
  <c r="J6" i="1"/>
  <c r="J834" i="5" s="1"/>
  <c r="F6" i="1"/>
  <c r="F834" i="5" s="1"/>
  <c r="K6" i="1"/>
  <c r="K834" i="5" s="1"/>
  <c r="G6" i="1"/>
  <c r="G834" i="5" s="1"/>
  <c r="C6" i="1"/>
  <c r="C834" i="5" s="1"/>
  <c r="H6" i="1"/>
  <c r="H834" i="5" s="1"/>
  <c r="D6" i="1"/>
  <c r="D834" i="5" s="1"/>
  <c r="B6" i="1"/>
  <c r="B834" i="5" s="1"/>
  <c r="H1" i="1"/>
  <c r="I369" i="5" l="1"/>
  <c r="G744"/>
  <c r="G759" s="1"/>
  <c r="E709"/>
  <c r="I758"/>
  <c r="J760"/>
  <c r="J710"/>
  <c r="F823"/>
  <c r="H662"/>
  <c r="H159"/>
  <c r="F662"/>
  <c r="F159"/>
  <c r="B662"/>
  <c r="B159"/>
  <c r="G662"/>
  <c r="G159"/>
  <c r="I662"/>
  <c r="I159"/>
  <c r="E662"/>
  <c r="E159"/>
  <c r="C662"/>
  <c r="C159"/>
  <c r="J662"/>
  <c r="J159"/>
  <c r="D662"/>
  <c r="D159"/>
  <c r="K662"/>
  <c r="K159"/>
  <c r="K756"/>
  <c r="F758"/>
  <c r="F710"/>
  <c r="H709"/>
  <c r="C709"/>
  <c r="M743"/>
  <c r="N743" s="1"/>
  <c r="H744"/>
  <c r="H757" s="1"/>
  <c r="G760"/>
  <c r="G756"/>
  <c r="F756"/>
  <c r="H760"/>
  <c r="I747"/>
  <c r="I712" s="1"/>
  <c r="G709"/>
  <c r="E710"/>
  <c r="H710"/>
  <c r="E758"/>
  <c r="G758"/>
  <c r="H756"/>
  <c r="G747"/>
  <c r="H823" s="1"/>
  <c r="J747"/>
  <c r="F709"/>
  <c r="I710"/>
  <c r="K747"/>
  <c r="K754" s="1"/>
  <c r="I756"/>
  <c r="K744"/>
  <c r="K759" s="1"/>
  <c r="E744"/>
  <c r="E759" s="1"/>
  <c r="D747"/>
  <c r="E823" s="1"/>
  <c r="K760"/>
  <c r="D710"/>
  <c r="K710"/>
  <c r="D758"/>
  <c r="D756"/>
  <c r="C758"/>
  <c r="J756"/>
  <c r="F744"/>
  <c r="F759" s="1"/>
  <c r="C747"/>
  <c r="F760"/>
  <c r="I760"/>
  <c r="K709"/>
  <c r="O709" s="1"/>
  <c r="O743"/>
  <c r="I536"/>
  <c r="O536" s="1"/>
  <c r="J758"/>
  <c r="O758" s="1"/>
  <c r="H758"/>
  <c r="E756"/>
  <c r="C756"/>
  <c r="J744"/>
  <c r="J759" s="1"/>
  <c r="I744"/>
  <c r="I759" s="1"/>
  <c r="E760"/>
  <c r="H533"/>
  <c r="H537" s="1"/>
  <c r="H687" s="1"/>
  <c r="G533"/>
  <c r="G537" s="1"/>
  <c r="F533"/>
  <c r="F537" s="1"/>
  <c r="F687" s="1"/>
  <c r="E533"/>
  <c r="E537" s="1"/>
  <c r="E687" s="1"/>
  <c r="D533"/>
  <c r="D537" s="1"/>
  <c r="O731"/>
  <c r="O224"/>
  <c r="G369"/>
  <c r="M406"/>
  <c r="M689"/>
  <c r="N689" s="1"/>
  <c r="J533"/>
  <c r="J537" s="1"/>
  <c r="J687" s="1"/>
  <c r="D369"/>
  <c r="O154"/>
  <c r="O353"/>
  <c r="O673"/>
  <c r="M170"/>
  <c r="N170" s="1"/>
  <c r="O648"/>
  <c r="I324"/>
  <c r="J366" s="1"/>
  <c r="M443"/>
  <c r="N443" s="1"/>
  <c r="M442"/>
  <c r="N442" s="1"/>
  <c r="K533"/>
  <c r="K537" s="1"/>
  <c r="K687" s="1"/>
  <c r="I533"/>
  <c r="O670"/>
  <c r="O104"/>
  <c r="O162"/>
  <c r="O752"/>
  <c r="O404"/>
  <c r="I360"/>
  <c r="O360" s="1"/>
  <c r="O423"/>
  <c r="D100"/>
  <c r="E101" s="1"/>
  <c r="M88"/>
  <c r="N88" s="1"/>
  <c r="D407"/>
  <c r="M404"/>
  <c r="N404" s="1"/>
  <c r="E705"/>
  <c r="M329"/>
  <c r="N329" s="1"/>
  <c r="G323"/>
  <c r="I344"/>
  <c r="O339"/>
  <c r="D360"/>
  <c r="M423"/>
  <c r="N423" s="1"/>
  <c r="G100"/>
  <c r="G101" s="1"/>
  <c r="I100"/>
  <c r="I101" s="1"/>
  <c r="O88"/>
  <c r="G240"/>
  <c r="I705"/>
  <c r="O705" s="1"/>
  <c r="O329"/>
  <c r="O444"/>
  <c r="M444"/>
  <c r="N444" s="1"/>
  <c r="F323"/>
  <c r="M318"/>
  <c r="N318" s="1"/>
  <c r="O238"/>
  <c r="M731"/>
  <c r="N731" s="1"/>
  <c r="M688"/>
  <c r="N688" s="1"/>
  <c r="O325"/>
  <c r="M675"/>
  <c r="N675" s="1"/>
  <c r="O251"/>
  <c r="M251"/>
  <c r="N251" s="1"/>
  <c r="M374"/>
  <c r="N374" s="1"/>
  <c r="O374"/>
  <c r="O388"/>
  <c r="M238"/>
  <c r="N238" s="1"/>
  <c r="O688"/>
  <c r="O728"/>
  <c r="M668"/>
  <c r="N668" s="1"/>
  <c r="O443"/>
  <c r="O675"/>
  <c r="N364"/>
  <c r="M321"/>
  <c r="N321" s="1"/>
  <c r="O343"/>
  <c r="M154"/>
  <c r="N154" s="1"/>
  <c r="M153"/>
  <c r="N153" s="1"/>
  <c r="O153"/>
  <c r="M673"/>
  <c r="N673" s="1"/>
  <c r="M669"/>
  <c r="N669" s="1"/>
  <c r="M104"/>
  <c r="N104" s="1"/>
  <c r="M103"/>
  <c r="N103" s="1"/>
  <c r="M162"/>
  <c r="O406"/>
  <c r="O708"/>
  <c r="M708"/>
  <c r="N708" s="1"/>
  <c r="M325"/>
  <c r="N325" s="1"/>
  <c r="M343"/>
  <c r="N343" s="1"/>
  <c r="M529"/>
  <c r="N529" s="1"/>
  <c r="O442"/>
  <c r="D353"/>
  <c r="M353" s="1"/>
  <c r="N353" s="1"/>
  <c r="M382"/>
  <c r="N382" s="1"/>
  <c r="D753"/>
  <c r="I323"/>
  <c r="O318"/>
  <c r="G344"/>
  <c r="G360"/>
  <c r="D344"/>
  <c r="M339"/>
  <c r="N339" s="1"/>
  <c r="I240"/>
  <c r="O240" s="1"/>
  <c r="O237"/>
  <c r="D240"/>
  <c r="M237"/>
  <c r="N237" s="1"/>
  <c r="G705"/>
  <c r="M155"/>
  <c r="N155" s="1"/>
  <c r="M648"/>
  <c r="N648" s="1"/>
  <c r="O689"/>
  <c r="O155"/>
  <c r="O382"/>
  <c r="M388"/>
  <c r="N388" s="1"/>
  <c r="M671"/>
  <c r="N671" s="1"/>
  <c r="M670"/>
  <c r="N670" s="1"/>
  <c r="O669"/>
  <c r="O668"/>
  <c r="M728"/>
  <c r="N728" s="1"/>
  <c r="O671"/>
  <c r="O103"/>
  <c r="O170"/>
  <c r="M224"/>
  <c r="N224" s="1"/>
  <c r="O163"/>
  <c r="M163"/>
  <c r="N163" s="1"/>
  <c r="M752"/>
  <c r="K100"/>
  <c r="K101" s="1"/>
  <c r="E407"/>
  <c r="K407"/>
  <c r="J407"/>
  <c r="I407"/>
  <c r="F366"/>
  <c r="G407"/>
  <c r="F407"/>
  <c r="D331"/>
  <c r="D703"/>
  <c r="J704"/>
  <c r="J367"/>
  <c r="J332"/>
  <c r="G331"/>
  <c r="H366"/>
  <c r="F704"/>
  <c r="F367"/>
  <c r="F332"/>
  <c r="I704"/>
  <c r="I367"/>
  <c r="I332"/>
  <c r="H332"/>
  <c r="H704"/>
  <c r="H367"/>
  <c r="E366"/>
  <c r="E703"/>
  <c r="E331"/>
  <c r="K704"/>
  <c r="K367"/>
  <c r="K332"/>
  <c r="G366"/>
  <c r="F405"/>
  <c r="F408" s="1"/>
  <c r="K405"/>
  <c r="K408" s="1"/>
  <c r="H405"/>
  <c r="H408" s="1"/>
  <c r="C407"/>
  <c r="G704"/>
  <c r="G332"/>
  <c r="G367"/>
  <c r="F703"/>
  <c r="F331"/>
  <c r="E704"/>
  <c r="E367"/>
  <c r="E332"/>
  <c r="H407"/>
  <c r="G703"/>
  <c r="D405"/>
  <c r="E405"/>
  <c r="E408" s="1"/>
  <c r="F754"/>
  <c r="F711"/>
  <c r="F712"/>
  <c r="E754"/>
  <c r="E712"/>
  <c r="E711"/>
  <c r="H754"/>
  <c r="H712"/>
  <c r="H711"/>
  <c r="I405"/>
  <c r="J405"/>
  <c r="J408" s="1"/>
  <c r="G405"/>
  <c r="G105"/>
  <c r="G372"/>
  <c r="D105"/>
  <c r="H105"/>
  <c r="E105"/>
  <c r="I105"/>
  <c r="J105"/>
  <c r="C105"/>
  <c r="F105"/>
  <c r="E372"/>
  <c r="J359"/>
  <c r="J417" s="1"/>
  <c r="J418" s="1"/>
  <c r="H359"/>
  <c r="H417" s="1"/>
  <c r="H418" s="1"/>
  <c r="G14" i="1"/>
  <c r="G720" i="5" s="1"/>
  <c r="D359"/>
  <c r="K372"/>
  <c r="H14" i="1"/>
  <c r="H720" i="5" s="1"/>
  <c r="H753" s="1"/>
  <c r="F372"/>
  <c r="E359"/>
  <c r="E417" s="1"/>
  <c r="E418" s="1"/>
  <c r="H372"/>
  <c r="I359"/>
  <c r="D372"/>
  <c r="H719"/>
  <c r="H707" s="1"/>
  <c r="H672"/>
  <c r="E672"/>
  <c r="E719"/>
  <c r="E707" s="1"/>
  <c r="J720"/>
  <c r="J753" s="1"/>
  <c r="C719"/>
  <c r="C707" s="1"/>
  <c r="C672"/>
  <c r="K672"/>
  <c r="K719"/>
  <c r="K707" s="1"/>
  <c r="F672"/>
  <c r="F719"/>
  <c r="F707" s="1"/>
  <c r="I719"/>
  <c r="I672"/>
  <c r="D672"/>
  <c r="D719"/>
  <c r="I14" i="1"/>
  <c r="I720" i="5" s="1"/>
  <c r="F359"/>
  <c r="F417" s="1"/>
  <c r="F418" s="1"/>
  <c r="K359"/>
  <c r="K417" s="1"/>
  <c r="K418" s="1"/>
  <c r="F14" i="1"/>
  <c r="G359" i="5"/>
  <c r="I372"/>
  <c r="J372"/>
  <c r="B467"/>
  <c r="G672"/>
  <c r="G719"/>
  <c r="J719"/>
  <c r="J707" s="1"/>
  <c r="J672"/>
  <c r="F101"/>
  <c r="G398"/>
  <c r="E398"/>
  <c r="C398"/>
  <c r="J398"/>
  <c r="D398"/>
  <c r="K398"/>
  <c r="I398"/>
  <c r="H398"/>
  <c r="F398"/>
  <c r="K395"/>
  <c r="K236"/>
  <c r="H395"/>
  <c r="H236"/>
  <c r="I233" s="1"/>
  <c r="F395"/>
  <c r="F236"/>
  <c r="G233" s="1"/>
  <c r="C395"/>
  <c r="C236"/>
  <c r="D233" s="1"/>
  <c r="D395"/>
  <c r="D236"/>
  <c r="I395"/>
  <c r="I236"/>
  <c r="J395"/>
  <c r="J236"/>
  <c r="K233" s="1"/>
  <c r="K696" s="1"/>
  <c r="E395"/>
  <c r="E236"/>
  <c r="F233" s="1"/>
  <c r="F696" s="1"/>
  <c r="G395"/>
  <c r="G236"/>
  <c r="F389"/>
  <c r="F391" s="1"/>
  <c r="K389"/>
  <c r="K391" s="1"/>
  <c r="G389"/>
  <c r="E389"/>
  <c r="E391" s="1"/>
  <c r="J389"/>
  <c r="J391" s="1"/>
  <c r="H389"/>
  <c r="H391" s="1"/>
  <c r="I389"/>
  <c r="D389"/>
  <c r="H248"/>
  <c r="H663" s="1"/>
  <c r="F248"/>
  <c r="F663" s="1"/>
  <c r="D284"/>
  <c r="K280"/>
  <c r="C277"/>
  <c r="G277"/>
  <c r="K373"/>
  <c r="D373"/>
  <c r="E373"/>
  <c r="I378"/>
  <c r="K378"/>
  <c r="H378"/>
  <c r="F378"/>
  <c r="E378"/>
  <c r="D378"/>
  <c r="J378"/>
  <c r="G378"/>
  <c r="G94"/>
  <c r="K344"/>
  <c r="K369"/>
  <c r="H89"/>
  <c r="H399" s="1"/>
  <c r="H94"/>
  <c r="H110" s="1"/>
  <c r="H282"/>
  <c r="K284"/>
  <c r="D89"/>
  <c r="H261"/>
  <c r="H166"/>
  <c r="I412"/>
  <c r="G280"/>
  <c r="G261"/>
  <c r="H160"/>
  <c r="G95"/>
  <c r="H280"/>
  <c r="H284"/>
  <c r="H277"/>
  <c r="D277"/>
  <c r="D349"/>
  <c r="K95"/>
  <c r="K412"/>
  <c r="D166"/>
  <c r="E412"/>
  <c r="G282"/>
  <c r="D261"/>
  <c r="D280"/>
  <c r="G166"/>
  <c r="K89"/>
  <c r="D248"/>
  <c r="G89"/>
  <c r="D94"/>
  <c r="D282"/>
  <c r="H413"/>
  <c r="K166"/>
  <c r="K261"/>
  <c r="D95"/>
  <c r="C166"/>
  <c r="D412"/>
  <c r="H95"/>
  <c r="H111" s="1"/>
  <c r="H412"/>
  <c r="K277"/>
  <c r="C284"/>
  <c r="C248"/>
  <c r="C663" s="1"/>
  <c r="K413"/>
  <c r="J248"/>
  <c r="J663" s="1"/>
  <c r="K94"/>
  <c r="K248"/>
  <c r="K663" s="1"/>
  <c r="K282"/>
  <c r="C280"/>
  <c r="C89"/>
  <c r="C399" s="1"/>
  <c r="H349"/>
  <c r="E95"/>
  <c r="E111" s="1"/>
  <c r="E248"/>
  <c r="E663" s="1"/>
  <c r="I95"/>
  <c r="I248"/>
  <c r="G284"/>
  <c r="G248"/>
  <c r="C261"/>
  <c r="C94"/>
  <c r="C110" s="1"/>
  <c r="C95"/>
  <c r="C111" s="1"/>
  <c r="D413"/>
  <c r="C282"/>
  <c r="J95"/>
  <c r="J111" s="1"/>
  <c r="J412"/>
  <c r="F160"/>
  <c r="F284"/>
  <c r="F89"/>
  <c r="F399" s="1"/>
  <c r="F261"/>
  <c r="F413"/>
  <c r="F166"/>
  <c r="F280"/>
  <c r="G413"/>
  <c r="F282"/>
  <c r="F349"/>
  <c r="F277"/>
  <c r="F94"/>
  <c r="F110" s="1"/>
  <c r="I349"/>
  <c r="I166"/>
  <c r="I94"/>
  <c r="I284"/>
  <c r="I282"/>
  <c r="I280"/>
  <c r="I261"/>
  <c r="I277"/>
  <c r="I89"/>
  <c r="I413"/>
  <c r="E284"/>
  <c r="E89"/>
  <c r="E399" s="1"/>
  <c r="E261"/>
  <c r="E277"/>
  <c r="E166"/>
  <c r="E94"/>
  <c r="E110" s="1"/>
  <c r="E282"/>
  <c r="E413"/>
  <c r="E280"/>
  <c r="E349"/>
  <c r="K349"/>
  <c r="J277"/>
  <c r="J94"/>
  <c r="J110" s="1"/>
  <c r="J280"/>
  <c r="J261"/>
  <c r="J413"/>
  <c r="J166"/>
  <c r="J284"/>
  <c r="J89"/>
  <c r="J399" s="1"/>
  <c r="J349"/>
  <c r="J282"/>
  <c r="F412"/>
  <c r="G349"/>
  <c r="F95"/>
  <c r="F111" s="1"/>
  <c r="G412"/>
  <c r="G156"/>
  <c r="E156"/>
  <c r="E157" s="1"/>
  <c r="J156"/>
  <c r="J157" s="1"/>
  <c r="F156"/>
  <c r="F157" s="1"/>
  <c r="D156"/>
  <c r="K156"/>
  <c r="K157" s="1"/>
  <c r="I156"/>
  <c r="H156"/>
  <c r="H157" s="1"/>
  <c r="C86"/>
  <c r="C84" s="1"/>
  <c r="C160"/>
  <c r="D86"/>
  <c r="D160"/>
  <c r="I86"/>
  <c r="I160"/>
  <c r="J86"/>
  <c r="J84" s="1"/>
  <c r="J160"/>
  <c r="G86"/>
  <c r="G160"/>
  <c r="E86"/>
  <c r="E84" s="1"/>
  <c r="E160"/>
  <c r="K86"/>
  <c r="K160"/>
  <c r="D229"/>
  <c r="F538"/>
  <c r="H538"/>
  <c r="G538"/>
  <c r="I19" i="1"/>
  <c r="I467" i="5"/>
  <c r="D19" i="1"/>
  <c r="D467" i="5"/>
  <c r="G19" i="1"/>
  <c r="G467" i="5"/>
  <c r="E19" i="1"/>
  <c r="E467" i="5"/>
  <c r="C19" i="1"/>
  <c r="C467" i="5"/>
  <c r="J19" i="1"/>
  <c r="J467" i="5"/>
  <c r="K19" i="1"/>
  <c r="K467" i="5"/>
  <c r="H19" i="1"/>
  <c r="H467" i="5"/>
  <c r="F19" i="1"/>
  <c r="F467" i="5"/>
  <c r="K433"/>
  <c r="F424"/>
  <c r="H425"/>
  <c r="G424"/>
  <c r="I425"/>
  <c r="J425"/>
  <c r="H424"/>
  <c r="I424"/>
  <c r="K425"/>
  <c r="J424"/>
  <c r="J433"/>
  <c r="K424"/>
  <c r="F24" i="2"/>
  <c r="F86" i="5"/>
  <c r="F84" s="1"/>
  <c r="H24" i="2"/>
  <c r="H86" i="5"/>
  <c r="H84" s="1"/>
  <c r="C498"/>
  <c r="E498"/>
  <c r="D498"/>
  <c r="M498" s="1"/>
  <c r="N498" s="1"/>
  <c r="G24" i="2"/>
  <c r="E24"/>
  <c r="K24"/>
  <c r="C24"/>
  <c r="I24"/>
  <c r="D24"/>
  <c r="J24"/>
  <c r="C3" i="4"/>
  <c r="D3"/>
  <c r="E3"/>
  <c r="F3"/>
  <c r="G3"/>
  <c r="H3"/>
  <c r="I3"/>
  <c r="J3"/>
  <c r="K3"/>
  <c r="C3" i="2"/>
  <c r="D3"/>
  <c r="E3"/>
  <c r="F3"/>
  <c r="G3"/>
  <c r="H3"/>
  <c r="I3"/>
  <c r="J3"/>
  <c r="K3"/>
  <c r="C3" i="3"/>
  <c r="C763" i="5" s="1"/>
  <c r="D3" i="3"/>
  <c r="D763" i="5" s="1"/>
  <c r="E3" i="3"/>
  <c r="E763" i="5" s="1"/>
  <c r="F3" i="3"/>
  <c r="F763" i="5" s="1"/>
  <c r="G3" i="3"/>
  <c r="G763" i="5" s="1"/>
  <c r="H3" i="3"/>
  <c r="H763" i="5" s="1"/>
  <c r="I3" i="3"/>
  <c r="I763" i="5" s="1"/>
  <c r="J3" i="3"/>
  <c r="J763" i="5" s="1"/>
  <c r="K3" i="3"/>
  <c r="K763" i="5" s="1"/>
  <c r="C3" i="1"/>
  <c r="D3"/>
  <c r="E3"/>
  <c r="F3"/>
  <c r="G3"/>
  <c r="H3"/>
  <c r="I3"/>
  <c r="J3"/>
  <c r="K3"/>
  <c r="I751" i="5" l="1"/>
  <c r="G751"/>
  <c r="G755" s="1"/>
  <c r="G712"/>
  <c r="E291"/>
  <c r="E299" s="1"/>
  <c r="H828"/>
  <c r="E831"/>
  <c r="J828"/>
  <c r="F826"/>
  <c r="J829"/>
  <c r="G757"/>
  <c r="E826"/>
  <c r="F828"/>
  <c r="M662"/>
  <c r="O662"/>
  <c r="F829"/>
  <c r="D711"/>
  <c r="D823"/>
  <c r="K711"/>
  <c r="K823"/>
  <c r="G711"/>
  <c r="G823"/>
  <c r="H829"/>
  <c r="H826"/>
  <c r="H831"/>
  <c r="J831"/>
  <c r="C831"/>
  <c r="E829"/>
  <c r="C754"/>
  <c r="C826"/>
  <c r="J754"/>
  <c r="J826"/>
  <c r="J823"/>
  <c r="I754"/>
  <c r="I823"/>
  <c r="F831"/>
  <c r="E828"/>
  <c r="I538"/>
  <c r="K751"/>
  <c r="K755" s="1"/>
  <c r="J757"/>
  <c r="J538"/>
  <c r="E757"/>
  <c r="O760"/>
  <c r="H759"/>
  <c r="F751"/>
  <c r="F755" s="1"/>
  <c r="D712"/>
  <c r="K712"/>
  <c r="G754"/>
  <c r="M536"/>
  <c r="N536" s="1"/>
  <c r="O710"/>
  <c r="H751"/>
  <c r="H755" s="1"/>
  <c r="O744"/>
  <c r="O756"/>
  <c r="M709"/>
  <c r="N709" s="1"/>
  <c r="J711"/>
  <c r="O747"/>
  <c r="J751"/>
  <c r="J755" s="1"/>
  <c r="J712"/>
  <c r="C711"/>
  <c r="M758"/>
  <c r="N758" s="1"/>
  <c r="I711"/>
  <c r="M710"/>
  <c r="N710" s="1"/>
  <c r="I757"/>
  <c r="F757"/>
  <c r="D754"/>
  <c r="M747"/>
  <c r="N747" s="1"/>
  <c r="K538"/>
  <c r="H285"/>
  <c r="M756"/>
  <c r="N756" s="1"/>
  <c r="C712"/>
  <c r="K757"/>
  <c r="E751"/>
  <c r="E755" s="1"/>
  <c r="M324"/>
  <c r="N324" s="1"/>
  <c r="N367"/>
  <c r="O412"/>
  <c r="M369"/>
  <c r="N369" s="1"/>
  <c r="O398"/>
  <c r="H101"/>
  <c r="O324"/>
  <c r="M533"/>
  <c r="N533" s="1"/>
  <c r="I366"/>
  <c r="M366" s="1"/>
  <c r="N366" s="1"/>
  <c r="O367"/>
  <c r="I331"/>
  <c r="O331" s="1"/>
  <c r="M344"/>
  <c r="N344" s="1"/>
  <c r="O344"/>
  <c r="I537"/>
  <c r="M537" s="1"/>
  <c r="N537" s="1"/>
  <c r="I703"/>
  <c r="O425"/>
  <c r="O261"/>
  <c r="O378"/>
  <c r="M240"/>
  <c r="N240" s="1"/>
  <c r="O533"/>
  <c r="O277"/>
  <c r="O100"/>
  <c r="I399"/>
  <c r="J544" s="1"/>
  <c r="O89"/>
  <c r="G663"/>
  <c r="G399"/>
  <c r="G544" s="1"/>
  <c r="G111"/>
  <c r="G139" s="1"/>
  <c r="D391"/>
  <c r="M389"/>
  <c r="N389" s="1"/>
  <c r="H233"/>
  <c r="H696" s="1"/>
  <c r="E233"/>
  <c r="E696" s="1"/>
  <c r="M236"/>
  <c r="N236" s="1"/>
  <c r="G696"/>
  <c r="G707"/>
  <c r="G417"/>
  <c r="I753"/>
  <c r="O753" s="1"/>
  <c r="O720"/>
  <c r="O323"/>
  <c r="J365"/>
  <c r="I365"/>
  <c r="I330"/>
  <c r="O330" s="1"/>
  <c r="G365"/>
  <c r="G330"/>
  <c r="H365"/>
  <c r="D84"/>
  <c r="M86"/>
  <c r="N86" s="1"/>
  <c r="I157"/>
  <c r="O157" s="1"/>
  <c r="O156"/>
  <c r="I111"/>
  <c r="J116" s="1"/>
  <c r="O95"/>
  <c r="D110"/>
  <c r="E115" s="1"/>
  <c r="M94"/>
  <c r="N94" s="1"/>
  <c r="D399"/>
  <c r="E544" s="1"/>
  <c r="M89"/>
  <c r="N89" s="1"/>
  <c r="I417"/>
  <c r="O359"/>
  <c r="G408"/>
  <c r="F330"/>
  <c r="M323"/>
  <c r="N323" s="1"/>
  <c r="O160"/>
  <c r="O282"/>
  <c r="O349"/>
  <c r="M413"/>
  <c r="N413" s="1"/>
  <c r="M412"/>
  <c r="N412" s="1"/>
  <c r="M280"/>
  <c r="N280" s="1"/>
  <c r="M166"/>
  <c r="M277"/>
  <c r="O729"/>
  <c r="M105"/>
  <c r="N105" s="1"/>
  <c r="M360"/>
  <c r="N360" s="1"/>
  <c r="M407"/>
  <c r="N407" s="1"/>
  <c r="O424"/>
  <c r="O467"/>
  <c r="O413"/>
  <c r="O280"/>
  <c r="O166"/>
  <c r="M349"/>
  <c r="N349" s="1"/>
  <c r="O395"/>
  <c r="M729"/>
  <c r="O372"/>
  <c r="M332"/>
  <c r="N332" s="1"/>
  <c r="O332"/>
  <c r="O407"/>
  <c r="O369"/>
  <c r="I110"/>
  <c r="O94"/>
  <c r="I663"/>
  <c r="O663" s="1"/>
  <c r="O248"/>
  <c r="D111"/>
  <c r="F116" s="1"/>
  <c r="M95"/>
  <c r="N95" s="1"/>
  <c r="G110"/>
  <c r="H115" s="1"/>
  <c r="J233"/>
  <c r="J696" s="1"/>
  <c r="O236"/>
  <c r="D696"/>
  <c r="I696"/>
  <c r="I707"/>
  <c r="O719"/>
  <c r="G753"/>
  <c r="D408"/>
  <c r="M405"/>
  <c r="N405" s="1"/>
  <c r="D687"/>
  <c r="G687"/>
  <c r="G84"/>
  <c r="I84"/>
  <c r="O86"/>
  <c r="D157"/>
  <c r="M156"/>
  <c r="N156" s="1"/>
  <c r="G157"/>
  <c r="D663"/>
  <c r="M248"/>
  <c r="N248" s="1"/>
  <c r="I391"/>
  <c r="O391" s="1"/>
  <c r="O389"/>
  <c r="G391"/>
  <c r="D707"/>
  <c r="M719"/>
  <c r="N719" s="1"/>
  <c r="D417"/>
  <c r="M359"/>
  <c r="N359" s="1"/>
  <c r="I755"/>
  <c r="I408"/>
  <c r="O408" s="1"/>
  <c r="O405"/>
  <c r="M160"/>
  <c r="N160" s="1"/>
  <c r="M282"/>
  <c r="N282" s="1"/>
  <c r="M398"/>
  <c r="N398" s="1"/>
  <c r="M672"/>
  <c r="M372"/>
  <c r="N372" s="1"/>
  <c r="O759"/>
  <c r="M705"/>
  <c r="N705" s="1"/>
  <c r="M100"/>
  <c r="M467"/>
  <c r="N467" s="1"/>
  <c r="O284"/>
  <c r="M261"/>
  <c r="N261" s="1"/>
  <c r="M378"/>
  <c r="N378" s="1"/>
  <c r="M284"/>
  <c r="N284" s="1"/>
  <c r="M395"/>
  <c r="N395" s="1"/>
  <c r="J101"/>
  <c r="O101" s="1"/>
  <c r="D101"/>
  <c r="O672"/>
  <c r="O105"/>
  <c r="M704"/>
  <c r="N704" s="1"/>
  <c r="O704"/>
  <c r="D376"/>
  <c r="K399"/>
  <c r="K544" s="1"/>
  <c r="G254"/>
  <c r="G665"/>
  <c r="F254"/>
  <c r="F665"/>
  <c r="K254"/>
  <c r="K665"/>
  <c r="I254"/>
  <c r="I665"/>
  <c r="H254"/>
  <c r="H665"/>
  <c r="J254"/>
  <c r="J665"/>
  <c r="E254"/>
  <c r="E665"/>
  <c r="D254"/>
  <c r="D665"/>
  <c r="C254"/>
  <c r="C665"/>
  <c r="H226"/>
  <c r="H291"/>
  <c r="J226"/>
  <c r="J291"/>
  <c r="F226"/>
  <c r="F291"/>
  <c r="C226"/>
  <c r="C291"/>
  <c r="E226"/>
  <c r="G373"/>
  <c r="G171"/>
  <c r="H400"/>
  <c r="H168"/>
  <c r="K400"/>
  <c r="K168"/>
  <c r="D400"/>
  <c r="D168"/>
  <c r="I400"/>
  <c r="I168"/>
  <c r="F400"/>
  <c r="F168"/>
  <c r="G400"/>
  <c r="G168"/>
  <c r="C400"/>
  <c r="J400"/>
  <c r="J168"/>
  <c r="E400"/>
  <c r="E168"/>
  <c r="G376"/>
  <c r="J376"/>
  <c r="H131"/>
  <c r="H135" s="1"/>
  <c r="H139"/>
  <c r="H143" s="1"/>
  <c r="H130"/>
  <c r="H134" s="1"/>
  <c r="H138"/>
  <c r="H142" s="1"/>
  <c r="J130"/>
  <c r="J138"/>
  <c r="J142" s="1"/>
  <c r="C130"/>
  <c r="C134" s="1"/>
  <c r="C138"/>
  <c r="C142" s="1"/>
  <c r="E130"/>
  <c r="E138"/>
  <c r="E142" s="1"/>
  <c r="F130"/>
  <c r="F134" s="1"/>
  <c r="F138"/>
  <c r="F142" s="1"/>
  <c r="C131"/>
  <c r="C135" s="1"/>
  <c r="C139"/>
  <c r="C143" s="1"/>
  <c r="E131"/>
  <c r="E135" s="1"/>
  <c r="E139"/>
  <c r="E143" s="1"/>
  <c r="F131"/>
  <c r="F135" s="1"/>
  <c r="F139"/>
  <c r="F143" s="1"/>
  <c r="J131"/>
  <c r="J135" s="1"/>
  <c r="J139"/>
  <c r="J143" s="1"/>
  <c r="K84"/>
  <c r="K376"/>
  <c r="I373"/>
  <c r="F376"/>
  <c r="E376"/>
  <c r="I376"/>
  <c r="H373"/>
  <c r="H376"/>
  <c r="J158"/>
  <c r="J690"/>
  <c r="J761" s="1"/>
  <c r="J762" s="1"/>
  <c r="C158"/>
  <c r="C690"/>
  <c r="C761" s="1"/>
  <c r="C762" s="1"/>
  <c r="H158"/>
  <c r="H690"/>
  <c r="H761" s="1"/>
  <c r="H762" s="1"/>
  <c r="I158"/>
  <c r="I690"/>
  <c r="G158"/>
  <c r="G690"/>
  <c r="J373"/>
  <c r="K158"/>
  <c r="K690"/>
  <c r="D158"/>
  <c r="D690"/>
  <c r="E158"/>
  <c r="E690"/>
  <c r="E761" s="1"/>
  <c r="E762" s="1"/>
  <c r="F158"/>
  <c r="F690"/>
  <c r="F761" s="1"/>
  <c r="F762" s="1"/>
  <c r="F373"/>
  <c r="F720"/>
  <c r="K543"/>
  <c r="F543"/>
  <c r="I543"/>
  <c r="E543"/>
  <c r="H543"/>
  <c r="G543"/>
  <c r="D543"/>
  <c r="J543"/>
  <c r="F544"/>
  <c r="K193"/>
  <c r="G193"/>
  <c r="I198"/>
  <c r="I199"/>
  <c r="H194"/>
  <c r="K198"/>
  <c r="I193"/>
  <c r="K199"/>
  <c r="J194"/>
  <c r="J193"/>
  <c r="K194"/>
  <c r="H198"/>
  <c r="F193"/>
  <c r="F194"/>
  <c r="H199"/>
  <c r="G194"/>
  <c r="H193"/>
  <c r="J198"/>
  <c r="I194"/>
  <c r="J199"/>
  <c r="C92"/>
  <c r="H179"/>
  <c r="H184"/>
  <c r="H183"/>
  <c r="H178"/>
  <c r="K184"/>
  <c r="K183"/>
  <c r="K178"/>
  <c r="K179"/>
  <c r="D92"/>
  <c r="I179"/>
  <c r="I184"/>
  <c r="I183"/>
  <c r="I178"/>
  <c r="F179"/>
  <c r="F178"/>
  <c r="G178"/>
  <c r="G179"/>
  <c r="J184"/>
  <c r="J183"/>
  <c r="J178"/>
  <c r="J179"/>
  <c r="F92"/>
  <c r="J92"/>
  <c r="E92"/>
  <c r="H92"/>
  <c r="I249"/>
  <c r="I350"/>
  <c r="I384"/>
  <c r="E384"/>
  <c r="K384"/>
  <c r="H384"/>
  <c r="J384"/>
  <c r="F384"/>
  <c r="G384"/>
  <c r="D384"/>
  <c r="D285"/>
  <c r="D350"/>
  <c r="J249"/>
  <c r="J664" s="1"/>
  <c r="J350"/>
  <c r="H281"/>
  <c r="H350"/>
  <c r="F249"/>
  <c r="F664" s="1"/>
  <c r="F350"/>
  <c r="K350"/>
  <c r="G281"/>
  <c r="G350"/>
  <c r="E249"/>
  <c r="E664" s="1"/>
  <c r="E350"/>
  <c r="E377"/>
  <c r="D377"/>
  <c r="I92"/>
  <c r="G92"/>
  <c r="K92"/>
  <c r="K110"/>
  <c r="K138" s="1"/>
  <c r="K142" s="1"/>
  <c r="K111"/>
  <c r="K139" s="1"/>
  <c r="K143" s="1"/>
  <c r="D249"/>
  <c r="H249"/>
  <c r="H664" s="1"/>
  <c r="H283"/>
  <c r="D283"/>
  <c r="D281"/>
  <c r="D351"/>
  <c r="H351"/>
  <c r="H173"/>
  <c r="G285"/>
  <c r="K249"/>
  <c r="K664" s="1"/>
  <c r="H174"/>
  <c r="D173"/>
  <c r="D174"/>
  <c r="K283"/>
  <c r="K281"/>
  <c r="K285"/>
  <c r="G283"/>
  <c r="G249"/>
  <c r="C285"/>
  <c r="C249"/>
  <c r="C664" s="1"/>
  <c r="C281"/>
  <c r="C283"/>
  <c r="E285"/>
  <c r="E283"/>
  <c r="E281"/>
  <c r="J285"/>
  <c r="J283"/>
  <c r="J281"/>
  <c r="I285"/>
  <c r="I283"/>
  <c r="I281"/>
  <c r="I173"/>
  <c r="I351"/>
  <c r="I174"/>
  <c r="F173"/>
  <c r="G173"/>
  <c r="G351"/>
  <c r="F351"/>
  <c r="F174"/>
  <c r="G174"/>
  <c r="K351"/>
  <c r="J351"/>
  <c r="K174"/>
  <c r="J173"/>
  <c r="J174"/>
  <c r="K173"/>
  <c r="E351"/>
  <c r="E174"/>
  <c r="E173"/>
  <c r="F285"/>
  <c r="F283"/>
  <c r="F281"/>
  <c r="G258"/>
  <c r="G356"/>
  <c r="C258"/>
  <c r="E87"/>
  <c r="E356"/>
  <c r="J258"/>
  <c r="J356"/>
  <c r="D258"/>
  <c r="D356"/>
  <c r="K258"/>
  <c r="K356"/>
  <c r="I258"/>
  <c r="I356"/>
  <c r="F258"/>
  <c r="F356"/>
  <c r="H356"/>
  <c r="G87"/>
  <c r="E229"/>
  <c r="K229"/>
  <c r="I87"/>
  <c r="J87"/>
  <c r="J229"/>
  <c r="K87"/>
  <c r="D87"/>
  <c r="E258"/>
  <c r="I229"/>
  <c r="G229"/>
  <c r="C229"/>
  <c r="C87"/>
  <c r="H229"/>
  <c r="H258"/>
  <c r="F453"/>
  <c r="F457" s="1"/>
  <c r="F458" s="1"/>
  <c r="F460"/>
  <c r="F462" s="1"/>
  <c r="K460"/>
  <c r="K462" s="1"/>
  <c r="K453"/>
  <c r="C453"/>
  <c r="C460"/>
  <c r="C462" s="1"/>
  <c r="G460"/>
  <c r="G453"/>
  <c r="I453"/>
  <c r="I460"/>
  <c r="H460"/>
  <c r="H462" s="1"/>
  <c r="H453"/>
  <c r="H457" s="1"/>
  <c r="H458" s="1"/>
  <c r="J453"/>
  <c r="J457" s="1"/>
  <c r="J458" s="1"/>
  <c r="J460"/>
  <c r="J462" s="1"/>
  <c r="E453"/>
  <c r="E457" s="1"/>
  <c r="E458" s="1"/>
  <c r="E460"/>
  <c r="E462" s="1"/>
  <c r="D460"/>
  <c r="D453"/>
  <c r="H433"/>
  <c r="G433"/>
  <c r="E433"/>
  <c r="K438"/>
  <c r="O438" s="1"/>
  <c r="I433"/>
  <c r="F433"/>
  <c r="F229"/>
  <c r="H87"/>
  <c r="H85" s="1"/>
  <c r="F87"/>
  <c r="F85" s="1"/>
  <c r="B7" i="4"/>
  <c r="B734" i="5" s="1"/>
  <c r="B6" i="4"/>
  <c r="B733" i="5" s="1"/>
  <c r="B5" i="4"/>
  <c r="B732" i="5" s="1"/>
  <c r="B4" i="4"/>
  <c r="B3"/>
  <c r="K21" i="2"/>
  <c r="K694" i="5" s="1"/>
  <c r="J21" i="2"/>
  <c r="J694" i="5" s="1"/>
  <c r="I21" i="2"/>
  <c r="I694" i="5" s="1"/>
  <c r="H21" i="2"/>
  <c r="H694" i="5" s="1"/>
  <c r="G21" i="2"/>
  <c r="G694" i="5" s="1"/>
  <c r="F21" i="2"/>
  <c r="F694" i="5" s="1"/>
  <c r="E21" i="2"/>
  <c r="E694" i="5" s="1"/>
  <c r="D21" i="2"/>
  <c r="D694" i="5" s="1"/>
  <c r="C21" i="2"/>
  <c r="C694" i="5" s="1"/>
  <c r="B18" i="2"/>
  <c r="B13"/>
  <c r="B12"/>
  <c r="B11"/>
  <c r="B10"/>
  <c r="C688" i="5" s="1"/>
  <c r="B8" i="2"/>
  <c r="B7"/>
  <c r="B6"/>
  <c r="B3"/>
  <c r="J14" i="3"/>
  <c r="J767" i="5" s="1"/>
  <c r="H14" i="3"/>
  <c r="H767" i="5" s="1"/>
  <c r="F14" i="3"/>
  <c r="F767" i="5" s="1"/>
  <c r="D14" i="3"/>
  <c r="D767" i="5" s="1"/>
  <c r="B12" i="3"/>
  <c r="B11"/>
  <c r="B10"/>
  <c r="B9"/>
  <c r="B8"/>
  <c r="B7"/>
  <c r="B4"/>
  <c r="H764" i="5" s="1"/>
  <c r="B3" i="3"/>
  <c r="B763" i="5" s="1"/>
  <c r="L15" i="1"/>
  <c r="B12"/>
  <c r="B11"/>
  <c r="B10"/>
  <c r="B9"/>
  <c r="B8"/>
  <c r="B20" i="2"/>
  <c r="B231" i="5" s="1"/>
  <c r="B697" s="1"/>
  <c r="B3" i="1"/>
  <c r="D291" i="5" l="1"/>
  <c r="E301" s="1"/>
  <c r="E307" s="1"/>
  <c r="F301"/>
  <c r="F306" s="1"/>
  <c r="E298"/>
  <c r="I226"/>
  <c r="K828"/>
  <c r="G291"/>
  <c r="G301" s="1"/>
  <c r="J171"/>
  <c r="I829"/>
  <c r="O754"/>
  <c r="K826"/>
  <c r="D828"/>
  <c r="D826"/>
  <c r="K831"/>
  <c r="D831"/>
  <c r="G831"/>
  <c r="O703"/>
  <c r="I828"/>
  <c r="O707"/>
  <c r="I831"/>
  <c r="O755"/>
  <c r="G828"/>
  <c r="G829"/>
  <c r="B785"/>
  <c r="D786" s="1"/>
  <c r="E786" s="1"/>
  <c r="F786" s="1"/>
  <c r="G786" s="1"/>
  <c r="G787" s="1"/>
  <c r="I826"/>
  <c r="K829"/>
  <c r="M712"/>
  <c r="N712" s="1"/>
  <c r="M538"/>
  <c r="N538" s="1"/>
  <c r="G826"/>
  <c r="I291"/>
  <c r="I298" s="1"/>
  <c r="O711"/>
  <c r="O538"/>
  <c r="B775"/>
  <c r="J779" s="1"/>
  <c r="O712"/>
  <c r="M754"/>
  <c r="N754" s="1"/>
  <c r="M711"/>
  <c r="N711" s="1"/>
  <c r="G779"/>
  <c r="M751"/>
  <c r="N751" s="1"/>
  <c r="O751"/>
  <c r="O757"/>
  <c r="B675"/>
  <c r="C750"/>
  <c r="B743"/>
  <c r="B710" s="1"/>
  <c r="B748"/>
  <c r="I131"/>
  <c r="I135" s="1"/>
  <c r="E171"/>
  <c r="F115"/>
  <c r="F208" s="1"/>
  <c r="D130"/>
  <c r="D134" s="1"/>
  <c r="I171"/>
  <c r="E116"/>
  <c r="H766"/>
  <c r="B768"/>
  <c r="O229"/>
  <c r="O283"/>
  <c r="I120"/>
  <c r="I213" s="1"/>
  <c r="O537"/>
  <c r="I687"/>
  <c r="O687" s="1"/>
  <c r="G130"/>
  <c r="G134" s="1"/>
  <c r="M703"/>
  <c r="N703" s="1"/>
  <c r="M331"/>
  <c r="N331" s="1"/>
  <c r="O366"/>
  <c r="O174"/>
  <c r="O178"/>
  <c r="I116"/>
  <c r="I209" s="1"/>
  <c r="O694"/>
  <c r="O194"/>
  <c r="D544"/>
  <c r="D131"/>
  <c r="D135" s="1"/>
  <c r="H120"/>
  <c r="H213" s="1"/>
  <c r="B776"/>
  <c r="L721"/>
  <c r="I130"/>
  <c r="J368" s="1"/>
  <c r="O168"/>
  <c r="O365"/>
  <c r="O87"/>
  <c r="M696"/>
  <c r="N696" s="1"/>
  <c r="M330"/>
  <c r="N330" s="1"/>
  <c r="B669"/>
  <c r="B729"/>
  <c r="M229"/>
  <c r="N229" s="1"/>
  <c r="O376"/>
  <c r="F171"/>
  <c r="M254"/>
  <c r="N254" s="1"/>
  <c r="M707"/>
  <c r="N707" s="1"/>
  <c r="M408"/>
  <c r="N408" s="1"/>
  <c r="O696"/>
  <c r="G143"/>
  <c r="K434"/>
  <c r="O433"/>
  <c r="G664"/>
  <c r="D462"/>
  <c r="M460"/>
  <c r="N460" s="1"/>
  <c r="I457"/>
  <c r="O453"/>
  <c r="M183"/>
  <c r="N183" s="1"/>
  <c r="D761"/>
  <c r="M690"/>
  <c r="N690" s="1"/>
  <c r="D418"/>
  <c r="M417"/>
  <c r="N417" s="1"/>
  <c r="I544"/>
  <c r="O544" s="1"/>
  <c r="O399"/>
  <c r="D457"/>
  <c r="M453"/>
  <c r="N453" s="1"/>
  <c r="I462"/>
  <c r="O462" s="1"/>
  <c r="O460"/>
  <c r="D664"/>
  <c r="M249"/>
  <c r="N249" s="1"/>
  <c r="I761"/>
  <c r="O690"/>
  <c r="M351"/>
  <c r="N351" s="1"/>
  <c r="M350"/>
  <c r="N350" s="1"/>
  <c r="M87"/>
  <c r="N87" s="1"/>
  <c r="O258"/>
  <c r="M258"/>
  <c r="N258" s="1"/>
  <c r="O173"/>
  <c r="M173"/>
  <c r="N173" s="1"/>
  <c r="M283"/>
  <c r="N283" s="1"/>
  <c r="O92"/>
  <c r="M384"/>
  <c r="N384" s="1"/>
  <c r="O350"/>
  <c r="M178"/>
  <c r="N178" s="1"/>
  <c r="O184"/>
  <c r="O199"/>
  <c r="I121"/>
  <c r="I214" s="1"/>
  <c r="J120"/>
  <c r="H116"/>
  <c r="H209" s="1"/>
  <c r="O158"/>
  <c r="O373"/>
  <c r="G131"/>
  <c r="M168"/>
  <c r="M665"/>
  <c r="O665"/>
  <c r="M663"/>
  <c r="M157"/>
  <c r="N157" s="1"/>
  <c r="M111"/>
  <c r="N111" s="1"/>
  <c r="O110"/>
  <c r="M373"/>
  <c r="N373" s="1"/>
  <c r="M399"/>
  <c r="N399" s="1"/>
  <c r="O111"/>
  <c r="M84"/>
  <c r="N84" s="1"/>
  <c r="M391"/>
  <c r="N391" s="1"/>
  <c r="O356"/>
  <c r="M356"/>
  <c r="N356" s="1"/>
  <c r="O351"/>
  <c r="O285"/>
  <c r="M174"/>
  <c r="N174" s="1"/>
  <c r="M281"/>
  <c r="N281" s="1"/>
  <c r="M285"/>
  <c r="N285" s="1"/>
  <c r="O384"/>
  <c r="O183"/>
  <c r="H544"/>
  <c r="G116"/>
  <c r="G209" s="1"/>
  <c r="H121"/>
  <c r="H214" s="1"/>
  <c r="J115"/>
  <c r="J208" s="1"/>
  <c r="M543"/>
  <c r="N543" s="1"/>
  <c r="O543"/>
  <c r="D139"/>
  <c r="I138"/>
  <c r="O400"/>
  <c r="K171"/>
  <c r="D226"/>
  <c r="O233"/>
  <c r="G462"/>
  <c r="F753"/>
  <c r="M753" s="1"/>
  <c r="M720"/>
  <c r="N720" s="1"/>
  <c r="I418"/>
  <c r="O418" s="1"/>
  <c r="O417"/>
  <c r="G418"/>
  <c r="I664"/>
  <c r="O664" s="1"/>
  <c r="O249"/>
  <c r="M184"/>
  <c r="N184" s="1"/>
  <c r="G761"/>
  <c r="M365"/>
  <c r="N365" s="1"/>
  <c r="M92"/>
  <c r="N92" s="1"/>
  <c r="M755"/>
  <c r="N755" s="1"/>
  <c r="O84"/>
  <c r="M110"/>
  <c r="N110" s="1"/>
  <c r="M694"/>
  <c r="N694" s="1"/>
  <c r="O281"/>
  <c r="M179"/>
  <c r="N179" s="1"/>
  <c r="O179"/>
  <c r="O193"/>
  <c r="O198"/>
  <c r="G121"/>
  <c r="G115"/>
  <c r="G208" s="1"/>
  <c r="G120"/>
  <c r="I115"/>
  <c r="J121"/>
  <c r="J214" s="1"/>
  <c r="M158"/>
  <c r="N158" s="1"/>
  <c r="G138"/>
  <c r="D138"/>
  <c r="I139"/>
  <c r="M400"/>
  <c r="N400" s="1"/>
  <c r="H171"/>
  <c r="G226"/>
  <c r="O254"/>
  <c r="M376"/>
  <c r="N376" s="1"/>
  <c r="M101"/>
  <c r="M233"/>
  <c r="N233" s="1"/>
  <c r="M438"/>
  <c r="N438" s="1"/>
  <c r="K85"/>
  <c r="B404"/>
  <c r="B708"/>
  <c r="C299"/>
  <c r="C298"/>
  <c r="F307"/>
  <c r="J299"/>
  <c r="J298"/>
  <c r="F298"/>
  <c r="F299"/>
  <c r="H299"/>
  <c r="H298"/>
  <c r="K226"/>
  <c r="O226" s="1"/>
  <c r="K291"/>
  <c r="K301" s="1"/>
  <c r="B671"/>
  <c r="B719" s="1"/>
  <c r="B707" s="1"/>
  <c r="B162"/>
  <c r="K761"/>
  <c r="K762" s="1"/>
  <c r="G377"/>
  <c r="H545"/>
  <c r="K545"/>
  <c r="E545"/>
  <c r="D545"/>
  <c r="J545"/>
  <c r="F545"/>
  <c r="G545"/>
  <c r="I545"/>
  <c r="F377"/>
  <c r="C499"/>
  <c r="D499"/>
  <c r="K116"/>
  <c r="K209" s="1"/>
  <c r="K131"/>
  <c r="K135" s="1"/>
  <c r="D259"/>
  <c r="D85"/>
  <c r="I259"/>
  <c r="I85"/>
  <c r="E259"/>
  <c r="E85"/>
  <c r="K120"/>
  <c r="K130"/>
  <c r="E494" s="1"/>
  <c r="C259"/>
  <c r="C85"/>
  <c r="C108" s="1"/>
  <c r="J259"/>
  <c r="J85"/>
  <c r="G259"/>
  <c r="G85"/>
  <c r="K377"/>
  <c r="J377"/>
  <c r="B670"/>
  <c r="I377"/>
  <c r="E499"/>
  <c r="H377"/>
  <c r="B668"/>
  <c r="B728"/>
  <c r="B731"/>
  <c r="B673"/>
  <c r="E134"/>
  <c r="B239"/>
  <c r="B237"/>
  <c r="B240" s="1"/>
  <c r="J209"/>
  <c r="K121"/>
  <c r="F209"/>
  <c r="H208"/>
  <c r="F368"/>
  <c r="K115"/>
  <c r="K208" s="1"/>
  <c r="I385"/>
  <c r="E385"/>
  <c r="G385"/>
  <c r="H385"/>
  <c r="J385"/>
  <c r="F385"/>
  <c r="K385"/>
  <c r="D385"/>
  <c r="E492"/>
  <c r="C492"/>
  <c r="D492"/>
  <c r="K259"/>
  <c r="B88"/>
  <c r="B100" s="1"/>
  <c r="C101" s="1"/>
  <c r="J134"/>
  <c r="B154"/>
  <c r="C155"/>
  <c r="C156" s="1"/>
  <c r="C157" s="1"/>
  <c r="B153"/>
  <c r="K106"/>
  <c r="E106"/>
  <c r="E230"/>
  <c r="G230"/>
  <c r="K230"/>
  <c r="I106"/>
  <c r="I230"/>
  <c r="D106"/>
  <c r="G106"/>
  <c r="D230"/>
  <c r="J106"/>
  <c r="J230"/>
  <c r="C230"/>
  <c r="C106"/>
  <c r="H230"/>
  <c r="H259"/>
  <c r="F230"/>
  <c r="F259"/>
  <c r="C457"/>
  <c r="C458" s="1"/>
  <c r="G457"/>
  <c r="K457"/>
  <c r="K458" s="1"/>
  <c r="J435"/>
  <c r="H434"/>
  <c r="K435"/>
  <c r="I434"/>
  <c r="J434"/>
  <c r="I435"/>
  <c r="G434"/>
  <c r="B21" i="2"/>
  <c r="B694" i="5" s="1"/>
  <c r="F108"/>
  <c r="H108"/>
  <c r="F106"/>
  <c r="H106"/>
  <c r="B13" i="1"/>
  <c r="C359" i="5" s="1"/>
  <c r="C417" s="1"/>
  <c r="C418" s="1"/>
  <c r="B23" i="2"/>
  <c r="B16"/>
  <c r="C405" i="5" s="1"/>
  <c r="C408" s="1"/>
  <c r="B6" i="3"/>
  <c r="B14" s="1"/>
  <c r="B767" i="5" s="1"/>
  <c r="E14" i="3"/>
  <c r="E767" i="5" s="1"/>
  <c r="I14" i="3"/>
  <c r="I767" i="5" s="1"/>
  <c r="C14" i="3"/>
  <c r="C767" i="5" s="1"/>
  <c r="G14" i="3"/>
  <c r="G767" i="5" s="1"/>
  <c r="K14" i="3"/>
  <c r="K767" i="5" s="1"/>
  <c r="K23" i="1"/>
  <c r="G20" i="2"/>
  <c r="G231" i="5" s="1"/>
  <c r="I20" i="2"/>
  <c r="I231" i="5" s="1"/>
  <c r="K20" i="2"/>
  <c r="K231" i="5" s="1"/>
  <c r="K697" s="1"/>
  <c r="D20" i="2"/>
  <c r="D231" i="5" s="1"/>
  <c r="F20" i="2"/>
  <c r="F231" i="5" s="1"/>
  <c r="F697" s="1"/>
  <c r="H20" i="2"/>
  <c r="H231" i="5" s="1"/>
  <c r="H697" s="1"/>
  <c r="J20" i="2"/>
  <c r="J231" i="5" s="1"/>
  <c r="J697" s="1"/>
  <c r="C20" i="2"/>
  <c r="C231" i="5" s="1"/>
  <c r="C697" s="1"/>
  <c r="E20" i="2"/>
  <c r="E231" i="5" s="1"/>
  <c r="E697" s="1"/>
  <c r="L12" i="1"/>
  <c r="K24"/>
  <c r="L11"/>
  <c r="L10"/>
  <c r="L9"/>
  <c r="L8"/>
  <c r="M8" s="1"/>
  <c r="L7"/>
  <c r="L6"/>
  <c r="L4"/>
  <c r="A1" i="3"/>
  <c r="A1" i="2"/>
  <c r="A1" i="4" s="1"/>
  <c r="H23" i="1"/>
  <c r="I24"/>
  <c r="I23"/>
  <c r="J24"/>
  <c r="J23"/>
  <c r="B19"/>
  <c r="B665" i="5" s="1"/>
  <c r="Q779" l="1"/>
  <c r="H301"/>
  <c r="H307" s="1"/>
  <c r="G298"/>
  <c r="G299"/>
  <c r="D299"/>
  <c r="D301"/>
  <c r="D306" s="1"/>
  <c r="Y779"/>
  <c r="D298"/>
  <c r="K779"/>
  <c r="B747"/>
  <c r="B712" s="1"/>
  <c r="R779"/>
  <c r="I779"/>
  <c r="D775"/>
  <c r="E775" s="1"/>
  <c r="E777" s="1"/>
  <c r="V779"/>
  <c r="H786"/>
  <c r="H787" s="1"/>
  <c r="F787"/>
  <c r="J301"/>
  <c r="J307" s="1"/>
  <c r="E787"/>
  <c r="I299"/>
  <c r="I301"/>
  <c r="I306" s="1"/>
  <c r="B756"/>
  <c r="X779"/>
  <c r="S779"/>
  <c r="N779"/>
  <c r="U779"/>
  <c r="D779"/>
  <c r="O779"/>
  <c r="H779"/>
  <c r="P779"/>
  <c r="W779"/>
  <c r="E779"/>
  <c r="M779"/>
  <c r="T779"/>
  <c r="F779"/>
  <c r="B758"/>
  <c r="B709"/>
  <c r="D368"/>
  <c r="D760"/>
  <c r="M760" s="1"/>
  <c r="N760" s="1"/>
  <c r="H368"/>
  <c r="G368"/>
  <c r="O171"/>
  <c r="O130"/>
  <c r="D744"/>
  <c r="M744" s="1"/>
  <c r="N744" s="1"/>
  <c r="I134"/>
  <c r="E368"/>
  <c r="I368"/>
  <c r="O291"/>
  <c r="M687"/>
  <c r="N687" s="1"/>
  <c r="O377"/>
  <c r="M499"/>
  <c r="N499" s="1"/>
  <c r="O545"/>
  <c r="O120"/>
  <c r="M544"/>
  <c r="N544" s="1"/>
  <c r="M377"/>
  <c r="N377" s="1"/>
  <c r="L662"/>
  <c r="N662" s="1"/>
  <c r="L663"/>
  <c r="N663" s="1"/>
  <c r="L729"/>
  <c r="L664"/>
  <c r="L406"/>
  <c r="N406" s="1"/>
  <c r="L4"/>
  <c r="L672"/>
  <c r="N672" s="1"/>
  <c r="L241"/>
  <c r="N241" s="1"/>
  <c r="L151"/>
  <c r="L17"/>
  <c r="N17" s="1"/>
  <c r="L752"/>
  <c r="N752" s="1"/>
  <c r="N721"/>
  <c r="M385"/>
  <c r="N385" s="1"/>
  <c r="O115"/>
  <c r="O434"/>
  <c r="I208"/>
  <c r="O208" s="1"/>
  <c r="O131"/>
  <c r="L98"/>
  <c r="N98" s="1"/>
  <c r="J213"/>
  <c r="M131"/>
  <c r="N131" s="1"/>
  <c r="G697"/>
  <c r="G458"/>
  <c r="G762"/>
  <c r="D143"/>
  <c r="M139"/>
  <c r="N139" s="1"/>
  <c r="I697"/>
  <c r="O697" s="1"/>
  <c r="O231"/>
  <c r="I172"/>
  <c r="D142"/>
  <c r="M138"/>
  <c r="N138" s="1"/>
  <c r="D697"/>
  <c r="M231"/>
  <c r="N231" s="1"/>
  <c r="J172"/>
  <c r="O85"/>
  <c r="I143"/>
  <c r="O143" s="1"/>
  <c r="O139"/>
  <c r="G135"/>
  <c r="M135" s="1"/>
  <c r="D458"/>
  <c r="M457"/>
  <c r="N457" s="1"/>
  <c r="D762"/>
  <c r="M761"/>
  <c r="N761" s="1"/>
  <c r="I458"/>
  <c r="O458" s="1"/>
  <c r="O457"/>
  <c r="M106"/>
  <c r="N106" s="1"/>
  <c r="O385"/>
  <c r="M545"/>
  <c r="N545" s="1"/>
  <c r="M230"/>
  <c r="N230" s="1"/>
  <c r="O106"/>
  <c r="O259"/>
  <c r="O116"/>
  <c r="M226"/>
  <c r="N226" s="1"/>
  <c r="O435"/>
  <c r="O230"/>
  <c r="M492"/>
  <c r="N492" s="1"/>
  <c r="O209"/>
  <c r="M130"/>
  <c r="N130" s="1"/>
  <c r="M291"/>
  <c r="N291" s="1"/>
  <c r="M664"/>
  <c r="M418"/>
  <c r="N418" s="1"/>
  <c r="O135"/>
  <c r="G306"/>
  <c r="G142"/>
  <c r="I142"/>
  <c r="O142" s="1"/>
  <c r="O138"/>
  <c r="I762"/>
  <c r="O762" s="1"/>
  <c r="O761"/>
  <c r="M259"/>
  <c r="N259" s="1"/>
  <c r="M85"/>
  <c r="N85" s="1"/>
  <c r="O121"/>
  <c r="M462"/>
  <c r="N462" s="1"/>
  <c r="K108"/>
  <c r="E306"/>
  <c r="G307"/>
  <c r="K307"/>
  <c r="K306"/>
  <c r="H306"/>
  <c r="B737"/>
  <c r="K298"/>
  <c r="O298" s="1"/>
  <c r="K299"/>
  <c r="B672"/>
  <c r="F172"/>
  <c r="J108"/>
  <c r="K172"/>
  <c r="G172"/>
  <c r="G108"/>
  <c r="H172"/>
  <c r="E172"/>
  <c r="H107"/>
  <c r="I108"/>
  <c r="D108"/>
  <c r="F107"/>
  <c r="E108"/>
  <c r="F109" s="1"/>
  <c r="K214"/>
  <c r="O214" s="1"/>
  <c r="K213"/>
  <c r="B498"/>
  <c r="B689"/>
  <c r="J107"/>
  <c r="G107"/>
  <c r="K107"/>
  <c r="D107"/>
  <c r="I107"/>
  <c r="E107"/>
  <c r="B395"/>
  <c r="B236"/>
  <c r="C233" s="1"/>
  <c r="C696" s="1"/>
  <c r="K134"/>
  <c r="E496" s="1"/>
  <c r="D494"/>
  <c r="M494" s="1"/>
  <c r="N494" s="1"/>
  <c r="C494"/>
  <c r="K368"/>
  <c r="B248"/>
  <c r="B663" s="1"/>
  <c r="B398"/>
  <c r="C543" s="1"/>
  <c r="C389"/>
  <c r="C391" s="1"/>
  <c r="M9" i="1"/>
  <c r="K200" i="5"/>
  <c r="K195"/>
  <c r="G180"/>
  <c r="F195"/>
  <c r="J201"/>
  <c r="J196"/>
  <c r="I200"/>
  <c r="I195"/>
  <c r="I180"/>
  <c r="H200"/>
  <c r="H195"/>
  <c r="K180"/>
  <c r="J200"/>
  <c r="J195"/>
  <c r="G195"/>
  <c r="I201"/>
  <c r="I196"/>
  <c r="H201"/>
  <c r="H196"/>
  <c r="G181"/>
  <c r="F196"/>
  <c r="K201"/>
  <c r="K196"/>
  <c r="G196"/>
  <c r="K181"/>
  <c r="K186"/>
  <c r="J180"/>
  <c r="I181"/>
  <c r="I186"/>
  <c r="H180"/>
  <c r="J186"/>
  <c r="J181"/>
  <c r="H181"/>
  <c r="J185"/>
  <c r="E96"/>
  <c r="E112" s="1"/>
  <c r="E824" s="1"/>
  <c r="E825" s="1"/>
  <c r="E97"/>
  <c r="E113" s="1"/>
  <c r="E133" s="1"/>
  <c r="I185"/>
  <c r="K185"/>
  <c r="L23" i="1"/>
  <c r="M23" s="1"/>
  <c r="M4" s="1"/>
  <c r="L13"/>
  <c r="E355" i="5"/>
  <c r="K96"/>
  <c r="B284"/>
  <c r="B280"/>
  <c r="B261"/>
  <c r="B277"/>
  <c r="B94"/>
  <c r="B110" s="1"/>
  <c r="K125" s="1"/>
  <c r="C413"/>
  <c r="B89"/>
  <c r="B399" s="1"/>
  <c r="C544" s="1"/>
  <c r="B166"/>
  <c r="B282"/>
  <c r="C349"/>
  <c r="B95"/>
  <c r="B111" s="1"/>
  <c r="K126" s="1"/>
  <c r="F354"/>
  <c r="E225"/>
  <c r="K225"/>
  <c r="E354"/>
  <c r="C97"/>
  <c r="C113" s="1"/>
  <c r="C141" s="1"/>
  <c r="C145" s="1"/>
  <c r="K340"/>
  <c r="J354"/>
  <c r="G225"/>
  <c r="G354"/>
  <c r="I97"/>
  <c r="I355"/>
  <c r="F341"/>
  <c r="F346" s="1"/>
  <c r="F355"/>
  <c r="K97"/>
  <c r="K355"/>
  <c r="G97"/>
  <c r="G355"/>
  <c r="F176"/>
  <c r="D355"/>
  <c r="D96"/>
  <c r="D354"/>
  <c r="I225"/>
  <c r="I354"/>
  <c r="H354"/>
  <c r="H355"/>
  <c r="J355"/>
  <c r="K354"/>
  <c r="D340"/>
  <c r="E341"/>
  <c r="E346" s="1"/>
  <c r="J341"/>
  <c r="J346" s="1"/>
  <c r="E340"/>
  <c r="I96"/>
  <c r="K176"/>
  <c r="J96"/>
  <c r="J112" s="1"/>
  <c r="J824" s="1"/>
  <c r="J825" s="1"/>
  <c r="H341"/>
  <c r="H346" s="1"/>
  <c r="G96"/>
  <c r="D341"/>
  <c r="J225"/>
  <c r="K175"/>
  <c r="K341"/>
  <c r="F175"/>
  <c r="C96"/>
  <c r="C112" s="1"/>
  <c r="C824" s="1"/>
  <c r="J97"/>
  <c r="J113" s="1"/>
  <c r="J141" s="1"/>
  <c r="J145" s="1"/>
  <c r="J340"/>
  <c r="D225"/>
  <c r="E176"/>
  <c r="G340"/>
  <c r="D97"/>
  <c r="H24" i="1"/>
  <c r="B254" i="5"/>
  <c r="B86"/>
  <c r="B160"/>
  <c r="C225"/>
  <c r="E175"/>
  <c r="C412"/>
  <c r="B14" i="1"/>
  <c r="B720" i="5" s="1"/>
  <c r="B753" s="1"/>
  <c r="C423"/>
  <c r="C360" s="1"/>
  <c r="H225"/>
  <c r="H340"/>
  <c r="F225"/>
  <c r="F340"/>
  <c r="G341"/>
  <c r="I341"/>
  <c r="I340"/>
  <c r="J175"/>
  <c r="G176"/>
  <c r="H176"/>
  <c r="B24" i="2"/>
  <c r="I176" i="5"/>
  <c r="J176"/>
  <c r="H97"/>
  <c r="H113" s="1"/>
  <c r="F97"/>
  <c r="F113" s="1"/>
  <c r="I175"/>
  <c r="H96"/>
  <c r="H112" s="1"/>
  <c r="H824" s="1"/>
  <c r="H825" s="1"/>
  <c r="G175"/>
  <c r="H175"/>
  <c r="F96"/>
  <c r="F112" s="1"/>
  <c r="F824" s="1"/>
  <c r="F825" s="1"/>
  <c r="L19" i="1"/>
  <c r="L665" i="5" s="1"/>
  <c r="N665" s="1"/>
  <c r="N11" i="1"/>
  <c r="M11"/>
  <c r="N9"/>
  <c r="N8"/>
  <c r="F775" i="5" l="1"/>
  <c r="G775" s="1"/>
  <c r="B711"/>
  <c r="D307"/>
  <c r="I307"/>
  <c r="D777"/>
  <c r="E778" s="1"/>
  <c r="E780" s="1"/>
  <c r="E781" s="1"/>
  <c r="D778"/>
  <c r="C823"/>
  <c r="C825" s="1"/>
  <c r="B754"/>
  <c r="M299"/>
  <c r="N299" s="1"/>
  <c r="J306"/>
  <c r="O306" s="1"/>
  <c r="O301"/>
  <c r="M301"/>
  <c r="N301" s="1"/>
  <c r="I786"/>
  <c r="D794" s="1"/>
  <c r="D780"/>
  <c r="D781" s="1"/>
  <c r="N4"/>
  <c r="L661"/>
  <c r="D757"/>
  <c r="M757" s="1"/>
  <c r="N757" s="1"/>
  <c r="O213"/>
  <c r="K109"/>
  <c r="D759"/>
  <c r="M759" s="1"/>
  <c r="N759" s="1"/>
  <c r="O176"/>
  <c r="N664"/>
  <c r="M368"/>
  <c r="N368" s="1"/>
  <c r="O299"/>
  <c r="L100"/>
  <c r="L101" s="1"/>
  <c r="N101" s="1"/>
  <c r="O134"/>
  <c r="L166"/>
  <c r="L162"/>
  <c r="N162" s="1"/>
  <c r="N151"/>
  <c r="O175"/>
  <c r="M225"/>
  <c r="N225" s="1"/>
  <c r="M354"/>
  <c r="N354" s="1"/>
  <c r="M298"/>
  <c r="N298" s="1"/>
  <c r="O225"/>
  <c r="O200"/>
  <c r="L277"/>
  <c r="N277" s="1"/>
  <c r="N729"/>
  <c r="M134"/>
  <c r="N134" s="1"/>
  <c r="D346"/>
  <c r="M341"/>
  <c r="N341" s="1"/>
  <c r="D109"/>
  <c r="M108"/>
  <c r="N108" s="1"/>
  <c r="I113"/>
  <c r="J118" s="1"/>
  <c r="O97"/>
  <c r="I346"/>
  <c r="O341"/>
  <c r="D113"/>
  <c r="F118" s="1"/>
  <c r="M97"/>
  <c r="N97" s="1"/>
  <c r="G112"/>
  <c r="I112"/>
  <c r="O96"/>
  <c r="D112"/>
  <c r="M96"/>
  <c r="N96" s="1"/>
  <c r="G113"/>
  <c r="O126"/>
  <c r="M126"/>
  <c r="N126" s="1"/>
  <c r="H109"/>
  <c r="O354"/>
  <c r="M355"/>
  <c r="N355" s="1"/>
  <c r="O355"/>
  <c r="O181"/>
  <c r="O201"/>
  <c r="O195"/>
  <c r="M107"/>
  <c r="N107" s="1"/>
  <c r="O368"/>
  <c r="O340"/>
  <c r="M340"/>
  <c r="N340" s="1"/>
  <c r="O185"/>
  <c r="O186"/>
  <c r="O196"/>
  <c r="O180"/>
  <c r="O107"/>
  <c r="O108"/>
  <c r="M762"/>
  <c r="N762" s="1"/>
  <c r="N135"/>
  <c r="M697"/>
  <c r="N697" s="1"/>
  <c r="O172"/>
  <c r="M143"/>
  <c r="N143" s="1"/>
  <c r="G346"/>
  <c r="M125"/>
  <c r="N125" s="1"/>
  <c r="O125"/>
  <c r="M458"/>
  <c r="N458" s="1"/>
  <c r="M142"/>
  <c r="N142" s="1"/>
  <c r="K345"/>
  <c r="K706" s="1"/>
  <c r="K830" s="1"/>
  <c r="L24" i="1"/>
  <c r="M24" s="1"/>
  <c r="M6" s="1"/>
  <c r="H345" i="5"/>
  <c r="H706" s="1"/>
  <c r="H830" s="1"/>
  <c r="G345"/>
  <c r="G706" s="1"/>
  <c r="G830" s="1"/>
  <c r="E345"/>
  <c r="E706" s="1"/>
  <c r="E830" s="1"/>
  <c r="I345"/>
  <c r="J345"/>
  <c r="J706" s="1"/>
  <c r="J830" s="1"/>
  <c r="D345"/>
  <c r="F345"/>
  <c r="F706" s="1"/>
  <c r="F830" s="1"/>
  <c r="J786"/>
  <c r="K203"/>
  <c r="K204"/>
  <c r="K189"/>
  <c r="K188"/>
  <c r="J109"/>
  <c r="G109"/>
  <c r="I109"/>
  <c r="B400"/>
  <c r="C545" s="1"/>
  <c r="C168"/>
  <c r="J133"/>
  <c r="J137" s="1"/>
  <c r="E141"/>
  <c r="E145" s="1"/>
  <c r="F133"/>
  <c r="F137" s="1"/>
  <c r="F141"/>
  <c r="F145" s="1"/>
  <c r="F132"/>
  <c r="F140"/>
  <c r="F144" s="1"/>
  <c r="H132"/>
  <c r="H140"/>
  <c r="H144" s="1"/>
  <c r="C132"/>
  <c r="C140"/>
  <c r="C144" s="1"/>
  <c r="J132"/>
  <c r="J140"/>
  <c r="J144" s="1"/>
  <c r="B130"/>
  <c r="B134" s="1"/>
  <c r="B138"/>
  <c r="B142" s="1"/>
  <c r="E132"/>
  <c r="E140"/>
  <c r="E144" s="1"/>
  <c r="C133"/>
  <c r="C137" s="1"/>
  <c r="E109"/>
  <c r="B131"/>
  <c r="B135" s="1"/>
  <c r="B139"/>
  <c r="B143" s="1"/>
  <c r="H133"/>
  <c r="H137" s="1"/>
  <c r="H141"/>
  <c r="H145" s="1"/>
  <c r="B229"/>
  <c r="B84"/>
  <c r="B158"/>
  <c r="B499" s="1"/>
  <c r="B690"/>
  <c r="B761" s="1"/>
  <c r="B762" s="1"/>
  <c r="D496"/>
  <c r="M496" s="1"/>
  <c r="N496" s="1"/>
  <c r="C496"/>
  <c r="F120"/>
  <c r="M120" s="1"/>
  <c r="N120" s="1"/>
  <c r="D115"/>
  <c r="M115" s="1"/>
  <c r="N115" s="1"/>
  <c r="F121"/>
  <c r="M121" s="1"/>
  <c r="N121" s="1"/>
  <c r="D116"/>
  <c r="M116" s="1"/>
  <c r="N116" s="1"/>
  <c r="E137"/>
  <c r="E193"/>
  <c r="G198"/>
  <c r="G199"/>
  <c r="E194"/>
  <c r="N23" i="1"/>
  <c r="N4" s="1"/>
  <c r="B249" i="5"/>
  <c r="B664" s="1"/>
  <c r="C350"/>
  <c r="L14" i="1"/>
  <c r="L753" i="5" s="1"/>
  <c r="N753" s="1"/>
  <c r="C351"/>
  <c r="K346"/>
  <c r="K112"/>
  <c r="K113"/>
  <c r="K141" s="1"/>
  <c r="K145" s="1"/>
  <c r="B492"/>
  <c r="B285"/>
  <c r="B283"/>
  <c r="B281"/>
  <c r="B258"/>
  <c r="C356"/>
  <c r="B87"/>
  <c r="D433"/>
  <c r="M433" s="1"/>
  <c r="N433" s="1"/>
  <c r="G425"/>
  <c r="K426"/>
  <c r="E424"/>
  <c r="M424" s="1"/>
  <c r="N424" s="1"/>
  <c r="F777" l="1"/>
  <c r="F778" s="1"/>
  <c r="F780" s="1"/>
  <c r="F781" s="1"/>
  <c r="F702"/>
  <c r="F147"/>
  <c r="C702"/>
  <c r="C147"/>
  <c r="E702"/>
  <c r="E147"/>
  <c r="J702"/>
  <c r="J147"/>
  <c r="H702"/>
  <c r="H147"/>
  <c r="M307"/>
  <c r="N307" s="1"/>
  <c r="O307"/>
  <c r="M306"/>
  <c r="N306" s="1"/>
  <c r="L168"/>
  <c r="N168" s="1"/>
  <c r="B106"/>
  <c r="C107" s="1"/>
  <c r="I787"/>
  <c r="D790" s="1"/>
  <c r="D789"/>
  <c r="I132"/>
  <c r="I827" s="1"/>
  <c r="I824"/>
  <c r="I825" s="1"/>
  <c r="E136"/>
  <c r="E146" s="1"/>
  <c r="E827"/>
  <c r="H136"/>
  <c r="H146" s="1"/>
  <c r="H827"/>
  <c r="K140"/>
  <c r="K144" s="1"/>
  <c r="K824"/>
  <c r="K825" s="1"/>
  <c r="B830"/>
  <c r="B831"/>
  <c r="B826"/>
  <c r="D132"/>
  <c r="D827" s="1"/>
  <c r="D824"/>
  <c r="D825" s="1"/>
  <c r="C136"/>
  <c r="C146" s="1"/>
  <c r="C827"/>
  <c r="F136"/>
  <c r="F146" s="1"/>
  <c r="F827"/>
  <c r="G140"/>
  <c r="G144" s="1"/>
  <c r="G147" s="1"/>
  <c r="G824"/>
  <c r="G825" s="1"/>
  <c r="J136"/>
  <c r="J146" s="1"/>
  <c r="J827"/>
  <c r="N166"/>
  <c r="G117"/>
  <c r="G210" s="1"/>
  <c r="N100"/>
  <c r="I141"/>
  <c r="O141" s="1"/>
  <c r="I118"/>
  <c r="I211" s="1"/>
  <c r="H122"/>
  <c r="H215" s="1"/>
  <c r="G132"/>
  <c r="G123"/>
  <c r="G122"/>
  <c r="I123"/>
  <c r="J122"/>
  <c r="J215" s="1"/>
  <c r="J123"/>
  <c r="J216" s="1"/>
  <c r="O109"/>
  <c r="E117"/>
  <c r="O346"/>
  <c r="E208"/>
  <c r="M208" s="1"/>
  <c r="N208" s="1"/>
  <c r="M193"/>
  <c r="N193" s="1"/>
  <c r="O189"/>
  <c r="M189"/>
  <c r="N189" s="1"/>
  <c r="O426"/>
  <c r="M426"/>
  <c r="N426" s="1"/>
  <c r="G214"/>
  <c r="M199"/>
  <c r="N199" s="1"/>
  <c r="K218"/>
  <c r="O203"/>
  <c r="M203"/>
  <c r="N203" s="1"/>
  <c r="G133"/>
  <c r="D133"/>
  <c r="M113"/>
  <c r="N113" s="1"/>
  <c r="I133"/>
  <c r="O113"/>
  <c r="E209"/>
  <c r="M209" s="1"/>
  <c r="N209" s="1"/>
  <c r="M194"/>
  <c r="N194" s="1"/>
  <c r="K219"/>
  <c r="M204"/>
  <c r="N204" s="1"/>
  <c r="O204"/>
  <c r="I706"/>
  <c r="O345"/>
  <c r="O112"/>
  <c r="M346"/>
  <c r="N346" s="1"/>
  <c r="G118"/>
  <c r="G211" s="1"/>
  <c r="F117"/>
  <c r="F210" s="1"/>
  <c r="H123"/>
  <c r="H216" s="1"/>
  <c r="E118"/>
  <c r="J117"/>
  <c r="J210" s="1"/>
  <c r="D141"/>
  <c r="M425"/>
  <c r="N425" s="1"/>
  <c r="G213"/>
  <c r="M198"/>
  <c r="N198" s="1"/>
  <c r="M188"/>
  <c r="N188" s="1"/>
  <c r="O188"/>
  <c r="D706"/>
  <c r="D830" s="1"/>
  <c r="M345"/>
  <c r="N345" s="1"/>
  <c r="M112"/>
  <c r="N112" s="1"/>
  <c r="M109"/>
  <c r="N109" s="1"/>
  <c r="I117"/>
  <c r="I122"/>
  <c r="H117"/>
  <c r="H210" s="1"/>
  <c r="H118"/>
  <c r="H211" s="1"/>
  <c r="D140"/>
  <c r="G141"/>
  <c r="I140"/>
  <c r="N24" i="1"/>
  <c r="N6" s="1"/>
  <c r="N5" s="1"/>
  <c r="B226" i="5"/>
  <c r="B291"/>
  <c r="E789"/>
  <c r="E794"/>
  <c r="J787"/>
  <c r="K786"/>
  <c r="H775"/>
  <c r="G777"/>
  <c r="H25" i="1"/>
  <c r="D171" i="5"/>
  <c r="M171" s="1"/>
  <c r="N171" s="1"/>
  <c r="K205"/>
  <c r="K190"/>
  <c r="K118"/>
  <c r="K133"/>
  <c r="K137" s="1"/>
  <c r="F211"/>
  <c r="J211"/>
  <c r="B230"/>
  <c r="B85"/>
  <c r="K122"/>
  <c r="K215" s="1"/>
  <c r="K132"/>
  <c r="K123"/>
  <c r="K216" s="1"/>
  <c r="K117"/>
  <c r="K210" s="1"/>
  <c r="L25" i="1"/>
  <c r="I25"/>
  <c r="K25"/>
  <c r="J25"/>
  <c r="D493" i="5"/>
  <c r="E493"/>
  <c r="C493"/>
  <c r="B496"/>
  <c r="B494"/>
  <c r="C368"/>
  <c r="B259"/>
  <c r="K436"/>
  <c r="H435"/>
  <c r="F434"/>
  <c r="M434" s="1"/>
  <c r="N434" s="1"/>
  <c r="M10" i="1"/>
  <c r="M12" s="1"/>
  <c r="M13" s="1"/>
  <c r="M5"/>
  <c r="G778" i="5" l="1"/>
  <c r="K702"/>
  <c r="K147"/>
  <c r="D136"/>
  <c r="D146" s="1"/>
  <c r="D791"/>
  <c r="D792" s="1"/>
  <c r="G136"/>
  <c r="G146" s="1"/>
  <c r="G827"/>
  <c r="K136"/>
  <c r="K146" s="1"/>
  <c r="K827"/>
  <c r="O706"/>
  <c r="I830"/>
  <c r="I136"/>
  <c r="I145"/>
  <c r="O145" s="1"/>
  <c r="O118"/>
  <c r="M493"/>
  <c r="N493" s="1"/>
  <c r="O123"/>
  <c r="M132"/>
  <c r="N132" s="1"/>
  <c r="I216"/>
  <c r="O216" s="1"/>
  <c r="O132"/>
  <c r="I210"/>
  <c r="O210" s="1"/>
  <c r="O117"/>
  <c r="O219"/>
  <c r="M219"/>
  <c r="N219" s="1"/>
  <c r="O133"/>
  <c r="I137"/>
  <c r="O137" s="1"/>
  <c r="G137"/>
  <c r="O218"/>
  <c r="M218"/>
  <c r="N218" s="1"/>
  <c r="M435"/>
  <c r="N435" s="1"/>
  <c r="O205"/>
  <c r="M205"/>
  <c r="N205" s="1"/>
  <c r="I215"/>
  <c r="O215" s="1"/>
  <c r="O122"/>
  <c r="O190"/>
  <c r="M190"/>
  <c r="N190" s="1"/>
  <c r="I144"/>
  <c r="I147" s="1"/>
  <c r="O140"/>
  <c r="M133"/>
  <c r="N133" s="1"/>
  <c r="D137"/>
  <c r="G702"/>
  <c r="M213"/>
  <c r="N213" s="1"/>
  <c r="D145"/>
  <c r="M141"/>
  <c r="N141" s="1"/>
  <c r="M214"/>
  <c r="N214" s="1"/>
  <c r="M706"/>
  <c r="N706" s="1"/>
  <c r="M436"/>
  <c r="N436" s="1"/>
  <c r="O436"/>
  <c r="D144"/>
  <c r="D147" s="1"/>
  <c r="M140"/>
  <c r="N140" s="1"/>
  <c r="G145"/>
  <c r="K206"/>
  <c r="C301"/>
  <c r="C307" s="1"/>
  <c r="B299"/>
  <c r="B298"/>
  <c r="D795"/>
  <c r="D796" s="1"/>
  <c r="F794"/>
  <c r="F789"/>
  <c r="E790"/>
  <c r="E791" s="1"/>
  <c r="E792" s="1"/>
  <c r="K787"/>
  <c r="M786"/>
  <c r="G780"/>
  <c r="G781" s="1"/>
  <c r="I775"/>
  <c r="H777"/>
  <c r="D172"/>
  <c r="M172" s="1"/>
  <c r="N172" s="1"/>
  <c r="K191"/>
  <c r="B108"/>
  <c r="C109" s="1"/>
  <c r="K211"/>
  <c r="O211" s="1"/>
  <c r="N10" i="1"/>
  <c r="N12" s="1"/>
  <c r="N13" s="1"/>
  <c r="E495" i="5"/>
  <c r="D495"/>
  <c r="C495"/>
  <c r="D497"/>
  <c r="M25" i="1"/>
  <c r="M14" s="1"/>
  <c r="M15" s="1"/>
  <c r="B738" i="5" s="1"/>
  <c r="B739" s="1"/>
  <c r="G201"/>
  <c r="E196"/>
  <c r="E195"/>
  <c r="G200"/>
  <c r="H186"/>
  <c r="F181"/>
  <c r="M181" s="1"/>
  <c r="N181" s="1"/>
  <c r="F180"/>
  <c r="M180" s="1"/>
  <c r="N180" s="1"/>
  <c r="H185"/>
  <c r="N25" i="1"/>
  <c r="N14" s="1"/>
  <c r="C341" i="5"/>
  <c r="C355"/>
  <c r="D175"/>
  <c r="M175" s="1"/>
  <c r="N175" s="1"/>
  <c r="C354"/>
  <c r="B225"/>
  <c r="C340"/>
  <c r="B96"/>
  <c r="B112" s="1"/>
  <c r="B97"/>
  <c r="B113" s="1"/>
  <c r="D176"/>
  <c r="M176" s="1"/>
  <c r="N176" s="1"/>
  <c r="H778" l="1"/>
  <c r="H780" s="1"/>
  <c r="H781" s="1"/>
  <c r="O136"/>
  <c r="I146"/>
  <c r="M136"/>
  <c r="N136" s="1"/>
  <c r="C497"/>
  <c r="K127"/>
  <c r="K220" s="1"/>
  <c r="B824"/>
  <c r="E497"/>
  <c r="M497" s="1"/>
  <c r="N497" s="1"/>
  <c r="M495"/>
  <c r="N495" s="1"/>
  <c r="M145"/>
  <c r="N145" s="1"/>
  <c r="M186"/>
  <c r="N186" s="1"/>
  <c r="G216"/>
  <c r="M201"/>
  <c r="N201" s="1"/>
  <c r="O206"/>
  <c r="M206"/>
  <c r="N206" s="1"/>
  <c r="D702"/>
  <c r="M144"/>
  <c r="N144" s="1"/>
  <c r="I702"/>
  <c r="O702" s="1"/>
  <c r="O144"/>
  <c r="E211"/>
  <c r="M211" s="1"/>
  <c r="N211" s="1"/>
  <c r="M196"/>
  <c r="N196" s="1"/>
  <c r="E210"/>
  <c r="M210" s="1"/>
  <c r="N210" s="1"/>
  <c r="M195"/>
  <c r="N195" s="1"/>
  <c r="O191"/>
  <c r="M191"/>
  <c r="N191" s="1"/>
  <c r="O127"/>
  <c r="M185"/>
  <c r="N185" s="1"/>
  <c r="G215"/>
  <c r="M200"/>
  <c r="N200" s="1"/>
  <c r="M137"/>
  <c r="N137" s="1"/>
  <c r="C345"/>
  <c r="C306"/>
  <c r="G789"/>
  <c r="G794"/>
  <c r="E795"/>
  <c r="E796" s="1"/>
  <c r="F790"/>
  <c r="F791" s="1"/>
  <c r="F792" s="1"/>
  <c r="M787"/>
  <c r="N786"/>
  <c r="I777"/>
  <c r="J775"/>
  <c r="B133"/>
  <c r="B137" s="1"/>
  <c r="K128"/>
  <c r="B141"/>
  <c r="B145" s="1"/>
  <c r="B132"/>
  <c r="B140"/>
  <c r="B144" s="1"/>
  <c r="N15" i="1"/>
  <c r="F123" i="5"/>
  <c r="M123" s="1"/>
  <c r="N123" s="1"/>
  <c r="D118"/>
  <c r="M118" s="1"/>
  <c r="N118" s="1"/>
  <c r="B493"/>
  <c r="F122"/>
  <c r="M122" s="1"/>
  <c r="N122" s="1"/>
  <c r="D117"/>
  <c r="M117" s="1"/>
  <c r="N117" s="1"/>
  <c r="C346"/>
  <c r="I778" l="1"/>
  <c r="I780" s="1"/>
  <c r="I781" s="1"/>
  <c r="B702"/>
  <c r="B147"/>
  <c r="M127"/>
  <c r="N127" s="1"/>
  <c r="B136"/>
  <c r="B827"/>
  <c r="M215"/>
  <c r="N215" s="1"/>
  <c r="M702"/>
  <c r="N702" s="1"/>
  <c r="M216"/>
  <c r="N216" s="1"/>
  <c r="K221"/>
  <c r="O128"/>
  <c r="M128"/>
  <c r="N128" s="1"/>
  <c r="M220"/>
  <c r="N220" s="1"/>
  <c r="O220"/>
  <c r="B495"/>
  <c r="C706"/>
  <c r="C830" s="1"/>
  <c r="F795"/>
  <c r="F796" s="1"/>
  <c r="G790"/>
  <c r="G795" s="1"/>
  <c r="G796" s="1"/>
  <c r="H794"/>
  <c r="H789"/>
  <c r="N787"/>
  <c r="O786"/>
  <c r="K775"/>
  <c r="J777"/>
  <c r="J778" l="1"/>
  <c r="J780" s="1"/>
  <c r="J781" s="1"/>
  <c r="B497"/>
  <c r="B146"/>
  <c r="O221"/>
  <c r="M221"/>
  <c r="N221" s="1"/>
  <c r="H790"/>
  <c r="H791" s="1"/>
  <c r="H792" s="1"/>
  <c r="I789"/>
  <c r="I794"/>
  <c r="G791"/>
  <c r="G792" s="1"/>
  <c r="P786"/>
  <c r="J789" s="1"/>
  <c r="O787"/>
  <c r="M775"/>
  <c r="K777"/>
  <c r="K778" l="1"/>
  <c r="K780" s="1"/>
  <c r="K781" s="1"/>
  <c r="I790"/>
  <c r="I795" s="1"/>
  <c r="I796" s="1"/>
  <c r="J794"/>
  <c r="H795"/>
  <c r="H796" s="1"/>
  <c r="Q786"/>
  <c r="K789" s="1"/>
  <c r="P787"/>
  <c r="N775"/>
  <c r="M777"/>
  <c r="M778" s="1"/>
  <c r="I791" l="1"/>
  <c r="I792" s="1"/>
  <c r="J790"/>
  <c r="J791" s="1"/>
  <c r="J792" s="1"/>
  <c r="K794"/>
  <c r="R786"/>
  <c r="M789" s="1"/>
  <c r="Q787"/>
  <c r="K790" s="1"/>
  <c r="M780"/>
  <c r="M781" s="1"/>
  <c r="O775"/>
  <c r="N777"/>
  <c r="N778" s="1"/>
  <c r="J795" l="1"/>
  <c r="J796" s="1"/>
  <c r="K791"/>
  <c r="K792" s="1"/>
  <c r="K795"/>
  <c r="K796" s="1"/>
  <c r="M794"/>
  <c r="S786"/>
  <c r="N789" s="1"/>
  <c r="R787"/>
  <c r="N780"/>
  <c r="N781" s="1"/>
  <c r="P775"/>
  <c r="O777"/>
  <c r="O778" s="1"/>
  <c r="M790" l="1"/>
  <c r="M791" s="1"/>
  <c r="M792" s="1"/>
  <c r="N794"/>
  <c r="T786"/>
  <c r="O789" s="1"/>
  <c r="S787"/>
  <c r="O780"/>
  <c r="O781" s="1"/>
  <c r="P777"/>
  <c r="P778" s="1"/>
  <c r="Q775"/>
  <c r="M795" l="1"/>
  <c r="M796" s="1"/>
  <c r="N790"/>
  <c r="N791" s="1"/>
  <c r="N792" s="1"/>
  <c r="O794"/>
  <c r="U786"/>
  <c r="P789" s="1"/>
  <c r="T787"/>
  <c r="P780"/>
  <c r="P781" s="1"/>
  <c r="Q777"/>
  <c r="Q778" s="1"/>
  <c r="R775"/>
  <c r="O790" l="1"/>
  <c r="O795" s="1"/>
  <c r="O796" s="1"/>
  <c r="N795"/>
  <c r="N796" s="1"/>
  <c r="P794"/>
  <c r="V786"/>
  <c r="Q789" s="1"/>
  <c r="U787"/>
  <c r="P790" s="1"/>
  <c r="Q780"/>
  <c r="Q781" s="1"/>
  <c r="R777"/>
  <c r="R778" s="1"/>
  <c r="S775"/>
  <c r="P791" l="1"/>
  <c r="P792" s="1"/>
  <c r="O791"/>
  <c r="O792" s="1"/>
  <c r="Q794"/>
  <c r="W786"/>
  <c r="R789" s="1"/>
  <c r="V787"/>
  <c r="Q790" s="1"/>
  <c r="R780"/>
  <c r="R781" s="1"/>
  <c r="T775"/>
  <c r="S777"/>
  <c r="S778" s="1"/>
  <c r="P795" l="1"/>
  <c r="P796" s="1"/>
  <c r="Q795"/>
  <c r="Q796" s="1"/>
  <c r="R794"/>
  <c r="X786"/>
  <c r="S789" s="1"/>
  <c r="W787"/>
  <c r="R790" s="1"/>
  <c r="S780"/>
  <c r="S781" s="1"/>
  <c r="T777"/>
  <c r="T778" s="1"/>
  <c r="U775"/>
  <c r="Q791" l="1"/>
  <c r="Q792" s="1"/>
  <c r="R791"/>
  <c r="R792" s="1"/>
  <c r="S794"/>
  <c r="Y786"/>
  <c r="T789" s="1"/>
  <c r="X787"/>
  <c r="S790" s="1"/>
  <c r="T780"/>
  <c r="T781" s="1"/>
  <c r="U777"/>
  <c r="U778" s="1"/>
  <c r="V775"/>
  <c r="R795" l="1"/>
  <c r="R796" s="1"/>
  <c r="S791"/>
  <c r="S792" s="1"/>
  <c r="T794"/>
  <c r="Y787"/>
  <c r="T790" s="1"/>
  <c r="U780"/>
  <c r="U781" s="1"/>
  <c r="W775"/>
  <c r="V777"/>
  <c r="V778" s="1"/>
  <c r="S795" l="1"/>
  <c r="S796" s="1"/>
  <c r="T791"/>
  <c r="T792" s="1"/>
  <c r="V780"/>
  <c r="V781" s="1"/>
  <c r="X775"/>
  <c r="W777"/>
  <c r="W778" s="1"/>
  <c r="T795" l="1"/>
  <c r="T796" s="1"/>
  <c r="W780"/>
  <c r="W781" s="1"/>
  <c r="X777"/>
  <c r="X778" s="1"/>
  <c r="Y775"/>
  <c r="Y777" s="1"/>
  <c r="Y778" l="1"/>
  <c r="Y780" s="1"/>
  <c r="Y781" s="1"/>
  <c r="X780"/>
  <c r="X781" s="1"/>
  <c r="B778" l="1"/>
</calcChain>
</file>

<file path=xl/sharedStrings.xml><?xml version="1.0" encoding="utf-8"?>
<sst xmlns="http://schemas.openxmlformats.org/spreadsheetml/2006/main" count="877" uniqueCount="621">
  <si>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</si>
  <si>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</si>
  <si>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</si>
  <si>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</si>
  <si>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</si>
  <si>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</si>
  <si>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</si>
  <si>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</si>
  <si>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</si>
  <si>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</si>
  <si>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</si>
  <si>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</si>
  <si>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</si>
  <si>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</si>
  <si>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</si>
  <si>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</si>
  <si>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</si>
  <si>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</si>
  <si>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</si>
  <si>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</si>
  <si>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</si>
  <si>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</si>
  <si>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</si>
  <si>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</si>
  <si>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</si>
  <si>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</si>
  <si>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</si>
  <si>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</si>
  <si>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</si>
  <si>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</si>
  <si>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</si>
  <si>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</si>
  <si>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</si>
  <si>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</si>
  <si>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</si>
  <si>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</si>
  <si>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</si>
  <si>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</si>
  <si>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</si>
  <si>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</si>
  <si>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</si>
  <si>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</si>
  <si>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</si>
  <si>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</si>
  <si>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</si>
  <si>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</si>
  <si>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</si>
  <si>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</si>
  <si>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</si>
  <si>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</si>
  <si>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</si>
  <si>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</si>
  <si>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</si>
  <si>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</si>
  <si>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ACRYSIL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</si>
  <si>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</si>
  <si>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</si>
  <si>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</si>
  <si>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</si>
  <si>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</si>
  <si>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</si>
  <si>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</si>
  <si>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</si>
  <si>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</si>
  <si>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</si>
  <si>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</si>
  <si>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</si>
  <si>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</si>
  <si>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</si>
  <si>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</si>
  <si>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</si>
  <si>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</si>
  <si>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</si>
  <si>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</si>
  <si>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</si>
  <si>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</si>
  <si>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</si>
  <si>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</si>
  <si>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</si>
  <si>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</si>
  <si>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</si>
  <si>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10 YR CAGR</t>
  </si>
  <si>
    <t>5 YR CAGR</t>
  </si>
  <si>
    <t>3 YR CAGR</t>
  </si>
  <si>
    <t>1 YR CAGR</t>
  </si>
  <si>
    <t>EBIT</t>
  </si>
  <si>
    <t>EBIT/Invested Capital 1</t>
  </si>
  <si>
    <t>EBIT/Invested Capital 2</t>
  </si>
  <si>
    <t>ROIC 1</t>
  </si>
  <si>
    <t>ROIC 2</t>
  </si>
  <si>
    <t>EPA1</t>
  </si>
  <si>
    <t>EPA2</t>
  </si>
  <si>
    <t>EPA1/Sales</t>
  </si>
  <si>
    <t>EPA2/Sales</t>
  </si>
  <si>
    <t>ROE</t>
  </si>
  <si>
    <t>ROCE</t>
  </si>
  <si>
    <t>NOPLAT</t>
  </si>
  <si>
    <t>ROIIC 1</t>
  </si>
  <si>
    <t>ROIIC 2</t>
  </si>
  <si>
    <t>Year On Year Growth %</t>
  </si>
  <si>
    <t>EBIT/Invested Capital 3</t>
  </si>
  <si>
    <t>ROIIC 3</t>
  </si>
  <si>
    <t>Fixed Asset Turns</t>
  </si>
  <si>
    <t>Total Asset Turns</t>
  </si>
  <si>
    <t>Capital Turns 1</t>
  </si>
  <si>
    <t>Capital Turns 2</t>
  </si>
  <si>
    <t>Financial Leverage</t>
  </si>
  <si>
    <t>Long term debt/Earning</t>
  </si>
  <si>
    <t>Current liablility/Earning</t>
  </si>
  <si>
    <t>Total liability/Earning</t>
  </si>
  <si>
    <t>Debt/Equity</t>
  </si>
  <si>
    <t>Interest Coverage</t>
  </si>
  <si>
    <t>Inventory Days</t>
  </si>
  <si>
    <t>Inventory turnover</t>
  </si>
  <si>
    <t>WC1 (Current Assets -Current Liabilities)</t>
  </si>
  <si>
    <t>WC 2(Without Cash)</t>
  </si>
  <si>
    <t>Debtors turnover</t>
  </si>
  <si>
    <t>Fixed Asset/Sales</t>
  </si>
  <si>
    <t>Fixed Asset/Sales 10 yrs</t>
  </si>
  <si>
    <t>Fixed Asset/Sales 7 yrs</t>
  </si>
  <si>
    <t>Fixed Asset/Sales 5 yrs</t>
  </si>
  <si>
    <t>Fixed Asset/Sales 3 yrs</t>
  </si>
  <si>
    <t>YoY Increase in Sales</t>
  </si>
  <si>
    <t>Capex</t>
  </si>
  <si>
    <t>Growth Capex-5Yr</t>
  </si>
  <si>
    <t>Maintenance Capex-5yr</t>
  </si>
  <si>
    <t>Growth Capex-3Yr</t>
  </si>
  <si>
    <t>Maintenance Capex-3yr</t>
  </si>
  <si>
    <t>OE5Yr/Sales</t>
  </si>
  <si>
    <t>OE3Yr/Sales</t>
  </si>
  <si>
    <t>Defensive earnings2</t>
  </si>
  <si>
    <t>Defensive earnings1</t>
  </si>
  <si>
    <t>Capex/Depriciation</t>
  </si>
  <si>
    <t>OE/Sales</t>
  </si>
  <si>
    <t>NPM</t>
  </si>
  <si>
    <t>Margins % of Sales</t>
  </si>
  <si>
    <t>invested Capital1(Equity + Long Debt)</t>
  </si>
  <si>
    <t>invested Capital2(Equity + Long Debt-Cash)</t>
  </si>
  <si>
    <t>EBIT/Invested Capital 4</t>
  </si>
  <si>
    <t>ROIC 4</t>
  </si>
  <si>
    <t>EPA4/Sales</t>
  </si>
  <si>
    <t>Decomposition of ROE</t>
  </si>
  <si>
    <t>Net Profit</t>
  </si>
  <si>
    <t>ROIIC 4</t>
  </si>
  <si>
    <t>Efficiency Ratio</t>
  </si>
  <si>
    <t>Working Capital1/Sales</t>
  </si>
  <si>
    <t>Working Capital2/Sales</t>
  </si>
  <si>
    <t>Financial Health</t>
  </si>
  <si>
    <t>Increase in Invested Capital 1</t>
  </si>
  <si>
    <t>Increase in Invested Capital 2</t>
  </si>
  <si>
    <t>Increase in Invested Capital 3</t>
  </si>
  <si>
    <t>Increase in Invested Capital 4</t>
  </si>
  <si>
    <t>Defensive earnings4</t>
  </si>
  <si>
    <t>Sum of Operating cashFlow - 3 Years</t>
  </si>
  <si>
    <t>PAT</t>
  </si>
  <si>
    <t>Operating CashFlow</t>
  </si>
  <si>
    <t>Sum of PAT - 3 Years</t>
  </si>
  <si>
    <t>Sum of PAT - 5 Years</t>
  </si>
  <si>
    <t>Sum of Operating cashFlow - 5 Years</t>
  </si>
  <si>
    <t>Accounting For Value Parameters:-</t>
  </si>
  <si>
    <t>YoY Growth in Book Value</t>
  </si>
  <si>
    <t>YoY Growth in Residual earnings</t>
  </si>
  <si>
    <t>Residual Earning ( 10% Charge)</t>
  </si>
  <si>
    <t>PAT / Book Value</t>
  </si>
  <si>
    <t>Increase in Book Value</t>
  </si>
  <si>
    <t>Retained Earning</t>
  </si>
  <si>
    <t>Retained Earning - Increase in Book Value</t>
  </si>
  <si>
    <t>Retained Earning / Increase in Book Value</t>
  </si>
  <si>
    <t>Reserves / Equity Share Capital</t>
  </si>
  <si>
    <t>Residual Earning ( 10% Charge) with continuing value</t>
  </si>
  <si>
    <t>BV Growth Rate - 3 Year Avg</t>
  </si>
  <si>
    <t>BV Growth Rate - 5 Year Avg</t>
  </si>
  <si>
    <t>BV Growth Rate - 9 Year Avg</t>
  </si>
  <si>
    <t>Discounted R.E.</t>
  </si>
  <si>
    <t>YoY Growth PAT</t>
  </si>
  <si>
    <t>PAT Growth Rate - 3 Year Avg</t>
  </si>
  <si>
    <t>PAT Growth Rate - 5 Year Avg</t>
  </si>
  <si>
    <t>PAT Growth Rate - 9 Year Avg</t>
  </si>
  <si>
    <t>Intrinsic Value</t>
  </si>
  <si>
    <t>YoY Growth in RE</t>
  </si>
  <si>
    <t>RE Growth Rate - 3 Year Avg</t>
  </si>
  <si>
    <t>RE Growth Rate - 5 Year Avg</t>
  </si>
  <si>
    <t>RE Growth Rate - 8 Year Avg</t>
  </si>
  <si>
    <t>Continuing Value</t>
  </si>
  <si>
    <t>PAT Growth rate</t>
  </si>
  <si>
    <t>OP Growth rate</t>
  </si>
  <si>
    <t>OP</t>
  </si>
  <si>
    <t>Earning Leverage</t>
  </si>
  <si>
    <t>interest expense</t>
  </si>
  <si>
    <t>Interest Expense Growth Rate</t>
  </si>
  <si>
    <t>Debt to Equity</t>
  </si>
  <si>
    <t>Debt + Equity(Operating Assets)</t>
  </si>
  <si>
    <t>Rate of Return on operation</t>
  </si>
  <si>
    <t>Growth rate of ROE due to leverage</t>
  </si>
  <si>
    <t>Growth rate for earnings due to leverage</t>
  </si>
  <si>
    <t>interest/debt-Borrowing Cost</t>
  </si>
  <si>
    <t>Operating Leverage</t>
  </si>
  <si>
    <t>Delta Sales</t>
  </si>
  <si>
    <t>Delta EBIT</t>
  </si>
  <si>
    <t>Delta EPS</t>
  </si>
  <si>
    <t>SSGR</t>
  </si>
  <si>
    <t>Delta PAT</t>
  </si>
  <si>
    <t>Delta RE</t>
  </si>
  <si>
    <t>Delta Owners Earning 5Yr Maintenace Capex</t>
  </si>
  <si>
    <t>Delta Owners Earning 3 Yr  Maintenace Capex</t>
  </si>
  <si>
    <t>Delta Owners Earning with capex</t>
  </si>
  <si>
    <t>Delta EPA</t>
  </si>
  <si>
    <t>Delta NOPLAT</t>
  </si>
  <si>
    <t>Delta DE</t>
  </si>
  <si>
    <t>Delta Dividend</t>
  </si>
  <si>
    <t>Delta Retained Earning</t>
  </si>
  <si>
    <t>Retained Earning Previous Year</t>
  </si>
  <si>
    <t>Depriciation/Net Block</t>
  </si>
  <si>
    <t>DPR</t>
  </si>
  <si>
    <t>Dep 3 Year</t>
  </si>
  <si>
    <t>NFAT 3 Year</t>
  </si>
  <si>
    <t>NPM 3 Year</t>
  </si>
  <si>
    <t>DPR 3 Year</t>
  </si>
  <si>
    <t>SSGR 3 Year</t>
  </si>
  <si>
    <t>Gross Margin</t>
  </si>
  <si>
    <t>Sales &amp; Admin Expenses / Sales</t>
  </si>
  <si>
    <t>EBIT/Total Assets</t>
  </si>
  <si>
    <t>Sales/Total Assets</t>
  </si>
  <si>
    <t>CFO/Total Assets</t>
  </si>
  <si>
    <t>Current Ratio</t>
  </si>
  <si>
    <t>ROCE (W/o Cash)</t>
  </si>
  <si>
    <t>WC / Total Assets</t>
  </si>
  <si>
    <t>WCw/oCASH /Total Assets</t>
  </si>
  <si>
    <t>Retained Earning/Total Assets</t>
  </si>
  <si>
    <t>Total Accurals / Total Assets</t>
  </si>
  <si>
    <t>Asset Quality Index</t>
  </si>
  <si>
    <t>Net Block/Total Asset</t>
  </si>
  <si>
    <t>(Net Block+Cash)/Total Asset</t>
  </si>
  <si>
    <t>Equity/Total Asset</t>
  </si>
  <si>
    <t>Operating Expenses/Sales</t>
  </si>
  <si>
    <t>GP/Total Asset</t>
  </si>
  <si>
    <t>SSGR 5 Year</t>
  </si>
  <si>
    <t>Balance Sheet Items :- % of Total Asset</t>
  </si>
  <si>
    <t>CFO/Interest</t>
  </si>
  <si>
    <t>Fixed Asset Turn (NFAT)</t>
  </si>
  <si>
    <t>Delta Invested Capital 1</t>
  </si>
  <si>
    <t>Delta Invested Capital 2</t>
  </si>
  <si>
    <t>Delta Invested Capital 3</t>
  </si>
  <si>
    <t>Delta Invested Capital 4</t>
  </si>
  <si>
    <t>Delta WC</t>
  </si>
  <si>
    <t>Book Value or Equity</t>
  </si>
  <si>
    <t>Delta Book value or Equity</t>
  </si>
  <si>
    <t>Delta Net Block</t>
  </si>
  <si>
    <t>Delta Debt</t>
  </si>
  <si>
    <t>RNOA</t>
  </si>
  <si>
    <t>NFO/CSE(Debt /Equity)</t>
  </si>
  <si>
    <t>RNOA-NBC</t>
  </si>
  <si>
    <t>NBC(Net Borrowing Cost)</t>
  </si>
  <si>
    <t>ROE(RNOA+(NFO/CSE)*(RNOA-NBC)</t>
  </si>
  <si>
    <t>BookValue/RetainedEarning</t>
  </si>
  <si>
    <t>RetainedEarning/BookValue</t>
  </si>
  <si>
    <t>BookValue/EPS</t>
  </si>
  <si>
    <t>EPS/BookValue</t>
  </si>
  <si>
    <t>Float</t>
  </si>
  <si>
    <t>Operational Assets - Debt - Equity</t>
  </si>
  <si>
    <t>Assets</t>
  </si>
  <si>
    <t>Debt</t>
  </si>
  <si>
    <t>Equity</t>
  </si>
  <si>
    <t>Operational Assets(Assets - Investment - Cash)</t>
  </si>
  <si>
    <t>EBITDA</t>
  </si>
  <si>
    <t>Debt/EBIT</t>
  </si>
  <si>
    <t>Cash From Operations/EBIT</t>
  </si>
  <si>
    <t>EBIT/Operating Asset</t>
  </si>
  <si>
    <t>Debt/EBITDA(Less than 3)</t>
  </si>
  <si>
    <t>Cash From Operations/EBITDA(Greater than 33%)</t>
  </si>
  <si>
    <t>EBITDA/Operating Asset(Greater than 30%)</t>
  </si>
  <si>
    <t>Debt/Cash from operations</t>
  </si>
  <si>
    <t>EBIT/Sales</t>
  </si>
  <si>
    <t>EBITDA/Sales</t>
  </si>
  <si>
    <t>Other Income / Sales</t>
  </si>
  <si>
    <t>10 Year CAGR %</t>
  </si>
  <si>
    <t>PBT</t>
  </si>
  <si>
    <t>5 Year CAGR %</t>
  </si>
  <si>
    <t>3 Year CAGR %</t>
  </si>
  <si>
    <t>% Increase in EPS</t>
  </si>
  <si>
    <t>% Increase in PE</t>
  </si>
  <si>
    <t>% Incrrease in Price</t>
  </si>
  <si>
    <t>Cummulative Increase in EPS</t>
  </si>
  <si>
    <t>Cummulative Increase in PE</t>
  </si>
  <si>
    <t>Cummulative Increase in Price</t>
  </si>
  <si>
    <t>Cummulative Increase in Sales</t>
  </si>
  <si>
    <t>Cummulative Increase in NP</t>
  </si>
  <si>
    <t>Cummulative Increase in Operating Cashflow</t>
  </si>
  <si>
    <t>Cumulative increase in Invested Capital 1</t>
  </si>
  <si>
    <t>Cummulative Increase in Book Value</t>
  </si>
  <si>
    <t>Delta EBITDA /Operating Profit</t>
  </si>
  <si>
    <t>Cummulative Increase in EBIT</t>
  </si>
  <si>
    <t>Cummulative Increase in EBITDA / OP</t>
  </si>
  <si>
    <t>ROIIC 1 (3 Year)</t>
  </si>
  <si>
    <t>ROIIC 2 (3 Year)</t>
  </si>
  <si>
    <t>ROIIC 3 (3 Year)</t>
  </si>
  <si>
    <t>ROIIC 4 (3 Year)</t>
  </si>
  <si>
    <t>ROIIC 1 (5 Year)</t>
  </si>
  <si>
    <t>ROIIC 2 (5 Year)</t>
  </si>
  <si>
    <t>ROIIC 3 (5 Year)</t>
  </si>
  <si>
    <t>ROIIC 4 (5 Year)</t>
  </si>
  <si>
    <t>Cost of Capital</t>
  </si>
  <si>
    <t>Steady State Valuation</t>
  </si>
  <si>
    <t>Steady State Valuation/Market Capitalization</t>
  </si>
  <si>
    <t>Fixed Asset/Assets</t>
  </si>
  <si>
    <t>WC/Assets</t>
  </si>
  <si>
    <t>Fixed Cost</t>
  </si>
  <si>
    <t>Variable Cost</t>
  </si>
  <si>
    <t>VC/sales</t>
  </si>
  <si>
    <t>FC/Sales</t>
  </si>
  <si>
    <t>NP</t>
  </si>
  <si>
    <t>DeltaVC</t>
  </si>
  <si>
    <t>DEltaFC</t>
  </si>
  <si>
    <t>DeltaNP</t>
  </si>
  <si>
    <t>Delta EDITDA</t>
  </si>
  <si>
    <t>Delta Debtors</t>
  </si>
  <si>
    <t>Delta Inventory</t>
  </si>
  <si>
    <t>ROIIC &amp; Reinvestment Rate</t>
  </si>
  <si>
    <t>Owners Earning &amp; Defensive Earning</t>
  </si>
  <si>
    <t>Delta:-</t>
  </si>
  <si>
    <t>Leverage</t>
  </si>
  <si>
    <t>Receivables/Total Asset</t>
  </si>
  <si>
    <t>Inventory/Total Asset</t>
  </si>
  <si>
    <t>Cash &amp; Bank/Total Asset</t>
  </si>
  <si>
    <t>Important Ratio:-</t>
  </si>
  <si>
    <t>Intrinsic Value Compounding Rate 1  (3 Year)</t>
  </si>
  <si>
    <t>Intrinsic Value Compounding Rate 2  (3 Year)</t>
  </si>
  <si>
    <t>Intrinsic Value Compounding Rate 3  (3 Year)</t>
  </si>
  <si>
    <t>Intrinsic Value Compounding Rate 4  (3 Year)</t>
  </si>
  <si>
    <t>Intrinsic Value Compounding Rate 1 (5 Year)</t>
  </si>
  <si>
    <t>Intrinsic Value Compounding Rate 2(5 Year)</t>
  </si>
  <si>
    <t>Intrinsic Value Compounding Rate 3 (5 Year)</t>
  </si>
  <si>
    <t>Intrinsic Value Compounding Rate 4 (5 Year)</t>
  </si>
  <si>
    <t>ROIC 1 (3 Year)</t>
  </si>
  <si>
    <t>ROIC 2 (3 Year)</t>
  </si>
  <si>
    <t>ROIC 3 (3 Year)</t>
  </si>
  <si>
    <t>ROIC 4 (3 Year)</t>
  </si>
  <si>
    <t>ROIC 1 (5 Year)</t>
  </si>
  <si>
    <t>ROIC 2 (5 Year)</t>
  </si>
  <si>
    <t>ROIC 3 (5 Year)</t>
  </si>
  <si>
    <t>ROIC 4 (5 Year)</t>
  </si>
  <si>
    <t>Reinvestment Rate 1(3 Year)</t>
  </si>
  <si>
    <t>Reinvestment Rate 2 (3 Year)</t>
  </si>
  <si>
    <t>Reinvestment Rate 3(3 Year)</t>
  </si>
  <si>
    <t>Reinvestment Rate 4(3 Year)</t>
  </si>
  <si>
    <t>Reinvestment Rate 1(5 Year)</t>
  </si>
  <si>
    <t>Reinvestment Rate 2 (5 Year)</t>
  </si>
  <si>
    <t>Reinvestment Rate 3(5 Year)</t>
  </si>
  <si>
    <t>Reinvestment Rate 4(5 Year)</t>
  </si>
  <si>
    <t>Sum of NP 5 Year</t>
  </si>
  <si>
    <t>Sum Of Operating Cashflow 5 Years</t>
  </si>
  <si>
    <t>Sum of Total Capex 5 Years</t>
  </si>
  <si>
    <t>Sum of Total Dividend 5 Years</t>
  </si>
  <si>
    <t>Sum of NP 3 Year</t>
  </si>
  <si>
    <t>Sum Of Operating Cashflow 3 Years</t>
  </si>
  <si>
    <t>Sum of Total Capex 3 Years</t>
  </si>
  <si>
    <t>Sum of Total Dividend 3 Years</t>
  </si>
  <si>
    <t>Sum of Capex + Dividend 3 Years</t>
  </si>
  <si>
    <t>Sum of Capex + Dividend 5 Years</t>
  </si>
  <si>
    <t>Sum Of Free Cashflow 5 Years</t>
  </si>
  <si>
    <t>Sum Of Free Cashflow 3 Years</t>
  </si>
  <si>
    <t>Working Capital Days</t>
  </si>
  <si>
    <t>Working Capital Turnover</t>
  </si>
  <si>
    <t>Sales/(Debtors + Inventory)</t>
  </si>
  <si>
    <t>(Debtors + Inventory)/Sales</t>
  </si>
  <si>
    <t>Debtors/Sales</t>
  </si>
  <si>
    <t>Inventory/Sales</t>
  </si>
  <si>
    <t>Sales/Invested Capital 1(Cost Advantage)</t>
  </si>
  <si>
    <t>Sales/Invested Capital 2(Cost Advantage)</t>
  </si>
  <si>
    <t>Sales/Invested Capital 3(Cost Advantage)</t>
  </si>
  <si>
    <t>Sales/Invested Capital 4(Cost Advantage)</t>
  </si>
  <si>
    <t>Operating Cashflow</t>
  </si>
  <si>
    <t>Operating Cashflow/Sales</t>
  </si>
  <si>
    <t>EBIT*(1-Tax)/Sales(Bargaining Power)</t>
  </si>
  <si>
    <t>Sum of NP 10 Year</t>
  </si>
  <si>
    <t>Compare with sum of CFO 10 Year</t>
  </si>
  <si>
    <t>Sum Of Operating Cashflow 10 Years</t>
  </si>
  <si>
    <t>Sum Of Free Cashflow 10 Years</t>
  </si>
  <si>
    <t>Sum of Total Capex 10  Years</t>
  </si>
  <si>
    <t>Sum of Total Dividend 10 Years</t>
  </si>
  <si>
    <t>Sum of Capex + Dividend 10 Years</t>
  </si>
  <si>
    <t>Total Depriciation for 10 Years</t>
  </si>
  <si>
    <t>Total Interest outgo 10 Years</t>
  </si>
  <si>
    <t>Add (Depri + Interest)10 Years</t>
  </si>
  <si>
    <t>Substract (Receivable + Inventory)10 Years</t>
  </si>
  <si>
    <t>Total Depriciation for 5Years</t>
  </si>
  <si>
    <t>Total Interest outgo 5Years</t>
  </si>
  <si>
    <t>Sum of NP 5Year</t>
  </si>
  <si>
    <t>Add (Depri + Interest)5 Years</t>
  </si>
  <si>
    <t>Substract (Receivable + Inventory)5 Years</t>
  </si>
  <si>
    <t>Compare with sum of CFO 5 Year</t>
  </si>
  <si>
    <t>Total Depriciation for 3 Years</t>
  </si>
  <si>
    <t>Total Interest outgo 3 Years</t>
  </si>
  <si>
    <t>Sum of NP  3 Year</t>
  </si>
  <si>
    <t>Add (Depri + Interest)3 Years</t>
  </si>
  <si>
    <t>Substract (Receivable + Inventory)3  Years</t>
  </si>
  <si>
    <t>Compare with sum of CFO 3 Year</t>
  </si>
  <si>
    <t>Increase /Decrease in Receivables for 10 Years</t>
  </si>
  <si>
    <t>Increase/Decrease in Inventory for 10 Years</t>
  </si>
  <si>
    <t>Increase/Decrease  in Receivables for 5Years</t>
  </si>
  <si>
    <t>Increase/Decrease in Inventory for 5Years</t>
  </si>
  <si>
    <t>Increase/Decrease in Receivables for 3 Years</t>
  </si>
  <si>
    <t>Increase/Decrease in Inventory for 3 Years</t>
  </si>
  <si>
    <t>FCF</t>
  </si>
  <si>
    <t>FCF-Interest</t>
  </si>
  <si>
    <t>Sources of Fund</t>
  </si>
  <si>
    <t>Increase in Equity Share Capital 10 Year</t>
  </si>
  <si>
    <t>Increase in Debt 10 Year</t>
  </si>
  <si>
    <t>Total Interest outgo 5 Years</t>
  </si>
  <si>
    <t>Increase in Equity Share Capital 5 Year</t>
  </si>
  <si>
    <t>Increase in Debt 5 Year</t>
  </si>
  <si>
    <t>Sum Of Operating Cashflow 3Years</t>
  </si>
  <si>
    <t>Increase in Equity Share Capital 3 Year</t>
  </si>
  <si>
    <t>Increase in Debt 3 Year</t>
  </si>
  <si>
    <t>7Yr</t>
  </si>
  <si>
    <t>5Yr</t>
  </si>
  <si>
    <t>3Yr</t>
  </si>
  <si>
    <t>TTM</t>
  </si>
  <si>
    <t>Tax%</t>
  </si>
  <si>
    <t>GPM</t>
  </si>
  <si>
    <t>CFO</t>
  </si>
  <si>
    <t>Capex(NFA+WIP+Dep)</t>
  </si>
  <si>
    <t>Total Debt(D)</t>
  </si>
  <si>
    <t>Cash + Investment</t>
  </si>
  <si>
    <t>PBT/Avg NFA</t>
  </si>
  <si>
    <t>RoCE</t>
  </si>
  <si>
    <t>NFAT</t>
  </si>
  <si>
    <t>Receivable Day</t>
  </si>
  <si>
    <t>NFA</t>
  </si>
  <si>
    <t>CWIP</t>
  </si>
  <si>
    <t>Share Capital</t>
  </si>
  <si>
    <t>Dividend Paid</t>
  </si>
  <si>
    <t>Dividend Payout(Dividend/PAT)</t>
  </si>
  <si>
    <t>Retained Earning(PAT-Div)</t>
  </si>
  <si>
    <t>PE</t>
  </si>
  <si>
    <t>Mcap</t>
  </si>
  <si>
    <t>Total Debt</t>
  </si>
  <si>
    <t>Total Equity</t>
  </si>
  <si>
    <t>D/E</t>
  </si>
  <si>
    <t>Cost of Fund</t>
  </si>
  <si>
    <t>Interest Outgo</t>
  </si>
  <si>
    <t xml:space="preserve">Cash &amp; Eq </t>
  </si>
  <si>
    <t>Total Retained Earning(10Year)</t>
  </si>
  <si>
    <t>Total Increase in Mkt Cap</t>
  </si>
  <si>
    <t xml:space="preserve">Value Created per INR RE </t>
  </si>
  <si>
    <t>Sum of PAT - 10Years</t>
  </si>
  <si>
    <t>Sum of Operating cashFlow - 10 Years</t>
  </si>
  <si>
    <t>invested Capital3(Net Block + Work in Progress + WC )</t>
  </si>
  <si>
    <t>invested Capital4(Net Block + Work in Progress + WC w/o cash)</t>
  </si>
  <si>
    <t>EPA 1 ( with WACC 12%)</t>
  </si>
  <si>
    <t>EPA 2  ( with WACC 12%)</t>
  </si>
  <si>
    <t>EPA 3  ( with WACC 12%)</t>
  </si>
  <si>
    <t>EPA 4  ( with WACC 12%)</t>
  </si>
  <si>
    <t>EPA 1 ( with WACC 10%)</t>
  </si>
  <si>
    <t>EPA 2  ( with WACC 10%)</t>
  </si>
  <si>
    <t>EPA 3  ( with WACC 10%)</t>
  </si>
  <si>
    <t>EPA 4  ( with WACC 10%)</t>
  </si>
  <si>
    <t>Incremental NOPLAT</t>
  </si>
  <si>
    <t>Incremental IC1</t>
  </si>
  <si>
    <t>Incremental IC2</t>
  </si>
  <si>
    <t>Incremental IC3</t>
  </si>
  <si>
    <t>Incremental IC4</t>
  </si>
  <si>
    <t>ROIIC 1 (10 Year)</t>
  </si>
  <si>
    <t>ROIIC 2 (10 Year)</t>
  </si>
  <si>
    <t>ROIIC 3 (10 Year)</t>
  </si>
  <si>
    <t>ROIIC 4 (10 Year)</t>
  </si>
  <si>
    <t>Reinvestment Rate 1(10 Year)</t>
  </si>
  <si>
    <t>Reinvestment Rate 2 (10 Year)</t>
  </si>
  <si>
    <t>Reinvestment Rate 3(10 Year)</t>
  </si>
  <si>
    <t>Reinvestment Rate 4(10 Year)</t>
  </si>
  <si>
    <t>ROIC 1 (10 Year)</t>
  </si>
  <si>
    <t>ROIC 2 (10 Year)</t>
  </si>
  <si>
    <t>ROIC 3 (10 Year)</t>
  </si>
  <si>
    <t>ROIC 4 (10 Year)</t>
  </si>
  <si>
    <t>Intrinsic Value Compounding Rate 1 (10 Year)</t>
  </si>
  <si>
    <t>Intrinsic Value Compounding Rate 2(10 Year)</t>
  </si>
  <si>
    <t>Intrinsic Value Compounding Rate 3 (10 Year)</t>
  </si>
  <si>
    <t>Intrinsic Value Compounding Rate 4 (10 Year)</t>
  </si>
  <si>
    <t>P/OCF</t>
  </si>
  <si>
    <t>MSH ROE=AOPCF/MCAP</t>
  </si>
  <si>
    <t>EV=MCAP+Debt-Cash</t>
  </si>
  <si>
    <t>EV/OCF</t>
  </si>
  <si>
    <t>ROCE*(EV/OCF)</t>
  </si>
  <si>
    <t>P/FCF</t>
  </si>
  <si>
    <t>Decomposition of ROA</t>
  </si>
  <si>
    <t>ROA =  Net Margin*Asset Turns</t>
  </si>
  <si>
    <t>Net Margin</t>
  </si>
  <si>
    <t>Total Asset Turn</t>
  </si>
  <si>
    <t>Decomposition of ROIC</t>
  </si>
  <si>
    <t>YOY Improvement</t>
  </si>
  <si>
    <t>Capital Turns 3</t>
  </si>
  <si>
    <t>Capital Turns 4</t>
  </si>
  <si>
    <t>Input</t>
  </si>
  <si>
    <t>Year</t>
  </si>
  <si>
    <t>Multiple</t>
  </si>
  <si>
    <t>FCF (per Share)</t>
  </si>
  <si>
    <t>CMP</t>
  </si>
  <si>
    <t>Discount rate</t>
  </si>
  <si>
    <t>PV</t>
  </si>
  <si>
    <t>MICAP</t>
  </si>
  <si>
    <t>Cumulative FCF Sum of PV</t>
  </si>
  <si>
    <t>PV of Terminal Value</t>
  </si>
  <si>
    <t>Discounted Value Today</t>
  </si>
  <si>
    <t>FCF GROWTH RATE</t>
  </si>
  <si>
    <t>Discounted cash flow valuations</t>
  </si>
  <si>
    <t>Inputs</t>
  </si>
  <si>
    <t>Value</t>
  </si>
  <si>
    <t>Average Free Cash Flow ( In Cr)</t>
  </si>
  <si>
    <t>Growth</t>
  </si>
  <si>
    <t>FCF Growth ( 1- 5 years)</t>
  </si>
  <si>
    <t>FCF Growth ( 5- 10 years)</t>
  </si>
  <si>
    <t>NPV</t>
  </si>
  <si>
    <t>Terminal growth rate</t>
  </si>
  <si>
    <t>Terminal Value</t>
  </si>
  <si>
    <t>Shares Outstanding</t>
  </si>
  <si>
    <t>Total Cash Value</t>
  </si>
  <si>
    <t>Net debt</t>
  </si>
  <si>
    <t>Per Share DCF</t>
  </si>
  <si>
    <t>FCF Growth ( 10- 15 years)</t>
  </si>
  <si>
    <t>FCF Growth ( 15- 20 years)</t>
  </si>
  <si>
    <t>10th Year</t>
  </si>
  <si>
    <t>11th Year</t>
  </si>
  <si>
    <t>12th Year</t>
  </si>
  <si>
    <t>13th Year</t>
  </si>
  <si>
    <t>14th Year</t>
  </si>
  <si>
    <t>15th Year</t>
  </si>
  <si>
    <t>16th Year</t>
  </si>
  <si>
    <t>17th Year</t>
  </si>
  <si>
    <t>18th Year</t>
  </si>
  <si>
    <t>19th Year</t>
  </si>
  <si>
    <t>20th Year</t>
  </si>
  <si>
    <t>Terminal Value(TV=FCF*10)</t>
  </si>
  <si>
    <t>PV (Sum of NPV )</t>
  </si>
  <si>
    <t>5th Year</t>
  </si>
  <si>
    <t>6th Year</t>
  </si>
  <si>
    <t>7th Year</t>
  </si>
  <si>
    <t>8th Year</t>
  </si>
  <si>
    <t>9th Year</t>
  </si>
  <si>
    <t>3 Year Avg Capex</t>
  </si>
  <si>
    <t>3 Year Avg Operating CashFlow</t>
  </si>
  <si>
    <t>3 Year Avg FCF</t>
  </si>
  <si>
    <t>P/3 Yr AvgFCF</t>
  </si>
  <si>
    <t>P/3 Yr AvgOCF</t>
  </si>
  <si>
    <t>EV/3 Yr AvgOCF</t>
  </si>
  <si>
    <t>3 Year Avg Net profit</t>
  </si>
  <si>
    <t>3 Year Avg Depriciation</t>
  </si>
  <si>
    <t>CAP</t>
  </si>
  <si>
    <t>DCF</t>
  </si>
  <si>
    <t>Debt/Operational Asset</t>
  </si>
  <si>
    <t>Equity/Operational Asset</t>
  </si>
  <si>
    <t>Debt/IC3</t>
  </si>
  <si>
    <t>Equity/IC3</t>
  </si>
  <si>
    <t>Incremental Equity</t>
  </si>
  <si>
    <t>Incremental Debt</t>
  </si>
  <si>
    <t>Incremental OA</t>
  </si>
  <si>
    <t>Incremental Equity/Incremental OA</t>
  </si>
  <si>
    <t>Incremental Debt/Incremental OA</t>
  </si>
  <si>
    <t>Incremental Equity/Incremental IC3</t>
  </si>
  <si>
    <t>Incremental Debt/Incremental IC3</t>
  </si>
  <si>
    <t xml:space="preserve">PAT-OI </t>
  </si>
  <si>
    <t>YoY Fall in R&amp;S</t>
  </si>
  <si>
    <r>
      <t>DP FROM R&amp;S::</t>
    </r>
    <r>
      <rPr>
        <b/>
        <sz val="14"/>
        <color theme="1"/>
        <rFont val="Calibri"/>
        <family val="2"/>
        <scheme val="minor"/>
      </rPr>
      <t>PAT-OI &lt; DP</t>
    </r>
  </si>
  <si>
    <t>OR Fall /Rise In R&amp;S= NP Last Y  + R&amp;S Last Y - DP CY</t>
  </si>
  <si>
    <t>P/Sales</t>
  </si>
  <si>
    <t>EPA1/Sales(10%)</t>
  </si>
  <si>
    <t>Quarterly Sales Growth</t>
  </si>
  <si>
    <t>Quarterly Profit Growth</t>
  </si>
  <si>
    <t>Quarterly Expenses Growth</t>
  </si>
  <si>
    <t>Incremental WC</t>
  </si>
  <si>
    <t>Incremental Sale</t>
  </si>
  <si>
    <t>Incremental FC investment Rate</t>
  </si>
  <si>
    <t>Incremental FC</t>
  </si>
  <si>
    <t>Incremental WC investment Rate</t>
  </si>
  <si>
    <t>QoQ</t>
  </si>
  <si>
    <t>FCF/Sales</t>
  </si>
  <si>
    <t>FCF/Profit</t>
  </si>
  <si>
    <t>OCF/Sales</t>
  </si>
  <si>
    <t>OCF/Profit</t>
  </si>
  <si>
    <t>OPM (Excluding Other Income)</t>
  </si>
  <si>
    <t>OE with 3 Year Avg (PAT DEPRI CAPEX )/Sales</t>
  </si>
  <si>
    <t>OE with 3 Yr  Maintenace Capex/sales</t>
  </si>
  <si>
    <t>OE with 3 Year Avg Capex/Sales</t>
  </si>
  <si>
    <t>OE 5Yr Maintenace Capex</t>
  </si>
  <si>
    <t>Defensive earnings3/Sales</t>
  </si>
  <si>
    <t>Retained Earning(PAT-Div)/Sales</t>
  </si>
  <si>
    <t>EPA1/Sales(CoC 12%)</t>
  </si>
  <si>
    <t>EPA3/Sales  (CoC 12%)</t>
  </si>
  <si>
    <t>EPA3/Sales  (CoC 10%)</t>
  </si>
  <si>
    <t>Operating Cashflow - Interest</t>
  </si>
  <si>
    <t>Operating Cashflow - Interest -Capex</t>
  </si>
  <si>
    <t>Change in Borrowing</t>
  </si>
  <si>
    <t>Inventory/RM Cost</t>
  </si>
  <si>
    <t>Sales Growth YoY</t>
  </si>
  <si>
    <t>OPCASH/OP</t>
  </si>
  <si>
    <t>FCF Growth Rate</t>
  </si>
  <si>
    <t>ROIC3</t>
  </si>
  <si>
    <t>NOPLAT = EBIT*(1-Tax)</t>
  </si>
  <si>
    <t>ROIC 3 = NOPLAT/IC3</t>
  </si>
  <si>
    <t>Distributable FCF (Growth/Roic)</t>
  </si>
  <si>
    <t>FCF/IC3</t>
  </si>
  <si>
    <t>EPA3/IC3</t>
  </si>
  <si>
    <t>OE with 3 y Maintnance/IC3</t>
  </si>
  <si>
    <t>OE with 3 Y Avg Capex / IC3</t>
  </si>
  <si>
    <t>Retained Earning / IC3</t>
  </si>
  <si>
    <t>Defensive Earning /IC3</t>
  </si>
  <si>
    <t>EPA3/IC3 (CoC 12%)</t>
  </si>
  <si>
    <t>EPA3/IC3 (CoC 10%)</t>
  </si>
  <si>
    <t>CFO/EBITDA</t>
  </si>
  <si>
    <t>Change in Reserve/Pat-Dividend</t>
  </si>
  <si>
    <t>Other Expenses/Sales</t>
  </si>
  <si>
    <t>CWIP/Gross Block</t>
  </si>
  <si>
    <t>Other Expenses/PAT</t>
  </si>
  <si>
    <t>Other Income/Sales</t>
  </si>
  <si>
    <t>Other Income/PAT</t>
  </si>
  <si>
    <t>(CFO+CFI)/PAT</t>
  </si>
  <si>
    <t>(CFO+CFI)/PAT ---3 Year</t>
  </si>
  <si>
    <t>(CFO+CFI)/PAT ---6 Year</t>
  </si>
  <si>
    <t>Depriciation/(NetBlock +Capital WIP+Depriciation)</t>
  </si>
  <si>
    <t>3 Year Sum CFO</t>
  </si>
  <si>
    <t>3 year Sum CFI</t>
  </si>
  <si>
    <t>3 Year CFO + CFI</t>
  </si>
</sst>
</file>

<file path=xl/styles.xml><?xml version="1.0" encoding="utf-8"?>
<styleSheet xmlns="http://schemas.openxmlformats.org/spreadsheetml/2006/main">
  <numFmts count="6"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0.0"/>
    <numFmt numFmtId="167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name val="Calibri"/>
      <family val="2"/>
      <charset val="1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rgb="FFFFCC99"/>
      </patternFill>
    </fill>
    <fill>
      <patternFill patternType="solid">
        <fgColor theme="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9" borderId="2" applyNumberFormat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</cellStyleXfs>
  <cellXfs count="221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10" fontId="0" fillId="0" borderId="0" xfId="6" applyNumberFormat="1" applyFont="1" applyBorder="1"/>
    <xf numFmtId="2" fontId="0" fillId="0" borderId="0" xfId="0" applyNumberFormat="1" applyBorder="1"/>
    <xf numFmtId="43" fontId="3" fillId="0" borderId="0" xfId="1" applyFont="1" applyFill="1" applyBorder="1"/>
    <xf numFmtId="10" fontId="0" fillId="0" borderId="0" xfId="6" applyNumberFormat="1" applyFont="1" applyFill="1" applyBorder="1"/>
    <xf numFmtId="0" fontId="0" fillId="0" borderId="1" xfId="0" applyBorder="1"/>
    <xf numFmtId="10" fontId="0" fillId="0" borderId="1" xfId="6" applyNumberFormat="1" applyFont="1" applyBorder="1"/>
    <xf numFmtId="43" fontId="1" fillId="0" borderId="1" xfId="1" applyFont="1" applyBorder="1"/>
    <xf numFmtId="0" fontId="0" fillId="0" borderId="1" xfId="0" applyBorder="1" applyAlignment="1">
      <alignment horizontal="left"/>
    </xf>
    <xf numFmtId="10" fontId="0" fillId="6" borderId="1" xfId="6" applyNumberFormat="1" applyFont="1" applyFill="1" applyBorder="1"/>
    <xf numFmtId="43" fontId="0" fillId="6" borderId="1" xfId="1" applyFont="1" applyFill="1" applyBorder="1"/>
    <xf numFmtId="2" fontId="0" fillId="0" borderId="1" xfId="0" applyNumberFormat="1" applyBorder="1"/>
    <xf numFmtId="2" fontId="0" fillId="0" borderId="1" xfId="7" applyNumberFormat="1" applyFont="1" applyBorder="1"/>
    <xf numFmtId="0" fontId="8" fillId="0" borderId="1" xfId="0" applyFont="1" applyBorder="1" applyAlignment="1">
      <alignment horizontal="right"/>
    </xf>
    <xf numFmtId="10" fontId="8" fillId="0" borderId="1" xfId="6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0" fillId="0" borderId="1" xfId="6" applyNumberFormat="1" applyFont="1" applyBorder="1"/>
    <xf numFmtId="10" fontId="0" fillId="0" borderId="1" xfId="6" applyNumberFormat="1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3" fontId="0" fillId="0" borderId="0" xfId="0" applyNumberFormat="1" applyFill="1" applyBorder="1"/>
    <xf numFmtId="2" fontId="0" fillId="0" borderId="0" xfId="6" applyNumberFormat="1" applyFont="1" applyFill="1" applyBorder="1"/>
    <xf numFmtId="9" fontId="0" fillId="0" borderId="0" xfId="6" applyFont="1" applyFill="1" applyBorder="1"/>
    <xf numFmtId="167" fontId="0" fillId="0" borderId="0" xfId="6" applyNumberFormat="1" applyFont="1" applyFill="1" applyBorder="1"/>
    <xf numFmtId="2" fontId="0" fillId="0" borderId="0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2" fontId="0" fillId="0" borderId="1" xfId="1" applyNumberFormat="1" applyFont="1" applyFill="1" applyBorder="1"/>
    <xf numFmtId="43" fontId="0" fillId="0" borderId="1" xfId="1" applyFont="1" applyFill="1" applyBorder="1"/>
    <xf numFmtId="2" fontId="0" fillId="0" borderId="1" xfId="6" applyNumberFormat="1" applyFont="1" applyFill="1" applyBorder="1"/>
    <xf numFmtId="2" fontId="0" fillId="0" borderId="1" xfId="6" applyNumberFormat="1" applyFont="1" applyFill="1" applyBorder="1" applyAlignment="1">
      <alignment horizontal="right"/>
    </xf>
    <xf numFmtId="2" fontId="0" fillId="0" borderId="0" xfId="6" applyNumberFormat="1" applyFont="1" applyFill="1" applyBorder="1" applyAlignment="1">
      <alignment horizontal="right"/>
    </xf>
    <xf numFmtId="10" fontId="0" fillId="0" borderId="1" xfId="6" applyNumberFormat="1" applyFont="1" applyFill="1" applyBorder="1" applyAlignment="1">
      <alignment horizontal="right"/>
    </xf>
    <xf numFmtId="10" fontId="0" fillId="0" borderId="0" xfId="6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/>
    </xf>
    <xf numFmtId="166" fontId="0" fillId="0" borderId="1" xfId="0" applyNumberFormat="1" applyFill="1" applyBorder="1" applyAlignment="1">
      <alignment horizontal="left" vertical="top"/>
    </xf>
    <xf numFmtId="10" fontId="1" fillId="0" borderId="0" xfId="6" applyNumberFormat="1" applyFont="1" applyBorder="1"/>
    <xf numFmtId="10" fontId="7" fillId="7" borderId="0" xfId="6" applyNumberFormat="1" applyFont="1" applyFill="1" applyBorder="1"/>
    <xf numFmtId="10" fontId="3" fillId="0" borderId="0" xfId="6" applyNumberFormat="1" applyFont="1" applyBorder="1"/>
    <xf numFmtId="43" fontId="11" fillId="7" borderId="1" xfId="1" applyFont="1" applyFill="1" applyBorder="1"/>
    <xf numFmtId="0" fontId="0" fillId="0" borderId="1" xfId="0" applyFill="1" applyBorder="1" applyAlignment="1">
      <alignment horizontal="left"/>
    </xf>
    <xf numFmtId="0" fontId="14" fillId="0" borderId="0" xfId="0" applyFont="1" applyBorder="1"/>
    <xf numFmtId="43" fontId="1" fillId="6" borderId="1" xfId="1" applyFont="1" applyFill="1" applyBorder="1"/>
    <xf numFmtId="10" fontId="1" fillId="6" borderId="1" xfId="6" applyNumberFormat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10" fontId="1" fillId="0" borderId="0" xfId="6" applyNumberFormat="1" applyFont="1" applyFill="1" applyBorder="1"/>
    <xf numFmtId="2" fontId="0" fillId="0" borderId="1" xfId="0" applyNumberFormat="1" applyFont="1" applyBorder="1"/>
    <xf numFmtId="43" fontId="0" fillId="0" borderId="1" xfId="0" applyNumberFormat="1" applyFont="1" applyBorder="1"/>
    <xf numFmtId="10" fontId="0" fillId="0" borderId="1" xfId="0" applyNumberFormat="1" applyFill="1" applyBorder="1"/>
    <xf numFmtId="43" fontId="0" fillId="0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/>
    <xf numFmtId="1" fontId="3" fillId="0" borderId="1" xfId="0" applyNumberFormat="1" applyFont="1" applyBorder="1" applyAlignment="1" applyProtection="1">
      <alignment wrapText="1"/>
      <protection hidden="1"/>
    </xf>
    <xf numFmtId="2" fontId="3" fillId="0" borderId="1" xfId="0" applyNumberFormat="1" applyFont="1" applyBorder="1" applyAlignment="1" applyProtection="1">
      <alignment wrapText="1"/>
      <protection hidden="1"/>
    </xf>
    <xf numFmtId="1" fontId="3" fillId="0" borderId="0" xfId="0" applyNumberFormat="1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" fontId="3" fillId="0" borderId="6" xfId="0" applyNumberFormat="1" applyFont="1" applyBorder="1" applyAlignment="1" applyProtection="1">
      <alignment wrapText="1"/>
      <protection hidden="1"/>
    </xf>
    <xf numFmtId="0" fontId="1" fillId="6" borderId="1" xfId="9" applyFont="1" applyFill="1" applyBorder="1" applyAlignment="1">
      <alignment wrapText="1"/>
    </xf>
    <xf numFmtId="0" fontId="1" fillId="0" borderId="1" xfId="8" applyFont="1" applyFill="1" applyBorder="1" applyAlignment="1">
      <alignment wrapText="1"/>
    </xf>
    <xf numFmtId="0" fontId="1" fillId="0" borderId="1" xfId="8" applyFont="1" applyFill="1" applyBorder="1" applyAlignment="1" applyProtection="1">
      <alignment wrapText="1"/>
      <protection hidden="1"/>
    </xf>
    <xf numFmtId="9" fontId="3" fillId="11" borderId="1" xfId="8" applyNumberFormat="1" applyFont="1" applyFill="1" applyBorder="1" applyAlignment="1" applyProtection="1">
      <alignment wrapText="1"/>
      <protection locked="0"/>
    </xf>
    <xf numFmtId="2" fontId="3" fillId="11" borderId="1" xfId="8" applyNumberFormat="1" applyFont="1" applyFill="1" applyBorder="1" applyAlignment="1" applyProtection="1">
      <alignment wrapText="1"/>
      <protection locked="0"/>
    </xf>
    <xf numFmtId="43" fontId="3" fillId="11" borderId="1" xfId="8" applyNumberFormat="1" applyFont="1" applyFill="1" applyBorder="1" applyAlignment="1" applyProtection="1">
      <alignment wrapText="1"/>
      <protection hidden="1"/>
    </xf>
    <xf numFmtId="0" fontId="3" fillId="11" borderId="1" xfId="8" applyFont="1" applyFill="1" applyBorder="1" applyAlignment="1" applyProtection="1">
      <alignment wrapText="1"/>
      <protection hidden="1"/>
    </xf>
    <xf numFmtId="0" fontId="5" fillId="12" borderId="1" xfId="10" applyBorder="1" applyAlignment="1" applyProtection="1">
      <alignment horizontal="center"/>
      <protection hidden="1"/>
    </xf>
    <xf numFmtId="15" fontId="5" fillId="12" borderId="1" xfId="10" applyNumberFormat="1" applyBorder="1" applyAlignment="1" applyProtection="1">
      <alignment horizontal="center"/>
      <protection hidden="1"/>
    </xf>
    <xf numFmtId="0" fontId="16" fillId="13" borderId="1" xfId="0" applyFont="1" applyFill="1" applyBorder="1" applyAlignment="1" applyProtection="1">
      <alignment wrapText="1"/>
      <protection hidden="1"/>
    </xf>
    <xf numFmtId="1" fontId="15" fillId="9" borderId="2" xfId="8" applyNumberFormat="1" applyProtection="1">
      <protection locked="0"/>
    </xf>
    <xf numFmtId="3" fontId="16" fillId="0" borderId="1" xfId="0" applyNumberFormat="1" applyFont="1" applyBorder="1" applyProtection="1">
      <protection hidden="1"/>
    </xf>
    <xf numFmtId="10" fontId="15" fillId="9" borderId="2" xfId="8" applyNumberFormat="1" applyProtection="1">
      <protection locked="0"/>
    </xf>
    <xf numFmtId="0" fontId="16" fillId="0" borderId="1" xfId="0" applyFont="1" applyBorder="1" applyProtection="1">
      <protection hidden="1"/>
    </xf>
    <xf numFmtId="0" fontId="17" fillId="6" borderId="1" xfId="0" applyFont="1" applyFill="1" applyBorder="1" applyProtection="1">
      <protection hidden="1"/>
    </xf>
    <xf numFmtId="0" fontId="16" fillId="0" borderId="0" xfId="0" applyFont="1" applyProtection="1">
      <protection hidden="1"/>
    </xf>
    <xf numFmtId="43" fontId="16" fillId="0" borderId="1" xfId="0" applyNumberFormat="1" applyFont="1" applyBorder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Protection="1">
      <protection hidden="1"/>
    </xf>
    <xf numFmtId="0" fontId="16" fillId="0" borderId="1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Alignment="1">
      <alignment horizontal="left"/>
    </xf>
    <xf numFmtId="3" fontId="16" fillId="0" borderId="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2" fontId="16" fillId="0" borderId="0" xfId="0" applyNumberFormat="1" applyFont="1" applyFill="1" applyBorder="1" applyProtection="1">
      <protection hidden="1"/>
    </xf>
    <xf numFmtId="0" fontId="0" fillId="6" borderId="1" xfId="0" applyFont="1" applyFill="1" applyBorder="1"/>
    <xf numFmtId="43" fontId="18" fillId="7" borderId="1" xfId="1" applyFont="1" applyFill="1" applyBorder="1"/>
    <xf numFmtId="0" fontId="11" fillId="7" borderId="1" xfId="0" applyFont="1" applyFill="1" applyBorder="1"/>
    <xf numFmtId="0" fontId="19" fillId="8" borderId="1" xfId="0" applyFont="1" applyFill="1" applyBorder="1" applyAlignment="1">
      <alignment horizontal="left" vertical="top"/>
    </xf>
    <xf numFmtId="0" fontId="3" fillId="0" borderId="7" xfId="9" applyFont="1" applyFill="1" applyBorder="1" applyAlignment="1" applyProtection="1">
      <protection hidden="1"/>
    </xf>
    <xf numFmtId="0" fontId="11" fillId="7" borderId="7" xfId="9" applyFont="1" applyFill="1" applyBorder="1" applyAlignment="1" applyProtection="1">
      <protection hidden="1"/>
    </xf>
    <xf numFmtId="0" fontId="11" fillId="7" borderId="0" xfId="0" applyFont="1" applyFill="1" applyBorder="1"/>
    <xf numFmtId="1" fontId="5" fillId="12" borderId="1" xfId="10" applyNumberFormat="1" applyFont="1" applyBorder="1" applyAlignment="1" applyProtection="1">
      <alignment horizontal="center"/>
      <protection hidden="1"/>
    </xf>
    <xf numFmtId="43" fontId="3" fillId="0" borderId="1" xfId="1" applyNumberFormat="1" applyFont="1" applyBorder="1"/>
    <xf numFmtId="2" fontId="0" fillId="6" borderId="1" xfId="0" applyNumberFormat="1" applyFont="1" applyFill="1" applyBorder="1"/>
    <xf numFmtId="3" fontId="0" fillId="0" borderId="1" xfId="0" applyNumberFormat="1" applyFont="1" applyBorder="1" applyProtection="1">
      <protection hidden="1"/>
    </xf>
    <xf numFmtId="10" fontId="0" fillId="0" borderId="1" xfId="0" applyNumberFormat="1" applyFont="1" applyBorder="1" applyProtection="1">
      <protection hidden="1"/>
    </xf>
    <xf numFmtId="4" fontId="0" fillId="0" borderId="1" xfId="0" applyNumberFormat="1" applyFont="1" applyBorder="1" applyProtection="1">
      <protection hidden="1"/>
    </xf>
    <xf numFmtId="0" fontId="0" fillId="0" borderId="1" xfId="0" applyFont="1" applyBorder="1" applyProtection="1">
      <protection hidden="1"/>
    </xf>
    <xf numFmtId="1" fontId="0" fillId="0" borderId="1" xfId="0" applyNumberFormat="1" applyFont="1" applyBorder="1" applyProtection="1">
      <protection hidden="1"/>
    </xf>
    <xf numFmtId="0" fontId="17" fillId="6" borderId="1" xfId="0" applyFont="1" applyFill="1" applyBorder="1" applyAlignment="1">
      <alignment horizontal="left"/>
    </xf>
    <xf numFmtId="43" fontId="8" fillId="0" borderId="1" xfId="0" applyNumberFormat="1" applyFont="1" applyFill="1" applyBorder="1" applyAlignment="1">
      <alignment horizontal="left" vertical="top"/>
    </xf>
    <xf numFmtId="43" fontId="8" fillId="0" borderId="1" xfId="0" applyNumberFormat="1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left" vertical="top"/>
    </xf>
    <xf numFmtId="43" fontId="3" fillId="0" borderId="1" xfId="1" applyFont="1" applyFill="1" applyBorder="1"/>
    <xf numFmtId="10" fontId="0" fillId="0" borderId="1" xfId="6" applyNumberFormat="1" applyFont="1" applyFill="1" applyBorder="1" applyAlignment="1">
      <alignment horizontal="left"/>
    </xf>
    <xf numFmtId="43" fontId="11" fillId="0" borderId="1" xfId="1" applyFont="1" applyFill="1" applyBorder="1"/>
    <xf numFmtId="43" fontId="1" fillId="0" borderId="1" xfId="1" applyFont="1" applyFill="1" applyBorder="1"/>
    <xf numFmtId="10" fontId="0" fillId="0" borderId="0" xfId="0" applyNumberFormat="1" applyFill="1" applyBorder="1"/>
    <xf numFmtId="10" fontId="1" fillId="0" borderId="1" xfId="6" applyNumberFormat="1" applyFont="1" applyFill="1" applyBorder="1"/>
    <xf numFmtId="2" fontId="0" fillId="0" borderId="1" xfId="0" applyNumberFormat="1" applyFill="1" applyBorder="1"/>
    <xf numFmtId="43" fontId="0" fillId="0" borderId="1" xfId="0" applyNumberFormat="1" applyFont="1" applyFill="1" applyBorder="1"/>
    <xf numFmtId="43" fontId="0" fillId="0" borderId="1" xfId="0" applyNumberFormat="1" applyFill="1" applyBorder="1"/>
    <xf numFmtId="2" fontId="0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10" fontId="13" fillId="0" borderId="1" xfId="6" applyNumberFormat="1" applyFont="1" applyFill="1" applyBorder="1" applyAlignment="1">
      <alignment horizontal="right"/>
    </xf>
    <xf numFmtId="43" fontId="0" fillId="0" borderId="1" xfId="6" applyNumberFormat="1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2" fontId="0" fillId="0" borderId="1" xfId="0" applyNumberFormat="1" applyFill="1" applyBorder="1" applyAlignment="1">
      <alignment horizontal="left"/>
    </xf>
    <xf numFmtId="43" fontId="0" fillId="0" borderId="1" xfId="0" applyNumberFormat="1" applyFill="1" applyBorder="1" applyAlignment="1">
      <alignment horizontal="left"/>
    </xf>
    <xf numFmtId="10" fontId="0" fillId="0" borderId="1" xfId="0" applyNumberFormat="1" applyFill="1" applyBorder="1" applyAlignment="1">
      <alignment horizontal="left"/>
    </xf>
    <xf numFmtId="43" fontId="0" fillId="0" borderId="0" xfId="1" applyFont="1" applyFill="1" applyBorder="1"/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2" fontId="11" fillId="0" borderId="1" xfId="6" applyNumberFormat="1" applyFont="1" applyFill="1" applyBorder="1" applyAlignment="1">
      <alignment horizontal="left"/>
    </xf>
    <xf numFmtId="43" fontId="0" fillId="0" borderId="1" xfId="1" applyNumberFormat="1" applyFont="1" applyFill="1" applyBorder="1"/>
    <xf numFmtId="43" fontId="1" fillId="0" borderId="1" xfId="0" applyNumberFormat="1" applyFont="1" applyFill="1" applyBorder="1"/>
    <xf numFmtId="9" fontId="0" fillId="0" borderId="1" xfId="6" applyFont="1" applyFill="1" applyBorder="1"/>
    <xf numFmtId="167" fontId="0" fillId="0" borderId="1" xfId="6" applyNumberFormat="1" applyFont="1" applyFill="1" applyBorder="1"/>
    <xf numFmtId="165" fontId="2" fillId="0" borderId="1" xfId="1" applyNumberFormat="1" applyFont="1" applyFill="1" applyBorder="1"/>
    <xf numFmtId="0" fontId="13" fillId="0" borderId="1" xfId="0" applyFont="1" applyFill="1" applyBorder="1" applyAlignment="1">
      <alignment horizontal="right"/>
    </xf>
    <xf numFmtId="43" fontId="1" fillId="0" borderId="1" xfId="1" applyNumberFormat="1" applyFont="1" applyFill="1" applyBorder="1"/>
    <xf numFmtId="14" fontId="1" fillId="0" borderId="1" xfId="0" applyNumberFormat="1" applyFont="1" applyFill="1" applyBorder="1"/>
    <xf numFmtId="10" fontId="20" fillId="0" borderId="0" xfId="6" applyNumberFormat="1" applyFont="1" applyFill="1" applyBorder="1"/>
    <xf numFmtId="14" fontId="1" fillId="0" borderId="0" xfId="0" applyNumberFormat="1" applyFont="1" applyFill="1" applyBorder="1"/>
    <xf numFmtId="9" fontId="1" fillId="0" borderId="1" xfId="6" applyFont="1" applyFill="1" applyBorder="1"/>
    <xf numFmtId="43" fontId="18" fillId="0" borderId="1" xfId="1" applyFont="1" applyFill="1" applyBorder="1"/>
    <xf numFmtId="2" fontId="0" fillId="0" borderId="1" xfId="7" applyNumberFormat="1" applyFont="1" applyFill="1" applyBorder="1"/>
    <xf numFmtId="0" fontId="12" fillId="0" borderId="1" xfId="0" applyFont="1" applyFill="1" applyBorder="1" applyAlignment="1">
      <alignment horizontal="right"/>
    </xf>
    <xf numFmtId="43" fontId="1" fillId="0" borderId="0" xfId="0" applyNumberFormat="1" applyFont="1" applyFill="1" applyBorder="1"/>
    <xf numFmtId="2" fontId="1" fillId="0" borderId="1" xfId="0" applyNumberFormat="1" applyFont="1" applyFill="1" applyBorder="1"/>
    <xf numFmtId="10" fontId="8" fillId="0" borderId="1" xfId="6" applyNumberFormat="1" applyFont="1" applyFill="1" applyBorder="1" applyAlignment="1">
      <alignment horizontal="right"/>
    </xf>
    <xf numFmtId="166" fontId="0" fillId="0" borderId="1" xfId="0" applyNumberFormat="1" applyFill="1" applyBorder="1"/>
    <xf numFmtId="43" fontId="11" fillId="0" borderId="0" xfId="1" applyFont="1" applyFill="1" applyBorder="1"/>
    <xf numFmtId="10" fontId="0" fillId="0" borderId="0" xfId="6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0" fillId="0" borderId="0" xfId="0" applyNumberFormat="1" applyFill="1" applyBorder="1" applyAlignment="1"/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horizontal="right"/>
    </xf>
    <xf numFmtId="14" fontId="0" fillId="0" borderId="0" xfId="1" applyNumberFormat="1" applyFont="1" applyFill="1" applyBorder="1"/>
    <xf numFmtId="14" fontId="0" fillId="0" borderId="0" xfId="0" applyNumberFormat="1" applyFill="1" applyBorder="1"/>
    <xf numFmtId="0" fontId="0" fillId="0" borderId="1" xfId="0" applyFont="1" applyFill="1" applyBorder="1"/>
    <xf numFmtId="9" fontId="0" fillId="0" borderId="1" xfId="0" applyNumberFormat="1" applyFill="1" applyBorder="1"/>
    <xf numFmtId="14" fontId="1" fillId="0" borderId="1" xfId="1" applyNumberFormat="1" applyFont="1" applyFill="1" applyBorder="1"/>
    <xf numFmtId="14" fontId="1" fillId="0" borderId="0" xfId="1" applyNumberFormat="1" applyFont="1" applyFill="1" applyBorder="1"/>
    <xf numFmtId="14" fontId="1" fillId="7" borderId="1" xfId="1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0" fontId="3" fillId="0" borderId="1" xfId="6" applyNumberFormat="1" applyFont="1" applyFill="1" applyBorder="1"/>
    <xf numFmtId="43" fontId="1" fillId="0" borderId="1" xfId="1" applyFont="1" applyFill="1" applyBorder="1" applyAlignment="1">
      <alignment wrapText="1"/>
    </xf>
    <xf numFmtId="10" fontId="1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wrapText="1"/>
    </xf>
    <xf numFmtId="10" fontId="1" fillId="0" borderId="1" xfId="6" applyNumberFormat="1" applyFont="1" applyFill="1" applyBorder="1" applyAlignment="1">
      <alignment horizontal="left"/>
    </xf>
    <xf numFmtId="9" fontId="0" fillId="0" borderId="0" xfId="0" applyNumberFormat="1" applyFill="1" applyBorder="1"/>
    <xf numFmtId="10" fontId="1" fillId="6" borderId="1" xfId="6" applyNumberFormat="1" applyFont="1" applyFill="1" applyBorder="1" applyAlignment="1">
      <alignment wrapText="1"/>
    </xf>
    <xf numFmtId="10" fontId="3" fillId="0" borderId="1" xfId="6" applyNumberFormat="1" applyFont="1" applyBorder="1" applyAlignment="1" applyProtection="1">
      <alignment wrapText="1"/>
      <protection hidden="1"/>
    </xf>
    <xf numFmtId="10" fontId="3" fillId="0" borderId="6" xfId="6" applyNumberFormat="1" applyFont="1" applyBorder="1" applyAlignment="1" applyProtection="1">
      <alignment wrapText="1"/>
      <protection hidden="1"/>
    </xf>
    <xf numFmtId="10" fontId="3" fillId="0" borderId="7" xfId="6" applyNumberFormat="1" applyFont="1" applyFill="1" applyBorder="1" applyAlignment="1" applyProtection="1">
      <protection hidden="1"/>
    </xf>
    <xf numFmtId="10" fontId="5" fillId="12" borderId="1" xfId="6" applyNumberFormat="1" applyFont="1" applyFill="1" applyBorder="1" applyAlignment="1" applyProtection="1">
      <alignment horizontal="center"/>
      <protection hidden="1"/>
    </xf>
    <xf numFmtId="10" fontId="0" fillId="0" borderId="1" xfId="6" applyNumberFormat="1" applyFont="1" applyBorder="1" applyProtection="1">
      <protection hidden="1"/>
    </xf>
    <xf numFmtId="10" fontId="3" fillId="0" borderId="1" xfId="6" applyNumberFormat="1" applyFont="1" applyBorder="1"/>
    <xf numFmtId="10" fontId="16" fillId="0" borderId="0" xfId="6" applyNumberFormat="1" applyFont="1" applyFill="1" applyBorder="1" applyProtection="1">
      <protection hidden="1"/>
    </xf>
    <xf numFmtId="2" fontId="0" fillId="0" borderId="1" xfId="6" applyNumberFormat="1" applyFont="1" applyFill="1" applyBorder="1" applyAlignment="1">
      <alignment horizontal="left"/>
    </xf>
    <xf numFmtId="9" fontId="0" fillId="0" borderId="0" xfId="6" applyFont="1" applyBorder="1"/>
    <xf numFmtId="10" fontId="0" fillId="0" borderId="0" xfId="0" applyNumberFormat="1" applyBorder="1"/>
    <xf numFmtId="43" fontId="1" fillId="0" borderId="0" xfId="1" applyFont="1" applyFill="1" applyBorder="1" applyAlignment="1">
      <alignment wrapText="1"/>
    </xf>
    <xf numFmtId="43" fontId="1" fillId="0" borderId="0" xfId="1" applyFont="1" applyFill="1" applyBorder="1"/>
    <xf numFmtId="43" fontId="1" fillId="0" borderId="0" xfId="6" applyNumberFormat="1" applyFont="1" applyFill="1" applyBorder="1" applyAlignment="1">
      <alignment wrapText="1"/>
    </xf>
    <xf numFmtId="43" fontId="0" fillId="0" borderId="0" xfId="0" applyNumberFormat="1" applyBorder="1"/>
    <xf numFmtId="10" fontId="0" fillId="0" borderId="0" xfId="6" applyNumberFormat="1" applyFont="1" applyBorder="1" applyAlignment="1">
      <alignment horizontal="left"/>
    </xf>
    <xf numFmtId="10" fontId="3" fillId="0" borderId="1" xfId="6" applyNumberFormat="1" applyFont="1" applyFill="1" applyBorder="1" applyAlignment="1">
      <alignment horizontal="left"/>
    </xf>
    <xf numFmtId="10" fontId="3" fillId="0" borderId="0" xfId="6" applyNumberFormat="1" applyFont="1" applyFill="1" applyBorder="1"/>
    <xf numFmtId="2" fontId="0" fillId="0" borderId="0" xfId="6" applyNumberFormat="1" applyFont="1" applyBorder="1"/>
    <xf numFmtId="0" fontId="1" fillId="6" borderId="1" xfId="9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center" wrapText="1"/>
    </xf>
    <xf numFmtId="0" fontId="3" fillId="0" borderId="3" xfId="8" applyFont="1" applyFill="1" applyBorder="1" applyAlignment="1">
      <alignment horizontal="center" wrapText="1"/>
    </xf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</cellXfs>
  <cellStyles count="11">
    <cellStyle name="60% - Accent1" xfId="3" builtinId="32"/>
    <cellStyle name="60% - Accent3" xfId="4" builtinId="40"/>
    <cellStyle name="Accent3" xfId="10" builtinId="37"/>
    <cellStyle name="Accent4" xfId="9" builtinId="41"/>
    <cellStyle name="Accent6" xfId="5" builtinId="49"/>
    <cellStyle name="Comma" xfId="1" builtinId="3"/>
    <cellStyle name="Currency" xfId="7" builtinId="4"/>
    <cellStyle name="Hyperlink" xfId="2" builtinId="8"/>
    <cellStyle name="Input" xfId="8" builtinId="20"/>
    <cellStyle name="Normal" xfId="0" builtinId="0"/>
    <cellStyle name="Percent" xfId="6" builtinId="5"/>
  </cellStyles>
  <dxfs count="32">
    <dxf>
      <font>
        <b/>
        <i val="0"/>
        <color theme="0"/>
      </font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strRef>
              <c:f>Customization!$A$376</c:f>
              <c:strCache>
                <c:ptCount val="1"/>
                <c:pt idx="0">
                  <c:v>Cummulative Increase in EPS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Mar-10</c:v>
                </c:pt>
                <c:pt idx="1">
                  <c:v>Mar-11</c:v>
                </c:pt>
                <c:pt idx="2">
                  <c:v>Mar-12</c:v>
                </c:pt>
                <c:pt idx="3">
                  <c:v>Mar-13</c:v>
                </c:pt>
                <c:pt idx="4">
                  <c:v>Mar-14</c:v>
                </c:pt>
                <c:pt idx="5">
                  <c:v>Mar-15</c:v>
                </c:pt>
                <c:pt idx="6">
                  <c:v>Mar-16</c:v>
                </c:pt>
                <c:pt idx="7">
                  <c:v>Mar-17</c:v>
                </c:pt>
                <c:pt idx="8">
                  <c:v>Trailing</c:v>
                </c:pt>
              </c:strCache>
            </c:strRef>
          </c:cat>
          <c:val>
            <c:numRef>
              <c:f>Customization!$D$376:$M$376</c:f>
            </c:numRef>
          </c:val>
        </c:ser>
        <c:ser>
          <c:idx val="1"/>
          <c:order val="1"/>
          <c:tx>
            <c:strRef>
              <c:f>Customization!$A$378</c:f>
              <c:strCache>
                <c:ptCount val="1"/>
                <c:pt idx="0">
                  <c:v>Cummulative Increase in Price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Mar-10</c:v>
                </c:pt>
                <c:pt idx="1">
                  <c:v>Mar-11</c:v>
                </c:pt>
                <c:pt idx="2">
                  <c:v>Mar-12</c:v>
                </c:pt>
                <c:pt idx="3">
                  <c:v>Mar-13</c:v>
                </c:pt>
                <c:pt idx="4">
                  <c:v>Mar-14</c:v>
                </c:pt>
                <c:pt idx="5">
                  <c:v>Mar-15</c:v>
                </c:pt>
                <c:pt idx="6">
                  <c:v>Mar-16</c:v>
                </c:pt>
                <c:pt idx="7">
                  <c:v>Mar-17</c:v>
                </c:pt>
                <c:pt idx="8">
                  <c:v>Trailing</c:v>
                </c:pt>
              </c:strCache>
            </c:strRef>
          </c:cat>
          <c:val>
            <c:numRef>
              <c:f>Customization!$D$378:$M$378</c:f>
            </c:numRef>
          </c:val>
        </c:ser>
        <c:ser>
          <c:idx val="2"/>
          <c:order val="2"/>
          <c:tx>
            <c:strRef>
              <c:f>Customization!$A$377</c:f>
              <c:strCache>
                <c:ptCount val="1"/>
                <c:pt idx="0">
                  <c:v>Cummulative Increase in PE</c:v>
                </c:pt>
              </c:strCache>
            </c:strRef>
          </c:tx>
          <c:cat>
            <c:strRef>
              <c:f>'Profit &amp; Loss'!$D$3:$L$3</c:f>
              <c:strCache>
                <c:ptCount val="9"/>
                <c:pt idx="0">
                  <c:v>Mar-10</c:v>
                </c:pt>
                <c:pt idx="1">
                  <c:v>Mar-11</c:v>
                </c:pt>
                <c:pt idx="2">
                  <c:v>Mar-12</c:v>
                </c:pt>
                <c:pt idx="3">
                  <c:v>Mar-13</c:v>
                </c:pt>
                <c:pt idx="4">
                  <c:v>Mar-14</c:v>
                </c:pt>
                <c:pt idx="5">
                  <c:v>Mar-15</c:v>
                </c:pt>
                <c:pt idx="6">
                  <c:v>Mar-16</c:v>
                </c:pt>
                <c:pt idx="7">
                  <c:v>Mar-17</c:v>
                </c:pt>
                <c:pt idx="8">
                  <c:v>Trailing</c:v>
                </c:pt>
              </c:strCache>
            </c:strRef>
          </c:cat>
          <c:val>
            <c:numRef>
              <c:f>Customization!$E$377:$M$377</c:f>
            </c:numRef>
          </c:val>
        </c:ser>
        <c:ser>
          <c:idx val="3"/>
          <c:order val="3"/>
          <c:tx>
            <c:strRef>
              <c:f>Customization!$A$379</c:f>
              <c:strCache>
                <c:ptCount val="1"/>
                <c:pt idx="0">
                  <c:v>Cummulative Increase in Sales</c:v>
                </c:pt>
              </c:strCache>
            </c:strRef>
          </c:tx>
          <c:val>
            <c:numRef>
              <c:f>Customization!$D$379:$M$379</c:f>
            </c:numRef>
          </c:val>
        </c:ser>
        <c:ser>
          <c:idx val="4"/>
          <c:order val="4"/>
          <c:tx>
            <c:strRef>
              <c:f>Customization!$A$381</c:f>
              <c:strCache>
                <c:ptCount val="1"/>
                <c:pt idx="0">
                  <c:v>Cummulative Increase in Operating Cashflow</c:v>
                </c:pt>
              </c:strCache>
            </c:strRef>
          </c:tx>
          <c:val>
            <c:numRef>
              <c:f>Customization!$D$381:$K$381</c:f>
            </c:numRef>
          </c:val>
        </c:ser>
        <c:ser>
          <c:idx val="5"/>
          <c:order val="5"/>
          <c:tx>
            <c:strRef>
              <c:f>Customization!$A$382</c:f>
              <c:strCache>
                <c:ptCount val="1"/>
                <c:pt idx="0">
                  <c:v>Cumulative increase in Invested Capital 1</c:v>
                </c:pt>
              </c:strCache>
            </c:strRef>
          </c:tx>
          <c:val>
            <c:numRef>
              <c:f>Customization!$D$382:$K$382</c:f>
            </c:numRef>
          </c:val>
        </c:ser>
        <c:ser>
          <c:idx val="6"/>
          <c:order val="6"/>
          <c:tx>
            <c:strRef>
              <c:f>Customization!$A$383</c:f>
              <c:strCache>
                <c:ptCount val="1"/>
                <c:pt idx="0">
                  <c:v>Cummulative Increase in Book Value</c:v>
                </c:pt>
              </c:strCache>
            </c:strRef>
          </c:tx>
          <c:val>
            <c:numRef>
              <c:f>Customization!$D$383:$K$383</c:f>
            </c:numRef>
          </c:val>
        </c:ser>
        <c:ser>
          <c:idx val="7"/>
          <c:order val="7"/>
          <c:tx>
            <c:strRef>
              <c:f>Customization!$A$384</c:f>
              <c:strCache>
                <c:ptCount val="1"/>
                <c:pt idx="0">
                  <c:v>Cummulative Increase in EBIT</c:v>
                </c:pt>
              </c:strCache>
            </c:strRef>
          </c:tx>
          <c:val>
            <c:numRef>
              <c:f>Customization!$D$384:$K$384</c:f>
            </c:numRef>
          </c:val>
        </c:ser>
        <c:ser>
          <c:idx val="8"/>
          <c:order val="8"/>
          <c:tx>
            <c:strRef>
              <c:f>Customization!$A$385</c:f>
              <c:strCache>
                <c:ptCount val="1"/>
                <c:pt idx="0">
                  <c:v>Cummulative Increase in EBITDA / OP</c:v>
                </c:pt>
              </c:strCache>
            </c:strRef>
          </c:tx>
          <c:val>
            <c:numRef>
              <c:f>Customization!$D$385:$K$385</c:f>
            </c:numRef>
          </c:val>
        </c:ser>
        <c:marker val="1"/>
        <c:axId val="86345216"/>
        <c:axId val="86346752"/>
      </c:lineChart>
      <c:catAx>
        <c:axId val="86345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86346752"/>
        <c:crosses val="autoZero"/>
        <c:auto val="1"/>
        <c:lblAlgn val="ctr"/>
        <c:lblOffset val="100"/>
      </c:catAx>
      <c:valAx>
        <c:axId val="86346752"/>
        <c:scaling>
          <c:orientation val="minMax"/>
        </c:scaling>
        <c:axPos val="l"/>
        <c:majorGridlines/>
        <c:minorGridlines/>
        <c:numFmt formatCode="0.0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86345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30480</xdr:rowOff>
    </xdr:from>
    <xdr:to>
      <xdr:col>15</xdr:col>
      <xdr:colOff>434340</xdr:colOff>
      <xdr:row>30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20" headerRowCount="0" totalsRowShown="0" headerRowDxfId="31">
  <tableColumns count="14">
    <tableColumn id="1" name="Column1" headerRowDxfId="30" dataDxfId="29"/>
    <tableColumn id="2" name="Column2" headerRowDxfId="28"/>
    <tableColumn id="3" name="Column3" headerRowDxfId="27"/>
    <tableColumn id="4" name="Column4" headerRowDxfId="26"/>
    <tableColumn id="5" name="Column5" headerRowDxfId="25"/>
    <tableColumn id="6" name="Column6" headerRowDxfId="24"/>
    <tableColumn id="7" name="Column7" headerRowDxfId="23"/>
    <tableColumn id="8" name="Column8" headerRowDxfId="22"/>
    <tableColumn id="9" name="Column9" headerRowDxfId="21"/>
    <tableColumn id="10" name="Column10" headerRowDxfId="20"/>
    <tableColumn id="11" name="Column11" headerRowDxfId="19"/>
    <tableColumn id="12" name="Column12" headerRowDxfId="18"/>
    <tableColumn id="13" name="Column13" headerRowDxfId="17" dataDxfId="16"/>
    <tableColumn id="14" name="Column14" headerRowDxfId="15" dataDxfId="1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3">
  <tableColumns count="11">
    <tableColumn id="1" name="Column1" headerRowDxfId="12"/>
    <tableColumn id="2" name="Column2" headerRowDxfId="11"/>
    <tableColumn id="3" name="Column3" headerRowDxfId="10"/>
    <tableColumn id="4" name="Column4" headerRowDxfId="9"/>
    <tableColumn id="5" name="Column5" headerRowDxfId="8"/>
    <tableColumn id="6" name="Column6" headerRowDxfId="7"/>
    <tableColumn id="7" name="Column7" headerRowDxfId="6"/>
    <tableColumn id="8" name="Column8" headerRowDxfId="5"/>
    <tableColumn id="9" name="Column9" headerRowDxfId="4"/>
    <tableColumn id="10" name="Column10" headerRowDxfId="3"/>
    <tableColumn id="11" name="Column11" headerRowDxfId="2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5"/>
  <sheetViews>
    <sheetView zoomScaleSheetLayoutView="100" workbookViewId="0">
      <pane xSplit="1" ySplit="4" topLeftCell="B5" activePane="bottomRight" state="frozen"/>
      <selection activeCell="I2" sqref="I2"/>
      <selection pane="topRight" activeCell="I2" sqref="I2"/>
      <selection pane="bottomLeft" activeCell="I2" sqref="I2"/>
      <selection pane="bottomRight" activeCell="A10" sqref="A10:XFD10"/>
    </sheetView>
  </sheetViews>
  <sheetFormatPr defaultColWidth="9.140625" defaultRowHeight="15"/>
  <cols>
    <col min="1" max="1" width="20.7109375" style="6" customWidth="1"/>
    <col min="2" max="6" width="13.5703125" style="6" customWidth="1"/>
    <col min="7" max="7" width="14.85546875" style="6" bestFit="1" customWidth="1"/>
    <col min="8" max="11" width="13.5703125" style="6" customWidth="1"/>
    <col min="12" max="12" width="13.28515625" style="6" customWidth="1"/>
    <col min="13" max="14" width="12.140625" style="6" customWidth="1"/>
    <col min="15" max="16384" width="9.140625" style="6"/>
  </cols>
  <sheetData>
    <row r="1" spans="1:14" s="8" customFormat="1">
      <c r="A1" s="8" t="str">
        <f>'Data Sheet'!B1</f>
        <v>ACRYSIL LTD</v>
      </c>
      <c r="H1" t="str">
        <f>UPDATE</f>
        <v>A NEW VERSION OF THE WORKSHEET IS AVAILABLE</v>
      </c>
      <c r="J1" s="3"/>
      <c r="K1" s="3"/>
      <c r="M1" s="8" t="s">
        <v>1</v>
      </c>
    </row>
    <row r="3" spans="1:14" s="2" customFormat="1">
      <c r="A3" s="15" t="s">
        <v>2</v>
      </c>
      <c r="B3" s="16">
        <f>'Data Sheet'!B16</f>
        <v>39538</v>
      </c>
      <c r="C3" s="16">
        <f>'Data Sheet'!C16</f>
        <v>39903</v>
      </c>
      <c r="D3" s="16">
        <f>'Data Sheet'!D16</f>
        <v>40268</v>
      </c>
      <c r="E3" s="16">
        <f>'Data Sheet'!E16</f>
        <v>40633</v>
      </c>
      <c r="F3" s="16">
        <f>'Data Sheet'!F16</f>
        <v>40999</v>
      </c>
      <c r="G3" s="16">
        <f>'Data Sheet'!G16</f>
        <v>41364</v>
      </c>
      <c r="H3" s="16">
        <f>'Data Sheet'!H16</f>
        <v>41729</v>
      </c>
      <c r="I3" s="16">
        <f>'Data Sheet'!I16</f>
        <v>42094</v>
      </c>
      <c r="J3" s="16">
        <f>'Data Sheet'!J16</f>
        <v>42460</v>
      </c>
      <c r="K3" s="16">
        <f>'Data Sheet'!K16</f>
        <v>42825</v>
      </c>
      <c r="L3" s="17" t="s">
        <v>3</v>
      </c>
      <c r="M3" s="17" t="s">
        <v>4</v>
      </c>
      <c r="N3" s="17" t="s">
        <v>5</v>
      </c>
    </row>
    <row r="4" spans="1:14" s="8" customFormat="1">
      <c r="A4" s="8" t="s">
        <v>6</v>
      </c>
      <c r="B4" s="1">
        <f>'Data Sheet'!B17</f>
        <v>30.36</v>
      </c>
      <c r="C4" s="1">
        <f>'Data Sheet'!C17</f>
        <v>50.62</v>
      </c>
      <c r="D4" s="1">
        <f>'Data Sheet'!D17</f>
        <v>46.28</v>
      </c>
      <c r="E4" s="1">
        <f>'Data Sheet'!E17</f>
        <v>55.1</v>
      </c>
      <c r="F4" s="1">
        <f>'Data Sheet'!F17</f>
        <v>62.16</v>
      </c>
      <c r="G4" s="1">
        <f>'Data Sheet'!G17</f>
        <v>78.45</v>
      </c>
      <c r="H4" s="1">
        <f>'Data Sheet'!H17</f>
        <v>103.71</v>
      </c>
      <c r="I4" s="1">
        <f>'Data Sheet'!I17</f>
        <v>116.41</v>
      </c>
      <c r="J4" s="1">
        <f>'Data Sheet'!J17</f>
        <v>138.86000000000001</v>
      </c>
      <c r="K4" s="1">
        <f>'Data Sheet'!K17</f>
        <v>141.69999999999999</v>
      </c>
      <c r="L4" s="1">
        <f>SUM(Quarters!H4:K4)</f>
        <v>139.19</v>
      </c>
      <c r="M4" s="1">
        <f>$K4+M23*K4</f>
        <v>157.23633857945001</v>
      </c>
      <c r="N4" s="1">
        <f>$K4+N23*L4</f>
        <v>144.54674924384267</v>
      </c>
    </row>
    <row r="5" spans="1:14">
      <c r="A5" s="6" t="s">
        <v>7</v>
      </c>
      <c r="B5" s="1">
        <f>SUM('Data Sheet'!B18,'Data Sheet'!B20:B24,-1*'Data Sheet'!B19)</f>
        <v>23.78</v>
      </c>
      <c r="C5" s="1">
        <f>SUM('Data Sheet'!C18,'Data Sheet'!C20:C24,-1*'Data Sheet'!C19)</f>
        <v>37.42</v>
      </c>
      <c r="D5" s="1">
        <f>SUM('Data Sheet'!D18,'Data Sheet'!D20:D24,-1*'Data Sheet'!D19)</f>
        <v>35.51</v>
      </c>
      <c r="E5" s="1">
        <f>SUM('Data Sheet'!E18,'Data Sheet'!E20:E24,-1*'Data Sheet'!E19)</f>
        <v>43.459999999999994</v>
      </c>
      <c r="F5" s="1">
        <f>SUM('Data Sheet'!F18,'Data Sheet'!F20:F24,-1*'Data Sheet'!F19)</f>
        <v>52.010000000000005</v>
      </c>
      <c r="G5" s="1">
        <f>SUM('Data Sheet'!G18,'Data Sheet'!G20:G24,-1*'Data Sheet'!G19)</f>
        <v>65.05</v>
      </c>
      <c r="H5" s="1">
        <f>SUM('Data Sheet'!H18,'Data Sheet'!H20:H24,-1*'Data Sheet'!H19)</f>
        <v>85.580000000000013</v>
      </c>
      <c r="I5" s="1">
        <f>SUM('Data Sheet'!I18,'Data Sheet'!I20:I24,-1*'Data Sheet'!I19)</f>
        <v>95.28</v>
      </c>
      <c r="J5" s="1">
        <f>SUM('Data Sheet'!J18,'Data Sheet'!J20:J24,-1*'Data Sheet'!J19)</f>
        <v>119.57</v>
      </c>
      <c r="K5" s="1">
        <f>SUM('Data Sheet'!K18,'Data Sheet'!K20:K24,-1*'Data Sheet'!K19)</f>
        <v>120.55000000000001</v>
      </c>
      <c r="L5" s="9">
        <f>SUM(Quarters!H5:K5)</f>
        <v>120.22</v>
      </c>
      <c r="M5" s="9">
        <f t="shared" ref="M5:N5" si="0">M4-M6</f>
        <v>132.84900108206548</v>
      </c>
      <c r="N5" s="9">
        <f t="shared" si="0"/>
        <v>124.84668578270541</v>
      </c>
    </row>
    <row r="6" spans="1:14" s="8" customFormat="1">
      <c r="A6" s="8" t="s">
        <v>8</v>
      </c>
      <c r="B6" s="1">
        <f>B4-B5</f>
        <v>6.5799999999999983</v>
      </c>
      <c r="C6" s="1">
        <f t="shared" ref="C6:K6" si="1">C4-C5</f>
        <v>13.199999999999996</v>
      </c>
      <c r="D6" s="1">
        <f t="shared" si="1"/>
        <v>10.770000000000003</v>
      </c>
      <c r="E6" s="1">
        <f t="shared" si="1"/>
        <v>11.640000000000008</v>
      </c>
      <c r="F6" s="1">
        <f t="shared" si="1"/>
        <v>10.149999999999991</v>
      </c>
      <c r="G6" s="1">
        <f t="shared" si="1"/>
        <v>13.400000000000006</v>
      </c>
      <c r="H6" s="1">
        <f t="shared" si="1"/>
        <v>18.129999999999981</v>
      </c>
      <c r="I6" s="1">
        <f t="shared" si="1"/>
        <v>21.129999999999995</v>
      </c>
      <c r="J6" s="1">
        <f t="shared" si="1"/>
        <v>19.29000000000002</v>
      </c>
      <c r="K6" s="1">
        <f t="shared" si="1"/>
        <v>21.149999999999977</v>
      </c>
      <c r="L6" s="1">
        <f>SUM(Quarters!H6:K6)</f>
        <v>18.97</v>
      </c>
      <c r="M6" s="1">
        <f>M4*M24</f>
        <v>24.387337497384525</v>
      </c>
      <c r="N6" s="1">
        <f>N4*N24</f>
        <v>19.700063461137258</v>
      </c>
    </row>
    <row r="7" spans="1:14">
      <c r="A7" s="6" t="s">
        <v>9</v>
      </c>
      <c r="B7" s="9">
        <f>'Data Sheet'!B25</f>
        <v>0.36</v>
      </c>
      <c r="C7" s="9">
        <f>'Data Sheet'!C25</f>
        <v>0.34</v>
      </c>
      <c r="D7" s="9">
        <f>'Data Sheet'!D25</f>
        <v>0.56999999999999995</v>
      </c>
      <c r="E7" s="9">
        <f>'Data Sheet'!E25</f>
        <v>0.37</v>
      </c>
      <c r="F7" s="9">
        <f>'Data Sheet'!F25</f>
        <v>0.89</v>
      </c>
      <c r="G7" s="9">
        <f>'Data Sheet'!G25</f>
        <v>0.81</v>
      </c>
      <c r="H7" s="9">
        <f>'Data Sheet'!H25</f>
        <v>0.77</v>
      </c>
      <c r="I7" s="9">
        <f>'Data Sheet'!I25</f>
        <v>1.1200000000000001</v>
      </c>
      <c r="J7" s="9">
        <f>'Data Sheet'!J25</f>
        <v>2.25</v>
      </c>
      <c r="K7" s="9">
        <f>'Data Sheet'!K25</f>
        <v>2.64</v>
      </c>
      <c r="L7" s="9">
        <f>SUM(Quarters!H7:K7)</f>
        <v>2.3599999999999994</v>
      </c>
      <c r="M7" s="9">
        <v>0</v>
      </c>
      <c r="N7" s="9">
        <v>0</v>
      </c>
    </row>
    <row r="8" spans="1:14">
      <c r="A8" s="6" t="s">
        <v>10</v>
      </c>
      <c r="B8" s="9">
        <f>'Data Sheet'!B26</f>
        <v>1.35</v>
      </c>
      <c r="C8" s="9">
        <f>'Data Sheet'!C26</f>
        <v>2.1</v>
      </c>
      <c r="D8" s="9">
        <f>'Data Sheet'!D26</f>
        <v>2.65</v>
      </c>
      <c r="E8" s="9">
        <f>'Data Sheet'!E26</f>
        <v>2.86</v>
      </c>
      <c r="F8" s="9">
        <f>'Data Sheet'!F26</f>
        <v>3.32</v>
      </c>
      <c r="G8" s="9">
        <f>'Data Sheet'!G26</f>
        <v>3.79</v>
      </c>
      <c r="H8" s="9">
        <f>'Data Sheet'!H26</f>
        <v>4.2</v>
      </c>
      <c r="I8" s="9">
        <f>'Data Sheet'!I26</f>
        <v>3.59</v>
      </c>
      <c r="J8" s="9">
        <f>'Data Sheet'!J26</f>
        <v>4.59</v>
      </c>
      <c r="K8" s="9">
        <f>'Data Sheet'!K26</f>
        <v>4.83</v>
      </c>
      <c r="L8" s="9">
        <f>SUM(Quarters!H8:K8)</f>
        <v>5.13</v>
      </c>
      <c r="M8" s="9">
        <f>+$L8</f>
        <v>5.13</v>
      </c>
      <c r="N8" s="9">
        <f>+$L8</f>
        <v>5.13</v>
      </c>
    </row>
    <row r="9" spans="1:14">
      <c r="A9" s="6" t="s">
        <v>11</v>
      </c>
      <c r="B9" s="9">
        <f>'Data Sheet'!B27</f>
        <v>1.1200000000000001</v>
      </c>
      <c r="C9" s="9">
        <f>'Data Sheet'!C27</f>
        <v>2.46</v>
      </c>
      <c r="D9" s="9">
        <f>'Data Sheet'!D27</f>
        <v>1.21</v>
      </c>
      <c r="E9" s="9">
        <f>'Data Sheet'!E27</f>
        <v>1.59</v>
      </c>
      <c r="F9" s="9">
        <f>'Data Sheet'!F27</f>
        <v>2.41</v>
      </c>
      <c r="G9" s="9">
        <f>'Data Sheet'!G27</f>
        <v>3.26</v>
      </c>
      <c r="H9" s="9">
        <f>'Data Sheet'!H27</f>
        <v>4.18</v>
      </c>
      <c r="I9" s="9">
        <f>'Data Sheet'!I27</f>
        <v>5.49</v>
      </c>
      <c r="J9" s="9">
        <f>'Data Sheet'!J27</f>
        <v>5.88</v>
      </c>
      <c r="K9" s="9">
        <f>'Data Sheet'!K27</f>
        <v>5.75</v>
      </c>
      <c r="L9" s="9">
        <f>SUM(Quarters!H9:K9)</f>
        <v>4.87</v>
      </c>
      <c r="M9" s="9">
        <f>+$L9</f>
        <v>4.87</v>
      </c>
      <c r="N9" s="9">
        <f>+$L9</f>
        <v>4.87</v>
      </c>
    </row>
    <row r="10" spans="1:14">
      <c r="A10" s="6" t="s">
        <v>12</v>
      </c>
      <c r="B10" s="9">
        <f>'Data Sheet'!B28</f>
        <v>4.47</v>
      </c>
      <c r="C10" s="9">
        <f>'Data Sheet'!C28</f>
        <v>8.98</v>
      </c>
      <c r="D10" s="9">
        <f>'Data Sheet'!D28</f>
        <v>7.48</v>
      </c>
      <c r="E10" s="9">
        <f>'Data Sheet'!E28</f>
        <v>7.56</v>
      </c>
      <c r="F10" s="9">
        <f>'Data Sheet'!F28</f>
        <v>5.31</v>
      </c>
      <c r="G10" s="9">
        <f>'Data Sheet'!G28</f>
        <v>7.17</v>
      </c>
      <c r="H10" s="9">
        <f>'Data Sheet'!H28</f>
        <v>10.52</v>
      </c>
      <c r="I10" s="9">
        <f>'Data Sheet'!I28</f>
        <v>13.17</v>
      </c>
      <c r="J10" s="9">
        <f>'Data Sheet'!J28</f>
        <v>11.06</v>
      </c>
      <c r="K10" s="9">
        <f>'Data Sheet'!K28</f>
        <v>13.2</v>
      </c>
      <c r="L10" s="9">
        <f>SUM(Quarters!H10:K10)</f>
        <v>11.34</v>
      </c>
      <c r="M10" s="9">
        <f>M6+M7-SUM(M8:M9)</f>
        <v>14.387337497384525</v>
      </c>
      <c r="N10" s="9">
        <f>N6+N7-SUM(N8:N9)</f>
        <v>9.7000634611372583</v>
      </c>
    </row>
    <row r="11" spans="1:14">
      <c r="A11" s="6" t="s">
        <v>13</v>
      </c>
      <c r="B11" s="9">
        <f>'Data Sheet'!B29</f>
        <v>0.83</v>
      </c>
      <c r="C11" s="9">
        <f>'Data Sheet'!C29</f>
        <v>1.6</v>
      </c>
      <c r="D11" s="9">
        <f>'Data Sheet'!D29</f>
        <v>1.57</v>
      </c>
      <c r="E11" s="9">
        <f>'Data Sheet'!E29</f>
        <v>1.51</v>
      </c>
      <c r="F11" s="9">
        <f>'Data Sheet'!F29</f>
        <v>1.37</v>
      </c>
      <c r="G11" s="9">
        <f>'Data Sheet'!G29</f>
        <v>1.66</v>
      </c>
      <c r="H11" s="9">
        <f>'Data Sheet'!H29</f>
        <v>2.54</v>
      </c>
      <c r="I11" s="9">
        <f>'Data Sheet'!I29</f>
        <v>3.69</v>
      </c>
      <c r="J11" s="9">
        <f>'Data Sheet'!J29</f>
        <v>4.0199999999999996</v>
      </c>
      <c r="K11" s="9">
        <f>'Data Sheet'!K29</f>
        <v>4.88</v>
      </c>
      <c r="L11" s="9">
        <f>SUM(Quarters!H11:K11)</f>
        <v>4.2299999999999995</v>
      </c>
      <c r="M11" s="10">
        <f>IF($L10&gt;0,$L11/$L10,0)</f>
        <v>0.37301587301587297</v>
      </c>
      <c r="N11" s="10">
        <f>IF($L10&gt;0,$L11/$L10,0)</f>
        <v>0.37301587301587297</v>
      </c>
    </row>
    <row r="12" spans="1:14" s="8" customFormat="1">
      <c r="A12" s="8" t="s">
        <v>14</v>
      </c>
      <c r="B12" s="1">
        <f>'Data Sheet'!B30</f>
        <v>3.64</v>
      </c>
      <c r="C12" s="1">
        <f>'Data Sheet'!C30</f>
        <v>7.38</v>
      </c>
      <c r="D12" s="1">
        <f>'Data Sheet'!D30</f>
        <v>5.91</v>
      </c>
      <c r="E12" s="1">
        <f>'Data Sheet'!E30</f>
        <v>6.05</v>
      </c>
      <c r="F12" s="1">
        <f>'Data Sheet'!F30</f>
        <v>3.94</v>
      </c>
      <c r="G12" s="1">
        <f>'Data Sheet'!G30</f>
        <v>5.5</v>
      </c>
      <c r="H12" s="1">
        <f>'Data Sheet'!H30</f>
        <v>7.98</v>
      </c>
      <c r="I12" s="1">
        <f>'Data Sheet'!I30</f>
        <v>9.48</v>
      </c>
      <c r="J12" s="1">
        <f>'Data Sheet'!J30</f>
        <v>7.05</v>
      </c>
      <c r="K12" s="1">
        <f>'Data Sheet'!K30</f>
        <v>8.32</v>
      </c>
      <c r="L12" s="1">
        <f>SUM(Quarters!H12:K12)</f>
        <v>7.14</v>
      </c>
      <c r="M12" s="1">
        <f>M10-M11*M10</f>
        <v>9.0206322404236303</v>
      </c>
      <c r="N12" s="1">
        <f>N10-N11*N10</f>
        <v>6.0817858208717741</v>
      </c>
    </row>
    <row r="13" spans="1:14">
      <c r="A13" s="11" t="s">
        <v>48</v>
      </c>
      <c r="B13" s="9">
        <f>IF('Data Sheet'!B93&gt;0,B12/'Data Sheet'!B93,0)</f>
        <v>8.7018885967009325</v>
      </c>
      <c r="C13" s="9">
        <f>IF('Data Sheet'!C93&gt;0,C12/'Data Sheet'!C93,0)</f>
        <v>17.095205003474636</v>
      </c>
      <c r="D13" s="9">
        <f>IF('Data Sheet'!D93&gt;0,D12/'Data Sheet'!D93,0)</f>
        <v>13.25706594885599</v>
      </c>
      <c r="E13" s="9">
        <f>IF('Data Sheet'!E93&gt;0,E12/'Data Sheet'!E93,0)</f>
        <v>13.571108120233289</v>
      </c>
      <c r="F13" s="9">
        <f>IF('Data Sheet'!F93&gt;0,F12/'Data Sheet'!F93,0)</f>
        <v>8.838043965903994</v>
      </c>
      <c r="G13" s="9">
        <f>IF('Data Sheet'!G93&gt;0,G12/'Data Sheet'!G93,0)</f>
        <v>12.337371018393899</v>
      </c>
      <c r="H13" s="9">
        <f>IF('Data Sheet'!H93&gt;0,H12/'Data Sheet'!H93,0)</f>
        <v>17.701863354037268</v>
      </c>
      <c r="I13" s="9">
        <f>IF('Data Sheet'!I93&gt;0,I12/'Data Sheet'!I93,0)</f>
        <v>20.352082438814943</v>
      </c>
      <c r="J13" s="9">
        <f>IF('Data Sheet'!J93&gt;0,J12/'Data Sheet'!J93,0)</f>
        <v>13.586495678530794</v>
      </c>
      <c r="K13" s="9">
        <f>IF('Data Sheet'!K93&gt;0,K12/'Data Sheet'!K93,0)</f>
        <v>16.03399206317393</v>
      </c>
      <c r="L13" s="9">
        <f>IF('Data Sheet'!$B6&gt;0,'Profit &amp; Loss'!L12/'Data Sheet'!$B6,0)</f>
        <v>13.759685302181429</v>
      </c>
      <c r="M13" s="9">
        <f>IF('Data Sheet'!$B6&gt;0,'Profit &amp; Loss'!M12/'Data Sheet'!$B6,0)</f>
        <v>17.383902080523946</v>
      </c>
      <c r="N13" s="9">
        <f>IF('Data Sheet'!$B6&gt;0,'Profit &amp; Loss'!N12/'Data Sheet'!$B6,0)</f>
        <v>11.720372404827</v>
      </c>
    </row>
    <row r="14" spans="1:14">
      <c r="A14" s="6" t="s">
        <v>16</v>
      </c>
      <c r="B14" s="9">
        <f>IF(B15&gt;0,B15/B13,"")</f>
        <v>4.0244137362637362</v>
      </c>
      <c r="C14" s="9">
        <f t="shared" ref="C14:K14" si="2">IF(C15&gt;0,C15/C13,"")</f>
        <v>2.4773028455284551</v>
      </c>
      <c r="D14" s="9">
        <f t="shared" si="2"/>
        <v>6.1816091370558377</v>
      </c>
      <c r="E14" s="9">
        <f t="shared" si="2"/>
        <v>5.4534971900826452</v>
      </c>
      <c r="F14" s="9">
        <f t="shared" si="2"/>
        <v>7.6510142131979695</v>
      </c>
      <c r="G14" s="9">
        <f t="shared" si="2"/>
        <v>6.9893334545454548</v>
      </c>
      <c r="H14" s="9">
        <f t="shared" si="2"/>
        <v>12.193066666666667</v>
      </c>
      <c r="I14" s="9">
        <f t="shared" si="2"/>
        <v>25.101116877637132</v>
      </c>
      <c r="J14" s="9">
        <f t="shared" si="2"/>
        <v>38.824580854468081</v>
      </c>
      <c r="K14" s="9">
        <f t="shared" si="2"/>
        <v>31.951493924999994</v>
      </c>
      <c r="L14" s="9">
        <f t="shared" ref="L14" si="3">IF(L13&gt;0,L15/L13,0)</f>
        <v>35.247899159663859</v>
      </c>
      <c r="M14" s="9">
        <f>M25</f>
        <v>35.247899159663859</v>
      </c>
      <c r="N14" s="9">
        <f>N25</f>
        <v>16.008666187282714</v>
      </c>
    </row>
    <row r="15" spans="1:14" s="8" customFormat="1">
      <c r="A15" s="8" t="s">
        <v>49</v>
      </c>
      <c r="B15" s="1">
        <f>'Data Sheet'!B90</f>
        <v>35.020000000000003</v>
      </c>
      <c r="C15" s="1">
        <f>'Data Sheet'!C90</f>
        <v>42.35</v>
      </c>
      <c r="D15" s="1">
        <f>'Data Sheet'!D90</f>
        <v>81.95</v>
      </c>
      <c r="E15" s="1">
        <f>'Data Sheet'!E90</f>
        <v>74.010000000000005</v>
      </c>
      <c r="F15" s="1">
        <f>'Data Sheet'!F90</f>
        <v>67.62</v>
      </c>
      <c r="G15" s="1">
        <f>'Data Sheet'!G90</f>
        <v>86.23</v>
      </c>
      <c r="H15" s="1">
        <f>'Data Sheet'!H90</f>
        <v>215.84</v>
      </c>
      <c r="I15" s="1">
        <f>'Data Sheet'!I90</f>
        <v>510.86</v>
      </c>
      <c r="J15" s="1">
        <f>'Data Sheet'!J90</f>
        <v>527.49</v>
      </c>
      <c r="K15" s="1">
        <f>'Data Sheet'!K90</f>
        <v>512.30999999999995</v>
      </c>
      <c r="L15" s="1">
        <f>'Data Sheet'!B8</f>
        <v>485</v>
      </c>
      <c r="M15" s="12">
        <f>M13*M14</f>
        <v>612.74602753577881</v>
      </c>
      <c r="N15" s="13">
        <f>N13*N14</f>
        <v>187.62752941951538</v>
      </c>
    </row>
    <row r="17" spans="1:14" s="8" customFormat="1">
      <c r="A17" s="8" t="s">
        <v>15</v>
      </c>
    </row>
    <row r="18" spans="1:14">
      <c r="A18" s="6" t="s">
        <v>17</v>
      </c>
      <c r="B18" s="7">
        <f>IF('Data Sheet'!B30&gt;0, 'Data Sheet'!B31/'Data Sheet'!B30, 0)</f>
        <v>0.21428571428571427</v>
      </c>
      <c r="C18" s="7">
        <f>IF('Data Sheet'!C30&gt;0, 'Data Sheet'!C31/'Data Sheet'!C30, 0)</f>
        <v>0.15040650406504066</v>
      </c>
      <c r="D18" s="7">
        <f>IF('Data Sheet'!D30&gt;0, 'Data Sheet'!D31/'Data Sheet'!D30, 0)</f>
        <v>0.19966159052453467</v>
      </c>
      <c r="E18" s="7">
        <f>IF('Data Sheet'!E30&gt;0, 'Data Sheet'!E31/'Data Sheet'!E30, 0)</f>
        <v>0.19669421487603306</v>
      </c>
      <c r="F18" s="7">
        <f>IF('Data Sheet'!F30&gt;0, 'Data Sheet'!F31/'Data Sheet'!F30, 0)</f>
        <v>0.3020304568527919</v>
      </c>
      <c r="G18" s="7">
        <f>IF('Data Sheet'!G30&gt;0, 'Data Sheet'!G31/'Data Sheet'!G30, 0)</f>
        <v>0.26727272727272727</v>
      </c>
      <c r="H18" s="7">
        <f>IF('Data Sheet'!H30&gt;0, 'Data Sheet'!H31/'Data Sheet'!H30, 0)</f>
        <v>0.22556390977443608</v>
      </c>
      <c r="I18" s="7">
        <f>IF('Data Sheet'!I30&gt;0, 'Data Sheet'!I31/'Data Sheet'!I30, 0)</f>
        <v>0.19620253164556961</v>
      </c>
      <c r="J18" s="7">
        <f>IF('Data Sheet'!J30&gt;0, 'Data Sheet'!J31/'Data Sheet'!J30, 0)</f>
        <v>0.36737588652482267</v>
      </c>
      <c r="K18" s="7">
        <f>IF('Data Sheet'!K30&gt;0, 'Data Sheet'!K31/'Data Sheet'!K30, 0)</f>
        <v>0</v>
      </c>
    </row>
    <row r="19" spans="1:14">
      <c r="A19" s="6" t="s">
        <v>18</v>
      </c>
      <c r="B19" s="7">
        <f t="shared" ref="B19:L19" si="4">IF(B6&gt;0,B6/B4,0)</f>
        <v>0.2167325428194993</v>
      </c>
      <c r="C19" s="7">
        <f t="shared" ref="C19:K19" si="5">IF(C6&gt;0,C6/C4,0)</f>
        <v>0.26076649545634129</v>
      </c>
      <c r="D19" s="7">
        <f t="shared" si="5"/>
        <v>0.23271391529818503</v>
      </c>
      <c r="E19" s="7">
        <f t="shared" si="5"/>
        <v>0.21125226860254098</v>
      </c>
      <c r="F19" s="7">
        <f t="shared" si="5"/>
        <v>0.16328828828828815</v>
      </c>
      <c r="G19" s="7">
        <f t="shared" si="5"/>
        <v>0.17080943275971963</v>
      </c>
      <c r="H19" s="7">
        <f t="shared" si="5"/>
        <v>0.1748143862694049</v>
      </c>
      <c r="I19" s="7">
        <f t="shared" si="5"/>
        <v>0.18151361566875696</v>
      </c>
      <c r="J19" s="7">
        <f t="shared" si="5"/>
        <v>0.13891689471410068</v>
      </c>
      <c r="K19" s="7">
        <f t="shared" si="5"/>
        <v>0.14925899788285094</v>
      </c>
      <c r="L19" s="7">
        <f t="shared" si="4"/>
        <v>0.13628852647460304</v>
      </c>
    </row>
    <row r="20" spans="1:14">
      <c r="A20" s="7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0"/>
      <c r="N20" s="70"/>
    </row>
    <row r="21" spans="1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0.18669987908432129</v>
      </c>
      <c r="I23" s="7">
        <f>IF(D4=0,"",POWER($K4/D4,1/7)-1)</f>
        <v>0.17334361475829141</v>
      </c>
      <c r="J23" s="7">
        <f>IF(F4=0,"",POWER($K4/F4,1/5)-1)</f>
        <v>0.17915736759006395</v>
      </c>
      <c r="K23" s="7">
        <f>IF(H4=0,"",POWER($K4/H4, 1/3)-1)</f>
        <v>0.10964247409633043</v>
      </c>
      <c r="L23" s="7">
        <f>IF(ISERROR(MAX(IF(J4=0,"",(K4-J4)/J4),IF(K4=0,"",(L4-K4)/K4))),"",MAX(IF(J4=0,"",(K4-J4)/J4),IF(K4=0,"",(L4-K4)/K4)))</f>
        <v>2.0452254068846137E-2</v>
      </c>
      <c r="M23" s="22">
        <f>MAX(K23:L23)</f>
        <v>0.10964247409633043</v>
      </c>
      <c r="N23" s="22">
        <f>MIN(H23:L23)</f>
        <v>2.0452254068846137E-2</v>
      </c>
    </row>
    <row r="24" spans="1:14">
      <c r="G24" s="6" t="s">
        <v>18</v>
      </c>
      <c r="H24" s="7">
        <f>IF(SUM(B4:$K$4)=0,"",SUMPRODUCT(B19:$K$19,B4:$K$4)/SUM(B4:$K$4))</f>
        <v>0.17657985794937173</v>
      </c>
      <c r="I24" s="7">
        <f>IF(SUM(E4:$K$4)=0,"",SUMPRODUCT(E19:$K$19,E4:$K$4)/SUM(E4:$K$4))</f>
        <v>0.16497939373052456</v>
      </c>
      <c r="J24" s="7">
        <f>IF(SUM(G4:$K$4)=0,"",SUMPRODUCT(G19:$K$19,G4:$K$4)/SUM(G4:$K$4))</f>
        <v>0.1607583789477319</v>
      </c>
      <c r="K24" s="7">
        <f>IF(SUM(I4:$K$4)=0, "", SUMPRODUCT(I19:$K$19,I4:$K$4)/SUM(I4:$K$4))</f>
        <v>0.15509988160314378</v>
      </c>
      <c r="L24" s="7">
        <f>L19</f>
        <v>0.13628852647460304</v>
      </c>
      <c r="M24" s="22">
        <f>MAX(K24:L24)</f>
        <v>0.15509988160314378</v>
      </c>
      <c r="N24" s="22">
        <f>MIN(H24:L24)</f>
        <v>0.13628852647460304</v>
      </c>
    </row>
    <row r="25" spans="1:14">
      <c r="G25" s="6" t="s">
        <v>23</v>
      </c>
      <c r="H25" s="9">
        <f>IF(ISERROR(AVERAGEIF(B14:$L14,"&gt;0")),"",AVERAGEIF(B14:$L14,"&gt;0"))</f>
        <v>16.008666187282714</v>
      </c>
      <c r="I25" s="9">
        <f>IF(ISERROR(AVERAGEIF(E14:$L14,"&gt;0")),"",AVERAGEIF(E14:$L14,"&gt;0"))</f>
        <v>20.426500292657725</v>
      </c>
      <c r="J25" s="9">
        <f>IF(ISERROR(AVERAGEIF(G14:$L14,"&gt;0")),"",AVERAGEIF(G14:$L14,"&gt;0"))</f>
        <v>25.051248489663532</v>
      </c>
      <c r="K25" s="9">
        <f>IF(ISERROR(AVERAGEIF(I14:$L14,"&gt;0")),"",AVERAGEIF(I14:$L14,"&gt;0"))</f>
        <v>32.781272704192268</v>
      </c>
      <c r="L25" s="9">
        <f>L14</f>
        <v>35.247899159663859</v>
      </c>
      <c r="M25" s="1">
        <f>MAX(K25:L25)</f>
        <v>35.247899159663859</v>
      </c>
      <c r="N25" s="1">
        <f>MIN(H25:L25)</f>
        <v>16.008666187282714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2"/>
  <sheetViews>
    <sheetView workbookViewId="0">
      <selection activeCell="C27" sqref="C27"/>
    </sheetView>
  </sheetViews>
  <sheetFormatPr defaultColWidth="9.140625" defaultRowHeight="15"/>
  <cols>
    <col min="1" max="1" width="20.7109375" style="6" customWidth="1"/>
    <col min="2" max="11" width="13.5703125" style="6" bestFit="1" customWidth="1"/>
    <col min="12" max="16384" width="9.140625" style="6"/>
  </cols>
  <sheetData>
    <row r="1" spans="1:11" s="8" customFormat="1">
      <c r="A1" s="8" t="str">
        <f>'Profit &amp; Loss'!A1</f>
        <v>ACRYSIL LTD</v>
      </c>
      <c r="E1" t="str">
        <f>UPDATE</f>
        <v>A NEW VERSION OF THE WORKSHEET IS AVAILABLE</v>
      </c>
      <c r="J1" s="4" t="s">
        <v>1</v>
      </c>
      <c r="K1" s="4"/>
    </row>
    <row r="3" spans="1:11" s="2" customFormat="1">
      <c r="A3" s="15" t="s">
        <v>2</v>
      </c>
      <c r="B3" s="16">
        <f>'Data Sheet'!B41</f>
        <v>42094</v>
      </c>
      <c r="C3" s="16">
        <f>'Data Sheet'!C41</f>
        <v>42185</v>
      </c>
      <c r="D3" s="16">
        <f>'Data Sheet'!D41</f>
        <v>42277</v>
      </c>
      <c r="E3" s="16">
        <f>'Data Sheet'!E41</f>
        <v>42369</v>
      </c>
      <c r="F3" s="16">
        <f>'Data Sheet'!F41</f>
        <v>42460</v>
      </c>
      <c r="G3" s="16">
        <f>'Data Sheet'!G41</f>
        <v>42551</v>
      </c>
      <c r="H3" s="16">
        <f>'Data Sheet'!H41</f>
        <v>42643</v>
      </c>
      <c r="I3" s="16">
        <f>'Data Sheet'!I41</f>
        <v>42735</v>
      </c>
      <c r="J3" s="16">
        <f>'Data Sheet'!J41</f>
        <v>42825</v>
      </c>
      <c r="K3" s="16">
        <f>'Data Sheet'!K41</f>
        <v>42916</v>
      </c>
    </row>
    <row r="4" spans="1:11" s="8" customFormat="1">
      <c r="A4" s="8" t="s">
        <v>6</v>
      </c>
      <c r="B4" s="1">
        <f>'Data Sheet'!B42</f>
        <v>25.1</v>
      </c>
      <c r="C4" s="1">
        <f>'Data Sheet'!C42</f>
        <v>35.119999999999997</v>
      </c>
      <c r="D4" s="1">
        <f>'Data Sheet'!D42</f>
        <v>33.1</v>
      </c>
      <c r="E4" s="1">
        <f>'Data Sheet'!E42</f>
        <v>32.07</v>
      </c>
      <c r="F4" s="1">
        <f>'Data Sheet'!F42</f>
        <v>38.58</v>
      </c>
      <c r="G4" s="1">
        <f>'Data Sheet'!G42</f>
        <v>38.700000000000003</v>
      </c>
      <c r="H4" s="1">
        <f>'Data Sheet'!H42</f>
        <v>41.05</v>
      </c>
      <c r="I4" s="1">
        <f>'Data Sheet'!I42</f>
        <v>31.26</v>
      </c>
      <c r="J4" s="1">
        <f>'Data Sheet'!J42</f>
        <v>30.65</v>
      </c>
      <c r="K4" s="1">
        <f>'Data Sheet'!K42</f>
        <v>36.229999999999997</v>
      </c>
    </row>
    <row r="5" spans="1:11">
      <c r="A5" s="6" t="s">
        <v>7</v>
      </c>
      <c r="B5" s="1">
        <f>'Data Sheet'!B43</f>
        <v>20.82</v>
      </c>
      <c r="C5" s="1">
        <f>'Data Sheet'!C43</f>
        <v>29.14</v>
      </c>
      <c r="D5" s="1">
        <f>'Data Sheet'!D43</f>
        <v>28.16</v>
      </c>
      <c r="E5" s="1">
        <f>'Data Sheet'!E43</f>
        <v>28.92</v>
      </c>
      <c r="F5" s="1">
        <f>'Data Sheet'!F43</f>
        <v>34.380000000000003</v>
      </c>
      <c r="G5" s="1">
        <f>'Data Sheet'!G43</f>
        <v>32.270000000000003</v>
      </c>
      <c r="H5" s="1">
        <f>'Data Sheet'!H43</f>
        <v>33.979999999999997</v>
      </c>
      <c r="I5" s="1">
        <f>'Data Sheet'!I43</f>
        <v>28.08</v>
      </c>
      <c r="J5" s="1">
        <f>'Data Sheet'!J43</f>
        <v>27.05</v>
      </c>
      <c r="K5" s="1">
        <f>'Data Sheet'!K43</f>
        <v>31.11</v>
      </c>
    </row>
    <row r="6" spans="1:11" s="8" customFormat="1">
      <c r="A6" s="8" t="s">
        <v>8</v>
      </c>
      <c r="B6" s="1">
        <f>B4-B5</f>
        <v>4.2800000000000011</v>
      </c>
      <c r="C6" s="1">
        <f t="shared" ref="C6:K6" si="0">C4-C5</f>
        <v>5.9799999999999969</v>
      </c>
      <c r="D6" s="1">
        <f t="shared" si="0"/>
        <v>4.9400000000000013</v>
      </c>
      <c r="E6" s="1">
        <f t="shared" si="0"/>
        <v>3.1499999999999986</v>
      </c>
      <c r="F6" s="1">
        <f t="shared" si="0"/>
        <v>4.1999999999999957</v>
      </c>
      <c r="G6" s="1">
        <f t="shared" si="0"/>
        <v>6.43</v>
      </c>
      <c r="H6" s="1">
        <f t="shared" si="0"/>
        <v>7.07</v>
      </c>
      <c r="I6" s="1">
        <f t="shared" si="0"/>
        <v>3.1800000000000033</v>
      </c>
      <c r="J6" s="1">
        <f t="shared" si="0"/>
        <v>3.5999999999999979</v>
      </c>
      <c r="K6" s="1">
        <f t="shared" si="0"/>
        <v>5.1199999999999974</v>
      </c>
    </row>
    <row r="7" spans="1:11">
      <c r="A7" s="6" t="s">
        <v>9</v>
      </c>
      <c r="B7" s="9">
        <f>'Data Sheet'!B44</f>
        <v>0.4</v>
      </c>
      <c r="C7" s="9">
        <f>'Data Sheet'!C44</f>
        <v>0.25</v>
      </c>
      <c r="D7" s="9">
        <f>'Data Sheet'!D44</f>
        <v>0.4</v>
      </c>
      <c r="E7" s="9">
        <f>'Data Sheet'!E44</f>
        <v>0.83</v>
      </c>
      <c r="F7" s="9">
        <f>'Data Sheet'!F44</f>
        <v>0.77</v>
      </c>
      <c r="G7" s="9">
        <f>'Data Sheet'!G44</f>
        <v>0.76</v>
      </c>
      <c r="H7" s="9">
        <f>'Data Sheet'!H44</f>
        <v>0.69</v>
      </c>
      <c r="I7" s="9">
        <f>'Data Sheet'!I44</f>
        <v>0.56999999999999995</v>
      </c>
      <c r="J7" s="9">
        <f>'Data Sheet'!J44</f>
        <v>0.63</v>
      </c>
      <c r="K7" s="9">
        <f>'Data Sheet'!K44</f>
        <v>0.47</v>
      </c>
    </row>
    <row r="8" spans="1:11">
      <c r="A8" s="6" t="s">
        <v>10</v>
      </c>
      <c r="B8" s="9">
        <f>'Data Sheet'!B45</f>
        <v>0.99</v>
      </c>
      <c r="C8" s="9">
        <f>'Data Sheet'!C45</f>
        <v>1.06</v>
      </c>
      <c r="D8" s="9">
        <f>'Data Sheet'!D45</f>
        <v>1.1200000000000001</v>
      </c>
      <c r="E8" s="9">
        <f>'Data Sheet'!E45</f>
        <v>1.17</v>
      </c>
      <c r="F8" s="9">
        <f>'Data Sheet'!F45</f>
        <v>1.24</v>
      </c>
      <c r="G8" s="9">
        <f>'Data Sheet'!G45</f>
        <v>1.1200000000000001</v>
      </c>
      <c r="H8" s="9">
        <f>'Data Sheet'!H45</f>
        <v>1.19</v>
      </c>
      <c r="I8" s="9">
        <f>'Data Sheet'!I45</f>
        <v>1.24</v>
      </c>
      <c r="J8" s="9">
        <f>'Data Sheet'!J45</f>
        <v>1.28</v>
      </c>
      <c r="K8" s="9">
        <f>'Data Sheet'!K45</f>
        <v>1.42</v>
      </c>
    </row>
    <row r="9" spans="1:11">
      <c r="A9" s="6" t="s">
        <v>11</v>
      </c>
      <c r="B9" s="9">
        <f>'Data Sheet'!B46</f>
        <v>1.55</v>
      </c>
      <c r="C9" s="9">
        <f>'Data Sheet'!C46</f>
        <v>1.28</v>
      </c>
      <c r="D9" s="9">
        <f>'Data Sheet'!D46</f>
        <v>1.01</v>
      </c>
      <c r="E9" s="9">
        <f>'Data Sheet'!E46</f>
        <v>1.05</v>
      </c>
      <c r="F9" s="9">
        <f>'Data Sheet'!F46</f>
        <v>1.51</v>
      </c>
      <c r="G9" s="9">
        <f>'Data Sheet'!G46</f>
        <v>1.24</v>
      </c>
      <c r="H9" s="9">
        <f>'Data Sheet'!H46</f>
        <v>1.1200000000000001</v>
      </c>
      <c r="I9" s="9">
        <f>'Data Sheet'!I46</f>
        <v>1.1000000000000001</v>
      </c>
      <c r="J9" s="9">
        <f>'Data Sheet'!J46</f>
        <v>1.48</v>
      </c>
      <c r="K9" s="9">
        <f>'Data Sheet'!K46</f>
        <v>1.17</v>
      </c>
    </row>
    <row r="10" spans="1:11">
      <c r="A10" s="6" t="s">
        <v>12</v>
      </c>
      <c r="B10" s="9">
        <f>'Data Sheet'!B47</f>
        <v>2.14</v>
      </c>
      <c r="C10" s="9">
        <f>'Data Sheet'!C47</f>
        <v>3.88</v>
      </c>
      <c r="D10" s="9">
        <f>'Data Sheet'!D47</f>
        <v>3.21</v>
      </c>
      <c r="E10" s="9">
        <f>'Data Sheet'!E47</f>
        <v>1.76</v>
      </c>
      <c r="F10" s="9">
        <f>'Data Sheet'!F47</f>
        <v>2.2200000000000002</v>
      </c>
      <c r="G10" s="9">
        <f>'Data Sheet'!G47</f>
        <v>4.82</v>
      </c>
      <c r="H10" s="9">
        <f>'Data Sheet'!H47</f>
        <v>5.45</v>
      </c>
      <c r="I10" s="9">
        <f>'Data Sheet'!I47</f>
        <v>1.41</v>
      </c>
      <c r="J10" s="9">
        <f>'Data Sheet'!J47</f>
        <v>1.47</v>
      </c>
      <c r="K10" s="9">
        <f>'Data Sheet'!K47</f>
        <v>3.01</v>
      </c>
    </row>
    <row r="11" spans="1:11">
      <c r="A11" s="6" t="s">
        <v>13</v>
      </c>
      <c r="B11" s="9">
        <f>'Data Sheet'!B48</f>
        <v>0.69</v>
      </c>
      <c r="C11" s="9">
        <f>'Data Sheet'!C48</f>
        <v>1.24</v>
      </c>
      <c r="D11" s="9">
        <f>'Data Sheet'!D48</f>
        <v>1.1599999999999999</v>
      </c>
      <c r="E11" s="9">
        <f>'Data Sheet'!E48</f>
        <v>0.71</v>
      </c>
      <c r="F11" s="9">
        <f>'Data Sheet'!F48</f>
        <v>0.93</v>
      </c>
      <c r="G11" s="9">
        <f>'Data Sheet'!G48</f>
        <v>1.73</v>
      </c>
      <c r="H11" s="9">
        <f>'Data Sheet'!H48</f>
        <v>1.91</v>
      </c>
      <c r="I11" s="9">
        <f>'Data Sheet'!I48</f>
        <v>0.56000000000000005</v>
      </c>
      <c r="J11" s="9">
        <f>'Data Sheet'!J48</f>
        <v>0.69</v>
      </c>
      <c r="K11" s="9">
        <f>'Data Sheet'!K48</f>
        <v>1.07</v>
      </c>
    </row>
    <row r="12" spans="1:11" s="8" customFormat="1">
      <c r="A12" s="8" t="s">
        <v>14</v>
      </c>
      <c r="B12" s="1">
        <f>'Data Sheet'!B49</f>
        <v>1.44</v>
      </c>
      <c r="C12" s="1">
        <f>'Data Sheet'!C49</f>
        <v>2.64</v>
      </c>
      <c r="D12" s="1">
        <f>'Data Sheet'!D49</f>
        <v>2.06</v>
      </c>
      <c r="E12" s="1">
        <f>'Data Sheet'!E49</f>
        <v>1.06</v>
      </c>
      <c r="F12" s="1">
        <f>'Data Sheet'!F49</f>
        <v>1.29</v>
      </c>
      <c r="G12" s="1">
        <f>'Data Sheet'!G49</f>
        <v>3.09</v>
      </c>
      <c r="H12" s="1">
        <f>'Data Sheet'!H49</f>
        <v>3.54</v>
      </c>
      <c r="I12" s="1">
        <f>'Data Sheet'!I49</f>
        <v>0.85</v>
      </c>
      <c r="J12" s="1">
        <f>'Data Sheet'!J49</f>
        <v>0.79</v>
      </c>
      <c r="K12" s="1">
        <f>'Data Sheet'!K49</f>
        <v>1.96</v>
      </c>
    </row>
    <row r="14" spans="1:11" s="8" customFormat="1">
      <c r="A14" s="2" t="s">
        <v>18</v>
      </c>
      <c r="B14" s="14">
        <f>IF(B4&gt;0,B6/B4,"")</f>
        <v>0.17051792828685264</v>
      </c>
      <c r="C14" s="14">
        <f t="shared" ref="C14:K14" si="1">IF(C4&gt;0,C6/C4,"")</f>
        <v>0.1702733485193621</v>
      </c>
      <c r="D14" s="14">
        <f t="shared" si="1"/>
        <v>0.14924471299093658</v>
      </c>
      <c r="E14" s="14">
        <f t="shared" si="1"/>
        <v>9.8222637979419977E-2</v>
      </c>
      <c r="F14" s="14">
        <f t="shared" si="1"/>
        <v>0.10886469673405899</v>
      </c>
      <c r="G14" s="14">
        <f t="shared" si="1"/>
        <v>0.16614987080103358</v>
      </c>
      <c r="H14" s="14">
        <f t="shared" si="1"/>
        <v>0.17222898903775885</v>
      </c>
      <c r="I14" s="14">
        <f t="shared" si="1"/>
        <v>0.1017274472168907</v>
      </c>
      <c r="J14" s="14">
        <f t="shared" si="1"/>
        <v>0.11745513866231641</v>
      </c>
      <c r="K14" s="14">
        <f t="shared" si="1"/>
        <v>0.14131934860612747</v>
      </c>
    </row>
    <row r="22" s="27" customFormat="1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5"/>
  <sheetViews>
    <sheetView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B20" sqref="B20"/>
    </sheetView>
  </sheetViews>
  <sheetFormatPr defaultColWidth="9.140625" defaultRowHeight="15"/>
  <cols>
    <col min="1" max="1" width="22.85546875" style="11" bestFit="1" customWidth="1"/>
    <col min="2" max="2" width="13.5703125" style="11" customWidth="1"/>
    <col min="3" max="11" width="15.5703125" style="11" customWidth="1"/>
    <col min="12" max="16384" width="9.140625" style="11"/>
  </cols>
  <sheetData>
    <row r="1" spans="1:11" s="8" customFormat="1">
      <c r="A1" s="8" t="str">
        <f>'Profit &amp; Loss'!A1</f>
        <v>ACRYSIL LTD</v>
      </c>
      <c r="E1" t="str">
        <f>UPDATE</f>
        <v>A NEW VERSION OF THE WORKSHEET IS AVAILABLE</v>
      </c>
      <c r="G1"/>
      <c r="J1" s="4" t="s">
        <v>1</v>
      </c>
      <c r="K1" s="4"/>
    </row>
    <row r="2" spans="1:11">
      <c r="G2" s="8"/>
      <c r="H2" s="8"/>
    </row>
    <row r="3" spans="1:11" s="18" customFormat="1">
      <c r="A3" s="15" t="s">
        <v>2</v>
      </c>
      <c r="B3" s="16">
        <f>'Data Sheet'!B56</f>
        <v>39538</v>
      </c>
      <c r="C3" s="16">
        <f>'Data Sheet'!C56</f>
        <v>39903</v>
      </c>
      <c r="D3" s="16">
        <f>'Data Sheet'!D56</f>
        <v>40268</v>
      </c>
      <c r="E3" s="16">
        <f>'Data Sheet'!E56</f>
        <v>40633</v>
      </c>
      <c r="F3" s="16">
        <f>'Data Sheet'!F56</f>
        <v>40999</v>
      </c>
      <c r="G3" s="16">
        <f>'Data Sheet'!G56</f>
        <v>41364</v>
      </c>
      <c r="H3" s="16">
        <f>'Data Sheet'!H56</f>
        <v>41729</v>
      </c>
      <c r="I3" s="16">
        <f>'Data Sheet'!I56</f>
        <v>42094</v>
      </c>
      <c r="J3" s="16">
        <f>'Data Sheet'!J56</f>
        <v>42460</v>
      </c>
      <c r="K3" s="16">
        <f>'Data Sheet'!K56</f>
        <v>42825</v>
      </c>
    </row>
    <row r="4" spans="1:11">
      <c r="A4" s="6" t="s">
        <v>24</v>
      </c>
      <c r="B4" s="19">
        <f>'Data Sheet'!B57</f>
        <v>2.7</v>
      </c>
      <c r="C4" s="19">
        <f>'Data Sheet'!C57</f>
        <v>2.83</v>
      </c>
      <c r="D4" s="19">
        <f>'Data Sheet'!D57</f>
        <v>2.97</v>
      </c>
      <c r="E4" s="19">
        <f>'Data Sheet'!E57</f>
        <v>2.97</v>
      </c>
      <c r="F4" s="19">
        <f>'Data Sheet'!F57</f>
        <v>2.97</v>
      </c>
      <c r="G4" s="19">
        <f>'Data Sheet'!G57</f>
        <v>4.46</v>
      </c>
      <c r="H4" s="19">
        <f>'Data Sheet'!H57</f>
        <v>4.51</v>
      </c>
      <c r="I4" s="19">
        <f>'Data Sheet'!I57</f>
        <v>4.66</v>
      </c>
      <c r="J4" s="19">
        <f>'Data Sheet'!J57</f>
        <v>5.19</v>
      </c>
      <c r="K4" s="19">
        <f>'Data Sheet'!K57</f>
        <v>5.19</v>
      </c>
    </row>
    <row r="5" spans="1:11" s="6" customFormat="1">
      <c r="A5" s="6" t="s">
        <v>25</v>
      </c>
      <c r="B5" s="19">
        <f>'Data Sheet'!B58</f>
        <v>6.52</v>
      </c>
      <c r="C5" s="19">
        <f>'Data Sheet'!C58</f>
        <v>12.96</v>
      </c>
      <c r="D5" s="19">
        <f>'Data Sheet'!D58</f>
        <v>17.87</v>
      </c>
      <c r="E5" s="19">
        <f>'Data Sheet'!E58</f>
        <v>22.54</v>
      </c>
      <c r="F5" s="19">
        <f>'Data Sheet'!F58</f>
        <v>25.1</v>
      </c>
      <c r="G5" s="19">
        <f>'Data Sheet'!G58</f>
        <v>27.4</v>
      </c>
      <c r="H5" s="19">
        <f>'Data Sheet'!H58</f>
        <v>33.72</v>
      </c>
      <c r="I5" s="19">
        <f>'Data Sheet'!I58</f>
        <v>42.16</v>
      </c>
      <c r="J5" s="19">
        <f>'Data Sheet'!J58</f>
        <v>75.930000000000007</v>
      </c>
      <c r="K5" s="19">
        <f>'Data Sheet'!K58</f>
        <v>84.25</v>
      </c>
    </row>
    <row r="6" spans="1:11">
      <c r="A6" s="11" t="s">
        <v>62</v>
      </c>
      <c r="B6" s="19">
        <f>'Data Sheet'!B59</f>
        <v>12.74</v>
      </c>
      <c r="C6" s="19">
        <f>'Data Sheet'!C59</f>
        <v>13.32</v>
      </c>
      <c r="D6" s="19">
        <f>'Data Sheet'!D59</f>
        <v>9.27</v>
      </c>
      <c r="E6" s="19">
        <f>'Data Sheet'!E59</f>
        <v>17.059999999999999</v>
      </c>
      <c r="F6" s="19">
        <f>'Data Sheet'!F59</f>
        <v>18.52</v>
      </c>
      <c r="G6" s="19">
        <f>'Data Sheet'!G59</f>
        <v>26.93</v>
      </c>
      <c r="H6" s="19">
        <f>'Data Sheet'!H59</f>
        <v>36.82</v>
      </c>
      <c r="I6" s="19">
        <f>'Data Sheet'!I59</f>
        <v>53.64</v>
      </c>
      <c r="J6" s="19">
        <f>'Data Sheet'!J59</f>
        <v>46.87</v>
      </c>
      <c r="K6" s="19">
        <f>'Data Sheet'!K59</f>
        <v>61.18</v>
      </c>
    </row>
    <row r="7" spans="1:11" s="6" customFormat="1">
      <c r="A7" s="11" t="s">
        <v>63</v>
      </c>
      <c r="B7" s="19">
        <f>'Data Sheet'!B60</f>
        <v>9.0500000000000007</v>
      </c>
      <c r="C7" s="19">
        <f>'Data Sheet'!C60</f>
        <v>9.99</v>
      </c>
      <c r="D7" s="19">
        <f>'Data Sheet'!D60</f>
        <v>13.19</v>
      </c>
      <c r="E7" s="19">
        <f>'Data Sheet'!E60</f>
        <v>12.88</v>
      </c>
      <c r="F7" s="19">
        <f>'Data Sheet'!F60</f>
        <v>11.51</v>
      </c>
      <c r="G7" s="19">
        <f>'Data Sheet'!G60</f>
        <v>17.5</v>
      </c>
      <c r="H7" s="19">
        <f>'Data Sheet'!H60</f>
        <v>21.8</v>
      </c>
      <c r="I7" s="19">
        <f>'Data Sheet'!I60</f>
        <v>22.89</v>
      </c>
      <c r="J7" s="19">
        <f>'Data Sheet'!J60</f>
        <v>38.14</v>
      </c>
      <c r="K7" s="19">
        <f>'Data Sheet'!K60</f>
        <v>30.37</v>
      </c>
    </row>
    <row r="8" spans="1:11" s="8" customFormat="1">
      <c r="A8" s="8" t="s">
        <v>26</v>
      </c>
      <c r="B8" s="20">
        <f>'Data Sheet'!B61</f>
        <v>31.01</v>
      </c>
      <c r="C8" s="20">
        <f>'Data Sheet'!C61</f>
        <v>39.1</v>
      </c>
      <c r="D8" s="20">
        <f>'Data Sheet'!D61</f>
        <v>43.3</v>
      </c>
      <c r="E8" s="20">
        <f>'Data Sheet'!E61</f>
        <v>55.45</v>
      </c>
      <c r="F8" s="20">
        <f>'Data Sheet'!F61</f>
        <v>58.1</v>
      </c>
      <c r="G8" s="20">
        <f>'Data Sheet'!G61</f>
        <v>76.290000000000006</v>
      </c>
      <c r="H8" s="20">
        <f>'Data Sheet'!H61</f>
        <v>96.85</v>
      </c>
      <c r="I8" s="20">
        <f>'Data Sheet'!I61</f>
        <v>123.35</v>
      </c>
      <c r="J8" s="20">
        <f>'Data Sheet'!J61</f>
        <v>166.13</v>
      </c>
      <c r="K8" s="20">
        <f>'Data Sheet'!K61</f>
        <v>180.99</v>
      </c>
    </row>
    <row r="9" spans="1:11" s="8" customFormat="1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>
      <c r="A10" s="6" t="s">
        <v>27</v>
      </c>
      <c r="B10" s="19">
        <f>'Data Sheet'!B62</f>
        <v>10.51</v>
      </c>
      <c r="C10" s="19">
        <f>'Data Sheet'!C62</f>
        <v>15.21</v>
      </c>
      <c r="D10" s="19">
        <f>'Data Sheet'!D62</f>
        <v>17.63</v>
      </c>
      <c r="E10" s="19">
        <f>'Data Sheet'!E62</f>
        <v>20.38</v>
      </c>
      <c r="F10" s="19">
        <f>'Data Sheet'!F62</f>
        <v>20.56</v>
      </c>
      <c r="G10" s="19">
        <f>'Data Sheet'!G62</f>
        <v>24.8</v>
      </c>
      <c r="H10" s="19">
        <f>'Data Sheet'!H62</f>
        <v>27.83</v>
      </c>
      <c r="I10" s="19">
        <f>'Data Sheet'!I62</f>
        <v>33.65</v>
      </c>
      <c r="J10" s="19">
        <f>'Data Sheet'!J62</f>
        <v>37.409999999999997</v>
      </c>
      <c r="K10" s="19">
        <f>'Data Sheet'!K62</f>
        <v>44.84</v>
      </c>
    </row>
    <row r="11" spans="1:11">
      <c r="A11" s="6" t="s">
        <v>28</v>
      </c>
      <c r="B11" s="19">
        <f>'Data Sheet'!B63</f>
        <v>0.75</v>
      </c>
      <c r="C11" s="19">
        <f>'Data Sheet'!C63</f>
        <v>0.54</v>
      </c>
      <c r="D11" s="19">
        <f>'Data Sheet'!D63</f>
        <v>0.73</v>
      </c>
      <c r="E11" s="19">
        <f>'Data Sheet'!E63</f>
        <v>0.47</v>
      </c>
      <c r="F11" s="19">
        <f>'Data Sheet'!F63</f>
        <v>0.4</v>
      </c>
      <c r="G11" s="19">
        <f>'Data Sheet'!G63</f>
        <v>0.06</v>
      </c>
      <c r="H11" s="19">
        <f>'Data Sheet'!H63</f>
        <v>0.82</v>
      </c>
      <c r="I11" s="19">
        <f>'Data Sheet'!I63</f>
        <v>2.2799999999999998</v>
      </c>
      <c r="J11" s="19">
        <f>'Data Sheet'!J63</f>
        <v>1.76</v>
      </c>
      <c r="K11" s="19">
        <f>'Data Sheet'!K63</f>
        <v>2.1800000000000002</v>
      </c>
    </row>
    <row r="12" spans="1:11">
      <c r="A12" s="6" t="s">
        <v>29</v>
      </c>
      <c r="B12" s="19">
        <f>'Data Sheet'!B64</f>
        <v>0</v>
      </c>
      <c r="C12" s="19">
        <f>'Data Sheet'!C64</f>
        <v>0</v>
      </c>
      <c r="D12" s="19">
        <f>'Data Sheet'!D64</f>
        <v>0</v>
      </c>
      <c r="E12" s="19">
        <f>'Data Sheet'!E64</f>
        <v>0.32</v>
      </c>
      <c r="F12" s="19">
        <f>'Data Sheet'!F64</f>
        <v>1.0900000000000001</v>
      </c>
      <c r="G12" s="19">
        <f>'Data Sheet'!G64</f>
        <v>5.19</v>
      </c>
      <c r="H12" s="19">
        <f>'Data Sheet'!H64</f>
        <v>7.4</v>
      </c>
      <c r="I12" s="19">
        <f>'Data Sheet'!I64</f>
        <v>12.72</v>
      </c>
      <c r="J12" s="19">
        <f>'Data Sheet'!J64</f>
        <v>13.94</v>
      </c>
      <c r="K12" s="19">
        <f>'Data Sheet'!K64</f>
        <v>14.08</v>
      </c>
    </row>
    <row r="13" spans="1:11">
      <c r="A13" s="11" t="s">
        <v>64</v>
      </c>
      <c r="B13" s="19">
        <f>'Data Sheet'!B65</f>
        <v>19.75</v>
      </c>
      <c r="C13" s="19">
        <f>'Data Sheet'!C65</f>
        <v>23.35</v>
      </c>
      <c r="D13" s="19">
        <f>'Data Sheet'!D65</f>
        <v>24.94</v>
      </c>
      <c r="E13" s="19">
        <f>'Data Sheet'!E65</f>
        <v>34.28</v>
      </c>
      <c r="F13" s="19">
        <f>'Data Sheet'!F65</f>
        <v>36.049999999999997</v>
      </c>
      <c r="G13" s="19">
        <f>'Data Sheet'!G65</f>
        <v>46.24</v>
      </c>
      <c r="H13" s="19">
        <f>'Data Sheet'!H65</f>
        <v>60.8</v>
      </c>
      <c r="I13" s="19">
        <f>'Data Sheet'!I65</f>
        <v>74.7</v>
      </c>
      <c r="J13" s="19">
        <f>'Data Sheet'!J65</f>
        <v>113.02</v>
      </c>
      <c r="K13" s="19">
        <f>'Data Sheet'!K65</f>
        <v>119.89</v>
      </c>
    </row>
    <row r="14" spans="1:11" s="8" customFormat="1">
      <c r="A14" s="8" t="s">
        <v>26</v>
      </c>
      <c r="B14" s="19">
        <f>'Data Sheet'!B66</f>
        <v>31.01</v>
      </c>
      <c r="C14" s="19">
        <f>'Data Sheet'!C66</f>
        <v>39.1</v>
      </c>
      <c r="D14" s="19">
        <f>'Data Sheet'!D66</f>
        <v>43.3</v>
      </c>
      <c r="E14" s="19">
        <f>'Data Sheet'!E66</f>
        <v>55.45</v>
      </c>
      <c r="F14" s="19">
        <f>'Data Sheet'!F66</f>
        <v>58.1</v>
      </c>
      <c r="G14" s="19">
        <f>'Data Sheet'!G66</f>
        <v>76.290000000000006</v>
      </c>
      <c r="H14" s="19">
        <f>'Data Sheet'!H66</f>
        <v>96.85</v>
      </c>
      <c r="I14" s="19">
        <f>'Data Sheet'!I66</f>
        <v>123.35</v>
      </c>
      <c r="J14" s="19">
        <f>'Data Sheet'!J66</f>
        <v>166.13</v>
      </c>
      <c r="K14" s="19">
        <f>'Data Sheet'!K66</f>
        <v>180.99</v>
      </c>
    </row>
    <row r="15" spans="1:11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26" t="s">
        <v>30</v>
      </c>
      <c r="B16" s="21">
        <f>B13-B7</f>
        <v>10.7</v>
      </c>
      <c r="C16" s="21">
        <f t="shared" ref="C16:K16" si="0">C13-C7</f>
        <v>13.360000000000001</v>
      </c>
      <c r="D16" s="21">
        <f t="shared" si="0"/>
        <v>11.750000000000002</v>
      </c>
      <c r="E16" s="21">
        <f t="shared" si="0"/>
        <v>21.4</v>
      </c>
      <c r="F16" s="21">
        <f t="shared" si="0"/>
        <v>24.54</v>
      </c>
      <c r="G16" s="21">
        <f t="shared" si="0"/>
        <v>28.740000000000002</v>
      </c>
      <c r="H16" s="21">
        <f t="shared" si="0"/>
        <v>39</v>
      </c>
      <c r="I16" s="21">
        <f t="shared" si="0"/>
        <v>51.81</v>
      </c>
      <c r="J16" s="21">
        <f t="shared" si="0"/>
        <v>74.88</v>
      </c>
      <c r="K16" s="21">
        <f t="shared" si="0"/>
        <v>89.52</v>
      </c>
    </row>
    <row r="17" spans="1:11">
      <c r="A17" s="11" t="s">
        <v>44</v>
      </c>
      <c r="B17" s="21">
        <f>'Data Sheet'!B67</f>
        <v>11.83</v>
      </c>
      <c r="C17" s="21">
        <f>'Data Sheet'!C67</f>
        <v>10.09</v>
      </c>
      <c r="D17" s="21">
        <f>'Data Sheet'!D67</f>
        <v>10.85</v>
      </c>
      <c r="E17" s="21">
        <f>'Data Sheet'!E67</f>
        <v>16.23</v>
      </c>
      <c r="F17" s="21">
        <f>'Data Sheet'!F67</f>
        <v>14.86</v>
      </c>
      <c r="G17" s="21">
        <f>'Data Sheet'!G67</f>
        <v>20.059999999999999</v>
      </c>
      <c r="H17" s="21">
        <f>'Data Sheet'!H67</f>
        <v>24.39</v>
      </c>
      <c r="I17" s="21">
        <f>'Data Sheet'!I67</f>
        <v>27.56</v>
      </c>
      <c r="J17" s="21">
        <f>'Data Sheet'!J67</f>
        <v>34.29</v>
      </c>
      <c r="K17" s="21">
        <f>'Data Sheet'!K67</f>
        <v>35.5</v>
      </c>
    </row>
    <row r="18" spans="1:11">
      <c r="A18" s="11" t="s">
        <v>45</v>
      </c>
      <c r="B18" s="21">
        <f>'Data Sheet'!B68</f>
        <v>5.18</v>
      </c>
      <c r="C18" s="21">
        <f>'Data Sheet'!C68</f>
        <v>8.5299999999999994</v>
      </c>
      <c r="D18" s="21">
        <f>'Data Sheet'!D68</f>
        <v>9.6999999999999993</v>
      </c>
      <c r="E18" s="21">
        <f>'Data Sheet'!E68</f>
        <v>9.81</v>
      </c>
      <c r="F18" s="21">
        <f>'Data Sheet'!F68</f>
        <v>10.45</v>
      </c>
      <c r="G18" s="21">
        <f>'Data Sheet'!G68</f>
        <v>16.27</v>
      </c>
      <c r="H18" s="21">
        <f>'Data Sheet'!H68</f>
        <v>21.29</v>
      </c>
      <c r="I18" s="21">
        <f>'Data Sheet'!I68</f>
        <v>23.31</v>
      </c>
      <c r="J18" s="21">
        <f>'Data Sheet'!J68</f>
        <v>24.35</v>
      </c>
      <c r="K18" s="21">
        <f>'Data Sheet'!K68</f>
        <v>28.41</v>
      </c>
    </row>
    <row r="20" spans="1:11">
      <c r="A20" s="11" t="s">
        <v>46</v>
      </c>
      <c r="B20" s="5">
        <f>IF('Profit &amp; Loss'!B4&gt;0,'Balance Sheet'!B17/('Profit &amp; Loss'!B4/365),0)</f>
        <v>142.22496706192359</v>
      </c>
      <c r="C20" s="5">
        <f>IF('Profit &amp; Loss'!C4&gt;0,'Balance Sheet'!C17/('Profit &amp; Loss'!C4/365),0)</f>
        <v>72.754839984195982</v>
      </c>
      <c r="D20" s="5">
        <f>IF('Profit &amp; Loss'!D4&gt;0,'Balance Sheet'!D17/('Profit &amp; Loss'!D4/365),0)</f>
        <v>85.571521175453753</v>
      </c>
      <c r="E20" s="5">
        <f>IF('Profit &amp; Loss'!E4&gt;0,'Balance Sheet'!E17/('Profit &amp; Loss'!E4/365),0)</f>
        <v>107.51270417422869</v>
      </c>
      <c r="F20" s="5">
        <f>IF('Profit &amp; Loss'!F4&gt;0,'Balance Sheet'!F17/('Profit &amp; Loss'!F4/365),0)</f>
        <v>87.257078507078504</v>
      </c>
      <c r="G20" s="5">
        <f>IF('Profit &amp; Loss'!G4&gt;0,'Balance Sheet'!G17/('Profit &amp; Loss'!G4/365),0)</f>
        <v>93.332058636073924</v>
      </c>
      <c r="H20" s="5">
        <f>IF('Profit &amp; Loss'!H4&gt;0,'Balance Sheet'!H17/('Profit &amp; Loss'!H4/365),0)</f>
        <v>85.838877639571891</v>
      </c>
      <c r="I20" s="5">
        <f>IF('Profit &amp; Loss'!I4&gt;0,'Balance Sheet'!I17/('Profit &amp; Loss'!I4/365),0)</f>
        <v>86.413538355811355</v>
      </c>
      <c r="J20" s="5">
        <f>IF('Profit &amp; Loss'!J4&gt;0,'Balance Sheet'!J17/('Profit &amp; Loss'!J4/365),0)</f>
        <v>90.132867636468376</v>
      </c>
      <c r="K20" s="5">
        <f>IF('Profit &amp; Loss'!K4&gt;0,'Balance Sheet'!K17/('Profit &amp; Loss'!K4/365),0)</f>
        <v>91.443189837685253</v>
      </c>
    </row>
    <row r="21" spans="1:11">
      <c r="A21" s="11" t="s">
        <v>47</v>
      </c>
      <c r="B21" s="5">
        <f>IF('Balance Sheet'!B18&gt;0,'Profit &amp; Loss'!B4/'Balance Sheet'!B18,0)</f>
        <v>5.8610038610038613</v>
      </c>
      <c r="C21" s="5">
        <f>IF('Balance Sheet'!C18&gt;0,'Profit &amp; Loss'!C4/'Balance Sheet'!C18,0)</f>
        <v>5.9343493552168818</v>
      </c>
      <c r="D21" s="5">
        <f>IF('Balance Sheet'!D18&gt;0,'Profit &amp; Loss'!D4/'Balance Sheet'!D18,0)</f>
        <v>4.7711340206185575</v>
      </c>
      <c r="E21" s="5">
        <f>IF('Balance Sheet'!E18&gt;0,'Profit &amp; Loss'!E4/'Balance Sheet'!E18,0)</f>
        <v>5.6167176350662587</v>
      </c>
      <c r="F21" s="5">
        <f>IF('Balance Sheet'!F18&gt;0,'Profit &amp; Loss'!F4/'Balance Sheet'!F18,0)</f>
        <v>5.9483253588516751</v>
      </c>
      <c r="G21" s="5">
        <f>IF('Balance Sheet'!G18&gt;0,'Profit &amp; Loss'!G4/'Balance Sheet'!G18,0)</f>
        <v>4.8217578365089127</v>
      </c>
      <c r="H21" s="5">
        <f>IF('Balance Sheet'!H18&gt;0,'Profit &amp; Loss'!H4/'Balance Sheet'!H18,0)</f>
        <v>4.871301080319399</v>
      </c>
      <c r="I21" s="5">
        <f>IF('Balance Sheet'!I18&gt;0,'Profit &amp; Loss'!I4/'Balance Sheet'!I18,0)</f>
        <v>4.9939939939939944</v>
      </c>
      <c r="J21" s="5">
        <f>IF('Balance Sheet'!J18&gt;0,'Profit &amp; Loss'!J4/'Balance Sheet'!J18,0)</f>
        <v>5.7026694045174544</v>
      </c>
      <c r="K21" s="5">
        <f>IF('Balance Sheet'!K18&gt;0,'Profit &amp; Loss'!K4/'Balance Sheet'!K18,0)</f>
        <v>4.9876803942273842</v>
      </c>
    </row>
    <row r="23" spans="1:11" s="8" customFormat="1">
      <c r="A23" s="8" t="s">
        <v>50</v>
      </c>
      <c r="B23" s="14">
        <f>IF(SUM('Balance Sheet'!B4:B5)&gt;0,'Profit &amp; Loss'!B12/SUM('Balance Sheet'!B4:B5),"")</f>
        <v>0.39479392624728854</v>
      </c>
      <c r="C23" s="14">
        <f>IF(SUM('Balance Sheet'!C4:C5)&gt;0,'Profit &amp; Loss'!C12/SUM('Balance Sheet'!C4:C5),"")</f>
        <v>0.467384420519316</v>
      </c>
      <c r="D23" s="14">
        <f>IF(SUM('Balance Sheet'!D4:D5)&gt;0,'Profit &amp; Loss'!D12/SUM('Balance Sheet'!D4:D5),"")</f>
        <v>0.28358925143953934</v>
      </c>
      <c r="E23" s="14">
        <f>IF(SUM('Balance Sheet'!E4:E5)&gt;0,'Profit &amp; Loss'!E12/SUM('Balance Sheet'!E4:E5),"")</f>
        <v>0.23716189729517836</v>
      </c>
      <c r="F23" s="14">
        <f>IF(SUM('Balance Sheet'!F4:F5)&gt;0,'Profit &amp; Loss'!F12/SUM('Balance Sheet'!F4:F5),"")</f>
        <v>0.14036337727110795</v>
      </c>
      <c r="G23" s="14">
        <f>IF(SUM('Balance Sheet'!G4:G5)&gt;0,'Profit &amp; Loss'!G12/SUM('Balance Sheet'!G4:G5),"")</f>
        <v>0.17263025737602009</v>
      </c>
      <c r="H23" s="14">
        <f>IF(SUM('Balance Sheet'!H4:H5)&gt;0,'Profit &amp; Loss'!H12/SUM('Balance Sheet'!H4:H5),"")</f>
        <v>0.20873659429767202</v>
      </c>
      <c r="I23" s="14">
        <f>IF(SUM('Balance Sheet'!I4:I5)&gt;0,'Profit &amp; Loss'!I12/SUM('Balance Sheet'!I4:I5),"")</f>
        <v>0.20247757368645883</v>
      </c>
      <c r="J23" s="14">
        <f>IF(SUM('Balance Sheet'!J4:J5)&gt;0,'Profit &amp; Loss'!J12/SUM('Balance Sheet'!J4:J5),"")</f>
        <v>8.6908284023668639E-2</v>
      </c>
      <c r="K23" s="14">
        <f>IF(SUM('Balance Sheet'!K4:K5)&gt;0,'Profit &amp; Loss'!K12/SUM('Balance Sheet'!K4:K5),"")</f>
        <v>9.3023255813953487E-2</v>
      </c>
    </row>
    <row r="24" spans="1:11" s="8" customFormat="1">
      <c r="A24" s="8" t="s">
        <v>51</v>
      </c>
      <c r="B24" s="14">
        <f>IF(('Balance Sheet'!B10+'Balance Sheet'!B16)&gt;0,('Profit &amp; Loss'!B6-'Profit &amp; Loss'!B8-'Profit &amp; Loss'!B11)/('Balance Sheet'!B10+'Balance Sheet'!B16),"")</f>
        <v>0.20744931636020739</v>
      </c>
      <c r="C24" s="14">
        <f>IF(('Balance Sheet'!C10+'Balance Sheet'!C16)&gt;0,('Profit &amp; Loss'!C6-'Profit &amp; Loss'!C8-'Profit &amp; Loss'!C11)/('Balance Sheet'!C10+'Balance Sheet'!C16),"")</f>
        <v>0.33251662583129143</v>
      </c>
      <c r="D24" s="14">
        <f>IF(('Balance Sheet'!D10+'Balance Sheet'!D16)&gt;0,('Profit &amp; Loss'!D6-'Profit &amp; Loss'!D8-'Profit &amp; Loss'!D11)/('Balance Sheet'!D10+'Balance Sheet'!D16),"")</f>
        <v>0.22294077603812124</v>
      </c>
      <c r="E24" s="14">
        <f>IF(('Balance Sheet'!E10+'Balance Sheet'!E16)&gt;0,('Profit &amp; Loss'!E6-'Profit &amp; Loss'!E8-'Profit &amp; Loss'!E11)/('Balance Sheet'!E10+'Balance Sheet'!E16),"")</f>
        <v>0.17400670177118258</v>
      </c>
      <c r="F24" s="14">
        <f>IF(('Balance Sheet'!F10+'Balance Sheet'!F16)&gt;0,('Profit &amp; Loss'!F6-'Profit &amp; Loss'!F8-'Profit &amp; Loss'!F11)/('Balance Sheet'!F10+'Balance Sheet'!F16),"")</f>
        <v>0.12106430155210625</v>
      </c>
      <c r="G24" s="14">
        <f>IF(('Balance Sheet'!G10+'Balance Sheet'!G16)&gt;0,('Profit &amp; Loss'!G6-'Profit &amp; Loss'!G8-'Profit &amp; Loss'!G11)/('Balance Sheet'!G10+'Balance Sheet'!G16),"")</f>
        <v>0.14848711243929782</v>
      </c>
      <c r="H24" s="14">
        <f>IF(('Balance Sheet'!H10+'Balance Sheet'!H16)&gt;0,('Profit &amp; Loss'!H6-'Profit &amp; Loss'!H8-'Profit &amp; Loss'!H11)/('Balance Sheet'!H10+'Balance Sheet'!H16),"")</f>
        <v>0.17043244052072398</v>
      </c>
      <c r="I24" s="14">
        <f>IF(('Balance Sheet'!I10+'Balance Sheet'!I16)&gt;0,('Profit &amp; Loss'!I6-'Profit &amp; Loss'!I8-'Profit &amp; Loss'!I11)/('Balance Sheet'!I10+'Balance Sheet'!I16),"")</f>
        <v>0.16206412356658079</v>
      </c>
      <c r="J24" s="14">
        <f>IF(('Balance Sheet'!J10+'Balance Sheet'!J16)&gt;0,('Profit &amp; Loss'!J6-'Profit &amp; Loss'!J8-'Profit &amp; Loss'!J11)/('Balance Sheet'!J10+'Balance Sheet'!J16),"")</f>
        <v>9.5110873630777651E-2</v>
      </c>
      <c r="K24" s="14">
        <f>IF(('Balance Sheet'!K10+'Balance Sheet'!K16)&gt;0,('Profit &amp; Loss'!K6-'Profit &amp; Loss'!K8-'Profit &amp; Loss'!K11)/('Balance Sheet'!K10+'Balance Sheet'!K16),"")</f>
        <v>8.5144388210776856E-2</v>
      </c>
    </row>
    <row r="25" spans="1:11" s="18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"/>
  <sheetViews>
    <sheetView workbookViewId="0">
      <selection activeCell="B4" sqref="B4"/>
    </sheetView>
  </sheetViews>
  <sheetFormatPr defaultColWidth="9.140625" defaultRowHeight="15"/>
  <cols>
    <col min="1" max="1" width="26.85546875" style="6" bestFit="1" customWidth="1"/>
    <col min="2" max="6" width="13.5703125" style="6" customWidth="1"/>
    <col min="7" max="11" width="13.5703125" style="6" bestFit="1" customWidth="1"/>
    <col min="12" max="16384" width="9.140625" style="6"/>
  </cols>
  <sheetData>
    <row r="1" spans="1:11" s="8" customFormat="1">
      <c r="A1" s="8" t="str">
        <f>'Balance Sheet'!A1</f>
        <v>ACRYSIL LTD</v>
      </c>
      <c r="E1" t="str">
        <f>UPDATE</f>
        <v>A NEW VERSION OF THE WORKSHEET IS AVAILABLE</v>
      </c>
      <c r="F1"/>
      <c r="J1" s="4" t="s">
        <v>1</v>
      </c>
      <c r="K1" s="4"/>
    </row>
    <row r="3" spans="1:11" s="2" customFormat="1">
      <c r="A3" s="15" t="s">
        <v>2</v>
      </c>
      <c r="B3" s="16">
        <f>'Data Sheet'!B81</f>
        <v>39538</v>
      </c>
      <c r="C3" s="16">
        <f>'Data Sheet'!C81</f>
        <v>39903</v>
      </c>
      <c r="D3" s="16">
        <f>'Data Sheet'!D81</f>
        <v>40268</v>
      </c>
      <c r="E3" s="16">
        <f>'Data Sheet'!E81</f>
        <v>40633</v>
      </c>
      <c r="F3" s="16">
        <f>'Data Sheet'!F81</f>
        <v>40999</v>
      </c>
      <c r="G3" s="16">
        <f>'Data Sheet'!G81</f>
        <v>41364</v>
      </c>
      <c r="H3" s="16">
        <f>'Data Sheet'!H81</f>
        <v>41729</v>
      </c>
      <c r="I3" s="16">
        <f>'Data Sheet'!I81</f>
        <v>42094</v>
      </c>
      <c r="J3" s="16">
        <f>'Data Sheet'!J81</f>
        <v>42460</v>
      </c>
      <c r="K3" s="16">
        <f>'Data Sheet'!K81</f>
        <v>42825</v>
      </c>
    </row>
    <row r="4" spans="1:11" s="8" customFormat="1">
      <c r="A4" s="8" t="s">
        <v>32</v>
      </c>
      <c r="B4" s="1">
        <f>'Data Sheet'!B82</f>
        <v>3.88</v>
      </c>
      <c r="C4" s="1">
        <f>'Data Sheet'!C82</f>
        <v>6.26</v>
      </c>
      <c r="D4" s="1">
        <f>'Data Sheet'!D82</f>
        <v>9.41</v>
      </c>
      <c r="E4" s="1">
        <f>'Data Sheet'!E82</f>
        <v>2.97</v>
      </c>
      <c r="F4" s="1">
        <f>'Data Sheet'!F82</f>
        <v>7.35</v>
      </c>
      <c r="G4" s="1">
        <f>'Data Sheet'!G82</f>
        <v>2.94</v>
      </c>
      <c r="H4" s="1">
        <f>'Data Sheet'!H82</f>
        <v>6.83</v>
      </c>
      <c r="I4" s="1">
        <f>'Data Sheet'!I82</f>
        <v>12.63</v>
      </c>
      <c r="J4" s="1">
        <f>'Data Sheet'!J82</f>
        <v>1.38</v>
      </c>
      <c r="K4" s="1">
        <f>'Data Sheet'!K82</f>
        <v>3.18</v>
      </c>
    </row>
    <row r="5" spans="1:11">
      <c r="A5" s="6" t="s">
        <v>33</v>
      </c>
      <c r="B5" s="9">
        <f>'Data Sheet'!B83</f>
        <v>-6.45</v>
      </c>
      <c r="C5" s="9">
        <f>'Data Sheet'!C83</f>
        <v>-6.57</v>
      </c>
      <c r="D5" s="9">
        <f>'Data Sheet'!D83</f>
        <v>-5.27</v>
      </c>
      <c r="E5" s="9">
        <f>'Data Sheet'!E83</f>
        <v>-5.54</v>
      </c>
      <c r="F5" s="9">
        <f>'Data Sheet'!F83</f>
        <v>-3.72</v>
      </c>
      <c r="G5" s="9">
        <f>'Data Sheet'!G83</f>
        <v>-10.53</v>
      </c>
      <c r="H5" s="9">
        <f>'Data Sheet'!H83</f>
        <v>-9.85</v>
      </c>
      <c r="I5" s="9">
        <f>'Data Sheet'!I83</f>
        <v>-15.72</v>
      </c>
      <c r="J5" s="9">
        <f>'Data Sheet'!J83</f>
        <v>-7.37</v>
      </c>
      <c r="K5" s="9">
        <f>'Data Sheet'!K83</f>
        <v>-10.77</v>
      </c>
    </row>
    <row r="6" spans="1:11">
      <c r="A6" s="6" t="s">
        <v>34</v>
      </c>
      <c r="B6" s="9">
        <f>'Data Sheet'!B84</f>
        <v>2.98</v>
      </c>
      <c r="C6" s="9">
        <f>'Data Sheet'!C84</f>
        <v>0.27</v>
      </c>
      <c r="D6" s="9">
        <f>'Data Sheet'!D84</f>
        <v>-3.99</v>
      </c>
      <c r="E6" s="9">
        <f>'Data Sheet'!E84</f>
        <v>2.4900000000000002</v>
      </c>
      <c r="F6" s="9">
        <f>'Data Sheet'!F84</f>
        <v>-3.25</v>
      </c>
      <c r="G6" s="9">
        <f>'Data Sheet'!G84</f>
        <v>8.3800000000000008</v>
      </c>
      <c r="H6" s="9">
        <f>'Data Sheet'!H84</f>
        <v>3.08</v>
      </c>
      <c r="I6" s="9">
        <f>'Data Sheet'!I84</f>
        <v>6.5</v>
      </c>
      <c r="J6" s="9">
        <f>'Data Sheet'!J84</f>
        <v>20.85</v>
      </c>
      <c r="K6" s="9">
        <f>'Data Sheet'!K84</f>
        <v>6.46</v>
      </c>
    </row>
    <row r="7" spans="1:11" s="8" customFormat="1">
      <c r="A7" s="8" t="s">
        <v>35</v>
      </c>
      <c r="B7" s="1">
        <f>'Data Sheet'!B85</f>
        <v>0.41</v>
      </c>
      <c r="C7" s="1">
        <f>'Data Sheet'!C85</f>
        <v>-0.04</v>
      </c>
      <c r="D7" s="1">
        <f>'Data Sheet'!D85</f>
        <v>0.15</v>
      </c>
      <c r="E7" s="1">
        <f>'Data Sheet'!E85</f>
        <v>-0.08</v>
      </c>
      <c r="F7" s="1">
        <f>'Data Sheet'!F85</f>
        <v>0.38</v>
      </c>
      <c r="G7" s="1">
        <f>'Data Sheet'!G85</f>
        <v>0.79</v>
      </c>
      <c r="H7" s="1">
        <f>'Data Sheet'!H85</f>
        <v>0.06</v>
      </c>
      <c r="I7" s="1">
        <f>'Data Sheet'!I85</f>
        <v>3.41</v>
      </c>
      <c r="J7" s="1">
        <f>'Data Sheet'!J85</f>
        <v>14.85</v>
      </c>
      <c r="K7" s="1">
        <f>'Data Sheet'!K85</f>
        <v>-1.1299999999999999</v>
      </c>
    </row>
    <row r="8" spans="1:11">
      <c r="A8" s="26"/>
      <c r="B8" s="9"/>
      <c r="C8" s="9"/>
      <c r="D8" s="9"/>
      <c r="E8" s="9"/>
      <c r="F8" s="9"/>
      <c r="G8" s="9"/>
      <c r="H8" s="9"/>
      <c r="I8" s="9"/>
      <c r="J8" s="9"/>
      <c r="K8" s="9"/>
    </row>
    <row r="24" s="26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850"/>
  <sheetViews>
    <sheetView tabSelected="1" workbookViewId="0">
      <pane xSplit="1" ySplit="1" topLeftCell="B763" activePane="bottomRight" state="frozen"/>
      <selection pane="topRight" activeCell="B1" sqref="B1"/>
      <selection pane="bottomLeft" activeCell="A4" sqref="A4"/>
      <selection pane="bottomRight" activeCell="A848" sqref="A848"/>
    </sheetView>
  </sheetViews>
  <sheetFormatPr defaultColWidth="9.140625" defaultRowHeight="15"/>
  <cols>
    <col min="1" max="1" width="35.42578125" style="8" customWidth="1"/>
    <col min="2" max="2" width="17.7109375" style="11" customWidth="1"/>
    <col min="3" max="3" width="26.28515625" style="25" customWidth="1"/>
    <col min="4" max="4" width="15.85546875" style="11" bestFit="1" customWidth="1"/>
    <col min="5" max="5" width="15.42578125" style="11" bestFit="1" customWidth="1"/>
    <col min="6" max="6" width="14" style="11" customWidth="1"/>
    <col min="7" max="7" width="13.5703125" style="11" customWidth="1"/>
    <col min="8" max="8" width="13" style="11" customWidth="1"/>
    <col min="9" max="11" width="15.5703125" style="11" bestFit="1" customWidth="1"/>
    <col min="12" max="12" width="15.5703125" style="11" customWidth="1"/>
    <col min="13" max="13" width="14.42578125" style="11" customWidth="1"/>
    <col min="14" max="15" width="13.28515625" style="29" customWidth="1"/>
    <col min="16" max="16" width="11.28515625" style="11" customWidth="1"/>
    <col min="17" max="17" width="11.7109375" style="11" customWidth="1"/>
    <col min="18" max="18" width="11.28515625" style="11" customWidth="1"/>
    <col min="19" max="20" width="15.7109375" style="11" customWidth="1"/>
    <col min="21" max="25" width="9.85546875" style="11" customWidth="1"/>
    <col min="26" max="28" width="9.140625" style="11" customWidth="1"/>
    <col min="29" max="16384" width="9.140625" style="11"/>
  </cols>
  <sheetData>
    <row r="1" spans="1:15" s="168" customFormat="1">
      <c r="A1" s="165" t="str">
        <f>'Data Sheet'!B1</f>
        <v>ACRYSIL LTD</v>
      </c>
      <c r="B1" s="166">
        <f>'Data Sheet'!B56</f>
        <v>39538</v>
      </c>
      <c r="C1" s="166">
        <f>'Data Sheet'!C56</f>
        <v>39903</v>
      </c>
      <c r="D1" s="166">
        <f>'Data Sheet'!D56</f>
        <v>40268</v>
      </c>
      <c r="E1" s="166">
        <f>'Data Sheet'!E56</f>
        <v>40633</v>
      </c>
      <c r="F1" s="166">
        <f>'Data Sheet'!F56</f>
        <v>40999</v>
      </c>
      <c r="G1" s="166">
        <f>'Data Sheet'!G56</f>
        <v>41364</v>
      </c>
      <c r="H1" s="166">
        <f>'Data Sheet'!H56</f>
        <v>41729</v>
      </c>
      <c r="I1" s="166">
        <f>'Data Sheet'!I56</f>
        <v>42094</v>
      </c>
      <c r="J1" s="166">
        <f>'Data Sheet'!J56</f>
        <v>42460</v>
      </c>
      <c r="K1" s="166">
        <f>'Data Sheet'!K56</f>
        <v>42825</v>
      </c>
      <c r="L1" s="168" t="s">
        <v>3</v>
      </c>
      <c r="M1" s="167" t="s">
        <v>275</v>
      </c>
      <c r="N1" s="167" t="s">
        <v>277</v>
      </c>
      <c r="O1" s="167" t="s">
        <v>278</v>
      </c>
    </row>
    <row r="2" spans="1:15" ht="18.75">
      <c r="A2" s="117" t="s">
        <v>99</v>
      </c>
      <c r="B2" s="33"/>
      <c r="C2" s="36"/>
      <c r="D2" s="34"/>
      <c r="E2" s="33"/>
      <c r="F2" s="33"/>
      <c r="G2" s="33"/>
      <c r="H2" s="33"/>
      <c r="I2" s="33"/>
      <c r="J2" s="33"/>
      <c r="K2" s="33"/>
    </row>
    <row r="3" spans="1:15" hidden="1">
      <c r="A3" s="35" t="s">
        <v>37</v>
      </c>
      <c r="B3" s="33"/>
      <c r="C3" s="36"/>
      <c r="D3" s="34"/>
      <c r="E3" s="33"/>
      <c r="F3" s="33"/>
      <c r="G3" s="33"/>
      <c r="H3" s="33"/>
      <c r="I3" s="33"/>
      <c r="J3" s="33"/>
      <c r="K3" s="33"/>
    </row>
    <row r="4" spans="1:15" s="18" customFormat="1">
      <c r="A4" s="135" t="s">
        <v>6</v>
      </c>
      <c r="B4" s="45"/>
      <c r="C4" s="136">
        <f>('Data Sheet'!C17-'Data Sheet'!B17)/'Data Sheet'!B17</f>
        <v>0.66732542819499341</v>
      </c>
      <c r="D4" s="136">
        <f>('Data Sheet'!D17-'Data Sheet'!C17)/'Data Sheet'!C17</f>
        <v>-8.5736862900039443E-2</v>
      </c>
      <c r="E4" s="136">
        <f>('Data Sheet'!E17-'Data Sheet'!D17)/'Data Sheet'!D17</f>
        <v>0.19057908383751079</v>
      </c>
      <c r="F4" s="136">
        <f>('Data Sheet'!F17-'Data Sheet'!E17)/'Data Sheet'!E17</f>
        <v>0.12813067150635199</v>
      </c>
      <c r="G4" s="136">
        <f>('Data Sheet'!G17-'Data Sheet'!F17)/'Data Sheet'!F17</f>
        <v>0.26206563706563718</v>
      </c>
      <c r="H4" s="136">
        <f>('Data Sheet'!H17-'Data Sheet'!G17)/'Data Sheet'!G17</f>
        <v>0.32198852772466524</v>
      </c>
      <c r="I4" s="136">
        <f>('Data Sheet'!I17-'Data Sheet'!H17)/'Data Sheet'!H17</f>
        <v>0.12245685083405654</v>
      </c>
      <c r="J4" s="136">
        <f>('Data Sheet'!J17-'Data Sheet'!I17)/'Data Sheet'!I17</f>
        <v>0.19285284769349728</v>
      </c>
      <c r="K4" s="136">
        <f>('Data Sheet'!K17-'Data Sheet'!J17)/'Data Sheet'!J17</f>
        <v>2.0452254068846137E-2</v>
      </c>
      <c r="L4" s="136">
        <f>(Annual[[#This Row],[Column12]]-Annual[[#This Row],[Column11]])/Annual[[#This Row],[Column11]]</f>
        <v>-1.7713479181369028E-2</v>
      </c>
      <c r="M4" s="136">
        <f>SUM(D4:K4)/10</f>
        <v>0.11527890098305257</v>
      </c>
      <c r="N4" s="32">
        <f>SUM(G4:M4)/5</f>
        <v>0.20347630783767717</v>
      </c>
      <c r="O4" s="32">
        <f>SUM(I4:K4)/3</f>
        <v>0.11192065086546665</v>
      </c>
    </row>
    <row r="5" spans="1:15" s="18" customFormat="1" hidden="1">
      <c r="A5" s="57" t="s">
        <v>71</v>
      </c>
      <c r="B5" s="45"/>
      <c r="C5" s="136">
        <f>('Data Sheet'!C18-'Data Sheet'!B18)/'Data Sheet'!B18</f>
        <v>0.58691756272401441</v>
      </c>
      <c r="D5" s="136">
        <f>('Data Sheet'!D18-'Data Sheet'!C18)/'Data Sheet'!C18</f>
        <v>-8.977978543195933E-2</v>
      </c>
      <c r="E5" s="136">
        <f>('Data Sheet'!E18-'Data Sheet'!D18)/'Data Sheet'!D18</f>
        <v>0.15508684863523572</v>
      </c>
      <c r="F5" s="136">
        <f>('Data Sheet'!F18-'Data Sheet'!E18)/'Data Sheet'!E18</f>
        <v>0.41138560687432868</v>
      </c>
      <c r="G5" s="136">
        <f>('Data Sheet'!G18-'Data Sheet'!F18)/'Data Sheet'!F18</f>
        <v>0.32952815829528143</v>
      </c>
      <c r="H5" s="136">
        <f>('Data Sheet'!H18-'Data Sheet'!G18)/'Data Sheet'!G18</f>
        <v>0.3981110475100173</v>
      </c>
      <c r="I5" s="136">
        <f>('Data Sheet'!I18-'Data Sheet'!H18)/'Data Sheet'!H18</f>
        <v>-6.2231320368474903E-2</v>
      </c>
      <c r="J5" s="136">
        <f>('Data Sheet'!J18-'Data Sheet'!I18)/'Data Sheet'!I18</f>
        <v>0.18358437022484164</v>
      </c>
      <c r="K5" s="136">
        <f>('Data Sheet'!K18-'Data Sheet'!J18)/'Data Sheet'!J18</f>
        <v>-3.3198081888601939E-2</v>
      </c>
      <c r="L5" s="136"/>
      <c r="M5" s="136">
        <f t="shared" ref="M5:M68" si="0">SUM(D5:K5)/10</f>
        <v>0.12924868438506684</v>
      </c>
      <c r="N5" s="32">
        <f t="shared" ref="N5:N68" si="1">SUM(G5:M5)/5</f>
        <v>0.18900857163162607</v>
      </c>
      <c r="O5" s="32">
        <f t="shared" ref="O5:O68" si="2">SUM(I5:K5)/3</f>
        <v>2.9384989322588272E-2</v>
      </c>
    </row>
    <row r="6" spans="1:15" s="18" customFormat="1" hidden="1">
      <c r="A6" s="57" t="s">
        <v>72</v>
      </c>
      <c r="B6" s="45"/>
      <c r="C6" s="136">
        <f>('Data Sheet'!C19-'Data Sheet'!B19)/'Data Sheet'!B19</f>
        <v>-8.4745762711864292E-2</v>
      </c>
      <c r="D6" s="136">
        <f>('Data Sheet'!D19-'Data Sheet'!C19)/'Data Sheet'!C19</f>
        <v>2.5185185185185182</v>
      </c>
      <c r="E6" s="136">
        <f>('Data Sheet'!E19-'Data Sheet'!D19)/'Data Sheet'!D19</f>
        <v>-0.72105263157894739</v>
      </c>
      <c r="F6" s="136">
        <f>('Data Sheet'!F19-'Data Sheet'!E19)/'Data Sheet'!E19</f>
        <v>1.1132075471698115</v>
      </c>
      <c r="G6" s="136">
        <f>('Data Sheet'!G19-'Data Sheet'!F19)/'Data Sheet'!F19</f>
        <v>1.3303571428571426</v>
      </c>
      <c r="H6" s="136">
        <f>('Data Sheet'!H19-'Data Sheet'!G19)/'Data Sheet'!G19</f>
        <v>1.0383141762452108</v>
      </c>
      <c r="I6" s="136">
        <f>('Data Sheet'!I19-'Data Sheet'!H19)/'Data Sheet'!H19</f>
        <v>-0.93796992481203012</v>
      </c>
      <c r="J6" s="136">
        <f>('Data Sheet'!J19-'Data Sheet'!I19)/'Data Sheet'!I19</f>
        <v>6.7272727272727266</v>
      </c>
      <c r="K6" s="136">
        <f>('Data Sheet'!K19-'Data Sheet'!J19)/'Data Sheet'!J19</f>
        <v>0.2509803921568628</v>
      </c>
      <c r="L6" s="136"/>
      <c r="M6" s="136">
        <f t="shared" si="0"/>
        <v>1.1319627947829294</v>
      </c>
      <c r="N6" s="32">
        <f t="shared" si="1"/>
        <v>1.9081834617005686</v>
      </c>
      <c r="O6" s="32">
        <f t="shared" si="2"/>
        <v>2.0134277315391862</v>
      </c>
    </row>
    <row r="7" spans="1:15" s="18" customFormat="1" hidden="1">
      <c r="A7" s="57" t="s">
        <v>73</v>
      </c>
      <c r="B7" s="45"/>
      <c r="C7" s="136">
        <f>('Data Sheet'!C20-'Data Sheet'!B20)/'Data Sheet'!B20</f>
        <v>0.88793103448275867</v>
      </c>
      <c r="D7" s="136">
        <f>('Data Sheet'!D20-'Data Sheet'!C20)/'Data Sheet'!C20</f>
        <v>-0.13242009132420093</v>
      </c>
      <c r="E7" s="136">
        <f>('Data Sheet'!E20-'Data Sheet'!D20)/'Data Sheet'!D20</f>
        <v>0.11052631578947367</v>
      </c>
      <c r="F7" s="136">
        <f>('Data Sheet'!F20-'Data Sheet'!E20)/'Data Sheet'!E20</f>
        <v>0.18009478672985799</v>
      </c>
      <c r="G7" s="136">
        <f>('Data Sheet'!G20-'Data Sheet'!F20)/'Data Sheet'!F20</f>
        <v>0.29317269076305219</v>
      </c>
      <c r="H7" s="136">
        <f>('Data Sheet'!H20-'Data Sheet'!G20)/'Data Sheet'!G20</f>
        <v>0.11490683229813653</v>
      </c>
      <c r="I7" s="136">
        <f>('Data Sheet'!I20-'Data Sheet'!H20)/'Data Sheet'!H20</f>
        <v>6.6852367688022343E-2</v>
      </c>
      <c r="J7" s="136">
        <f>('Data Sheet'!J20-'Data Sheet'!I20)/'Data Sheet'!I20</f>
        <v>-1.3054830287206335E-2</v>
      </c>
      <c r="K7" s="136">
        <f>('Data Sheet'!K20-'Data Sheet'!J20)/'Data Sheet'!J20</f>
        <v>4.2328042328042367E-2</v>
      </c>
      <c r="L7" s="136"/>
      <c r="M7" s="136">
        <f t="shared" si="0"/>
        <v>6.6240611398517793E-2</v>
      </c>
      <c r="N7" s="32">
        <f t="shared" si="1"/>
        <v>0.11408914283771296</v>
      </c>
      <c r="O7" s="32">
        <f t="shared" si="2"/>
        <v>3.2041859909619462E-2</v>
      </c>
    </row>
    <row r="8" spans="1:15" s="18" customFormat="1" hidden="1">
      <c r="A8" s="57" t="s">
        <v>74</v>
      </c>
      <c r="B8" s="45"/>
      <c r="C8" s="136">
        <f>('Data Sheet'!C21-'Data Sheet'!B21)/'Data Sheet'!B21</f>
        <v>0.71202531645569622</v>
      </c>
      <c r="D8" s="136">
        <f>('Data Sheet'!D21-'Data Sheet'!C21)/'Data Sheet'!C21</f>
        <v>0.10166358595194082</v>
      </c>
      <c r="E8" s="136">
        <f>('Data Sheet'!E21-'Data Sheet'!D21)/'Data Sheet'!D21</f>
        <v>0.22315436241610739</v>
      </c>
      <c r="F8" s="136">
        <f>('Data Sheet'!F21-'Data Sheet'!E21)/'Data Sheet'!E21</f>
        <v>2.7434842249657088E-2</v>
      </c>
      <c r="G8" s="136">
        <f>('Data Sheet'!G21-'Data Sheet'!F21)/'Data Sheet'!F21</f>
        <v>0.58477970627503317</v>
      </c>
      <c r="H8" s="136">
        <f>('Data Sheet'!H21-'Data Sheet'!G21)/'Data Sheet'!G21</f>
        <v>0.20977253580454933</v>
      </c>
      <c r="I8" s="136">
        <f>('Data Sheet'!I21-'Data Sheet'!H21)/'Data Sheet'!H21</f>
        <v>-3.6211699164345378E-2</v>
      </c>
      <c r="J8" s="136">
        <f>('Data Sheet'!J21-'Data Sheet'!I21)/'Data Sheet'!I21</f>
        <v>0.2232658959537572</v>
      </c>
      <c r="K8" s="136">
        <f>('Data Sheet'!K21-'Data Sheet'!J21)/'Data Sheet'!J21</f>
        <v>0.10513880685174254</v>
      </c>
      <c r="L8" s="136"/>
      <c r="M8" s="136">
        <f t="shared" si="0"/>
        <v>0.14389980363384422</v>
      </c>
      <c r="N8" s="32">
        <f t="shared" si="1"/>
        <v>0.24612900987091621</v>
      </c>
      <c r="O8" s="32">
        <f t="shared" si="2"/>
        <v>9.7397667880384786E-2</v>
      </c>
    </row>
    <row r="9" spans="1:15" s="18" customFormat="1" hidden="1">
      <c r="A9" s="57" t="s">
        <v>75</v>
      </c>
      <c r="B9" s="45"/>
      <c r="C9" s="136">
        <f>('Data Sheet'!C22-'Data Sheet'!B22)/'Data Sheet'!B22</f>
        <v>0.42978723404255309</v>
      </c>
      <c r="D9" s="136">
        <f>('Data Sheet'!D22-'Data Sheet'!C22)/'Data Sheet'!C22</f>
        <v>0.28273809523809518</v>
      </c>
      <c r="E9" s="136">
        <f>('Data Sheet'!E22-'Data Sheet'!D22)/'Data Sheet'!D22</f>
        <v>0.19257540603248263</v>
      </c>
      <c r="F9" s="136">
        <f>('Data Sheet'!F22-'Data Sheet'!E22)/'Data Sheet'!E22</f>
        <v>8.3657587548638251E-2</v>
      </c>
      <c r="G9" s="136">
        <f>('Data Sheet'!G22-'Data Sheet'!F22)/'Data Sheet'!F22</f>
        <v>-0.28186714542190311</v>
      </c>
      <c r="H9" s="136">
        <f>('Data Sheet'!H22-'Data Sheet'!G22)/'Data Sheet'!G22</f>
        <v>0.74500000000000011</v>
      </c>
      <c r="I9" s="136">
        <f>('Data Sheet'!I22-'Data Sheet'!H22)/'Data Sheet'!H22</f>
        <v>0.16905444126074493</v>
      </c>
      <c r="J9" s="136">
        <f>('Data Sheet'!J22-'Data Sheet'!I22)/'Data Sheet'!I22</f>
        <v>0.32230392156862731</v>
      </c>
      <c r="K9" s="136">
        <f>('Data Sheet'!K22-'Data Sheet'!J22)/'Data Sheet'!J22</f>
        <v>8.711770157553303E-2</v>
      </c>
      <c r="L9" s="136"/>
      <c r="M9" s="136">
        <f t="shared" si="0"/>
        <v>0.16005800078022187</v>
      </c>
      <c r="N9" s="32">
        <f t="shared" si="1"/>
        <v>0.24033338395264484</v>
      </c>
      <c r="O9" s="32">
        <f t="shared" si="2"/>
        <v>0.1928253548016351</v>
      </c>
    </row>
    <row r="10" spans="1:15" s="18" customFormat="1" hidden="1">
      <c r="A10" s="57" t="s">
        <v>76</v>
      </c>
      <c r="B10" s="45"/>
      <c r="C10" s="136">
        <f>('Data Sheet'!C23-'Data Sheet'!B23)/'Data Sheet'!B23</f>
        <v>0.40350877192982454</v>
      </c>
      <c r="D10" s="136">
        <f>('Data Sheet'!D23-'Data Sheet'!C23)/'Data Sheet'!C23</f>
        <v>-5.2499999999999991E-2</v>
      </c>
      <c r="E10" s="136">
        <f>('Data Sheet'!E23-'Data Sheet'!D23)/'Data Sheet'!D23</f>
        <v>0.35224274406332451</v>
      </c>
      <c r="F10" s="136">
        <f>('Data Sheet'!F23-'Data Sheet'!E23)/'Data Sheet'!E23</f>
        <v>1.0731707317073116E-2</v>
      </c>
      <c r="G10" s="136">
        <f>('Data Sheet'!G23-'Data Sheet'!F23)/'Data Sheet'!F23</f>
        <v>0.21525096525096529</v>
      </c>
      <c r="H10" s="136">
        <f>('Data Sheet'!H23-'Data Sheet'!G23)/'Data Sheet'!G23</f>
        <v>0.2478157267672757</v>
      </c>
      <c r="I10" s="136">
        <f>('Data Sheet'!I23-'Data Sheet'!H23)/'Data Sheet'!H23</f>
        <v>0.22597071928707832</v>
      </c>
      <c r="J10" s="136">
        <f>('Data Sheet'!J23-'Data Sheet'!I23)/'Data Sheet'!I23</f>
        <v>0.52076843198338507</v>
      </c>
      <c r="K10" s="136">
        <f>('Data Sheet'!K23-'Data Sheet'!J23)/'Data Sheet'!J23</f>
        <v>9.5595766473199444E-3</v>
      </c>
      <c r="L10" s="136"/>
      <c r="M10" s="136">
        <f t="shared" si="0"/>
        <v>0.15298398713164221</v>
      </c>
      <c r="N10" s="32">
        <f t="shared" si="1"/>
        <v>0.27446988141353335</v>
      </c>
      <c r="O10" s="32">
        <f t="shared" si="2"/>
        <v>0.25209957597259447</v>
      </c>
    </row>
    <row r="11" spans="1:15" s="18" customFormat="1" hidden="1">
      <c r="A11" s="57" t="s">
        <v>77</v>
      </c>
      <c r="B11" s="45"/>
      <c r="C11" s="136">
        <f>('Data Sheet'!C24-'Data Sheet'!B24)/'Data Sheet'!B24</f>
        <v>0.53571428571428581</v>
      </c>
      <c r="D11" s="136">
        <f>('Data Sheet'!D24-'Data Sheet'!C24)/'Data Sheet'!C24</f>
        <v>0.19379844961240308</v>
      </c>
      <c r="E11" s="136">
        <f>('Data Sheet'!E24-'Data Sheet'!D24)/'Data Sheet'!D24</f>
        <v>-0.62337662337662336</v>
      </c>
      <c r="F11" s="136">
        <f>('Data Sheet'!F24-'Data Sheet'!E24)/'Data Sheet'!E24</f>
        <v>0.62068965517241381</v>
      </c>
      <c r="G11" s="136">
        <f>('Data Sheet'!G24-'Data Sheet'!F24)/'Data Sheet'!F24</f>
        <v>0.10638297872340435</v>
      </c>
      <c r="H11" s="136">
        <f>('Data Sheet'!H24-'Data Sheet'!G24)/'Data Sheet'!G24</f>
        <v>0.35576923076923067</v>
      </c>
      <c r="I11" s="136">
        <f>('Data Sheet'!I24-'Data Sheet'!H24)/'Data Sheet'!H24</f>
        <v>2.3404255319148937</v>
      </c>
      <c r="J11" s="136">
        <f>('Data Sheet'!J24-'Data Sheet'!I24)/'Data Sheet'!I24</f>
        <v>0.50955414012738864</v>
      </c>
      <c r="K11" s="136">
        <f>('Data Sheet'!K24-'Data Sheet'!J24)/'Data Sheet'!J24</f>
        <v>3.6568213783403622E-2</v>
      </c>
      <c r="L11" s="136"/>
      <c r="M11" s="136">
        <f t="shared" si="0"/>
        <v>0.35398115767265143</v>
      </c>
      <c r="N11" s="32">
        <f t="shared" si="1"/>
        <v>0.7405362505981945</v>
      </c>
      <c r="O11" s="32">
        <f t="shared" si="2"/>
        <v>0.96218262860856207</v>
      </c>
    </row>
    <row r="12" spans="1:15" s="18" customFormat="1" hidden="1">
      <c r="A12" s="135" t="s">
        <v>9</v>
      </c>
      <c r="B12" s="45"/>
      <c r="C12" s="136">
        <f>('Data Sheet'!C25-'Data Sheet'!B25)/'Data Sheet'!B25</f>
        <v>-5.5555555555555455E-2</v>
      </c>
      <c r="D12" s="136">
        <f>('Data Sheet'!D25-'Data Sheet'!C25)/'Data Sheet'!C25</f>
        <v>0.67647058823529382</v>
      </c>
      <c r="E12" s="136">
        <f>('Data Sheet'!E25-'Data Sheet'!D25)/'Data Sheet'!D25</f>
        <v>-0.35087719298245607</v>
      </c>
      <c r="F12" s="136">
        <f>('Data Sheet'!F25-'Data Sheet'!E25)/'Data Sheet'!E25</f>
        <v>1.4054054054054055</v>
      </c>
      <c r="G12" s="136">
        <f>('Data Sheet'!G25-'Data Sheet'!F25)/'Data Sheet'!F25</f>
        <v>-8.9887640449438158E-2</v>
      </c>
      <c r="H12" s="136">
        <f>('Data Sheet'!H25-'Data Sheet'!G25)/'Data Sheet'!G25</f>
        <v>-4.9382716049382755E-2</v>
      </c>
      <c r="I12" s="136">
        <f>('Data Sheet'!I25-'Data Sheet'!H25)/'Data Sheet'!H25</f>
        <v>0.45454545454545464</v>
      </c>
      <c r="J12" s="136">
        <f>('Data Sheet'!J25-'Data Sheet'!I25)/'Data Sheet'!I25</f>
        <v>1.0089285714285712</v>
      </c>
      <c r="K12" s="136">
        <f>('Data Sheet'!K25-'Data Sheet'!J25)/'Data Sheet'!J25</f>
        <v>0.17333333333333339</v>
      </c>
      <c r="L12" s="136"/>
      <c r="M12" s="136">
        <f t="shared" si="0"/>
        <v>0.32285358034667816</v>
      </c>
      <c r="N12" s="32">
        <f t="shared" si="1"/>
        <v>0.36407811663104328</v>
      </c>
      <c r="O12" s="32">
        <f t="shared" si="2"/>
        <v>0.54560245310245303</v>
      </c>
    </row>
    <row r="13" spans="1:15" s="18" customFormat="1" hidden="1">
      <c r="A13" s="135" t="s">
        <v>10</v>
      </c>
      <c r="B13" s="45"/>
      <c r="C13" s="136">
        <f>('Data Sheet'!C26-'Data Sheet'!B26)/'Data Sheet'!B26</f>
        <v>0.55555555555555547</v>
      </c>
      <c r="D13" s="136">
        <f>('Data Sheet'!D26-'Data Sheet'!C26)/'Data Sheet'!C26</f>
        <v>0.26190476190476181</v>
      </c>
      <c r="E13" s="136">
        <f>('Data Sheet'!E26-'Data Sheet'!D26)/'Data Sheet'!D26</f>
        <v>7.9245283018867907E-2</v>
      </c>
      <c r="F13" s="136">
        <f>('Data Sheet'!F26-'Data Sheet'!E26)/'Data Sheet'!E26</f>
        <v>0.16083916083916083</v>
      </c>
      <c r="G13" s="136">
        <f>('Data Sheet'!G26-'Data Sheet'!F26)/'Data Sheet'!F26</f>
        <v>0.14156626506024103</v>
      </c>
      <c r="H13" s="136">
        <f>('Data Sheet'!H26-'Data Sheet'!G26)/'Data Sheet'!G26</f>
        <v>0.108179419525066</v>
      </c>
      <c r="I13" s="136">
        <f>('Data Sheet'!I26-'Data Sheet'!H26)/'Data Sheet'!H26</f>
        <v>-0.1452380952380953</v>
      </c>
      <c r="J13" s="136">
        <f>('Data Sheet'!J26-'Data Sheet'!I26)/'Data Sheet'!I26</f>
        <v>0.2785515320334262</v>
      </c>
      <c r="K13" s="136">
        <f>('Data Sheet'!K26-'Data Sheet'!J26)/'Data Sheet'!J26</f>
        <v>5.2287581699346455E-2</v>
      </c>
      <c r="L13" s="136"/>
      <c r="M13" s="136">
        <f t="shared" si="0"/>
        <v>9.3733590884277504E-2</v>
      </c>
      <c r="N13" s="32">
        <f t="shared" si="1"/>
        <v>0.10581605879285236</v>
      </c>
      <c r="O13" s="32">
        <f t="shared" si="2"/>
        <v>6.1867006164892456E-2</v>
      </c>
    </row>
    <row r="14" spans="1:15" s="18" customFormat="1" hidden="1">
      <c r="A14" s="135" t="s">
        <v>11</v>
      </c>
      <c r="B14" s="45"/>
      <c r="C14" s="136">
        <f>('Data Sheet'!C27-'Data Sheet'!B27)/'Data Sheet'!B27</f>
        <v>1.1964285714285712</v>
      </c>
      <c r="D14" s="136">
        <f>('Data Sheet'!D27-'Data Sheet'!C27)/'Data Sheet'!C27</f>
        <v>-0.50813008130081305</v>
      </c>
      <c r="E14" s="136">
        <f>('Data Sheet'!E27-'Data Sheet'!D27)/'Data Sheet'!D27</f>
        <v>0.31404958677685962</v>
      </c>
      <c r="F14" s="136">
        <f>('Data Sheet'!F27-'Data Sheet'!E27)/'Data Sheet'!E27</f>
        <v>0.51572327044025157</v>
      </c>
      <c r="G14" s="136">
        <f>('Data Sheet'!G27-'Data Sheet'!F27)/'Data Sheet'!F27</f>
        <v>0.3526970954356845</v>
      </c>
      <c r="H14" s="136">
        <f>('Data Sheet'!H27-'Data Sheet'!G27)/'Data Sheet'!G27</f>
        <v>0.2822085889570552</v>
      </c>
      <c r="I14" s="136">
        <f>('Data Sheet'!I27-'Data Sheet'!H27)/'Data Sheet'!H27</f>
        <v>0.31339712918660301</v>
      </c>
      <c r="J14" s="136">
        <f>('Data Sheet'!J27-'Data Sheet'!I27)/'Data Sheet'!I27</f>
        <v>7.1038251366120159E-2</v>
      </c>
      <c r="K14" s="136">
        <f>('Data Sheet'!K27-'Data Sheet'!J27)/'Data Sheet'!J27</f>
        <v>-2.2108843537414949E-2</v>
      </c>
      <c r="L14" s="136"/>
      <c r="M14" s="136">
        <f t="shared" si="0"/>
        <v>0.13188749973243458</v>
      </c>
      <c r="N14" s="32">
        <f t="shared" si="1"/>
        <v>0.22582394422809648</v>
      </c>
      <c r="O14" s="32">
        <f t="shared" si="2"/>
        <v>0.12077551233843609</v>
      </c>
    </row>
    <row r="15" spans="1:15" s="18" customFormat="1" hidden="1">
      <c r="A15" s="135" t="s">
        <v>12</v>
      </c>
      <c r="B15" s="45"/>
      <c r="C15" s="136">
        <f>('Data Sheet'!C28-'Data Sheet'!B28)/'Data Sheet'!B28</f>
        <v>1.0089485458612977</v>
      </c>
      <c r="D15" s="136">
        <f>('Data Sheet'!D28-'Data Sheet'!C28)/'Data Sheet'!C28</f>
        <v>-0.16703786191536749</v>
      </c>
      <c r="E15" s="136">
        <f>('Data Sheet'!E28-'Data Sheet'!D28)/'Data Sheet'!D28</f>
        <v>1.0695187165775291E-2</v>
      </c>
      <c r="F15" s="136">
        <f>('Data Sheet'!F28-'Data Sheet'!E28)/'Data Sheet'!E28</f>
        <v>-0.29761904761904762</v>
      </c>
      <c r="G15" s="136">
        <f>('Data Sheet'!G28-'Data Sheet'!F28)/'Data Sheet'!F28</f>
        <v>0.35028248587570632</v>
      </c>
      <c r="H15" s="136">
        <f>('Data Sheet'!H28-'Data Sheet'!G28)/'Data Sheet'!G28</f>
        <v>0.46722454672245461</v>
      </c>
      <c r="I15" s="136">
        <f>('Data Sheet'!I28-'Data Sheet'!H28)/'Data Sheet'!H28</f>
        <v>0.25190114068441066</v>
      </c>
      <c r="J15" s="136">
        <f>('Data Sheet'!J28-'Data Sheet'!I28)/'Data Sheet'!I28</f>
        <v>-0.16021260440394833</v>
      </c>
      <c r="K15" s="136">
        <f>('Data Sheet'!K28-'Data Sheet'!J28)/'Data Sheet'!J28</f>
        <v>0.19349005424954779</v>
      </c>
      <c r="L15" s="136"/>
      <c r="M15" s="136">
        <f t="shared" si="0"/>
        <v>6.4872390075953121E-2</v>
      </c>
      <c r="N15" s="32">
        <f t="shared" si="1"/>
        <v>0.23351160264082482</v>
      </c>
      <c r="O15" s="32">
        <f t="shared" si="2"/>
        <v>9.5059530176670057E-2</v>
      </c>
    </row>
    <row r="16" spans="1:15" s="18" customFormat="1" hidden="1">
      <c r="A16" s="135" t="s">
        <v>13</v>
      </c>
      <c r="B16" s="45"/>
      <c r="C16" s="136">
        <f>('Data Sheet'!C29-'Data Sheet'!B29)/'Data Sheet'!B29</f>
        <v>0.92771084337349419</v>
      </c>
      <c r="D16" s="136">
        <f>('Data Sheet'!D29-'Data Sheet'!C29)/'Data Sheet'!C29</f>
        <v>-1.8750000000000017E-2</v>
      </c>
      <c r="E16" s="136">
        <f>('Data Sheet'!E29-'Data Sheet'!D29)/'Data Sheet'!D29</f>
        <v>-3.8216560509554173E-2</v>
      </c>
      <c r="F16" s="136">
        <f>('Data Sheet'!F29-'Data Sheet'!E29)/'Data Sheet'!E29</f>
        <v>-9.2715231788079402E-2</v>
      </c>
      <c r="G16" s="136">
        <f>('Data Sheet'!G29-'Data Sheet'!F29)/'Data Sheet'!F29</f>
        <v>0.21167883211678817</v>
      </c>
      <c r="H16" s="136">
        <f>('Data Sheet'!H29-'Data Sheet'!G29)/'Data Sheet'!G29</f>
        <v>0.53012048192771088</v>
      </c>
      <c r="I16" s="136">
        <f>('Data Sheet'!I29-'Data Sheet'!H29)/'Data Sheet'!H29</f>
        <v>0.452755905511811</v>
      </c>
      <c r="J16" s="136">
        <f>('Data Sheet'!J29-'Data Sheet'!I29)/'Data Sheet'!I29</f>
        <v>8.9430894308942993E-2</v>
      </c>
      <c r="K16" s="136">
        <f>('Data Sheet'!K29-'Data Sheet'!J29)/'Data Sheet'!J29</f>
        <v>0.21393034825870658</v>
      </c>
      <c r="L16" s="136"/>
      <c r="M16" s="136">
        <f t="shared" si="0"/>
        <v>0.13482346698263259</v>
      </c>
      <c r="N16" s="32">
        <f t="shared" si="1"/>
        <v>0.32654798582131839</v>
      </c>
      <c r="O16" s="32">
        <f t="shared" si="2"/>
        <v>0.25203904935982019</v>
      </c>
    </row>
    <row r="17" spans="1:15" s="18" customFormat="1">
      <c r="A17" s="135" t="s">
        <v>14</v>
      </c>
      <c r="B17" s="45"/>
      <c r="C17" s="136">
        <f>('Data Sheet'!C30-'Data Sheet'!B30)/'Data Sheet'!B30</f>
        <v>1.0274725274725274</v>
      </c>
      <c r="D17" s="136">
        <f>('Data Sheet'!D30-'Data Sheet'!C30)/'Data Sheet'!C30</f>
        <v>-0.19918699186991867</v>
      </c>
      <c r="E17" s="136">
        <f>('Data Sheet'!E30-'Data Sheet'!D30)/'Data Sheet'!D30</f>
        <v>2.3688663282571857E-2</v>
      </c>
      <c r="F17" s="136">
        <f>('Data Sheet'!F30-'Data Sheet'!E30)/'Data Sheet'!E30</f>
        <v>-0.34876033057851241</v>
      </c>
      <c r="G17" s="136">
        <f>('Data Sheet'!G30-'Data Sheet'!F30)/'Data Sheet'!F30</f>
        <v>0.39593908629441626</v>
      </c>
      <c r="H17" s="136">
        <f>('Data Sheet'!H30-'Data Sheet'!G30)/'Data Sheet'!G30</f>
        <v>0.45090909090909098</v>
      </c>
      <c r="I17" s="136">
        <f>('Data Sheet'!I30-'Data Sheet'!H30)/'Data Sheet'!H30</f>
        <v>0.18796992481203006</v>
      </c>
      <c r="J17" s="136">
        <f>('Data Sheet'!J30-'Data Sheet'!I30)/'Data Sheet'!I30</f>
        <v>-0.25632911392405067</v>
      </c>
      <c r="K17" s="136">
        <f>('Data Sheet'!K30-'Data Sheet'!J30)/'Data Sheet'!J30</f>
        <v>0.18014184397163127</v>
      </c>
      <c r="L17" s="136">
        <f>('Profit &amp; Loss'!L12-'Profit &amp; Loss'!K12)/'Profit &amp; Loss'!K12</f>
        <v>-0.14182692307692316</v>
      </c>
      <c r="M17" s="136">
        <f t="shared" si="0"/>
        <v>4.3437217289725862E-2</v>
      </c>
      <c r="N17" s="32">
        <f t="shared" si="1"/>
        <v>0.17204822525518412</v>
      </c>
      <c r="O17" s="32">
        <f t="shared" si="2"/>
        <v>3.7260884953203559E-2</v>
      </c>
    </row>
    <row r="18" spans="1:15" s="18" customFormat="1">
      <c r="A18" s="135" t="s">
        <v>61</v>
      </c>
      <c r="B18" s="45"/>
      <c r="C18" s="136">
        <f>('Data Sheet'!C31-'Data Sheet'!B31)/'Data Sheet'!B31</f>
        <v>0.42307692307692313</v>
      </c>
      <c r="D18" s="136">
        <f>('Data Sheet'!D31-'Data Sheet'!C31)/'Data Sheet'!C31</f>
        <v>6.3063063063062919E-2</v>
      </c>
      <c r="E18" s="136">
        <f>('Data Sheet'!E31-'Data Sheet'!D31)/'Data Sheet'!D31</f>
        <v>8.4745762711864493E-3</v>
      </c>
      <c r="F18" s="136">
        <f>('Data Sheet'!F31-'Data Sheet'!E31)/'Data Sheet'!E31</f>
        <v>0</v>
      </c>
      <c r="G18" s="136">
        <f>('Data Sheet'!G31-'Data Sheet'!F31)/'Data Sheet'!F31</f>
        <v>0.23529411764705885</v>
      </c>
      <c r="H18" s="136">
        <f>('Data Sheet'!H31-'Data Sheet'!G31)/'Data Sheet'!G31</f>
        <v>0.2244897959183674</v>
      </c>
      <c r="I18" s="136">
        <f>('Data Sheet'!I31-'Data Sheet'!H31)/'Data Sheet'!H31</f>
        <v>3.3333333333333361E-2</v>
      </c>
      <c r="J18" s="136">
        <f>('Data Sheet'!J31-'Data Sheet'!I31)/'Data Sheet'!I31</f>
        <v>0.39247311827956977</v>
      </c>
      <c r="K18" s="136">
        <f>('Data Sheet'!K31-'Data Sheet'!J31)/'Data Sheet'!J31</f>
        <v>-1</v>
      </c>
      <c r="L18" s="136"/>
      <c r="M18" s="136">
        <f t="shared" si="0"/>
        <v>-4.2871995487421266E-3</v>
      </c>
      <c r="N18" s="32">
        <f t="shared" si="1"/>
        <v>-2.3739366874082533E-2</v>
      </c>
      <c r="O18" s="32">
        <f t="shared" si="2"/>
        <v>-0.1913978494623656</v>
      </c>
    </row>
    <row r="19" spans="1:15" s="18" customFormat="1" hidden="1">
      <c r="A19" s="135"/>
      <c r="B19" s="4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>
        <f t="shared" si="0"/>
        <v>0</v>
      </c>
      <c r="N19" s="32">
        <f t="shared" si="1"/>
        <v>0</v>
      </c>
      <c r="O19" s="32">
        <f t="shared" si="2"/>
        <v>0</v>
      </c>
    </row>
    <row r="20" spans="1:15" s="18" customFormat="1" ht="18.75" hidden="1">
      <c r="A20" s="137" t="s">
        <v>99</v>
      </c>
      <c r="B20" s="4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>
        <f t="shared" si="0"/>
        <v>0</v>
      </c>
      <c r="N20" s="32">
        <f t="shared" si="1"/>
        <v>0</v>
      </c>
      <c r="O20" s="32">
        <f t="shared" si="2"/>
        <v>0</v>
      </c>
    </row>
    <row r="21" spans="1:15" s="18" customFormat="1" hidden="1">
      <c r="A21" s="138" t="s">
        <v>40</v>
      </c>
      <c r="B21" s="4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>
        <f t="shared" si="0"/>
        <v>0</v>
      </c>
      <c r="N21" s="32">
        <f t="shared" si="1"/>
        <v>0</v>
      </c>
      <c r="O21" s="32">
        <f t="shared" si="2"/>
        <v>0</v>
      </c>
    </row>
    <row r="22" spans="1:15" s="18" customFormat="1" hidden="1">
      <c r="A22" s="135" t="s">
        <v>24</v>
      </c>
      <c r="B22" s="45"/>
      <c r="C22" s="136">
        <f>('Data Sheet'!C57-'Data Sheet'!B57)/'Data Sheet'!B57</f>
        <v>4.8148148148148107E-2</v>
      </c>
      <c r="D22" s="136">
        <f>('Data Sheet'!D57-'Data Sheet'!C57)/'Data Sheet'!C57</f>
        <v>4.9469964664310993E-2</v>
      </c>
      <c r="E22" s="136">
        <f>('Data Sheet'!E57-'Data Sheet'!D57)/'Data Sheet'!D57</f>
        <v>0</v>
      </c>
      <c r="F22" s="136">
        <f>('Data Sheet'!F57-'Data Sheet'!E57)/'Data Sheet'!E57</f>
        <v>0</v>
      </c>
      <c r="G22" s="136">
        <f>('Data Sheet'!G57-'Data Sheet'!F57)/'Data Sheet'!F57</f>
        <v>0.50168350168350162</v>
      </c>
      <c r="H22" s="136">
        <f>('Data Sheet'!H57-'Data Sheet'!G57)/'Data Sheet'!G57</f>
        <v>1.1210762331838525E-2</v>
      </c>
      <c r="I22" s="136">
        <f>('Data Sheet'!I57-'Data Sheet'!H57)/'Data Sheet'!H57</f>
        <v>3.3259423503326023E-2</v>
      </c>
      <c r="J22" s="136">
        <f>('Data Sheet'!J57-'Data Sheet'!I57)/'Data Sheet'!I57</f>
        <v>0.11373390557939919</v>
      </c>
      <c r="K22" s="136">
        <f>('Data Sheet'!K57-'Data Sheet'!J57)/'Data Sheet'!J57</f>
        <v>0</v>
      </c>
      <c r="L22" s="136"/>
      <c r="M22" s="136">
        <f t="shared" si="0"/>
        <v>7.0935755776237633E-2</v>
      </c>
      <c r="N22" s="32">
        <f t="shared" si="1"/>
        <v>0.14616466977486059</v>
      </c>
      <c r="O22" s="32">
        <f t="shared" si="2"/>
        <v>4.8997776360908407E-2</v>
      </c>
    </row>
    <row r="23" spans="1:15" s="18" customFormat="1">
      <c r="A23" s="135" t="s">
        <v>25</v>
      </c>
      <c r="B23" s="45"/>
      <c r="C23" s="136">
        <f>('Data Sheet'!C58-'Data Sheet'!B58)/'Data Sheet'!B58</f>
        <v>0.98773006134969354</v>
      </c>
      <c r="D23" s="136">
        <f>('Data Sheet'!D58-'Data Sheet'!C58)/'Data Sheet'!C58</f>
        <v>0.37885802469135799</v>
      </c>
      <c r="E23" s="136">
        <f>('Data Sheet'!E58-'Data Sheet'!D58)/'Data Sheet'!D58</f>
        <v>0.26133184107442631</v>
      </c>
      <c r="F23" s="136">
        <f>('Data Sheet'!F58-'Data Sheet'!E58)/'Data Sheet'!E58</f>
        <v>0.11357586512866026</v>
      </c>
      <c r="G23" s="136">
        <f>('Data Sheet'!G58-'Data Sheet'!F58)/'Data Sheet'!F58</f>
        <v>9.1633466135458044E-2</v>
      </c>
      <c r="H23" s="136">
        <f>('Data Sheet'!H58-'Data Sheet'!G58)/'Data Sheet'!G58</f>
        <v>0.23065693430656936</v>
      </c>
      <c r="I23" s="136">
        <f>('Data Sheet'!I58-'Data Sheet'!H58)/'Data Sheet'!H58</f>
        <v>0.25029655990510075</v>
      </c>
      <c r="J23" s="136">
        <f>('Data Sheet'!J58-'Data Sheet'!I58)/'Data Sheet'!I58</f>
        <v>0.8009962049335867</v>
      </c>
      <c r="K23" s="136">
        <f>('Data Sheet'!K58-'Data Sheet'!J58)/'Data Sheet'!J58</f>
        <v>0.10957460819175546</v>
      </c>
      <c r="L23" s="136"/>
      <c r="M23" s="136">
        <f t="shared" si="0"/>
        <v>0.2236923504366915</v>
      </c>
      <c r="N23" s="32">
        <f t="shared" si="1"/>
        <v>0.34137002478183237</v>
      </c>
      <c r="O23" s="32">
        <f t="shared" si="2"/>
        <v>0.3869557910101476</v>
      </c>
    </row>
    <row r="24" spans="1:15" s="18" customFormat="1">
      <c r="A24" s="135" t="s">
        <v>62</v>
      </c>
      <c r="B24" s="45"/>
      <c r="C24" s="136">
        <f>('Data Sheet'!C59-'Data Sheet'!B59)/'Data Sheet'!B59</f>
        <v>4.5525902668759818E-2</v>
      </c>
      <c r="D24" s="136">
        <f>('Data Sheet'!D59-'Data Sheet'!C59)/'Data Sheet'!C59</f>
        <v>-0.30405405405405411</v>
      </c>
      <c r="E24" s="136">
        <f>('Data Sheet'!E59-'Data Sheet'!D59)/'Data Sheet'!D59</f>
        <v>0.84034519956850051</v>
      </c>
      <c r="F24" s="136">
        <f>('Data Sheet'!F59-'Data Sheet'!E59)/'Data Sheet'!E59</f>
        <v>8.5580304806565116E-2</v>
      </c>
      <c r="G24" s="136">
        <f>('Data Sheet'!G59-'Data Sheet'!F59)/'Data Sheet'!F59</f>
        <v>0.45410367170626353</v>
      </c>
      <c r="H24" s="136">
        <f>('Data Sheet'!H59-'Data Sheet'!G59)/'Data Sheet'!G59</f>
        <v>0.36724842183438544</v>
      </c>
      <c r="I24" s="136">
        <f>('Data Sheet'!I59-'Data Sheet'!H59)/'Data Sheet'!H59</f>
        <v>0.45681694731124389</v>
      </c>
      <c r="J24" s="136">
        <f>('Data Sheet'!J59-'Data Sheet'!I59)/'Data Sheet'!I59</f>
        <v>-0.12621178225205076</v>
      </c>
      <c r="K24" s="136">
        <f>('Data Sheet'!K59-'Data Sheet'!J59)/'Data Sheet'!J59</f>
        <v>0.3053125666737786</v>
      </c>
      <c r="L24" s="136"/>
      <c r="M24" s="136">
        <f t="shared" si="0"/>
        <v>0.20791412755946323</v>
      </c>
      <c r="N24" s="32">
        <f t="shared" si="1"/>
        <v>0.33303679056661678</v>
      </c>
      <c r="O24" s="32">
        <f t="shared" si="2"/>
        <v>0.21197257724432392</v>
      </c>
    </row>
    <row r="25" spans="1:15" s="18" customFormat="1" hidden="1">
      <c r="A25" s="135" t="s">
        <v>63</v>
      </c>
      <c r="B25" s="45"/>
      <c r="C25" s="136">
        <f>('Data Sheet'!C60-'Data Sheet'!B60)/'Data Sheet'!B60</f>
        <v>0.10386740331491706</v>
      </c>
      <c r="D25" s="136">
        <f>('Data Sheet'!D60-'Data Sheet'!C60)/'Data Sheet'!C60</f>
        <v>0.32032032032032026</v>
      </c>
      <c r="E25" s="136">
        <f>('Data Sheet'!E60-'Data Sheet'!D60)/'Data Sheet'!D60</f>
        <v>-2.3502653525397932E-2</v>
      </c>
      <c r="F25" s="136">
        <f>('Data Sheet'!F60-'Data Sheet'!E60)/'Data Sheet'!E60</f>
        <v>-0.10636645962732927</v>
      </c>
      <c r="G25" s="136">
        <f>('Data Sheet'!G60-'Data Sheet'!F60)/'Data Sheet'!F60</f>
        <v>0.52041702867072115</v>
      </c>
      <c r="H25" s="136">
        <f>('Data Sheet'!H60-'Data Sheet'!G60)/'Data Sheet'!G60</f>
        <v>0.24571428571428575</v>
      </c>
      <c r="I25" s="136">
        <f>('Data Sheet'!I60-'Data Sheet'!H60)/'Data Sheet'!H60</f>
        <v>4.9999999999999989E-2</v>
      </c>
      <c r="J25" s="136">
        <f>('Data Sheet'!J60-'Data Sheet'!I60)/'Data Sheet'!I60</f>
        <v>0.66622979467016163</v>
      </c>
      <c r="K25" s="136">
        <f>('Data Sheet'!K60-'Data Sheet'!J60)/'Data Sheet'!J60</f>
        <v>-0.2037231253277399</v>
      </c>
      <c r="L25" s="136"/>
      <c r="M25" s="136">
        <f t="shared" si="0"/>
        <v>0.14690891908950218</v>
      </c>
      <c r="N25" s="32">
        <f t="shared" si="1"/>
        <v>0.28510938056338614</v>
      </c>
      <c r="O25" s="32">
        <f t="shared" si="2"/>
        <v>0.17083555644747395</v>
      </c>
    </row>
    <row r="26" spans="1:15" s="18" customFormat="1" hidden="1">
      <c r="A26" s="138" t="s">
        <v>26</v>
      </c>
      <c r="B26" s="45"/>
      <c r="C26" s="136">
        <f>('Data Sheet'!C61-'Data Sheet'!B61)/'Data Sheet'!B61</f>
        <v>0.26088358594001931</v>
      </c>
      <c r="D26" s="136">
        <f>('Data Sheet'!D61-'Data Sheet'!C61)/'Data Sheet'!C61</f>
        <v>0.10741687979539631</v>
      </c>
      <c r="E26" s="136">
        <f>('Data Sheet'!E61-'Data Sheet'!D61)/'Data Sheet'!D61</f>
        <v>0.28060046189376459</v>
      </c>
      <c r="F26" s="136">
        <f>('Data Sheet'!F61-'Data Sheet'!E61)/'Data Sheet'!E61</f>
        <v>4.7790802524797088E-2</v>
      </c>
      <c r="G26" s="136">
        <f>('Data Sheet'!G61-'Data Sheet'!F61)/'Data Sheet'!F61</f>
        <v>0.31308089500860592</v>
      </c>
      <c r="H26" s="136">
        <f>('Data Sheet'!H61-'Data Sheet'!G61)/'Data Sheet'!G61</f>
        <v>0.26949796827893546</v>
      </c>
      <c r="I26" s="136">
        <f>('Data Sheet'!I61-'Data Sheet'!H61)/'Data Sheet'!H61</f>
        <v>0.27361899845121324</v>
      </c>
      <c r="J26" s="136">
        <f>('Data Sheet'!J61-'Data Sheet'!I61)/'Data Sheet'!I61</f>
        <v>0.34681799756789627</v>
      </c>
      <c r="K26" s="136">
        <f>('Data Sheet'!K61-'Data Sheet'!J61)/'Data Sheet'!J61</f>
        <v>8.9448022632877947E-2</v>
      </c>
      <c r="L26" s="136"/>
      <c r="M26" s="136">
        <f t="shared" si="0"/>
        <v>0.17282720261534867</v>
      </c>
      <c r="N26" s="32">
        <f t="shared" si="1"/>
        <v>0.2930582169109755</v>
      </c>
      <c r="O26" s="32">
        <f t="shared" si="2"/>
        <v>0.23662833955066251</v>
      </c>
    </row>
    <row r="27" spans="1:15" s="18" customFormat="1">
      <c r="A27" s="135" t="s">
        <v>27</v>
      </c>
      <c r="B27" s="45"/>
      <c r="C27" s="136">
        <f>('Data Sheet'!C62-'Data Sheet'!B62)/'Data Sheet'!B62</f>
        <v>0.44719314938154148</v>
      </c>
      <c r="D27" s="136">
        <f>('Data Sheet'!D62-'Data Sheet'!C62)/'Data Sheet'!C62</f>
        <v>0.15910585141354358</v>
      </c>
      <c r="E27" s="136">
        <f>('Data Sheet'!E62-'Data Sheet'!D62)/'Data Sheet'!D62</f>
        <v>0.15598411798071471</v>
      </c>
      <c r="F27" s="136">
        <f>('Data Sheet'!F62-'Data Sheet'!E62)/'Data Sheet'!E62</f>
        <v>8.8321884200196141E-3</v>
      </c>
      <c r="G27" s="136">
        <f>('Data Sheet'!G62-'Data Sheet'!F62)/'Data Sheet'!F62</f>
        <v>0.20622568093385224</v>
      </c>
      <c r="H27" s="136">
        <f>('Data Sheet'!H62-'Data Sheet'!G62)/'Data Sheet'!G62</f>
        <v>0.12217741935483861</v>
      </c>
      <c r="I27" s="136">
        <f>('Data Sheet'!I62-'Data Sheet'!H62)/'Data Sheet'!H62</f>
        <v>0.20912684153790875</v>
      </c>
      <c r="J27" s="136">
        <f>('Data Sheet'!J62-'Data Sheet'!I62)/'Data Sheet'!I62</f>
        <v>0.11173848439821689</v>
      </c>
      <c r="K27" s="136">
        <f>('Data Sheet'!K62-'Data Sheet'!J62)/'Data Sheet'!J62</f>
        <v>0.19860999732691814</v>
      </c>
      <c r="L27" s="136"/>
      <c r="M27" s="136">
        <f t="shared" si="0"/>
        <v>0.11718005813660123</v>
      </c>
      <c r="N27" s="32">
        <f t="shared" si="1"/>
        <v>0.19301169633766718</v>
      </c>
      <c r="O27" s="32">
        <f t="shared" si="2"/>
        <v>0.17315844108768128</v>
      </c>
    </row>
    <row r="28" spans="1:15" s="18" customFormat="1" hidden="1">
      <c r="A28" s="135" t="s">
        <v>28</v>
      </c>
      <c r="B28" s="45"/>
      <c r="C28" s="136">
        <f>('Data Sheet'!C63-'Data Sheet'!B63)/'Data Sheet'!B63</f>
        <v>-0.27999999999999997</v>
      </c>
      <c r="D28" s="136">
        <f>('Data Sheet'!D63-'Data Sheet'!C63)/'Data Sheet'!C63</f>
        <v>0.35185185185185175</v>
      </c>
      <c r="E28" s="136">
        <f>('Data Sheet'!E63-'Data Sheet'!D63)/'Data Sheet'!D63</f>
        <v>-0.35616438356164387</v>
      </c>
      <c r="F28" s="136">
        <f>('Data Sheet'!F63-'Data Sheet'!E63)/'Data Sheet'!E63</f>
        <v>-0.14893617021276587</v>
      </c>
      <c r="G28" s="136">
        <f>('Data Sheet'!G63-'Data Sheet'!F63)/'Data Sheet'!F63</f>
        <v>-0.85</v>
      </c>
      <c r="H28" s="136">
        <f>('Data Sheet'!H63-'Data Sheet'!G63)/'Data Sheet'!G63</f>
        <v>12.666666666666668</v>
      </c>
      <c r="I28" s="136">
        <f>('Data Sheet'!I63-'Data Sheet'!H63)/'Data Sheet'!H63</f>
        <v>1.7804878048780488</v>
      </c>
      <c r="J28" s="136">
        <f>('Data Sheet'!J63-'Data Sheet'!I63)/'Data Sheet'!I63</f>
        <v>-0.22807017543859642</v>
      </c>
      <c r="K28" s="136">
        <f>('Data Sheet'!K63-'Data Sheet'!J63)/'Data Sheet'!J63</f>
        <v>0.23863636363636373</v>
      </c>
      <c r="L28" s="136"/>
      <c r="M28" s="136">
        <f t="shared" si="0"/>
        <v>1.3454471957819927</v>
      </c>
      <c r="N28" s="32">
        <f t="shared" si="1"/>
        <v>2.9906335711048957</v>
      </c>
      <c r="O28" s="32">
        <f t="shared" si="2"/>
        <v>0.59701799769193864</v>
      </c>
    </row>
    <row r="29" spans="1:15" s="18" customFormat="1" hidden="1">
      <c r="A29" s="135" t="s">
        <v>29</v>
      </c>
      <c r="B29" s="45"/>
      <c r="C29" s="136" t="e">
        <f>('Data Sheet'!C64-'Data Sheet'!B64)/'Data Sheet'!B64</f>
        <v>#DIV/0!</v>
      </c>
      <c r="D29" s="136" t="e">
        <f>('Data Sheet'!D64-'Data Sheet'!C64)/'Data Sheet'!C64</f>
        <v>#DIV/0!</v>
      </c>
      <c r="E29" s="136" t="e">
        <f>('Data Sheet'!E64-'Data Sheet'!D64)/'Data Sheet'!D64</f>
        <v>#DIV/0!</v>
      </c>
      <c r="F29" s="136">
        <f>('Data Sheet'!F64-'Data Sheet'!E64)/'Data Sheet'!E64</f>
        <v>2.40625</v>
      </c>
      <c r="G29" s="136">
        <f>('Data Sheet'!G64-'Data Sheet'!F64)/'Data Sheet'!F64</f>
        <v>3.761467889908257</v>
      </c>
      <c r="H29" s="136">
        <f>('Data Sheet'!H64-'Data Sheet'!G64)/'Data Sheet'!G64</f>
        <v>0.42581888246628125</v>
      </c>
      <c r="I29" s="136">
        <f>('Data Sheet'!I64-'Data Sheet'!H64)/'Data Sheet'!H64</f>
        <v>0.7189189189189189</v>
      </c>
      <c r="J29" s="136">
        <f>('Data Sheet'!J64-'Data Sheet'!I64)/'Data Sheet'!I64</f>
        <v>9.5911949685534501E-2</v>
      </c>
      <c r="K29" s="136">
        <f>('Data Sheet'!K64-'Data Sheet'!J64)/'Data Sheet'!J64</f>
        <v>1.0043041606886698E-2</v>
      </c>
      <c r="L29" s="136"/>
      <c r="M29" s="136" t="e">
        <f t="shared" si="0"/>
        <v>#DIV/0!</v>
      </c>
      <c r="N29" s="32" t="e">
        <f t="shared" si="1"/>
        <v>#DIV/0!</v>
      </c>
      <c r="O29" s="32">
        <f t="shared" si="2"/>
        <v>0.2749579700704467</v>
      </c>
    </row>
    <row r="30" spans="1:15" s="18" customFormat="1" hidden="1">
      <c r="A30" s="135" t="s">
        <v>64</v>
      </c>
      <c r="B30" s="45"/>
      <c r="C30" s="136">
        <f>('Data Sheet'!C65-'Data Sheet'!B65)/'Data Sheet'!B65</f>
        <v>0.18227848101265831</v>
      </c>
      <c r="D30" s="136">
        <f>('Data Sheet'!D65-'Data Sheet'!C65)/'Data Sheet'!C65</f>
        <v>6.8094218415417546E-2</v>
      </c>
      <c r="E30" s="136">
        <f>('Data Sheet'!E65-'Data Sheet'!D65)/'Data Sheet'!D65</f>
        <v>0.37449879711307132</v>
      </c>
      <c r="F30" s="136">
        <f>('Data Sheet'!F65-'Data Sheet'!E65)/'Data Sheet'!E65</f>
        <v>5.1633605600933372E-2</v>
      </c>
      <c r="G30" s="136">
        <f>('Data Sheet'!G65-'Data Sheet'!F65)/'Data Sheet'!F65</f>
        <v>0.28266296809986147</v>
      </c>
      <c r="H30" s="136">
        <f>('Data Sheet'!H65-'Data Sheet'!G65)/'Data Sheet'!G65</f>
        <v>0.3148788927335639</v>
      </c>
      <c r="I30" s="136">
        <f>('Data Sheet'!I65-'Data Sheet'!H65)/'Data Sheet'!H65</f>
        <v>0.22861842105263169</v>
      </c>
      <c r="J30" s="136">
        <f>('Data Sheet'!J65-'Data Sheet'!I65)/'Data Sheet'!I65</f>
        <v>0.51298527443105746</v>
      </c>
      <c r="K30" s="136">
        <f>('Data Sheet'!K65-'Data Sheet'!J65)/'Data Sheet'!J65</f>
        <v>6.0785701645726463E-2</v>
      </c>
      <c r="L30" s="136"/>
      <c r="M30" s="136">
        <f t="shared" si="0"/>
        <v>0.18941578790922634</v>
      </c>
      <c r="N30" s="32">
        <f t="shared" si="1"/>
        <v>0.31786940917441348</v>
      </c>
      <c r="O30" s="32">
        <f t="shared" si="2"/>
        <v>0.26746313237647185</v>
      </c>
    </row>
    <row r="31" spans="1:15" s="18" customFormat="1" hidden="1">
      <c r="A31" s="138" t="s">
        <v>26</v>
      </c>
      <c r="B31" s="45"/>
      <c r="C31" s="136">
        <f>('Data Sheet'!C66-'Data Sheet'!B66)/'Data Sheet'!B66</f>
        <v>0.26088358594001931</v>
      </c>
      <c r="D31" s="136">
        <f>('Data Sheet'!D66-'Data Sheet'!C66)/'Data Sheet'!C66</f>
        <v>0.10741687979539631</v>
      </c>
      <c r="E31" s="136">
        <f>('Data Sheet'!E66-'Data Sheet'!D66)/'Data Sheet'!D66</f>
        <v>0.28060046189376459</v>
      </c>
      <c r="F31" s="136">
        <f>('Data Sheet'!F66-'Data Sheet'!E66)/'Data Sheet'!E66</f>
        <v>4.7790802524797088E-2</v>
      </c>
      <c r="G31" s="136">
        <f>('Data Sheet'!G66-'Data Sheet'!F66)/'Data Sheet'!F66</f>
        <v>0.31308089500860592</v>
      </c>
      <c r="H31" s="136">
        <f>('Data Sheet'!H66-'Data Sheet'!G66)/'Data Sheet'!G66</f>
        <v>0.26949796827893546</v>
      </c>
      <c r="I31" s="136">
        <f>('Data Sheet'!I66-'Data Sheet'!H66)/'Data Sheet'!H66</f>
        <v>0.27361899845121324</v>
      </c>
      <c r="J31" s="136">
        <f>('Data Sheet'!J66-'Data Sheet'!I66)/'Data Sheet'!I66</f>
        <v>0.34681799756789627</v>
      </c>
      <c r="K31" s="136">
        <f>('Data Sheet'!K66-'Data Sheet'!J66)/'Data Sheet'!J66</f>
        <v>8.9448022632877947E-2</v>
      </c>
      <c r="L31" s="136"/>
      <c r="M31" s="136">
        <f t="shared" si="0"/>
        <v>0.17282720261534867</v>
      </c>
      <c r="N31" s="32">
        <f t="shared" si="1"/>
        <v>0.2930582169109755</v>
      </c>
      <c r="O31" s="32">
        <f t="shared" si="2"/>
        <v>0.23662833955066251</v>
      </c>
    </row>
    <row r="32" spans="1:15" s="18" customFormat="1" hidden="1">
      <c r="A32" s="135" t="s">
        <v>69</v>
      </c>
      <c r="B32" s="45"/>
      <c r="C32" s="136">
        <f>('Data Sheet'!C67-'Data Sheet'!B67)/'Data Sheet'!B67</f>
        <v>-0.14708368554522402</v>
      </c>
      <c r="D32" s="136">
        <f>('Data Sheet'!D67-'Data Sheet'!C67)/'Data Sheet'!C67</f>
        <v>7.532210109018829E-2</v>
      </c>
      <c r="E32" s="136">
        <f>('Data Sheet'!E67-'Data Sheet'!D67)/'Data Sheet'!D67</f>
        <v>0.49585253456221207</v>
      </c>
      <c r="F32" s="136">
        <f>('Data Sheet'!F67-'Data Sheet'!E67)/'Data Sheet'!E67</f>
        <v>-8.441158348736913E-2</v>
      </c>
      <c r="G32" s="136">
        <f>('Data Sheet'!G67-'Data Sheet'!F67)/'Data Sheet'!F67</f>
        <v>0.34993270524899056</v>
      </c>
      <c r="H32" s="136">
        <f>('Data Sheet'!H67-'Data Sheet'!G67)/'Data Sheet'!G67</f>
        <v>0.21585244267198414</v>
      </c>
      <c r="I32" s="136">
        <f>('Data Sheet'!I67-'Data Sheet'!H67)/'Data Sheet'!H67</f>
        <v>0.12997129971299706</v>
      </c>
      <c r="J32" s="136">
        <f>('Data Sheet'!J67-'Data Sheet'!I67)/'Data Sheet'!I67</f>
        <v>0.24419448476052252</v>
      </c>
      <c r="K32" s="136">
        <f>('Data Sheet'!K67-'Data Sheet'!J67)/'Data Sheet'!J67</f>
        <v>3.5287255759696733E-2</v>
      </c>
      <c r="L32" s="136"/>
      <c r="M32" s="136">
        <f t="shared" si="0"/>
        <v>0.14620012403192226</v>
      </c>
      <c r="N32" s="32">
        <f t="shared" si="1"/>
        <v>0.22428766243722262</v>
      </c>
      <c r="O32" s="32">
        <f t="shared" si="2"/>
        <v>0.13648434674440543</v>
      </c>
    </row>
    <row r="33" spans="1:15" s="18" customFormat="1" hidden="1">
      <c r="A33" s="135" t="s">
        <v>45</v>
      </c>
      <c r="B33" s="45"/>
      <c r="C33" s="136">
        <f>('Data Sheet'!C68-'Data Sheet'!B68)/'Data Sheet'!B68</f>
        <v>0.64671814671814665</v>
      </c>
      <c r="D33" s="136">
        <f>('Data Sheet'!D68-'Data Sheet'!C68)/'Data Sheet'!C68</f>
        <v>0.13716295427901523</v>
      </c>
      <c r="E33" s="136">
        <f>('Data Sheet'!E68-'Data Sheet'!D68)/'Data Sheet'!D68</f>
        <v>1.1340206185567135E-2</v>
      </c>
      <c r="F33" s="136">
        <f>('Data Sheet'!F68-'Data Sheet'!E68)/'Data Sheet'!E68</f>
        <v>6.5239551478083468E-2</v>
      </c>
      <c r="G33" s="136">
        <f>('Data Sheet'!G68-'Data Sheet'!F68)/'Data Sheet'!F68</f>
        <v>0.55693779904306229</v>
      </c>
      <c r="H33" s="136">
        <f>('Data Sheet'!H68-'Data Sheet'!G68)/'Data Sheet'!G68</f>
        <v>0.30854333128457284</v>
      </c>
      <c r="I33" s="136">
        <f>('Data Sheet'!I68-'Data Sheet'!H68)/'Data Sheet'!H68</f>
        <v>9.4880225457961473E-2</v>
      </c>
      <c r="J33" s="136">
        <f>('Data Sheet'!J68-'Data Sheet'!I68)/'Data Sheet'!I68</f>
        <v>4.4616044616044737E-2</v>
      </c>
      <c r="K33" s="136">
        <f>('Data Sheet'!K68-'Data Sheet'!J68)/'Data Sheet'!J68</f>
        <v>0.16673511293634491</v>
      </c>
      <c r="L33" s="136"/>
      <c r="M33" s="136">
        <f t="shared" si="0"/>
        <v>0.13854552252806518</v>
      </c>
      <c r="N33" s="32">
        <f t="shared" si="1"/>
        <v>0.2620516071732103</v>
      </c>
      <c r="O33" s="32">
        <f t="shared" si="2"/>
        <v>0.10207712767011705</v>
      </c>
    </row>
    <row r="34" spans="1:15" s="18" customFormat="1">
      <c r="A34" s="57" t="s">
        <v>78</v>
      </c>
      <c r="B34" s="45"/>
      <c r="C34" s="136">
        <f>('Data Sheet'!C69-'Data Sheet'!B69)/'Data Sheet'!B69</f>
        <v>-4.3478260869565251E-2</v>
      </c>
      <c r="D34" s="136">
        <f>('Data Sheet'!D69-'Data Sheet'!C69)/'Data Sheet'!C69</f>
        <v>0.17045454545454547</v>
      </c>
      <c r="E34" s="136">
        <f>('Data Sheet'!E69-'Data Sheet'!D69)/'Data Sheet'!D69</f>
        <v>5.825242718446607E-2</v>
      </c>
      <c r="F34" s="136">
        <f>('Data Sheet'!F69-'Data Sheet'!E69)/'Data Sheet'!E69</f>
        <v>0.35779816513761459</v>
      </c>
      <c r="G34" s="136">
        <f>('Data Sheet'!G69-'Data Sheet'!F69)/'Data Sheet'!F69</f>
        <v>0.25675675675675685</v>
      </c>
      <c r="H34" s="136">
        <f>('Data Sheet'!H69-'Data Sheet'!G69)/'Data Sheet'!G69</f>
        <v>9.6774193548387052E-2</v>
      </c>
      <c r="I34" s="136">
        <f>('Data Sheet'!I69-'Data Sheet'!H69)/'Data Sheet'!H69</f>
        <v>1.5049019607843139</v>
      </c>
      <c r="J34" s="136">
        <f>('Data Sheet'!J69-'Data Sheet'!I69)/'Data Sheet'!I69</f>
        <v>3.923679060665362</v>
      </c>
      <c r="K34" s="136">
        <f>('Data Sheet'!K69-'Data Sheet'!J69)/'Data Sheet'!J69</f>
        <v>-0.21065182829888715</v>
      </c>
      <c r="L34" s="136"/>
      <c r="M34" s="136">
        <f t="shared" si="0"/>
        <v>0.61579652812325592</v>
      </c>
      <c r="N34" s="32">
        <f t="shared" si="1"/>
        <v>1.2374513343158378</v>
      </c>
      <c r="O34" s="32">
        <f t="shared" si="2"/>
        <v>1.7393097310502632</v>
      </c>
    </row>
    <row r="35" spans="1:15" s="18" customFormat="1" hidden="1">
      <c r="A35" s="57" t="s">
        <v>65</v>
      </c>
      <c r="B35" s="45"/>
      <c r="C35" s="136">
        <f>('Data Sheet'!C70-'Data Sheet'!B70)/'Data Sheet'!B70</f>
        <v>4.9684835001853909E-2</v>
      </c>
      <c r="D35" s="136">
        <f>('Data Sheet'!D70-'Data Sheet'!C70)/'Data Sheet'!C70</f>
        <v>4.980572235959025E-2</v>
      </c>
      <c r="E35" s="136">
        <f>('Data Sheet'!E70-'Data Sheet'!D70)/'Data Sheet'!D70</f>
        <v>0</v>
      </c>
      <c r="F35" s="136">
        <f>('Data Sheet'!F70-'Data Sheet'!E70)/'Data Sheet'!E70</f>
        <v>0</v>
      </c>
      <c r="G35" s="136">
        <f>('Data Sheet'!G70-'Data Sheet'!F70)/'Data Sheet'!F70</f>
        <v>0.5</v>
      </c>
      <c r="H35" s="136">
        <f>('Data Sheet'!H70-'Data Sheet'!G70)/'Data Sheet'!G70</f>
        <v>1.1215791834903545E-2</v>
      </c>
      <c r="I35" s="136">
        <f>('Data Sheet'!I70-'Data Sheet'!H70)/'Data Sheet'!H70</f>
        <v>3.3274179236912158E-2</v>
      </c>
      <c r="J35" s="136">
        <f>('Data Sheet'!J70-'Data Sheet'!I70)/'Data Sheet'!I70</f>
        <v>0.11399227136109918</v>
      </c>
      <c r="K35" s="136">
        <f>('Data Sheet'!K70-'Data Sheet'!J70)/'Data Sheet'!J70</f>
        <v>0</v>
      </c>
      <c r="L35" s="136"/>
      <c r="M35" s="136">
        <f t="shared" si="0"/>
        <v>7.0828796479250514E-2</v>
      </c>
      <c r="N35" s="32">
        <f t="shared" si="1"/>
        <v>0.14586220778243308</v>
      </c>
      <c r="O35" s="32">
        <f t="shared" si="2"/>
        <v>4.9088816866003783E-2</v>
      </c>
    </row>
    <row r="36" spans="1:15" s="18" customFormat="1" hidden="1">
      <c r="A36" s="57" t="s">
        <v>66</v>
      </c>
      <c r="B36" s="45"/>
      <c r="C36" s="136" t="e">
        <f>('Data Sheet'!C71-'Data Sheet'!B71)/'Data Sheet'!B71</f>
        <v>#DIV/0!</v>
      </c>
      <c r="D36" s="136" t="e">
        <f>('Data Sheet'!D71-'Data Sheet'!C71)/'Data Sheet'!C71</f>
        <v>#DIV/0!</v>
      </c>
      <c r="E36" s="136" t="e">
        <f>('Data Sheet'!E71-'Data Sheet'!D71)/'Data Sheet'!D71</f>
        <v>#DIV/0!</v>
      </c>
      <c r="F36" s="136" t="e">
        <f>('Data Sheet'!F71-'Data Sheet'!E71)/'Data Sheet'!E71</f>
        <v>#DIV/0!</v>
      </c>
      <c r="G36" s="136" t="e">
        <f>('Data Sheet'!G71-'Data Sheet'!F71)/'Data Sheet'!F71</f>
        <v>#DIV/0!</v>
      </c>
      <c r="H36" s="136">
        <f>('Data Sheet'!H71-'Data Sheet'!G71)/'Data Sheet'!G71</f>
        <v>-1</v>
      </c>
      <c r="I36" s="136" t="e">
        <f>('Data Sheet'!I71-'Data Sheet'!H71)/'Data Sheet'!H71</f>
        <v>#DIV/0!</v>
      </c>
      <c r="J36" s="136" t="e">
        <f>('Data Sheet'!J71-'Data Sheet'!I71)/'Data Sheet'!I71</f>
        <v>#DIV/0!</v>
      </c>
      <c r="K36" s="136" t="e">
        <f>('Data Sheet'!K71-'Data Sheet'!J71)/'Data Sheet'!J71</f>
        <v>#DIV/0!</v>
      </c>
      <c r="L36" s="136"/>
      <c r="M36" s="136" t="e">
        <f t="shared" si="0"/>
        <v>#DIV/0!</v>
      </c>
      <c r="N36" s="32" t="e">
        <f t="shared" si="1"/>
        <v>#DIV/0!</v>
      </c>
      <c r="O36" s="32" t="e">
        <f t="shared" si="2"/>
        <v>#DIV/0!</v>
      </c>
    </row>
    <row r="37" spans="1:15" s="18" customFormat="1" hidden="1">
      <c r="A37" s="57" t="s">
        <v>79</v>
      </c>
      <c r="B37" s="45"/>
      <c r="C37" s="136">
        <f>('Data Sheet'!C72-'Data Sheet'!B72)/'Data Sheet'!B72</f>
        <v>0</v>
      </c>
      <c r="D37" s="136">
        <f>('Data Sheet'!D72-'Data Sheet'!C72)/'Data Sheet'!C72</f>
        <v>0</v>
      </c>
      <c r="E37" s="136">
        <f>('Data Sheet'!E72-'Data Sheet'!D72)/'Data Sheet'!D72</f>
        <v>0</v>
      </c>
      <c r="F37" s="136">
        <f>('Data Sheet'!F72-'Data Sheet'!E72)/'Data Sheet'!E72</f>
        <v>0</v>
      </c>
      <c r="G37" s="136">
        <f>('Data Sheet'!G72-'Data Sheet'!F72)/'Data Sheet'!F72</f>
        <v>0</v>
      </c>
      <c r="H37" s="136">
        <f>('Data Sheet'!H72-'Data Sheet'!G72)/'Data Sheet'!G72</f>
        <v>0</v>
      </c>
      <c r="I37" s="136">
        <f>('Data Sheet'!I72-'Data Sheet'!H72)/'Data Sheet'!H72</f>
        <v>0</v>
      </c>
      <c r="J37" s="136">
        <f>('Data Sheet'!J72-'Data Sheet'!I72)/'Data Sheet'!I72</f>
        <v>0</v>
      </c>
      <c r="K37" s="136">
        <f>('Data Sheet'!K72-'Data Sheet'!J72)/'Data Sheet'!J72</f>
        <v>0</v>
      </c>
      <c r="L37" s="136"/>
      <c r="M37" s="136">
        <f t="shared" si="0"/>
        <v>0</v>
      </c>
      <c r="N37" s="32">
        <f t="shared" si="1"/>
        <v>0</v>
      </c>
      <c r="O37" s="32">
        <f t="shared" si="2"/>
        <v>0</v>
      </c>
    </row>
    <row r="38" spans="1:15" s="18" customFormat="1" hidden="1">
      <c r="A38" s="57"/>
      <c r="B38" s="4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>
        <f t="shared" si="0"/>
        <v>0</v>
      </c>
      <c r="N38" s="32">
        <f t="shared" si="1"/>
        <v>0</v>
      </c>
      <c r="O38" s="32">
        <f t="shared" si="2"/>
        <v>0</v>
      </c>
    </row>
    <row r="39" spans="1:15" s="18" customFormat="1" ht="18.75" hidden="1">
      <c r="A39" s="137" t="s">
        <v>99</v>
      </c>
      <c r="B39" s="4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>
        <f t="shared" si="0"/>
        <v>0</v>
      </c>
      <c r="N39" s="32">
        <f t="shared" si="1"/>
        <v>0</v>
      </c>
      <c r="O39" s="32">
        <f t="shared" si="2"/>
        <v>0</v>
      </c>
    </row>
    <row r="40" spans="1:15" s="18" customFormat="1" hidden="1">
      <c r="A40" s="138" t="s">
        <v>41</v>
      </c>
      <c r="B40" s="4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>
        <f t="shared" si="0"/>
        <v>0</v>
      </c>
      <c r="N40" s="32">
        <f t="shared" si="1"/>
        <v>0</v>
      </c>
      <c r="O40" s="32">
        <f t="shared" si="2"/>
        <v>0</v>
      </c>
    </row>
    <row r="41" spans="1:15" s="18" customFormat="1">
      <c r="A41" s="135" t="s">
        <v>32</v>
      </c>
      <c r="B41" s="45"/>
      <c r="C41" s="136">
        <f>('Data Sheet'!C82-'Data Sheet'!B82)/'Data Sheet'!B82</f>
        <v>0.61340206185567014</v>
      </c>
      <c r="D41" s="136">
        <f>('Data Sheet'!D82-'Data Sheet'!C82)/'Data Sheet'!C82</f>
        <v>0.50319488817891378</v>
      </c>
      <c r="E41" s="136">
        <f>('Data Sheet'!E82-'Data Sheet'!D82)/'Data Sheet'!D82</f>
        <v>-0.68437832093517526</v>
      </c>
      <c r="F41" s="136">
        <f>('Data Sheet'!F82-'Data Sheet'!E82)/'Data Sheet'!E82</f>
        <v>1.4747474747474743</v>
      </c>
      <c r="G41" s="136">
        <f>('Data Sheet'!G82-'Data Sheet'!F82)/'Data Sheet'!F82</f>
        <v>-0.60000000000000009</v>
      </c>
      <c r="H41" s="136">
        <f>('Data Sheet'!H82-'Data Sheet'!G82)/'Data Sheet'!G82</f>
        <v>1.3231292517006803</v>
      </c>
      <c r="I41" s="136">
        <f>('Data Sheet'!I82-'Data Sheet'!H82)/'Data Sheet'!H82</f>
        <v>0.84919472913616412</v>
      </c>
      <c r="J41" s="136">
        <f>('Data Sheet'!J82-'Data Sheet'!I82)/'Data Sheet'!I82</f>
        <v>-0.89073634204275531</v>
      </c>
      <c r="K41" s="136">
        <f>('Data Sheet'!K82-'Data Sheet'!J82)/'Data Sheet'!J82</f>
        <v>1.3043478260869568</v>
      </c>
      <c r="L41" s="136"/>
      <c r="M41" s="136">
        <f t="shared" si="0"/>
        <v>0.32794995068722582</v>
      </c>
      <c r="N41" s="32">
        <f t="shared" si="1"/>
        <v>0.46277708311365429</v>
      </c>
      <c r="O41" s="32">
        <f t="shared" si="2"/>
        <v>0.42093540439345523</v>
      </c>
    </row>
    <row r="42" spans="1:15" s="18" customFormat="1" hidden="1">
      <c r="A42" s="135" t="s">
        <v>33</v>
      </c>
      <c r="B42" s="45"/>
      <c r="C42" s="136">
        <f>('Data Sheet'!C83-'Data Sheet'!B83)/'Data Sheet'!B83</f>
        <v>1.8604651162790715E-2</v>
      </c>
      <c r="D42" s="136">
        <f>('Data Sheet'!D83-'Data Sheet'!C83)/'Data Sheet'!C83</f>
        <v>-0.19786910197869112</v>
      </c>
      <c r="E42" s="136">
        <f>('Data Sheet'!E83-'Data Sheet'!D83)/'Data Sheet'!D83</f>
        <v>5.1233396584440316E-2</v>
      </c>
      <c r="F42" s="136">
        <f>('Data Sheet'!F83-'Data Sheet'!E83)/'Data Sheet'!E83</f>
        <v>-0.32851985559566782</v>
      </c>
      <c r="G42" s="136">
        <f>('Data Sheet'!G83-'Data Sheet'!F83)/'Data Sheet'!F83</f>
        <v>1.8306451612903221</v>
      </c>
      <c r="H42" s="136">
        <f>('Data Sheet'!H83-'Data Sheet'!G83)/'Data Sheet'!G83</f>
        <v>-6.4577397910731221E-2</v>
      </c>
      <c r="I42" s="136">
        <f>('Data Sheet'!I83-'Data Sheet'!H83)/'Data Sheet'!H83</f>
        <v>0.59593908629441639</v>
      </c>
      <c r="J42" s="136">
        <f>('Data Sheet'!J83-'Data Sheet'!I83)/'Data Sheet'!I83</f>
        <v>-0.53117048346055984</v>
      </c>
      <c r="K42" s="136">
        <f>('Data Sheet'!K83-'Data Sheet'!J83)/'Data Sheet'!J83</f>
        <v>0.46132971506105824</v>
      </c>
      <c r="L42" s="136"/>
      <c r="M42" s="136">
        <f t="shared" si="0"/>
        <v>0.18170105202845871</v>
      </c>
      <c r="N42" s="32">
        <f t="shared" si="1"/>
        <v>0.49477342666059282</v>
      </c>
      <c r="O42" s="32">
        <f t="shared" si="2"/>
        <v>0.1753661059649716</v>
      </c>
    </row>
    <row r="43" spans="1:15" s="18" customFormat="1" hidden="1">
      <c r="A43" s="135" t="s">
        <v>34</v>
      </c>
      <c r="B43" s="45"/>
      <c r="C43" s="136">
        <f>('Data Sheet'!C84-'Data Sheet'!B84)/'Data Sheet'!B84</f>
        <v>-0.90939597315436238</v>
      </c>
      <c r="D43" s="136">
        <f>('Data Sheet'!D84-'Data Sheet'!C84)/'Data Sheet'!C84</f>
        <v>-15.777777777777777</v>
      </c>
      <c r="E43" s="136">
        <f>('Data Sheet'!E84-'Data Sheet'!D84)/'Data Sheet'!D84</f>
        <v>-1.6240601503759398</v>
      </c>
      <c r="F43" s="136">
        <f>('Data Sheet'!F84-'Data Sheet'!E84)/'Data Sheet'!E84</f>
        <v>-2.3052208835341363</v>
      </c>
      <c r="G43" s="136">
        <f>('Data Sheet'!G84-'Data Sheet'!F84)/'Data Sheet'!F84</f>
        <v>-3.5784615384615388</v>
      </c>
      <c r="H43" s="136">
        <f>('Data Sheet'!H84-'Data Sheet'!G84)/'Data Sheet'!G84</f>
        <v>-0.63245823389021483</v>
      </c>
      <c r="I43" s="136">
        <f>('Data Sheet'!I84-'Data Sheet'!H84)/'Data Sheet'!H84</f>
        <v>1.1103896103896103</v>
      </c>
      <c r="J43" s="136">
        <f>('Data Sheet'!J84-'Data Sheet'!I84)/'Data Sheet'!I84</f>
        <v>2.2076923076923078</v>
      </c>
      <c r="K43" s="136">
        <f>('Data Sheet'!K84-'Data Sheet'!J84)/'Data Sheet'!J84</f>
        <v>-0.69016786570743405</v>
      </c>
      <c r="L43" s="136"/>
      <c r="M43" s="136">
        <f t="shared" si="0"/>
        <v>-2.1290064531665123</v>
      </c>
      <c r="N43" s="32">
        <f t="shared" si="1"/>
        <v>-0.74240243462875632</v>
      </c>
      <c r="O43" s="32">
        <f t="shared" si="2"/>
        <v>0.8759713507914948</v>
      </c>
    </row>
    <row r="44" spans="1:15" s="18" customFormat="1" hidden="1">
      <c r="A44" s="135" t="s">
        <v>35</v>
      </c>
      <c r="B44" s="45"/>
      <c r="C44" s="136">
        <f>('Data Sheet'!C85-'Data Sheet'!B85)/'Data Sheet'!B85</f>
        <v>-1.097560975609756</v>
      </c>
      <c r="D44" s="136">
        <f>('Data Sheet'!D85-'Data Sheet'!C85)/'Data Sheet'!C85</f>
        <v>-4.75</v>
      </c>
      <c r="E44" s="136">
        <f>('Data Sheet'!E85-'Data Sheet'!D85)/'Data Sheet'!D85</f>
        <v>-1.5333333333333332</v>
      </c>
      <c r="F44" s="136">
        <f>('Data Sheet'!F85-'Data Sheet'!E85)/'Data Sheet'!E85</f>
        <v>-5.75</v>
      </c>
      <c r="G44" s="136">
        <f>('Data Sheet'!G85-'Data Sheet'!F85)/'Data Sheet'!F85</f>
        <v>1.0789473684210527</v>
      </c>
      <c r="H44" s="136">
        <f>('Data Sheet'!H85-'Data Sheet'!G85)/'Data Sheet'!G85</f>
        <v>-0.92405063291139233</v>
      </c>
      <c r="I44" s="136">
        <f>('Data Sheet'!I85-'Data Sheet'!H85)/'Data Sheet'!H85</f>
        <v>55.833333333333336</v>
      </c>
      <c r="J44" s="136">
        <f>('Data Sheet'!J85-'Data Sheet'!I85)/'Data Sheet'!I85</f>
        <v>3.354838709677419</v>
      </c>
      <c r="K44" s="136">
        <f>('Data Sheet'!K85-'Data Sheet'!J85)/'Data Sheet'!J85</f>
        <v>-1.0760942760942762</v>
      </c>
      <c r="L44" s="136"/>
      <c r="M44" s="136">
        <f t="shared" si="0"/>
        <v>4.623364116909281</v>
      </c>
      <c r="N44" s="32">
        <f t="shared" si="1"/>
        <v>12.578067723867083</v>
      </c>
      <c r="O44" s="32">
        <f t="shared" si="2"/>
        <v>19.370692588972158</v>
      </c>
    </row>
    <row r="45" spans="1:15" s="18" customFormat="1" hidden="1">
      <c r="A45" s="135"/>
      <c r="B45" s="4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>
        <f t="shared" si="0"/>
        <v>0</v>
      </c>
      <c r="N45" s="32">
        <f t="shared" si="1"/>
        <v>0</v>
      </c>
      <c r="O45" s="32">
        <f t="shared" si="2"/>
        <v>0</v>
      </c>
    </row>
    <row r="46" spans="1:15" s="18" customFormat="1" hidden="1">
      <c r="A46" s="138" t="s">
        <v>68</v>
      </c>
      <c r="B46" s="45"/>
      <c r="C46" s="136">
        <f>('Data Sheet'!C90-'Data Sheet'!B90)/'Data Sheet'!B90</f>
        <v>0.20930896630496854</v>
      </c>
      <c r="D46" s="136">
        <f>('Data Sheet'!D90-'Data Sheet'!C90)/'Data Sheet'!C90</f>
        <v>0.93506493506493504</v>
      </c>
      <c r="E46" s="136">
        <f>('Data Sheet'!E90-'Data Sheet'!D90)/'Data Sheet'!D90</f>
        <v>-9.6888346552776047E-2</v>
      </c>
      <c r="F46" s="136">
        <f>('Data Sheet'!F90-'Data Sheet'!E90)/'Data Sheet'!E90</f>
        <v>-8.633968382650993E-2</v>
      </c>
      <c r="G46" s="136">
        <f>('Data Sheet'!G90-'Data Sheet'!F90)/'Data Sheet'!F90</f>
        <v>0.27521443359952674</v>
      </c>
      <c r="H46" s="136">
        <f>('Data Sheet'!H90-'Data Sheet'!G90)/'Data Sheet'!G90</f>
        <v>1.5030731763887279</v>
      </c>
      <c r="I46" s="136">
        <f>('Data Sheet'!I90-'Data Sheet'!H90)/'Data Sheet'!H90</f>
        <v>1.3668458117123794</v>
      </c>
      <c r="J46" s="136">
        <f>('Data Sheet'!J90-'Data Sheet'!I90)/'Data Sheet'!I90</f>
        <v>3.2552949927573099E-2</v>
      </c>
      <c r="K46" s="136">
        <f>('Data Sheet'!K90-'Data Sheet'!J90)/'Data Sheet'!J90</f>
        <v>-2.8777796735483259E-2</v>
      </c>
      <c r="L46" s="136"/>
      <c r="M46" s="136">
        <f t="shared" si="0"/>
        <v>0.39007454795783725</v>
      </c>
      <c r="N46" s="32">
        <f t="shared" si="1"/>
        <v>0.70779662457011217</v>
      </c>
      <c r="O46" s="32">
        <f t="shared" si="2"/>
        <v>0.45687365496815646</v>
      </c>
    </row>
    <row r="47" spans="1:15" s="18" customFormat="1" hidden="1">
      <c r="A47" s="138" t="s">
        <v>67</v>
      </c>
      <c r="B47" s="4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>
        <f t="shared" si="0"/>
        <v>0</v>
      </c>
      <c r="N47" s="32">
        <f t="shared" si="1"/>
        <v>0</v>
      </c>
      <c r="O47" s="32">
        <f t="shared" si="2"/>
        <v>0</v>
      </c>
    </row>
    <row r="48" spans="1:15" s="18" customFormat="1" hidden="1">
      <c r="A48" s="57" t="s">
        <v>80</v>
      </c>
      <c r="B48" s="45"/>
      <c r="C48" s="136">
        <f>('Data Sheet'!C93-'Data Sheet'!B93)/'Data Sheet'!B93</f>
        <v>3.2034425053789069E-2</v>
      </c>
      <c r="D48" s="136">
        <f>('Data Sheet'!D93-'Data Sheet'!C93)/'Data Sheet'!C93</f>
        <v>3.2661570535093817E-2</v>
      </c>
      <c r="E48" s="136">
        <f>('Data Sheet'!E93-'Data Sheet'!D93)/'Data Sheet'!D93</f>
        <v>0</v>
      </c>
      <c r="F48" s="136">
        <f>('Data Sheet'!F93-'Data Sheet'!E93)/'Data Sheet'!E93</f>
        <v>0</v>
      </c>
      <c r="G48" s="136">
        <f>('Data Sheet'!G93-'Data Sheet'!F93)/'Data Sheet'!F93</f>
        <v>0</v>
      </c>
      <c r="H48" s="136">
        <f>('Data Sheet'!H93-'Data Sheet'!G93)/'Data Sheet'!G93</f>
        <v>1.1215791834903555E-2</v>
      </c>
      <c r="I48" s="136">
        <f>('Data Sheet'!I93-'Data Sheet'!H93)/'Data Sheet'!H93</f>
        <v>3.3274179236912185E-2</v>
      </c>
      <c r="J48" s="136">
        <f>('Data Sheet'!J93-'Data Sheet'!I93)/'Data Sheet'!I93</f>
        <v>0.11399227136109912</v>
      </c>
      <c r="K48" s="136">
        <f>('Data Sheet'!K93-'Data Sheet'!J93)/'Data Sheet'!J93</f>
        <v>0</v>
      </c>
      <c r="L48" s="136"/>
      <c r="M48" s="136">
        <f t="shared" si="0"/>
        <v>1.9114381296800868E-2</v>
      </c>
      <c r="N48" s="32">
        <f t="shared" si="1"/>
        <v>3.5519324745943145E-2</v>
      </c>
      <c r="O48" s="32">
        <f t="shared" si="2"/>
        <v>4.9088816866003769E-2</v>
      </c>
    </row>
    <row r="49" spans="1:15" s="18" customFormat="1" hidden="1">
      <c r="A49" s="57"/>
      <c r="B49" s="46"/>
      <c r="C49" s="69"/>
      <c r="D49" s="46"/>
      <c r="E49" s="46"/>
      <c r="F49" s="46"/>
      <c r="G49" s="46"/>
      <c r="H49" s="46"/>
      <c r="I49" s="46"/>
      <c r="J49" s="46"/>
      <c r="K49" s="46"/>
      <c r="L49" s="46"/>
      <c r="M49" s="136">
        <f t="shared" si="0"/>
        <v>0</v>
      </c>
      <c r="N49" s="32">
        <f t="shared" si="1"/>
        <v>0</v>
      </c>
      <c r="O49" s="32">
        <f t="shared" si="2"/>
        <v>0</v>
      </c>
    </row>
    <row r="50" spans="1:15" s="18" customFormat="1" ht="18.75" hidden="1">
      <c r="A50" s="150" t="s">
        <v>135</v>
      </c>
      <c r="B50" s="46"/>
      <c r="C50" s="69"/>
      <c r="D50" s="46"/>
      <c r="E50" s="46"/>
      <c r="F50" s="46"/>
      <c r="G50" s="46"/>
      <c r="H50" s="46"/>
      <c r="I50" s="46"/>
      <c r="J50" s="46"/>
      <c r="K50" s="46"/>
      <c r="L50" s="46"/>
      <c r="M50" s="136">
        <f t="shared" si="0"/>
        <v>0</v>
      </c>
      <c r="N50" s="32">
        <f t="shared" si="1"/>
        <v>0</v>
      </c>
      <c r="O50" s="32">
        <f t="shared" si="2"/>
        <v>0</v>
      </c>
    </row>
    <row r="51" spans="1:15" s="18" customFormat="1" hidden="1">
      <c r="A51" s="135" t="s">
        <v>6</v>
      </c>
      <c r="B51" s="45">
        <f>'Data Sheet'!B17/'Data Sheet'!B17</f>
        <v>1</v>
      </c>
      <c r="C51" s="45">
        <f>'Data Sheet'!C17/'Data Sheet'!C17</f>
        <v>1</v>
      </c>
      <c r="D51" s="45">
        <f>'Data Sheet'!D17/'Data Sheet'!D17</f>
        <v>1</v>
      </c>
      <c r="E51" s="45">
        <f>'Data Sheet'!E17/'Data Sheet'!E17</f>
        <v>1</v>
      </c>
      <c r="F51" s="45">
        <f>'Data Sheet'!F17/'Data Sheet'!F17</f>
        <v>1</v>
      </c>
      <c r="G51" s="45">
        <f>'Data Sheet'!G17/'Data Sheet'!G17</f>
        <v>1</v>
      </c>
      <c r="H51" s="45">
        <f>'Data Sheet'!H17/'Data Sheet'!H17</f>
        <v>1</v>
      </c>
      <c r="I51" s="45">
        <f>'Data Sheet'!I17/'Data Sheet'!I17</f>
        <v>1</v>
      </c>
      <c r="J51" s="45">
        <f>'Data Sheet'!J17/'Data Sheet'!J17</f>
        <v>1</v>
      </c>
      <c r="K51" s="45">
        <f>'Data Sheet'!K17/'Data Sheet'!K17</f>
        <v>1</v>
      </c>
      <c r="L51" s="45"/>
      <c r="M51" s="136">
        <f t="shared" si="0"/>
        <v>0.8</v>
      </c>
      <c r="N51" s="32">
        <f t="shared" si="1"/>
        <v>1.1599999999999999</v>
      </c>
      <c r="O51" s="32">
        <f t="shared" si="2"/>
        <v>1</v>
      </c>
    </row>
    <row r="52" spans="1:15" s="18" customFormat="1" hidden="1">
      <c r="A52" s="57" t="s">
        <v>71</v>
      </c>
      <c r="B52" s="45">
        <f>('Data Sheet'!B18-'Data Sheet'!B19)/'Data Sheet'!B17</f>
        <v>0.34815546772068512</v>
      </c>
      <c r="C52" s="45">
        <f>('Data Sheet'!C18-'Data Sheet'!C19)/'Data Sheet'!C17</f>
        <v>0.33919399446858955</v>
      </c>
      <c r="D52" s="45">
        <f>('Data Sheet'!D18-'Data Sheet'!D19)/'Data Sheet'!D17</f>
        <v>0.30726015557476233</v>
      </c>
      <c r="E52" s="45">
        <f>('Data Sheet'!E18-'Data Sheet'!E19)/'Data Sheet'!E17</f>
        <v>0.32831215970961886</v>
      </c>
      <c r="F52" s="45">
        <f>('Data Sheet'!F18-'Data Sheet'!F19)/'Data Sheet'!F17</f>
        <v>0.40476190476190477</v>
      </c>
      <c r="G52" s="45">
        <f>('Data Sheet'!G18-'Data Sheet'!G19)/'Data Sheet'!G17</f>
        <v>0.41210962396430845</v>
      </c>
      <c r="H52" s="45">
        <f>('Data Sheet'!H18-'Data Sheet'!H19)/'Data Sheet'!H17</f>
        <v>0.41972808793751809</v>
      </c>
      <c r="I52" s="45">
        <f>('Data Sheet'!I18-'Data Sheet'!I19)/'Data Sheet'!I17</f>
        <v>0.39068808521604675</v>
      </c>
      <c r="J52" s="45">
        <f>('Data Sheet'!J18-'Data Sheet'!J19)/'Data Sheet'!J17</f>
        <v>0.37210139709059481</v>
      </c>
      <c r="K52" s="45">
        <f>('Data Sheet'!K18-'Data Sheet'!K19)/'Data Sheet'!K17</f>
        <v>0.34742413549753004</v>
      </c>
      <c r="L52" s="45"/>
      <c r="M52" s="136">
        <f t="shared" si="0"/>
        <v>0.29823855497522844</v>
      </c>
      <c r="N52" s="32">
        <f t="shared" si="1"/>
        <v>0.44805797693624533</v>
      </c>
      <c r="O52" s="32">
        <f t="shared" si="2"/>
        <v>0.37007120593472392</v>
      </c>
    </row>
    <row r="53" spans="1:15" s="18" customFormat="1" hidden="1">
      <c r="A53" s="57" t="s">
        <v>72</v>
      </c>
      <c r="B53" s="45">
        <f>'Data Sheet'!B19/'Data Sheet'!B17</f>
        <v>1.9433465085638996E-2</v>
      </c>
      <c r="C53" s="45">
        <f>'Data Sheet'!C19/'Data Sheet'!C17</f>
        <v>1.0667720268668511E-2</v>
      </c>
      <c r="D53" s="45">
        <f>'Data Sheet'!D19/'Data Sheet'!D17</f>
        <v>4.1054451166810717E-2</v>
      </c>
      <c r="E53" s="45">
        <f>'Data Sheet'!E19/'Data Sheet'!E17</f>
        <v>9.6188747731397461E-3</v>
      </c>
      <c r="F53" s="45">
        <f>'Data Sheet'!F19/'Data Sheet'!F17</f>
        <v>1.8018018018018021E-2</v>
      </c>
      <c r="G53" s="45">
        <f>'Data Sheet'!G19/'Data Sheet'!G17</f>
        <v>3.3269598470363287E-2</v>
      </c>
      <c r="H53" s="45">
        <f>'Data Sheet'!H19/'Data Sheet'!H17</f>
        <v>5.1296885546234697E-2</v>
      </c>
      <c r="I53" s="45">
        <f>'Data Sheet'!I19/'Data Sheet'!I17</f>
        <v>2.8348080061850358E-3</v>
      </c>
      <c r="J53" s="45">
        <f>'Data Sheet'!J19/'Data Sheet'!J17</f>
        <v>1.8363819674492292E-2</v>
      </c>
      <c r="K53" s="45">
        <f>'Data Sheet'!K19/'Data Sheet'!K17</f>
        <v>2.2512350035285816E-2</v>
      </c>
      <c r="L53" s="45"/>
      <c r="M53" s="136">
        <f t="shared" si="0"/>
        <v>1.9696880569052964E-2</v>
      </c>
      <c r="N53" s="32">
        <f t="shared" si="1"/>
        <v>2.9594868460322821E-2</v>
      </c>
      <c r="O53" s="32">
        <f t="shared" si="2"/>
        <v>1.4570325905321049E-2</v>
      </c>
    </row>
    <row r="54" spans="1:15" s="18" customFormat="1" hidden="1">
      <c r="A54" s="57" t="s">
        <v>73</v>
      </c>
      <c r="B54" s="45">
        <f>'Data Sheet'!B20/'Data Sheet'!B17</f>
        <v>3.8208168642951248E-2</v>
      </c>
      <c r="C54" s="45">
        <f>'Data Sheet'!C20/'Data Sheet'!C17</f>
        <v>4.3263532200711184E-2</v>
      </c>
      <c r="D54" s="45">
        <f>'Data Sheet'!D20/'Data Sheet'!D17</f>
        <v>4.1054451166810717E-2</v>
      </c>
      <c r="E54" s="45">
        <f>'Data Sheet'!E20/'Data Sheet'!E17</f>
        <v>3.8294010889292192E-2</v>
      </c>
      <c r="F54" s="45">
        <f>'Data Sheet'!F20/'Data Sheet'!F17</f>
        <v>4.0057915057915061E-2</v>
      </c>
      <c r="G54" s="45">
        <f>'Data Sheet'!G20/'Data Sheet'!G17</f>
        <v>4.1045251752708733E-2</v>
      </c>
      <c r="H54" s="45">
        <f>'Data Sheet'!H20/'Data Sheet'!H17</f>
        <v>3.4615755471989203E-2</v>
      </c>
      <c r="I54" s="45">
        <f>'Data Sheet'!I20/'Data Sheet'!I17</f>
        <v>3.2900953526329352E-2</v>
      </c>
      <c r="J54" s="45">
        <f>'Data Sheet'!J20/'Data Sheet'!J17</f>
        <v>2.7221662105717984E-2</v>
      </c>
      <c r="K54" s="45">
        <f>'Data Sheet'!K20/'Data Sheet'!K17</f>
        <v>2.7805222300635146E-2</v>
      </c>
      <c r="L54" s="45"/>
      <c r="M54" s="136">
        <f t="shared" si="0"/>
        <v>2.8299522227139839E-2</v>
      </c>
      <c r="N54" s="32">
        <f t="shared" si="1"/>
        <v>3.8377673476904052E-2</v>
      </c>
      <c r="O54" s="32">
        <f t="shared" si="2"/>
        <v>2.9309279310894162E-2</v>
      </c>
    </row>
    <row r="55" spans="1:15" s="18" customFormat="1" hidden="1">
      <c r="A55" s="57" t="s">
        <v>74</v>
      </c>
      <c r="B55" s="45">
        <f>'Data Sheet'!B21/'Data Sheet'!B17</f>
        <v>0.10408432147562582</v>
      </c>
      <c r="C55" s="45">
        <f>'Data Sheet'!C21/'Data Sheet'!C17</f>
        <v>0.10687475306203083</v>
      </c>
      <c r="D55" s="45">
        <f>'Data Sheet'!D21/'Data Sheet'!D17</f>
        <v>0.12878133102852204</v>
      </c>
      <c r="E55" s="45">
        <f>'Data Sheet'!E21/'Data Sheet'!E17</f>
        <v>0.13230490018148819</v>
      </c>
      <c r="F55" s="45">
        <f>'Data Sheet'!F21/'Data Sheet'!F17</f>
        <v>0.1204954954954955</v>
      </c>
      <c r="G55" s="45">
        <f>'Data Sheet'!G21/'Data Sheet'!G17</f>
        <v>0.15130656469088591</v>
      </c>
      <c r="H55" s="45">
        <f>'Data Sheet'!H21/'Data Sheet'!H17</f>
        <v>0.13846302188795681</v>
      </c>
      <c r="I55" s="45">
        <f>'Data Sheet'!I21/'Data Sheet'!I17</f>
        <v>0.1188901297139421</v>
      </c>
      <c r="J55" s="45">
        <f>'Data Sheet'!J21/'Data Sheet'!J17</f>
        <v>0.12192135964280569</v>
      </c>
      <c r="K55" s="45">
        <f>'Data Sheet'!K21/'Data Sheet'!K17</f>
        <v>0.13203952011291462</v>
      </c>
      <c r="L55" s="45"/>
      <c r="M55" s="136">
        <f t="shared" si="0"/>
        <v>0.10442023227540106</v>
      </c>
      <c r="N55" s="32">
        <f t="shared" si="1"/>
        <v>0.15340816566478124</v>
      </c>
      <c r="O55" s="32">
        <f t="shared" si="2"/>
        <v>0.12428366982322081</v>
      </c>
    </row>
    <row r="56" spans="1:15" s="18" customFormat="1" hidden="1">
      <c r="A56" s="57" t="s">
        <v>75</v>
      </c>
      <c r="B56" s="45">
        <f>'Data Sheet'!B22/'Data Sheet'!B17</f>
        <v>7.7404479578392624E-2</v>
      </c>
      <c r="C56" s="45">
        <f>'Data Sheet'!C22/'Data Sheet'!C17</f>
        <v>6.6376926116159626E-2</v>
      </c>
      <c r="D56" s="45">
        <f>'Data Sheet'!D22/'Data Sheet'!D17</f>
        <v>9.3128781331028518E-2</v>
      </c>
      <c r="E56" s="45">
        <f>'Data Sheet'!E22/'Data Sheet'!E17</f>
        <v>9.3284936479128847E-2</v>
      </c>
      <c r="F56" s="45">
        <f>'Data Sheet'!F22/'Data Sheet'!F17</f>
        <v>8.9607464607464618E-2</v>
      </c>
      <c r="G56" s="45">
        <f>'Data Sheet'!G22/'Data Sheet'!G17</f>
        <v>5.098789037603569E-2</v>
      </c>
      <c r="H56" s="45">
        <f>'Data Sheet'!H22/'Data Sheet'!H17</f>
        <v>6.7303056600134997E-2</v>
      </c>
      <c r="I56" s="45">
        <f>'Data Sheet'!I22/'Data Sheet'!I17</f>
        <v>7.0097070698393618E-2</v>
      </c>
      <c r="J56" s="45">
        <f>'Data Sheet'!J22/'Data Sheet'!J17</f>
        <v>7.770416246579287E-2</v>
      </c>
      <c r="K56" s="45">
        <f>'Data Sheet'!K22/'Data Sheet'!K17</f>
        <v>8.2780522230063519E-2</v>
      </c>
      <c r="L56" s="45"/>
      <c r="M56" s="136">
        <f t="shared" si="0"/>
        <v>6.2489388478804267E-2</v>
      </c>
      <c r="N56" s="32">
        <f t="shared" si="1"/>
        <v>8.2272418169844985E-2</v>
      </c>
      <c r="O56" s="32">
        <f t="shared" si="2"/>
        <v>7.6860585131416664E-2</v>
      </c>
    </row>
    <row r="57" spans="1:15" s="18" customFormat="1" hidden="1">
      <c r="A57" s="57" t="s">
        <v>76</v>
      </c>
      <c r="B57" s="45">
        <f>'Data Sheet'!B23/'Data Sheet'!B17</f>
        <v>0.18774703557312253</v>
      </c>
      <c r="C57" s="45">
        <f>'Data Sheet'!C23/'Data Sheet'!C17</f>
        <v>0.15804030027657054</v>
      </c>
      <c r="D57" s="45">
        <f>'Data Sheet'!D23/'Data Sheet'!D17</f>
        <v>0.16378565254969749</v>
      </c>
      <c r="E57" s="45">
        <f>'Data Sheet'!E23/'Data Sheet'!E17</f>
        <v>0.18602540834845735</v>
      </c>
      <c r="F57" s="45">
        <f>'Data Sheet'!F23/'Data Sheet'!F17</f>
        <v>0.16666666666666666</v>
      </c>
      <c r="G57" s="45">
        <f>'Data Sheet'!G23/'Data Sheet'!G17</f>
        <v>0.16048438495857234</v>
      </c>
      <c r="H57" s="45">
        <f>'Data Sheet'!H23/'Data Sheet'!H17</f>
        <v>0.15148008870889984</v>
      </c>
      <c r="I57" s="45">
        <f>'Data Sheet'!I23/'Data Sheet'!I17</f>
        <v>0.16544970363370845</v>
      </c>
      <c r="J57" s="45">
        <f>'Data Sheet'!J23/'Data Sheet'!J17</f>
        <v>0.21093187382975656</v>
      </c>
      <c r="K57" s="45">
        <f>'Data Sheet'!K23/'Data Sheet'!K17</f>
        <v>0.20868031051517291</v>
      </c>
      <c r="L57" s="45"/>
      <c r="M57" s="136">
        <f t="shared" si="0"/>
        <v>0.14135040892109316</v>
      </c>
      <c r="N57" s="32">
        <f t="shared" si="1"/>
        <v>0.20767535411344062</v>
      </c>
      <c r="O57" s="32">
        <f t="shared" si="2"/>
        <v>0.19502062932621264</v>
      </c>
    </row>
    <row r="58" spans="1:15" s="18" customFormat="1" hidden="1">
      <c r="A58" s="57" t="s">
        <v>77</v>
      </c>
      <c r="B58" s="45">
        <f>'Data Sheet'!B24/'Data Sheet'!B17</f>
        <v>2.766798418972332E-2</v>
      </c>
      <c r="C58" s="45">
        <f>'Data Sheet'!C24/'Data Sheet'!C17</f>
        <v>2.5483998419597E-2</v>
      </c>
      <c r="D58" s="45">
        <f>'Data Sheet'!D24/'Data Sheet'!D17</f>
        <v>3.3275713050993951E-2</v>
      </c>
      <c r="E58" s="45">
        <f>'Data Sheet'!E24/'Data Sheet'!E17</f>
        <v>1.0526315789473684E-2</v>
      </c>
      <c r="F58" s="45">
        <f>'Data Sheet'!F24/'Data Sheet'!F17</f>
        <v>1.5122265122265123E-2</v>
      </c>
      <c r="G58" s="45">
        <f>'Data Sheet'!G24/'Data Sheet'!G17</f>
        <v>1.3256851497769279E-2</v>
      </c>
      <c r="H58" s="45">
        <f>'Data Sheet'!H24/'Data Sheet'!H17</f>
        <v>1.3595603124096037E-2</v>
      </c>
      <c r="I58" s="45">
        <f>'Data Sheet'!I24/'Data Sheet'!I17</f>
        <v>4.046044154282278E-2</v>
      </c>
      <c r="J58" s="45">
        <f>'Data Sheet'!J24/'Data Sheet'!J17</f>
        <v>5.1202650151231453E-2</v>
      </c>
      <c r="K58" s="45">
        <f>'Data Sheet'!K24/'Data Sheet'!K17</f>
        <v>5.2011291460832748E-2</v>
      </c>
      <c r="L58" s="45"/>
      <c r="M58" s="136">
        <f t="shared" si="0"/>
        <v>2.2945113173948505E-2</v>
      </c>
      <c r="N58" s="32">
        <f t="shared" si="1"/>
        <v>3.8694390190140163E-2</v>
      </c>
      <c r="O58" s="32">
        <f t="shared" si="2"/>
        <v>4.7891461051628996E-2</v>
      </c>
    </row>
    <row r="59" spans="1:15" s="18" customFormat="1" hidden="1">
      <c r="A59" s="135" t="s">
        <v>9</v>
      </c>
      <c r="B59" s="45">
        <f>'Data Sheet'!B25/'Data Sheet'!B17</f>
        <v>1.1857707509881422E-2</v>
      </c>
      <c r="C59" s="45">
        <f>'Data Sheet'!C25/'Data Sheet'!C17</f>
        <v>6.7167127617542479E-3</v>
      </c>
      <c r="D59" s="45">
        <f>'Data Sheet'!D25/'Data Sheet'!D17</f>
        <v>1.2316335350043214E-2</v>
      </c>
      <c r="E59" s="45">
        <f>'Data Sheet'!E25/'Data Sheet'!E17</f>
        <v>6.7150635208711434E-3</v>
      </c>
      <c r="F59" s="45">
        <f>'Data Sheet'!F25/'Data Sheet'!F17</f>
        <v>1.4317889317889319E-2</v>
      </c>
      <c r="G59" s="45">
        <f>'Data Sheet'!G25/'Data Sheet'!G17</f>
        <v>1.0325047801147227E-2</v>
      </c>
      <c r="H59" s="45">
        <f>'Data Sheet'!H25/'Data Sheet'!H17</f>
        <v>7.4245492237971274E-3</v>
      </c>
      <c r="I59" s="45">
        <f>'Data Sheet'!I25/'Data Sheet'!I17</f>
        <v>9.6211665664461821E-3</v>
      </c>
      <c r="J59" s="45">
        <f>'Data Sheet'!J25/'Data Sheet'!J17</f>
        <v>1.6203370301022611E-2</v>
      </c>
      <c r="K59" s="45">
        <f>'Data Sheet'!K25/'Data Sheet'!K17</f>
        <v>1.8630910374029641E-2</v>
      </c>
      <c r="L59" s="45"/>
      <c r="M59" s="136">
        <f t="shared" si="0"/>
        <v>9.5554332455246478E-3</v>
      </c>
      <c r="N59" s="32">
        <f t="shared" si="1"/>
        <v>1.4352095502393487E-2</v>
      </c>
      <c r="O59" s="32">
        <f t="shared" si="2"/>
        <v>1.4818482413832811E-2</v>
      </c>
    </row>
    <row r="60" spans="1:15" s="18" customFormat="1" hidden="1">
      <c r="A60" s="135" t="s">
        <v>10</v>
      </c>
      <c r="B60" s="45">
        <f>'Data Sheet'!B26/'Data Sheet'!B17</f>
        <v>4.4466403162055343E-2</v>
      </c>
      <c r="C60" s="45">
        <f>'Data Sheet'!C26/'Data Sheet'!C17</f>
        <v>4.1485578822599768E-2</v>
      </c>
      <c r="D60" s="45">
        <f>'Data Sheet'!D26/'Data Sheet'!D17</f>
        <v>5.7260155574762314E-2</v>
      </c>
      <c r="E60" s="45">
        <f>'Data Sheet'!E26/'Data Sheet'!E17</f>
        <v>5.1905626134301268E-2</v>
      </c>
      <c r="F60" s="45">
        <f>'Data Sheet'!F26/'Data Sheet'!F17</f>
        <v>5.341055341055341E-2</v>
      </c>
      <c r="G60" s="45">
        <f>'Data Sheet'!G26/'Data Sheet'!G17</f>
        <v>4.8311026131293816E-2</v>
      </c>
      <c r="H60" s="45">
        <f>'Data Sheet'!H26/'Data Sheet'!H17</f>
        <v>4.0497541220711607E-2</v>
      </c>
      <c r="I60" s="45">
        <f>'Data Sheet'!I26/'Data Sheet'!I17</f>
        <v>3.0839274976376601E-2</v>
      </c>
      <c r="J60" s="45">
        <f>'Data Sheet'!J26/'Data Sheet'!J17</f>
        <v>3.3054875414086124E-2</v>
      </c>
      <c r="K60" s="45">
        <f>'Data Sheet'!K26/'Data Sheet'!K17</f>
        <v>3.4086097388849684E-2</v>
      </c>
      <c r="L60" s="45"/>
      <c r="M60" s="136">
        <f t="shared" si="0"/>
        <v>3.4936515025093484E-2</v>
      </c>
      <c r="N60" s="32">
        <f t="shared" si="1"/>
        <v>4.4345066031282264E-2</v>
      </c>
      <c r="O60" s="32">
        <f t="shared" si="2"/>
        <v>3.2660082593104135E-2</v>
      </c>
    </row>
    <row r="61" spans="1:15" s="18" customFormat="1" hidden="1">
      <c r="A61" s="135" t="s">
        <v>11</v>
      </c>
      <c r="B61" s="45">
        <f>'Data Sheet'!B27/'Data Sheet'!B17</f>
        <v>3.6890645586297767E-2</v>
      </c>
      <c r="C61" s="45">
        <f>'Data Sheet'!C27/'Data Sheet'!C17</f>
        <v>4.8597392335045439E-2</v>
      </c>
      <c r="D61" s="45">
        <f>'Data Sheet'!D27/'Data Sheet'!D17</f>
        <v>2.6145203111495246E-2</v>
      </c>
      <c r="E61" s="45">
        <f>'Data Sheet'!E27/'Data Sheet'!E17</f>
        <v>2.8856624319419238E-2</v>
      </c>
      <c r="F61" s="45">
        <f>'Data Sheet'!F27/'Data Sheet'!F17</f>
        <v>3.8770913770913774E-2</v>
      </c>
      <c r="G61" s="45">
        <f>'Data Sheet'!G27/'Data Sheet'!G17</f>
        <v>4.1555130656469083E-2</v>
      </c>
      <c r="H61" s="45">
        <f>'Data Sheet'!H27/'Data Sheet'!H17</f>
        <v>4.0304695786327262E-2</v>
      </c>
      <c r="I61" s="45">
        <f>'Data Sheet'!I27/'Data Sheet'!I17</f>
        <v>4.7160896830169233E-2</v>
      </c>
      <c r="J61" s="45">
        <f>'Data Sheet'!J27/'Data Sheet'!J17</f>
        <v>4.2344807720005755E-2</v>
      </c>
      <c r="K61" s="45">
        <f>'Data Sheet'!K27/'Data Sheet'!K17</f>
        <v>4.0578687367678196E-2</v>
      </c>
      <c r="L61" s="45"/>
      <c r="M61" s="136">
        <f t="shared" si="0"/>
        <v>3.0571695956247778E-2</v>
      </c>
      <c r="N61" s="32">
        <f t="shared" si="1"/>
        <v>4.8503182863379471E-2</v>
      </c>
      <c r="O61" s="32">
        <f t="shared" si="2"/>
        <v>4.3361463972617725E-2</v>
      </c>
    </row>
    <row r="62" spans="1:15" s="18" customFormat="1" hidden="1">
      <c r="A62" s="135" t="s">
        <v>12</v>
      </c>
      <c r="B62" s="45">
        <f>'Data Sheet'!B28/'Data Sheet'!B17</f>
        <v>0.14723320158102765</v>
      </c>
      <c r="C62" s="45">
        <f>'Data Sheet'!C28/'Data Sheet'!C17</f>
        <v>0.17740023706045044</v>
      </c>
      <c r="D62" s="45">
        <f>'Data Sheet'!D28/'Data Sheet'!D17</f>
        <v>0.16162489196197061</v>
      </c>
      <c r="E62" s="45">
        <f>'Data Sheet'!E28/'Data Sheet'!E17</f>
        <v>0.13720508166969145</v>
      </c>
      <c r="F62" s="45">
        <f>'Data Sheet'!F28/'Data Sheet'!F17</f>
        <v>8.5424710424710421E-2</v>
      </c>
      <c r="G62" s="45">
        <f>'Data Sheet'!G28/'Data Sheet'!G17</f>
        <v>9.1395793499043976E-2</v>
      </c>
      <c r="H62" s="45">
        <f>'Data Sheet'!H28/'Data Sheet'!H17</f>
        <v>0.10143669848616334</v>
      </c>
      <c r="I62" s="45">
        <f>'Data Sheet'!I28/'Data Sheet'!I17</f>
        <v>0.11313461042865733</v>
      </c>
      <c r="J62" s="45">
        <f>'Data Sheet'!J28/'Data Sheet'!J17</f>
        <v>7.9648566901915588E-2</v>
      </c>
      <c r="K62" s="45">
        <f>'Data Sheet'!K28/'Data Sheet'!K17</f>
        <v>9.3154551870148206E-2</v>
      </c>
      <c r="L62" s="45"/>
      <c r="M62" s="136">
        <f t="shared" si="0"/>
        <v>8.6302490524230099E-2</v>
      </c>
      <c r="N62" s="32">
        <f t="shared" si="1"/>
        <v>0.1130145423420317</v>
      </c>
      <c r="O62" s="32">
        <f t="shared" si="2"/>
        <v>9.5312576400240379E-2</v>
      </c>
    </row>
    <row r="63" spans="1:15" s="18" customFormat="1" hidden="1">
      <c r="A63" s="135" t="s">
        <v>13</v>
      </c>
      <c r="B63" s="45">
        <f>'Data Sheet'!B29/'Data Sheet'!B17</f>
        <v>2.7338603425559948E-2</v>
      </c>
      <c r="C63" s="45">
        <f>'Data Sheet'!C29/'Data Sheet'!C17</f>
        <v>3.1608060055314108E-2</v>
      </c>
      <c r="D63" s="45">
        <f>'Data Sheet'!D29/'Data Sheet'!D17</f>
        <v>3.3923941227312016E-2</v>
      </c>
      <c r="E63" s="45">
        <f>'Data Sheet'!E29/'Data Sheet'!E17</f>
        <v>2.7404718693284934E-2</v>
      </c>
      <c r="F63" s="45">
        <f>'Data Sheet'!F29/'Data Sheet'!F17</f>
        <v>2.2039897039897043E-2</v>
      </c>
      <c r="G63" s="45">
        <f>'Data Sheet'!G29/'Data Sheet'!G17</f>
        <v>2.1159974506054811E-2</v>
      </c>
      <c r="H63" s="45">
        <f>'Data Sheet'!H29/'Data Sheet'!H17</f>
        <v>2.4491370166811303E-2</v>
      </c>
      <c r="I63" s="45">
        <f>'Data Sheet'!I29/'Data Sheet'!I17</f>
        <v>3.1698307705523579E-2</v>
      </c>
      <c r="J63" s="45">
        <f>'Data Sheet'!J29/'Data Sheet'!J17</f>
        <v>2.8950021604493729E-2</v>
      </c>
      <c r="K63" s="45">
        <f>'Data Sheet'!K29/'Data Sheet'!K17</f>
        <v>3.4438955539872973E-2</v>
      </c>
      <c r="L63" s="45"/>
      <c r="M63" s="136">
        <f t="shared" si="0"/>
        <v>2.2410718648325039E-2</v>
      </c>
      <c r="N63" s="32">
        <f t="shared" si="1"/>
        <v>3.2629869634216283E-2</v>
      </c>
      <c r="O63" s="32">
        <f t="shared" si="2"/>
        <v>3.169576161663009E-2</v>
      </c>
    </row>
    <row r="64" spans="1:15" s="18" customFormat="1" hidden="1">
      <c r="A64" s="135" t="s">
        <v>14</v>
      </c>
      <c r="B64" s="45">
        <f>'Data Sheet'!B30/'Data Sheet'!B17</f>
        <v>0.11989459815546773</v>
      </c>
      <c r="C64" s="45">
        <f>'Data Sheet'!C30/'Data Sheet'!C17</f>
        <v>0.1457921770051363</v>
      </c>
      <c r="D64" s="45">
        <f>'Data Sheet'!D30/'Data Sheet'!D17</f>
        <v>0.12770095073465859</v>
      </c>
      <c r="E64" s="45">
        <f>'Data Sheet'!E30/'Data Sheet'!E17</f>
        <v>0.10980036297640652</v>
      </c>
      <c r="F64" s="45">
        <f>'Data Sheet'!F30/'Data Sheet'!F17</f>
        <v>6.3384813384813388E-2</v>
      </c>
      <c r="G64" s="45">
        <f>'Data Sheet'!G30/'Data Sheet'!G17</f>
        <v>7.0108349267049078E-2</v>
      </c>
      <c r="H64" s="45">
        <f>'Data Sheet'!H30/'Data Sheet'!H17</f>
        <v>7.6945328319352052E-2</v>
      </c>
      <c r="I64" s="45">
        <f>'Data Sheet'!I30/'Data Sheet'!I17</f>
        <v>8.1436302723133763E-2</v>
      </c>
      <c r="J64" s="45">
        <f>'Data Sheet'!J30/'Data Sheet'!J17</f>
        <v>5.0770560276537514E-2</v>
      </c>
      <c r="K64" s="45">
        <f>'Data Sheet'!K30/'Data Sheet'!K17</f>
        <v>5.8715596330275233E-2</v>
      </c>
      <c r="L64" s="45"/>
      <c r="M64" s="136">
        <f t="shared" si="0"/>
        <v>6.3886226401222601E-2</v>
      </c>
      <c r="N64" s="32">
        <f t="shared" si="1"/>
        <v>8.037247266351405E-2</v>
      </c>
      <c r="O64" s="32">
        <f t="shared" si="2"/>
        <v>6.364081977664883E-2</v>
      </c>
    </row>
    <row r="65" spans="1:15" s="18" customFormat="1" hidden="1">
      <c r="A65" s="135" t="s">
        <v>61</v>
      </c>
      <c r="B65" s="45">
        <f>'Data Sheet'!B31/'Data Sheet'!B17</f>
        <v>2.5691699604743084E-2</v>
      </c>
      <c r="C65" s="45">
        <f>'Data Sheet'!C31/'Data Sheet'!C17</f>
        <v>2.1928091663374165E-2</v>
      </c>
      <c r="D65" s="45">
        <f>'Data Sheet'!D31/'Data Sheet'!D17</f>
        <v>2.5496974935177181E-2</v>
      </c>
      <c r="E65" s="45">
        <f>'Data Sheet'!E31/'Data Sheet'!E17</f>
        <v>2.1597096188747729E-2</v>
      </c>
      <c r="F65" s="45">
        <f>'Data Sheet'!F31/'Data Sheet'!F17</f>
        <v>1.9144144144144143E-2</v>
      </c>
      <c r="G65" s="45">
        <f>'Data Sheet'!G31/'Data Sheet'!G17</f>
        <v>1.8738049713193115E-2</v>
      </c>
      <c r="H65" s="45">
        <f>'Data Sheet'!H31/'Data Sheet'!H17</f>
        <v>1.7356089094590688E-2</v>
      </c>
      <c r="I65" s="45">
        <f>'Data Sheet'!I31/'Data Sheet'!I17</f>
        <v>1.5978008762133837E-2</v>
      </c>
      <c r="J65" s="45">
        <f>'Data Sheet'!J31/'Data Sheet'!J17</f>
        <v>1.8651879590954917E-2</v>
      </c>
      <c r="K65" s="45">
        <f>'Data Sheet'!K31/'Data Sheet'!K17</f>
        <v>0</v>
      </c>
      <c r="L65" s="45"/>
      <c r="M65" s="136">
        <f t="shared" si="0"/>
        <v>1.3696224242894161E-2</v>
      </c>
      <c r="N65" s="32">
        <f t="shared" si="1"/>
        <v>1.6884050280753342E-2</v>
      </c>
      <c r="O65" s="32">
        <f t="shared" si="2"/>
        <v>1.154329611769625E-2</v>
      </c>
    </row>
    <row r="66" spans="1:15" s="18" customFormat="1" hidden="1">
      <c r="A66" s="13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136">
        <f t="shared" si="0"/>
        <v>0</v>
      </c>
      <c r="N66" s="32">
        <f t="shared" si="1"/>
        <v>0</v>
      </c>
      <c r="O66" s="32">
        <f t="shared" si="2"/>
        <v>0</v>
      </c>
    </row>
    <row r="67" spans="1:15" s="18" customFormat="1" ht="18.75" hidden="1">
      <c r="A67" s="137" t="s">
        <v>237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136">
        <f t="shared" si="0"/>
        <v>0</v>
      </c>
      <c r="N67" s="32">
        <f t="shared" si="1"/>
        <v>0</v>
      </c>
      <c r="O67" s="32">
        <f t="shared" si="2"/>
        <v>0</v>
      </c>
    </row>
    <row r="68" spans="1:15" s="18" customFormat="1" hidden="1">
      <c r="A68" s="135" t="s">
        <v>24</v>
      </c>
      <c r="B68" s="45">
        <f>'Data Sheet'!B57/'Data Sheet'!B61</f>
        <v>8.7068687520154786E-2</v>
      </c>
      <c r="C68" s="45">
        <f>'Data Sheet'!C57/'Data Sheet'!C61</f>
        <v>7.237851662404092E-2</v>
      </c>
      <c r="D68" s="45">
        <f>'Data Sheet'!D57/'Data Sheet'!D61</f>
        <v>6.8591224018475755E-2</v>
      </c>
      <c r="E68" s="45">
        <f>'Data Sheet'!E57/'Data Sheet'!E61</f>
        <v>5.3561767357980163E-2</v>
      </c>
      <c r="F68" s="45">
        <f>'Data Sheet'!F57/'Data Sheet'!F61</f>
        <v>5.1118760757314974E-2</v>
      </c>
      <c r="G68" s="45">
        <f>'Data Sheet'!G57/'Data Sheet'!G61</f>
        <v>5.8461135142220469E-2</v>
      </c>
      <c r="H68" s="45">
        <f>'Data Sheet'!H57/'Data Sheet'!H61</f>
        <v>4.6566855962829119E-2</v>
      </c>
      <c r="I68" s="45">
        <f>'Data Sheet'!I57/'Data Sheet'!I61</f>
        <v>3.7778678556951766E-2</v>
      </c>
      <c r="J68" s="45">
        <f>'Data Sheet'!J57/'Data Sheet'!J61</f>
        <v>3.1240594714982247E-2</v>
      </c>
      <c r="K68" s="45">
        <f>'Data Sheet'!K57/'Data Sheet'!K61</f>
        <v>2.8675617437427484E-2</v>
      </c>
      <c r="L68" s="45"/>
      <c r="M68" s="136">
        <f t="shared" si="0"/>
        <v>3.7599463394818192E-2</v>
      </c>
      <c r="N68" s="32">
        <f t="shared" si="1"/>
        <v>4.8064469041845859E-2</v>
      </c>
      <c r="O68" s="32">
        <f t="shared" si="2"/>
        <v>3.2564963569787164E-2</v>
      </c>
    </row>
    <row r="69" spans="1:15" s="18" customFormat="1" hidden="1">
      <c r="A69" s="135" t="s">
        <v>25</v>
      </c>
      <c r="B69" s="45">
        <f>'Data Sheet'!B58/'Data Sheet'!B61</f>
        <v>0.21025475653015155</v>
      </c>
      <c r="C69" s="45">
        <f>'Data Sheet'!C58/'Data Sheet'!C61</f>
        <v>0.33145780051150897</v>
      </c>
      <c r="D69" s="45">
        <f>'Data Sheet'!D58/'Data Sheet'!D61</f>
        <v>0.41270207852194002</v>
      </c>
      <c r="E69" s="45">
        <f>'Data Sheet'!E58/'Data Sheet'!E61</f>
        <v>0.40649233543733088</v>
      </c>
      <c r="F69" s="45">
        <f>'Data Sheet'!F58/'Data Sheet'!F61</f>
        <v>0.43201376936316699</v>
      </c>
      <c r="G69" s="45">
        <f>'Data Sheet'!G58/'Data Sheet'!G61</f>
        <v>0.35915585266745309</v>
      </c>
      <c r="H69" s="45">
        <f>'Data Sheet'!H58/'Data Sheet'!H61</f>
        <v>0.34816726897263811</v>
      </c>
      <c r="I69" s="45">
        <f>'Data Sheet'!I58/'Data Sheet'!I61</f>
        <v>0.34179164977705712</v>
      </c>
      <c r="J69" s="45">
        <f>'Data Sheet'!J58/'Data Sheet'!J61</f>
        <v>0.45705170649491367</v>
      </c>
      <c r="K69" s="45">
        <f>'Data Sheet'!K58/'Data Sheet'!K61</f>
        <v>0.46549533123376979</v>
      </c>
      <c r="L69" s="45"/>
      <c r="M69" s="136">
        <f t="shared" ref="M69:M132" si="3">SUM(D69:K69)/10</f>
        <v>0.32228699924682697</v>
      </c>
      <c r="N69" s="32">
        <f t="shared" ref="N69:N132" si="4">SUM(G69:M69)/5</f>
        <v>0.45878976167853169</v>
      </c>
      <c r="O69" s="32">
        <f t="shared" ref="O69:O132" si="5">SUM(I69:K69)/3</f>
        <v>0.42144622916858016</v>
      </c>
    </row>
    <row r="70" spans="1:15" s="18" customFormat="1" hidden="1">
      <c r="A70" s="135" t="s">
        <v>62</v>
      </c>
      <c r="B70" s="45">
        <f>'Data Sheet'!B59/'Data Sheet'!B61</f>
        <v>0.41083521444695259</v>
      </c>
      <c r="C70" s="45">
        <f>'Data Sheet'!C59/'Data Sheet'!C61</f>
        <v>0.34066496163682863</v>
      </c>
      <c r="D70" s="45">
        <f>'Data Sheet'!D59/'Data Sheet'!D61</f>
        <v>0.2140877598152425</v>
      </c>
      <c r="E70" s="45">
        <f>'Data Sheet'!E59/'Data Sheet'!E61</f>
        <v>0.30766456266907122</v>
      </c>
      <c r="F70" s="45">
        <f>'Data Sheet'!F59/'Data Sheet'!F61</f>
        <v>0.31876075731497416</v>
      </c>
      <c r="G70" s="45">
        <f>'Data Sheet'!G59/'Data Sheet'!G61</f>
        <v>0.35299515008520116</v>
      </c>
      <c r="H70" s="45">
        <f>'Data Sheet'!H59/'Data Sheet'!H61</f>
        <v>0.38017552916881781</v>
      </c>
      <c r="I70" s="45">
        <f>'Data Sheet'!I59/'Data Sheet'!I61</f>
        <v>0.4348601540332388</v>
      </c>
      <c r="J70" s="45">
        <f>'Data Sheet'!J59/'Data Sheet'!J61</f>
        <v>0.28212845362065853</v>
      </c>
      <c r="K70" s="45">
        <f>'Data Sheet'!K59/'Data Sheet'!K61</f>
        <v>0.33802972539919329</v>
      </c>
      <c r="L70" s="45"/>
      <c r="M70" s="136">
        <f t="shared" si="3"/>
        <v>0.26287020921063975</v>
      </c>
      <c r="N70" s="32">
        <f t="shared" si="4"/>
        <v>0.4102118443035499</v>
      </c>
      <c r="O70" s="32">
        <f t="shared" si="5"/>
        <v>0.35167277768436356</v>
      </c>
    </row>
    <row r="71" spans="1:15" s="18" customFormat="1" hidden="1">
      <c r="A71" s="135" t="s">
        <v>63</v>
      </c>
      <c r="B71" s="45">
        <f>'Data Sheet'!B60/'Data Sheet'!B61</f>
        <v>0.29184134150274105</v>
      </c>
      <c r="C71" s="45">
        <f>'Data Sheet'!C60/'Data Sheet'!C61</f>
        <v>0.25549872122762146</v>
      </c>
      <c r="D71" s="45">
        <f>'Data Sheet'!D60/'Data Sheet'!D61</f>
        <v>0.30461893764434184</v>
      </c>
      <c r="E71" s="45">
        <f>'Data Sheet'!E60/'Data Sheet'!E61</f>
        <v>0.23228133453561767</v>
      </c>
      <c r="F71" s="45">
        <f>'Data Sheet'!F60/'Data Sheet'!F61</f>
        <v>0.19810671256454387</v>
      </c>
      <c r="G71" s="45">
        <f>'Data Sheet'!G60/'Data Sheet'!G61</f>
        <v>0.22938786210512516</v>
      </c>
      <c r="H71" s="45">
        <f>'Data Sheet'!H60/'Data Sheet'!H61</f>
        <v>0.22509034589571505</v>
      </c>
      <c r="I71" s="45">
        <f>'Data Sheet'!I60/'Data Sheet'!I61</f>
        <v>0.18556951763275234</v>
      </c>
      <c r="J71" s="45">
        <f>'Data Sheet'!J60/'Data Sheet'!J61</f>
        <v>0.22957924516944561</v>
      </c>
      <c r="K71" s="45">
        <f>'Data Sheet'!K60/'Data Sheet'!K61</f>
        <v>0.16779932592960936</v>
      </c>
      <c r="L71" s="45"/>
      <c r="M71" s="136">
        <f t="shared" si="3"/>
        <v>0.1772433281477151</v>
      </c>
      <c r="N71" s="32">
        <f t="shared" si="4"/>
        <v>0.24293392497607252</v>
      </c>
      <c r="O71" s="32">
        <f t="shared" si="5"/>
        <v>0.19431602957726909</v>
      </c>
    </row>
    <row r="72" spans="1:15" s="18" customFormat="1" hidden="1">
      <c r="A72" s="138" t="s">
        <v>26</v>
      </c>
      <c r="B72" s="45">
        <f>'Data Sheet'!B61/'Data Sheet'!B61</f>
        <v>1</v>
      </c>
      <c r="C72" s="45">
        <f>'Data Sheet'!C61/'Data Sheet'!C61</f>
        <v>1</v>
      </c>
      <c r="D72" s="45">
        <f>'Data Sheet'!D61/'Data Sheet'!D61</f>
        <v>1</v>
      </c>
      <c r="E72" s="45">
        <f>'Data Sheet'!E61/'Data Sheet'!E61</f>
        <v>1</v>
      </c>
      <c r="F72" s="45">
        <f>'Data Sheet'!F61/'Data Sheet'!F61</f>
        <v>1</v>
      </c>
      <c r="G72" s="45">
        <f>'Data Sheet'!G61/'Data Sheet'!G61</f>
        <v>1</v>
      </c>
      <c r="H72" s="45">
        <f>'Data Sheet'!H61/'Data Sheet'!H61</f>
        <v>1</v>
      </c>
      <c r="I72" s="45">
        <f>'Data Sheet'!I61/'Data Sheet'!I61</f>
        <v>1</v>
      </c>
      <c r="J72" s="45">
        <f>'Data Sheet'!J61/'Data Sheet'!J61</f>
        <v>1</v>
      </c>
      <c r="K72" s="45">
        <f>'Data Sheet'!K61/'Data Sheet'!K61</f>
        <v>1</v>
      </c>
      <c r="L72" s="45"/>
      <c r="M72" s="136">
        <f t="shared" si="3"/>
        <v>0.8</v>
      </c>
      <c r="N72" s="32">
        <f t="shared" si="4"/>
        <v>1.1599999999999999</v>
      </c>
      <c r="O72" s="32">
        <f t="shared" si="5"/>
        <v>1</v>
      </c>
    </row>
    <row r="73" spans="1:15" s="18" customFormat="1" hidden="1">
      <c r="A73" s="135" t="s">
        <v>27</v>
      </c>
      <c r="B73" s="45">
        <f>'Data Sheet'!B62/'Data Sheet'!B66</f>
        <v>0.33892292808771363</v>
      </c>
      <c r="C73" s="45">
        <f>'Data Sheet'!C62/'Data Sheet'!C66</f>
        <v>0.38900255754475704</v>
      </c>
      <c r="D73" s="45">
        <f>'Data Sheet'!D62/'Data Sheet'!D66</f>
        <v>0.40715935334872977</v>
      </c>
      <c r="E73" s="45">
        <f>'Data Sheet'!E62/'Data Sheet'!E66</f>
        <v>0.36753832281334531</v>
      </c>
      <c r="F73" s="45">
        <f>'Data Sheet'!F62/'Data Sheet'!F66</f>
        <v>0.35387263339070563</v>
      </c>
      <c r="G73" s="45">
        <f>'Data Sheet'!G62/'Data Sheet'!G66</f>
        <v>0.32507537029754879</v>
      </c>
      <c r="H73" s="45">
        <f>'Data Sheet'!H62/'Data Sheet'!H66</f>
        <v>0.28735157459989674</v>
      </c>
      <c r="I73" s="45">
        <f>'Data Sheet'!I62/'Data Sheet'!I66</f>
        <v>0.27280097284150789</v>
      </c>
      <c r="J73" s="45">
        <f>'Data Sheet'!J62/'Data Sheet'!J66</f>
        <v>0.22518509600914946</v>
      </c>
      <c r="K73" s="45">
        <f>'Data Sheet'!K62/'Data Sheet'!K66</f>
        <v>0.24774849439195537</v>
      </c>
      <c r="L73" s="45"/>
      <c r="M73" s="136">
        <f t="shared" si="3"/>
        <v>0.24867318176928385</v>
      </c>
      <c r="N73" s="32">
        <f t="shared" si="4"/>
        <v>0.32136693798186844</v>
      </c>
      <c r="O73" s="32">
        <f t="shared" si="5"/>
        <v>0.24857818774753757</v>
      </c>
    </row>
    <row r="74" spans="1:15" s="18" customFormat="1" hidden="1">
      <c r="A74" s="135" t="s">
        <v>28</v>
      </c>
      <c r="B74" s="45">
        <f>'Data Sheet'!B63/'Data Sheet'!B66</f>
        <v>2.418574653337633E-2</v>
      </c>
      <c r="C74" s="45">
        <f>'Data Sheet'!C63/'Data Sheet'!C66</f>
        <v>1.3810741687979539E-2</v>
      </c>
      <c r="D74" s="45">
        <f>'Data Sheet'!D63/'Data Sheet'!D66</f>
        <v>1.6859122401847577E-2</v>
      </c>
      <c r="E74" s="45">
        <f>'Data Sheet'!E63/'Data Sheet'!E66</f>
        <v>8.4761045987376011E-3</v>
      </c>
      <c r="F74" s="45">
        <f>'Data Sheet'!F63/'Data Sheet'!F66</f>
        <v>6.8846815834767644E-3</v>
      </c>
      <c r="G74" s="45">
        <f>'Data Sheet'!G63/'Data Sheet'!G66</f>
        <v>7.8647267007471476E-4</v>
      </c>
      <c r="H74" s="45">
        <f>'Data Sheet'!H63/'Data Sheet'!H66</f>
        <v>8.466701084150749E-3</v>
      </c>
      <c r="I74" s="45">
        <f>'Data Sheet'!I63/'Data Sheet'!I66</f>
        <v>1.8483988650182408E-2</v>
      </c>
      <c r="J74" s="45">
        <f>'Data Sheet'!J63/'Data Sheet'!J66</f>
        <v>1.0594113044001686E-2</v>
      </c>
      <c r="K74" s="45">
        <f>'Data Sheet'!K63/'Data Sheet'!K66</f>
        <v>1.2044864357146804E-2</v>
      </c>
      <c r="L74" s="45"/>
      <c r="M74" s="136">
        <f t="shared" si="3"/>
        <v>8.2596048389618308E-3</v>
      </c>
      <c r="N74" s="32">
        <f t="shared" si="4"/>
        <v>1.1727148928903638E-2</v>
      </c>
      <c r="O74" s="32">
        <f t="shared" si="5"/>
        <v>1.3707655350443632E-2</v>
      </c>
    </row>
    <row r="75" spans="1:15" s="18" customFormat="1" hidden="1">
      <c r="A75" s="135" t="s">
        <v>29</v>
      </c>
      <c r="B75" s="45">
        <f>'Data Sheet'!B64/'Data Sheet'!B66</f>
        <v>0</v>
      </c>
      <c r="C75" s="45">
        <f>'Data Sheet'!C64/'Data Sheet'!C66</f>
        <v>0</v>
      </c>
      <c r="D75" s="45">
        <f>'Data Sheet'!D64/'Data Sheet'!D66</f>
        <v>0</v>
      </c>
      <c r="E75" s="45">
        <f>'Data Sheet'!E64/'Data Sheet'!E66</f>
        <v>5.7709648331830477E-3</v>
      </c>
      <c r="F75" s="45">
        <f>'Data Sheet'!F64/'Data Sheet'!F66</f>
        <v>1.8760757314974185E-2</v>
      </c>
      <c r="G75" s="45">
        <f>'Data Sheet'!G64/'Data Sheet'!G66</f>
        <v>6.8029885961462838E-2</v>
      </c>
      <c r="H75" s="45">
        <f>'Data Sheet'!H64/'Data Sheet'!H66</f>
        <v>7.6406814661848232E-2</v>
      </c>
      <c r="I75" s="45">
        <f>'Data Sheet'!I64/'Data Sheet'!I66</f>
        <v>0.10312119983785976</v>
      </c>
      <c r="J75" s="45">
        <f>'Data Sheet'!J64/'Data Sheet'!J66</f>
        <v>8.3910190814422442E-2</v>
      </c>
      <c r="K75" s="45">
        <f>'Data Sheet'!K64/'Data Sheet'!K66</f>
        <v>7.7794353279186698E-2</v>
      </c>
      <c r="L75" s="45"/>
      <c r="M75" s="136">
        <f t="shared" si="3"/>
        <v>4.3379416670293727E-2</v>
      </c>
      <c r="N75" s="32">
        <f t="shared" si="4"/>
        <v>9.052837224501474E-2</v>
      </c>
      <c r="O75" s="32">
        <f t="shared" si="5"/>
        <v>8.8275247977156301E-2</v>
      </c>
    </row>
    <row r="76" spans="1:15" s="18" customFormat="1" hidden="1">
      <c r="A76" s="135" t="s">
        <v>64</v>
      </c>
      <c r="B76" s="45">
        <f>'Data Sheet'!B65/'Data Sheet'!B66</f>
        <v>0.63689132537891002</v>
      </c>
      <c r="C76" s="45">
        <f>'Data Sheet'!C65/'Data Sheet'!C66</f>
        <v>0.59718670076726343</v>
      </c>
      <c r="D76" s="45">
        <f>'Data Sheet'!D65/'Data Sheet'!D66</f>
        <v>0.57598152424942273</v>
      </c>
      <c r="E76" s="45">
        <f>'Data Sheet'!E65/'Data Sheet'!E66</f>
        <v>0.61821460775473402</v>
      </c>
      <c r="F76" s="45">
        <f>'Data Sheet'!F65/'Data Sheet'!F66</f>
        <v>0.62048192771084332</v>
      </c>
      <c r="G76" s="45">
        <f>'Data Sheet'!G65/'Data Sheet'!G66</f>
        <v>0.60610827107091358</v>
      </c>
      <c r="H76" s="45">
        <f>'Data Sheet'!H65/'Data Sheet'!H66</f>
        <v>0.62777490965410432</v>
      </c>
      <c r="I76" s="45">
        <f>'Data Sheet'!I65/'Data Sheet'!I66</f>
        <v>0.60559383867045002</v>
      </c>
      <c r="J76" s="45">
        <f>'Data Sheet'!J65/'Data Sheet'!J66</f>
        <v>0.68031060013242639</v>
      </c>
      <c r="K76" s="45">
        <f>'Data Sheet'!K65/'Data Sheet'!K66</f>
        <v>0.66241228797171114</v>
      </c>
      <c r="L76" s="45"/>
      <c r="M76" s="136">
        <f t="shared" si="3"/>
        <v>0.49968779672146058</v>
      </c>
      <c r="N76" s="32">
        <f t="shared" si="4"/>
        <v>0.73637754084421325</v>
      </c>
      <c r="O76" s="32">
        <f t="shared" si="5"/>
        <v>0.64943890892486256</v>
      </c>
    </row>
    <row r="77" spans="1:15" s="18" customFormat="1" hidden="1">
      <c r="A77" s="138" t="s">
        <v>26</v>
      </c>
      <c r="B77" s="45">
        <f>'Data Sheet'!B66/'Data Sheet'!B66</f>
        <v>1</v>
      </c>
      <c r="C77" s="45">
        <f>'Data Sheet'!C66/'Data Sheet'!C66</f>
        <v>1</v>
      </c>
      <c r="D77" s="45">
        <f>'Data Sheet'!D66/'Data Sheet'!D66</f>
        <v>1</v>
      </c>
      <c r="E77" s="45">
        <f>'Data Sheet'!E66/'Data Sheet'!E66</f>
        <v>1</v>
      </c>
      <c r="F77" s="45">
        <f>'Data Sheet'!F66/'Data Sheet'!F66</f>
        <v>1</v>
      </c>
      <c r="G77" s="45">
        <f>'Data Sheet'!G66/'Data Sheet'!G66</f>
        <v>1</v>
      </c>
      <c r="H77" s="45">
        <f>'Data Sheet'!H66/'Data Sheet'!H66</f>
        <v>1</v>
      </c>
      <c r="I77" s="45">
        <f>'Data Sheet'!I66/'Data Sheet'!I66</f>
        <v>1</v>
      </c>
      <c r="J77" s="45">
        <f>'Data Sheet'!J66/'Data Sheet'!J66</f>
        <v>1</v>
      </c>
      <c r="K77" s="45">
        <f>'Data Sheet'!K66/'Data Sheet'!K66</f>
        <v>1</v>
      </c>
      <c r="L77" s="45"/>
      <c r="M77" s="136">
        <f t="shared" si="3"/>
        <v>0.8</v>
      </c>
      <c r="N77" s="32">
        <f t="shared" si="4"/>
        <v>1.1599999999999999</v>
      </c>
      <c r="O77" s="32">
        <f t="shared" si="5"/>
        <v>1</v>
      </c>
    </row>
    <row r="78" spans="1:15" s="18" customFormat="1" hidden="1">
      <c r="A78" s="57" t="s">
        <v>321</v>
      </c>
      <c r="B78" s="45">
        <f>'Data Sheet'!B67/'Data Sheet'!B61</f>
        <v>0.38148984198645597</v>
      </c>
      <c r="C78" s="45">
        <f>'Data Sheet'!C67/'Data Sheet'!C61</f>
        <v>0.2580562659846547</v>
      </c>
      <c r="D78" s="45">
        <f>'Data Sheet'!D67/'Data Sheet'!D61</f>
        <v>0.25057736720554274</v>
      </c>
      <c r="E78" s="45">
        <f>'Data Sheet'!E67/'Data Sheet'!E61</f>
        <v>0.29269612263300271</v>
      </c>
      <c r="F78" s="45">
        <f>'Data Sheet'!F67/'Data Sheet'!F61</f>
        <v>0.25576592082616179</v>
      </c>
      <c r="G78" s="45">
        <f>'Data Sheet'!G67/'Data Sheet'!G61</f>
        <v>0.26294402936164629</v>
      </c>
      <c r="H78" s="45">
        <f>'Data Sheet'!H67/'Data Sheet'!H61</f>
        <v>0.25183273102736192</v>
      </c>
      <c r="I78" s="45">
        <f>'Data Sheet'!I67/'Data Sheet'!I61</f>
        <v>0.22342926631536278</v>
      </c>
      <c r="J78" s="45">
        <f>'Data Sheet'!J67/'Data Sheet'!J61</f>
        <v>0.20640462288569192</v>
      </c>
      <c r="K78" s="45">
        <f>'Data Sheet'!K67/'Data Sheet'!K61</f>
        <v>0.1961434333388585</v>
      </c>
      <c r="L78" s="45"/>
      <c r="M78" s="136">
        <f t="shared" si="3"/>
        <v>0.19397934935936284</v>
      </c>
      <c r="N78" s="32">
        <f t="shared" si="4"/>
        <v>0.26694668645765685</v>
      </c>
      <c r="O78" s="32">
        <f t="shared" si="5"/>
        <v>0.20865910751330441</v>
      </c>
    </row>
    <row r="79" spans="1:15" s="18" customFormat="1" hidden="1">
      <c r="A79" s="57" t="s">
        <v>322</v>
      </c>
      <c r="B79" s="45">
        <f>'Data Sheet'!B68/'Data Sheet'!B66</f>
        <v>0.16704288939051917</v>
      </c>
      <c r="C79" s="45">
        <f>'Data Sheet'!C68/'Data Sheet'!C66</f>
        <v>0.21815856777493603</v>
      </c>
      <c r="D79" s="45">
        <f>'Data Sheet'!D68/'Data Sheet'!D66</f>
        <v>0.22401847575057737</v>
      </c>
      <c r="E79" s="45">
        <f>'Data Sheet'!E68/'Data Sheet'!E66</f>
        <v>0.1769161406672678</v>
      </c>
      <c r="F79" s="45">
        <f>'Data Sheet'!F68/'Data Sheet'!F66</f>
        <v>0.17986230636833045</v>
      </c>
      <c r="G79" s="45">
        <f>'Data Sheet'!G68/'Data Sheet'!G66</f>
        <v>0.21326517236859349</v>
      </c>
      <c r="H79" s="45">
        <f>'Data Sheet'!H68/'Data Sheet'!H66</f>
        <v>0.21982447083118226</v>
      </c>
      <c r="I79" s="45">
        <f>'Data Sheet'!I68/'Data Sheet'!I66</f>
        <v>0.1889744629104175</v>
      </c>
      <c r="J79" s="45">
        <f>'Data Sheet'!J68/'Data Sheet'!J66</f>
        <v>0.14657196171672787</v>
      </c>
      <c r="K79" s="45">
        <f>'Data Sheet'!K68/'Data Sheet'!K66</f>
        <v>0.15696999834244985</v>
      </c>
      <c r="L79" s="45"/>
      <c r="M79" s="136">
        <f t="shared" si="3"/>
        <v>0.15064029889555464</v>
      </c>
      <c r="N79" s="32">
        <f t="shared" si="4"/>
        <v>0.21524927301298513</v>
      </c>
      <c r="O79" s="32">
        <f t="shared" si="5"/>
        <v>0.16417214098986507</v>
      </c>
    </row>
    <row r="80" spans="1:15" s="18" customFormat="1" hidden="1">
      <c r="A80" s="57" t="s">
        <v>323</v>
      </c>
      <c r="B80" s="45">
        <f>'Data Sheet'!B69/'Data Sheet'!B66</f>
        <v>2.9667849080941631E-2</v>
      </c>
      <c r="C80" s="45">
        <f>'Data Sheet'!C69/'Data Sheet'!C66</f>
        <v>2.2506393861892581E-2</v>
      </c>
      <c r="D80" s="45">
        <f>'Data Sheet'!D69/'Data Sheet'!D66</f>
        <v>2.3787528868360278E-2</v>
      </c>
      <c r="E80" s="45">
        <f>'Data Sheet'!E69/'Data Sheet'!E66</f>
        <v>1.9657348963029758E-2</v>
      </c>
      <c r="F80" s="45">
        <f>'Data Sheet'!F69/'Data Sheet'!F66</f>
        <v>2.5473321858864025E-2</v>
      </c>
      <c r="G80" s="45">
        <f>'Data Sheet'!G69/'Data Sheet'!G66</f>
        <v>2.4380652772316162E-2</v>
      </c>
      <c r="H80" s="45">
        <f>'Data Sheet'!H69/'Data Sheet'!H66</f>
        <v>2.1063500258131133E-2</v>
      </c>
      <c r="I80" s="45">
        <f>'Data Sheet'!I69/'Data Sheet'!I66</f>
        <v>4.142683421159303E-2</v>
      </c>
      <c r="J80" s="45">
        <f>'Data Sheet'!J69/'Data Sheet'!J66</f>
        <v>0.15144766146993319</v>
      </c>
      <c r="K80" s="45">
        <f>'Data Sheet'!K69/'Data Sheet'!K66</f>
        <v>0.10972981932703463</v>
      </c>
      <c r="L80" s="45"/>
      <c r="M80" s="136">
        <f t="shared" si="3"/>
        <v>4.1696666772926216E-2</v>
      </c>
      <c r="N80" s="32">
        <f t="shared" si="4"/>
        <v>7.7949026962386869E-2</v>
      </c>
      <c r="O80" s="32">
        <f t="shared" si="5"/>
        <v>0.10086810500285361</v>
      </c>
    </row>
    <row r="81" spans="1:15" s="18" customFormat="1" ht="18.75" hidden="1">
      <c r="A81" s="170" t="s">
        <v>324</v>
      </c>
      <c r="B81" s="46"/>
      <c r="C81" s="69"/>
      <c r="D81" s="46"/>
      <c r="E81" s="46"/>
      <c r="F81" s="46"/>
      <c r="G81" s="46"/>
      <c r="H81" s="46"/>
      <c r="I81" s="46"/>
      <c r="J81" s="46"/>
      <c r="K81" s="46"/>
      <c r="L81" s="46"/>
      <c r="M81" s="136">
        <f t="shared" si="3"/>
        <v>0</v>
      </c>
      <c r="N81" s="32">
        <f t="shared" si="4"/>
        <v>0</v>
      </c>
      <c r="O81" s="32">
        <f t="shared" si="5"/>
        <v>0</v>
      </c>
    </row>
    <row r="82" spans="1:15" s="18" customFormat="1" hidden="1">
      <c r="A82" s="57" t="s">
        <v>136</v>
      </c>
      <c r="B82" s="46">
        <f>SUM('Data Sheet'!B57,'Data Sheet'!B58,'Data Sheet'!B59)</f>
        <v>21.96</v>
      </c>
      <c r="C82" s="46">
        <f>SUM('Data Sheet'!C57,'Data Sheet'!C58,'Data Sheet'!C59)</f>
        <v>29.11</v>
      </c>
      <c r="D82" s="46">
        <f>SUM('Data Sheet'!D57,'Data Sheet'!D58,'Data Sheet'!D59)</f>
        <v>30.11</v>
      </c>
      <c r="E82" s="46">
        <f>SUM('Data Sheet'!E57,'Data Sheet'!E58,'Data Sheet'!E59)</f>
        <v>42.569999999999993</v>
      </c>
      <c r="F82" s="46">
        <f>SUM('Data Sheet'!F57,'Data Sheet'!F58,'Data Sheet'!F59)</f>
        <v>46.59</v>
      </c>
      <c r="G82" s="46">
        <f>SUM('Data Sheet'!G57,'Data Sheet'!G58,'Data Sheet'!G59)</f>
        <v>58.79</v>
      </c>
      <c r="H82" s="46">
        <f>SUM('Data Sheet'!H57,'Data Sheet'!H58,'Data Sheet'!H59)</f>
        <v>75.05</v>
      </c>
      <c r="I82" s="46">
        <f>SUM('Data Sheet'!I57,'Data Sheet'!I58,'Data Sheet'!I59)</f>
        <v>100.46</v>
      </c>
      <c r="J82" s="46">
        <f>SUM('Data Sheet'!J57,'Data Sheet'!J58,'Data Sheet'!J59)</f>
        <v>127.99000000000001</v>
      </c>
      <c r="K82" s="46">
        <f>SUM('Data Sheet'!K57,'Data Sheet'!K58,'Data Sheet'!K59)</f>
        <v>150.62</v>
      </c>
      <c r="L82" s="46"/>
      <c r="M82" s="136">
        <f t="shared" si="3"/>
        <v>63.218000000000004</v>
      </c>
      <c r="N82" s="32">
        <f t="shared" si="4"/>
        <v>115.22560000000001</v>
      </c>
      <c r="O82" s="32">
        <f t="shared" si="5"/>
        <v>126.35666666666667</v>
      </c>
    </row>
    <row r="83" spans="1:15" s="18" customFormat="1" hidden="1">
      <c r="A83" s="57" t="s">
        <v>137</v>
      </c>
      <c r="B83" s="46">
        <f>B82-'Data Sheet'!B69</f>
        <v>21.04</v>
      </c>
      <c r="C83" s="46">
        <f>C82-'Data Sheet'!C69</f>
        <v>28.23</v>
      </c>
      <c r="D83" s="46">
        <f>D82-'Data Sheet'!D69</f>
        <v>29.08</v>
      </c>
      <c r="E83" s="46">
        <f>E82-'Data Sheet'!E69</f>
        <v>41.47999999999999</v>
      </c>
      <c r="F83" s="46">
        <f>F82-'Data Sheet'!F69</f>
        <v>45.110000000000007</v>
      </c>
      <c r="G83" s="46">
        <f>G82-'Data Sheet'!G69</f>
        <v>56.93</v>
      </c>
      <c r="H83" s="46">
        <f>H82-'Data Sheet'!H69</f>
        <v>73.009999999999991</v>
      </c>
      <c r="I83" s="46">
        <f>I82-'Data Sheet'!I69</f>
        <v>95.35</v>
      </c>
      <c r="J83" s="46">
        <f>J82-'Data Sheet'!J69</f>
        <v>102.83000000000001</v>
      </c>
      <c r="K83" s="46">
        <f>K82-'Data Sheet'!K69</f>
        <v>130.76</v>
      </c>
      <c r="L83" s="46"/>
      <c r="M83" s="136">
        <f t="shared" si="3"/>
        <v>57.454999999999998</v>
      </c>
      <c r="N83" s="32">
        <f t="shared" si="4"/>
        <v>103.26700000000001</v>
      </c>
      <c r="O83" s="32">
        <f t="shared" si="5"/>
        <v>109.64666666666666</v>
      </c>
    </row>
    <row r="84" spans="1:15" s="2" customFormat="1" hidden="1">
      <c r="A84" s="138" t="s">
        <v>447</v>
      </c>
      <c r="B84" s="160">
        <f>'Data Sheet'!B62+'Data Sheet'!B63+Customization!B86</f>
        <v>21.96</v>
      </c>
      <c r="C84" s="160">
        <f>'Data Sheet'!C62+'Data Sheet'!C63+Customization!C86</f>
        <v>29.11</v>
      </c>
      <c r="D84" s="160">
        <f>'Data Sheet'!D62+'Data Sheet'!D63+Customization!D86</f>
        <v>30.11</v>
      </c>
      <c r="E84" s="160">
        <f>'Data Sheet'!E62+'Data Sheet'!E63+Customization!E86</f>
        <v>42.25</v>
      </c>
      <c r="F84" s="160">
        <f>'Data Sheet'!F62+'Data Sheet'!F63+Customization!F86</f>
        <v>45.5</v>
      </c>
      <c r="G84" s="160">
        <f>'Data Sheet'!G62+'Data Sheet'!G63+Customization!G86</f>
        <v>53.6</v>
      </c>
      <c r="H84" s="160">
        <f>'Data Sheet'!H62+'Data Sheet'!H63+Customization!H86</f>
        <v>67.650000000000006</v>
      </c>
      <c r="I84" s="160">
        <f>'Data Sheet'!I62+'Data Sheet'!I63+Customization!I86</f>
        <v>87.740000000000009</v>
      </c>
      <c r="J84" s="160">
        <f>'Data Sheet'!J62+'Data Sheet'!J63+Customization!J86</f>
        <v>114.04999999999998</v>
      </c>
      <c r="K84" s="160">
        <f>'Data Sheet'!K62+'Data Sheet'!K63+Customization!K86</f>
        <v>136.54</v>
      </c>
      <c r="L84" s="160"/>
      <c r="M84" s="136">
        <f t="shared" si="3"/>
        <v>57.743999999999993</v>
      </c>
      <c r="N84" s="32">
        <f t="shared" si="4"/>
        <v>103.4648</v>
      </c>
      <c r="O84" s="32">
        <f t="shared" si="5"/>
        <v>112.77666666666666</v>
      </c>
    </row>
    <row r="85" spans="1:15" s="18" customFormat="1" hidden="1">
      <c r="A85" s="57" t="s">
        <v>448</v>
      </c>
      <c r="B85" s="143">
        <f>'Data Sheet'!B62+'Data Sheet'!B63+Customization!B87</f>
        <v>21.04</v>
      </c>
      <c r="C85" s="143">
        <f>'Data Sheet'!C62+'Data Sheet'!C63+Customization!C87</f>
        <v>28.23</v>
      </c>
      <c r="D85" s="143">
        <f>'Data Sheet'!D62+'Data Sheet'!D63+Customization!D87</f>
        <v>29.080000000000002</v>
      </c>
      <c r="E85" s="143">
        <f>'Data Sheet'!E62+'Data Sheet'!E63+Customization!E87</f>
        <v>41.16</v>
      </c>
      <c r="F85" s="143">
        <f>'Data Sheet'!F62+'Data Sheet'!F63+Customization!F87</f>
        <v>44.019999999999996</v>
      </c>
      <c r="G85" s="143">
        <f>'Data Sheet'!G62+'Data Sheet'!G63+Customization!G87</f>
        <v>51.74</v>
      </c>
      <c r="H85" s="143">
        <f>'Data Sheet'!H62+'Data Sheet'!H63+Customization!H87</f>
        <v>65.61</v>
      </c>
      <c r="I85" s="143">
        <f>'Data Sheet'!I62+'Data Sheet'!I63+Customization!I87</f>
        <v>82.63</v>
      </c>
      <c r="J85" s="143">
        <f>'Data Sheet'!J62+'Data Sheet'!J63+Customization!J87</f>
        <v>88.889999999999986</v>
      </c>
      <c r="K85" s="143">
        <f>'Data Sheet'!K62+'Data Sheet'!K63+Customization!K87</f>
        <v>116.68</v>
      </c>
      <c r="L85" s="143"/>
      <c r="M85" s="136">
        <f t="shared" si="3"/>
        <v>51.980999999999995</v>
      </c>
      <c r="N85" s="32">
        <f t="shared" si="4"/>
        <v>91.506200000000007</v>
      </c>
      <c r="O85" s="32">
        <f t="shared" si="5"/>
        <v>96.066666666666663</v>
      </c>
    </row>
    <row r="86" spans="1:15" s="18" customFormat="1" hidden="1">
      <c r="A86" s="57" t="s">
        <v>114</v>
      </c>
      <c r="B86" s="143">
        <f>'Balance Sheet'!B16</f>
        <v>10.7</v>
      </c>
      <c r="C86" s="143">
        <f>'Balance Sheet'!C16</f>
        <v>13.360000000000001</v>
      </c>
      <c r="D86" s="143">
        <f>'Balance Sheet'!D16</f>
        <v>11.750000000000002</v>
      </c>
      <c r="E86" s="143">
        <f>'Balance Sheet'!E16</f>
        <v>21.4</v>
      </c>
      <c r="F86" s="143">
        <f>'Balance Sheet'!F16</f>
        <v>24.54</v>
      </c>
      <c r="G86" s="143">
        <f>'Balance Sheet'!G16</f>
        <v>28.740000000000002</v>
      </c>
      <c r="H86" s="143">
        <f>'Balance Sheet'!H16</f>
        <v>39</v>
      </c>
      <c r="I86" s="143">
        <f>'Balance Sheet'!I16</f>
        <v>51.81</v>
      </c>
      <c r="J86" s="143">
        <f>'Balance Sheet'!J16</f>
        <v>74.88</v>
      </c>
      <c r="K86" s="143">
        <f>'Balance Sheet'!K16</f>
        <v>89.52</v>
      </c>
      <c r="L86" s="143"/>
      <c r="M86" s="136">
        <f t="shared" si="3"/>
        <v>34.164000000000001</v>
      </c>
      <c r="N86" s="32">
        <f t="shared" si="4"/>
        <v>63.622799999999998</v>
      </c>
      <c r="O86" s="32">
        <f t="shared" si="5"/>
        <v>72.069999999999993</v>
      </c>
    </row>
    <row r="87" spans="1:15" s="18" customFormat="1" hidden="1">
      <c r="A87" s="57" t="s">
        <v>115</v>
      </c>
      <c r="B87" s="143">
        <f>B86-'Data Sheet'!B69</f>
        <v>9.7799999999999994</v>
      </c>
      <c r="C87" s="143">
        <f>C86-'Data Sheet'!C69</f>
        <v>12.48</v>
      </c>
      <c r="D87" s="143">
        <f>D86-'Data Sheet'!D69</f>
        <v>10.720000000000002</v>
      </c>
      <c r="E87" s="143">
        <f>E86-'Data Sheet'!E69</f>
        <v>20.309999999999999</v>
      </c>
      <c r="F87" s="143">
        <f>F86-'Data Sheet'!F69</f>
        <v>23.06</v>
      </c>
      <c r="G87" s="143">
        <f>G86-'Data Sheet'!G69</f>
        <v>26.880000000000003</v>
      </c>
      <c r="H87" s="143">
        <f>H86-'Data Sheet'!H69</f>
        <v>36.96</v>
      </c>
      <c r="I87" s="143">
        <f>I86-'Data Sheet'!I69</f>
        <v>46.7</v>
      </c>
      <c r="J87" s="143">
        <f>J86-'Data Sheet'!J69</f>
        <v>49.72</v>
      </c>
      <c r="K87" s="143">
        <f>K86-'Data Sheet'!K69</f>
        <v>69.66</v>
      </c>
      <c r="L87" s="143"/>
      <c r="M87" s="136">
        <f t="shared" si="3"/>
        <v>28.401</v>
      </c>
      <c r="N87" s="32">
        <f t="shared" si="4"/>
        <v>51.664199999999994</v>
      </c>
      <c r="O87" s="32">
        <f t="shared" si="5"/>
        <v>55.359999999999992</v>
      </c>
    </row>
    <row r="88" spans="1:15" s="18" customFormat="1" hidden="1">
      <c r="A88" s="57" t="s">
        <v>85</v>
      </c>
      <c r="B88" s="143">
        <f>'Profit &amp; Loss'!B10+'Profit &amp; Loss'!B9-'Profit &amp; Loss'!B7</f>
        <v>5.2299999999999995</v>
      </c>
      <c r="C88" s="143">
        <f>'Profit &amp; Loss'!C10+'Profit &amp; Loss'!C9-'Profit &amp; Loss'!C7</f>
        <v>11.100000000000001</v>
      </c>
      <c r="D88" s="143">
        <f>'Profit &amp; Loss'!D10+'Profit &amp; Loss'!D9-'Profit &amp; Loss'!D7</f>
        <v>8.120000000000001</v>
      </c>
      <c r="E88" s="143">
        <f>'Profit &amp; Loss'!E10+'Profit &amp; Loss'!E9-'Profit &amp; Loss'!E7</f>
        <v>8.7800000000000011</v>
      </c>
      <c r="F88" s="143">
        <f>'Profit &amp; Loss'!F10+'Profit &amp; Loss'!F9-'Profit &amp; Loss'!F7</f>
        <v>6.83</v>
      </c>
      <c r="G88" s="143">
        <f>'Profit &amp; Loss'!G10+'Profit &amp; Loss'!G9-'Profit &amp; Loss'!G7</f>
        <v>9.6199999999999992</v>
      </c>
      <c r="H88" s="143">
        <f>'Profit &amp; Loss'!H10+'Profit &amp; Loss'!H9-'Profit &amp; Loss'!H7</f>
        <v>13.93</v>
      </c>
      <c r="I88" s="143">
        <f>'Profit &amp; Loss'!I10+'Profit &amp; Loss'!I9-'Profit &amp; Loss'!I7</f>
        <v>17.54</v>
      </c>
      <c r="J88" s="143">
        <f>'Profit &amp; Loss'!J10+'Profit &amp; Loss'!J9-'Profit &amp; Loss'!J7</f>
        <v>14.690000000000001</v>
      </c>
      <c r="K88" s="143">
        <f>'Profit &amp; Loss'!K10+'Profit &amp; Loss'!K9-'Profit &amp; Loss'!K7</f>
        <v>16.309999999999999</v>
      </c>
      <c r="L88" s="143"/>
      <c r="M88" s="136">
        <f t="shared" si="3"/>
        <v>9.581999999999999</v>
      </c>
      <c r="N88" s="32">
        <f t="shared" si="4"/>
        <v>16.334399999999999</v>
      </c>
      <c r="O88" s="32">
        <f t="shared" si="5"/>
        <v>16.180000000000003</v>
      </c>
    </row>
    <row r="89" spans="1:15" s="18" customFormat="1" hidden="1">
      <c r="A89" s="57" t="s">
        <v>264</v>
      </c>
      <c r="B89" s="46">
        <f>B88+'Data Sheet'!B26</f>
        <v>6.58</v>
      </c>
      <c r="C89" s="46">
        <f>C88+'Data Sheet'!C26</f>
        <v>13.200000000000001</v>
      </c>
      <c r="D89" s="46">
        <f>D88+'Data Sheet'!D26</f>
        <v>10.770000000000001</v>
      </c>
      <c r="E89" s="46">
        <f>E88+'Data Sheet'!E26</f>
        <v>11.64</v>
      </c>
      <c r="F89" s="46">
        <f>F88+'Data Sheet'!F26</f>
        <v>10.15</v>
      </c>
      <c r="G89" s="46">
        <f>G88+'Data Sheet'!G26</f>
        <v>13.41</v>
      </c>
      <c r="H89" s="46">
        <f>H88+'Data Sheet'!H26</f>
        <v>18.13</v>
      </c>
      <c r="I89" s="46">
        <f>I88+'Data Sheet'!I26</f>
        <v>21.13</v>
      </c>
      <c r="J89" s="46">
        <f>J88+'Data Sheet'!J26</f>
        <v>19.28</v>
      </c>
      <c r="K89" s="46">
        <f>K88+'Data Sheet'!K26</f>
        <v>21.14</v>
      </c>
      <c r="L89" s="46"/>
      <c r="M89" s="136">
        <f t="shared" si="3"/>
        <v>12.565</v>
      </c>
      <c r="N89" s="32">
        <f t="shared" si="4"/>
        <v>21.131</v>
      </c>
      <c r="O89" s="32">
        <f t="shared" si="5"/>
        <v>20.516666666666666</v>
      </c>
    </row>
    <row r="90" spans="1:15" s="18" customFormat="1" hidden="1">
      <c r="A90" s="57" t="s">
        <v>371</v>
      </c>
      <c r="B90" s="46">
        <f>'Data Sheet'!B82</f>
        <v>3.88</v>
      </c>
      <c r="C90" s="46">
        <f>'Data Sheet'!C82</f>
        <v>6.26</v>
      </c>
      <c r="D90" s="46">
        <f>'Data Sheet'!D82</f>
        <v>9.41</v>
      </c>
      <c r="E90" s="46">
        <f>'Data Sheet'!E82</f>
        <v>2.97</v>
      </c>
      <c r="F90" s="46">
        <f>'Data Sheet'!F82</f>
        <v>7.35</v>
      </c>
      <c r="G90" s="46">
        <f>'Data Sheet'!G82</f>
        <v>2.94</v>
      </c>
      <c r="H90" s="46">
        <f>'Data Sheet'!H82</f>
        <v>6.83</v>
      </c>
      <c r="I90" s="46">
        <f>'Data Sheet'!I82</f>
        <v>12.63</v>
      </c>
      <c r="J90" s="46">
        <f>'Data Sheet'!J82</f>
        <v>1.38</v>
      </c>
      <c r="K90" s="46">
        <f>'Data Sheet'!K82</f>
        <v>3.18</v>
      </c>
      <c r="L90" s="46"/>
      <c r="M90" s="136">
        <f t="shared" si="3"/>
        <v>4.6690000000000005</v>
      </c>
      <c r="N90" s="32">
        <f t="shared" si="4"/>
        <v>6.3257999999999992</v>
      </c>
      <c r="O90" s="32">
        <f t="shared" si="5"/>
        <v>5.73</v>
      </c>
    </row>
    <row r="91" spans="1:15" s="18" customFormat="1" hidden="1">
      <c r="A91" s="57" t="s">
        <v>276</v>
      </c>
      <c r="B91" s="46">
        <f>'Data Sheet'!B28</f>
        <v>4.47</v>
      </c>
      <c r="C91" s="46">
        <f>'Data Sheet'!C28</f>
        <v>8.98</v>
      </c>
      <c r="D91" s="46">
        <f>'Data Sheet'!D28</f>
        <v>7.48</v>
      </c>
      <c r="E91" s="46">
        <f>'Data Sheet'!E28</f>
        <v>7.56</v>
      </c>
      <c r="F91" s="46">
        <f>'Data Sheet'!F28</f>
        <v>5.31</v>
      </c>
      <c r="G91" s="46">
        <f>'Data Sheet'!G28</f>
        <v>7.17</v>
      </c>
      <c r="H91" s="46">
        <f>'Data Sheet'!H28</f>
        <v>10.52</v>
      </c>
      <c r="I91" s="46">
        <f>'Data Sheet'!I28</f>
        <v>13.17</v>
      </c>
      <c r="J91" s="46">
        <f>'Data Sheet'!J28</f>
        <v>11.06</v>
      </c>
      <c r="K91" s="46">
        <f>'Data Sheet'!K28</f>
        <v>13.2</v>
      </c>
      <c r="L91" s="46"/>
      <c r="M91" s="136">
        <f t="shared" si="3"/>
        <v>7.5469999999999997</v>
      </c>
      <c r="N91" s="32">
        <f t="shared" si="4"/>
        <v>12.5334</v>
      </c>
      <c r="O91" s="32">
        <f t="shared" si="5"/>
        <v>12.476666666666667</v>
      </c>
    </row>
    <row r="92" spans="1:15" s="18" customFormat="1" hidden="1">
      <c r="A92" s="57" t="s">
        <v>96</v>
      </c>
      <c r="B92" s="46"/>
      <c r="C92" s="143">
        <f>C166</f>
        <v>9.12227171492205</v>
      </c>
      <c r="D92" s="143">
        <f t="shared" ref="D92:K92" si="6">D166</f>
        <v>6.4156684491978613</v>
      </c>
      <c r="E92" s="143">
        <f t="shared" si="6"/>
        <v>7.026322751322752</v>
      </c>
      <c r="F92" s="143">
        <f t="shared" si="6"/>
        <v>5.0678342749529186</v>
      </c>
      <c r="G92" s="143">
        <f t="shared" si="6"/>
        <v>7.3927754532775438</v>
      </c>
      <c r="H92" s="143">
        <f t="shared" si="6"/>
        <v>10.566673003802281</v>
      </c>
      <c r="I92" s="143">
        <f t="shared" si="6"/>
        <v>12.625603644646922</v>
      </c>
      <c r="J92" s="143">
        <f t="shared" si="6"/>
        <v>9.3505967450271275</v>
      </c>
      <c r="K92" s="143">
        <f t="shared" si="6"/>
        <v>10.280242424242424</v>
      </c>
      <c r="L92" s="143"/>
      <c r="M92" s="136">
        <f t="shared" si="3"/>
        <v>6.8725716746469825</v>
      </c>
      <c r="N92" s="32">
        <f t="shared" si="4"/>
        <v>11.417692589128656</v>
      </c>
      <c r="O92" s="32">
        <f t="shared" si="5"/>
        <v>10.752147604638823</v>
      </c>
    </row>
    <row r="93" spans="1:15" s="18" customFormat="1" hidden="1">
      <c r="A93" s="57" t="s">
        <v>142</v>
      </c>
      <c r="B93" s="46">
        <f>'Data Sheet'!B30</f>
        <v>3.64</v>
      </c>
      <c r="C93" s="46">
        <f>'Data Sheet'!C30</f>
        <v>7.38</v>
      </c>
      <c r="D93" s="46">
        <f>'Data Sheet'!D30</f>
        <v>5.91</v>
      </c>
      <c r="E93" s="46">
        <f>'Data Sheet'!E30</f>
        <v>6.05</v>
      </c>
      <c r="F93" s="46">
        <f>'Data Sheet'!F30</f>
        <v>3.94</v>
      </c>
      <c r="G93" s="46">
        <f>'Data Sheet'!G30</f>
        <v>5.5</v>
      </c>
      <c r="H93" s="46">
        <f>'Data Sheet'!H30</f>
        <v>7.98</v>
      </c>
      <c r="I93" s="46">
        <f>'Data Sheet'!I30</f>
        <v>9.48</v>
      </c>
      <c r="J93" s="46">
        <f>'Data Sheet'!J30</f>
        <v>7.05</v>
      </c>
      <c r="K93" s="46">
        <f>'Data Sheet'!K30</f>
        <v>8.32</v>
      </c>
      <c r="L93" s="46"/>
      <c r="M93" s="136">
        <f t="shared" si="3"/>
        <v>5.423</v>
      </c>
      <c r="N93" s="32">
        <f t="shared" si="4"/>
        <v>8.7506000000000004</v>
      </c>
      <c r="O93" s="32">
        <f t="shared" si="5"/>
        <v>8.2833333333333332</v>
      </c>
    </row>
    <row r="94" spans="1:15" s="18" customFormat="1" hidden="1">
      <c r="A94" s="57" t="s">
        <v>86</v>
      </c>
      <c r="B94" s="141">
        <f>B88/B82</f>
        <v>0.23816029143897993</v>
      </c>
      <c r="C94" s="141">
        <f t="shared" ref="C94:K94" si="7">C88/C82</f>
        <v>0.38131226382686367</v>
      </c>
      <c r="D94" s="141">
        <f t="shared" si="7"/>
        <v>0.26967784789106614</v>
      </c>
      <c r="E94" s="141">
        <f t="shared" si="7"/>
        <v>0.20624853182992725</v>
      </c>
      <c r="F94" s="141">
        <f t="shared" si="7"/>
        <v>0.14659798239965657</v>
      </c>
      <c r="G94" s="141">
        <f t="shared" si="7"/>
        <v>0.16363327096444971</v>
      </c>
      <c r="H94" s="141">
        <f t="shared" si="7"/>
        <v>0.18560959360426382</v>
      </c>
      <c r="I94" s="141">
        <f t="shared" si="7"/>
        <v>0.17459685446944057</v>
      </c>
      <c r="J94" s="141">
        <f t="shared" si="7"/>
        <v>0.11477459176498164</v>
      </c>
      <c r="K94" s="141">
        <f t="shared" si="7"/>
        <v>0.10828575222414021</v>
      </c>
      <c r="L94" s="141"/>
      <c r="M94" s="136">
        <f t="shared" si="3"/>
        <v>0.13694244251479259</v>
      </c>
      <c r="N94" s="32">
        <f t="shared" si="4"/>
        <v>0.17676850110841369</v>
      </c>
      <c r="O94" s="32">
        <f t="shared" si="5"/>
        <v>0.13255239948618749</v>
      </c>
    </row>
    <row r="95" spans="1:15" s="18" customFormat="1" hidden="1">
      <c r="A95" s="57" t="s">
        <v>87</v>
      </c>
      <c r="B95" s="141">
        <f>B88/B83</f>
        <v>0.24857414448669202</v>
      </c>
      <c r="C95" s="141">
        <f t="shared" ref="C95:K95" si="8">C88/C83</f>
        <v>0.39319872476089274</v>
      </c>
      <c r="D95" s="141">
        <f t="shared" si="8"/>
        <v>0.27922971114167816</v>
      </c>
      <c r="E95" s="141">
        <f t="shared" si="8"/>
        <v>0.21166827386692391</v>
      </c>
      <c r="F95" s="141">
        <f t="shared" si="8"/>
        <v>0.15140767013965858</v>
      </c>
      <c r="G95" s="141">
        <f t="shared" si="8"/>
        <v>0.16897944844545931</v>
      </c>
      <c r="H95" s="141">
        <f t="shared" si="8"/>
        <v>0.19079578139980827</v>
      </c>
      <c r="I95" s="141">
        <f t="shared" si="8"/>
        <v>0.18395385422128999</v>
      </c>
      <c r="J95" s="141">
        <f t="shared" si="8"/>
        <v>0.14285714285714285</v>
      </c>
      <c r="K95" s="141">
        <f t="shared" si="8"/>
        <v>0.12473233404710921</v>
      </c>
      <c r="L95" s="141"/>
      <c r="M95" s="136">
        <f t="shared" si="3"/>
        <v>0.14536242161190702</v>
      </c>
      <c r="N95" s="32">
        <f t="shared" si="4"/>
        <v>0.19133619651654332</v>
      </c>
      <c r="O95" s="32">
        <f t="shared" si="5"/>
        <v>0.15051444370851402</v>
      </c>
    </row>
    <row r="96" spans="1:15" s="18" customFormat="1" hidden="1">
      <c r="A96" s="57" t="s">
        <v>100</v>
      </c>
      <c r="B96" s="141">
        <f>B88/B84</f>
        <v>0.23816029143897993</v>
      </c>
      <c r="C96" s="141">
        <f t="shared" ref="C96:K96" si="9">C88/C84</f>
        <v>0.38131226382686367</v>
      </c>
      <c r="D96" s="141">
        <f t="shared" si="9"/>
        <v>0.26967784789106614</v>
      </c>
      <c r="E96" s="141">
        <f t="shared" si="9"/>
        <v>0.207810650887574</v>
      </c>
      <c r="F96" s="141">
        <f t="shared" si="9"/>
        <v>0.15010989010989012</v>
      </c>
      <c r="G96" s="141">
        <f t="shared" si="9"/>
        <v>0.17947761194029849</v>
      </c>
      <c r="H96" s="141">
        <f t="shared" si="9"/>
        <v>0.20591278640059127</v>
      </c>
      <c r="I96" s="141">
        <f t="shared" si="9"/>
        <v>0.1999088215181217</v>
      </c>
      <c r="J96" s="141">
        <f t="shared" si="9"/>
        <v>0.12880315651030252</v>
      </c>
      <c r="K96" s="141">
        <f t="shared" si="9"/>
        <v>0.11945217518675846</v>
      </c>
      <c r="L96" s="141"/>
      <c r="M96" s="136">
        <f t="shared" si="3"/>
        <v>0.14611529404446028</v>
      </c>
      <c r="N96" s="32">
        <f t="shared" si="4"/>
        <v>0.19593396912010652</v>
      </c>
      <c r="O96" s="32">
        <f t="shared" si="5"/>
        <v>0.14938805107172756</v>
      </c>
    </row>
    <row r="97" spans="1:15" s="18" customFormat="1" hidden="1">
      <c r="A97" s="57" t="s">
        <v>138</v>
      </c>
      <c r="B97" s="141">
        <f>B88/B85</f>
        <v>0.24857414448669202</v>
      </c>
      <c r="C97" s="141">
        <f t="shared" ref="C97:K97" si="10">C88/C85</f>
        <v>0.39319872476089274</v>
      </c>
      <c r="D97" s="141">
        <f t="shared" si="10"/>
        <v>0.27922971114167816</v>
      </c>
      <c r="E97" s="141">
        <f t="shared" si="10"/>
        <v>0.21331389698736641</v>
      </c>
      <c r="F97" s="141">
        <f t="shared" si="10"/>
        <v>0.15515674693321219</v>
      </c>
      <c r="G97" s="141">
        <f t="shared" si="10"/>
        <v>0.185929648241206</v>
      </c>
      <c r="H97" s="141">
        <f t="shared" si="10"/>
        <v>0.21231519585429051</v>
      </c>
      <c r="I97" s="141">
        <f t="shared" si="10"/>
        <v>0.21227157206825609</v>
      </c>
      <c r="J97" s="141">
        <f t="shared" si="10"/>
        <v>0.16526043424457199</v>
      </c>
      <c r="K97" s="141">
        <f t="shared" si="10"/>
        <v>0.13978402468289336</v>
      </c>
      <c r="L97" s="141"/>
      <c r="M97" s="136">
        <f t="shared" si="3"/>
        <v>0.15632612301534748</v>
      </c>
      <c r="N97" s="32">
        <f t="shared" si="4"/>
        <v>0.21437739962131311</v>
      </c>
      <c r="O97" s="32">
        <f t="shared" si="5"/>
        <v>0.17243867699857382</v>
      </c>
    </row>
    <row r="98" spans="1:15" s="32" customFormat="1">
      <c r="A98" s="45" t="s">
        <v>13</v>
      </c>
      <c r="B98" s="45">
        <f>'Data Sheet'!B29/'Data Sheet'!B28</f>
        <v>0.18568232662192394</v>
      </c>
      <c r="C98" s="45">
        <f>'Data Sheet'!C29/'Data Sheet'!C28</f>
        <v>0.17817371937639198</v>
      </c>
      <c r="D98" s="45">
        <f>'Data Sheet'!D29/'Data Sheet'!D28</f>
        <v>0.20989304812834225</v>
      </c>
      <c r="E98" s="45">
        <f>'Data Sheet'!E29/'Data Sheet'!E28</f>
        <v>0.19973544973544974</v>
      </c>
      <c r="F98" s="45">
        <f>'Data Sheet'!F29/'Data Sheet'!F28</f>
        <v>0.25800376647834278</v>
      </c>
      <c r="G98" s="45">
        <f>'Data Sheet'!G29/'Data Sheet'!G28</f>
        <v>0.23152022315202231</v>
      </c>
      <c r="H98" s="45">
        <f>'Data Sheet'!H29/'Data Sheet'!H28</f>
        <v>0.2414448669201521</v>
      </c>
      <c r="I98" s="45">
        <f>'Data Sheet'!I29/'Data Sheet'!I28</f>
        <v>0.28018223234624146</v>
      </c>
      <c r="J98" s="45">
        <f>'Data Sheet'!J29/'Data Sheet'!J28</f>
        <v>0.36347197106690771</v>
      </c>
      <c r="K98" s="45">
        <f>'Data Sheet'!K29/'Data Sheet'!K28</f>
        <v>0.36969696969696969</v>
      </c>
      <c r="L98" s="45">
        <f>'Profit &amp; Loss'!L11/'Profit &amp; Loss'!L10</f>
        <v>0.37301587301587297</v>
      </c>
      <c r="M98" s="136">
        <f t="shared" si="3"/>
        <v>0.2153948527524428</v>
      </c>
      <c r="N98" s="32">
        <f t="shared" si="4"/>
        <v>0.41494539779012179</v>
      </c>
      <c r="O98" s="32">
        <f t="shared" si="5"/>
        <v>0.33778372437003962</v>
      </c>
    </row>
    <row r="99" spans="1:15" ht="18.75">
      <c r="A99" s="68" t="s">
        <v>488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136">
        <f t="shared" si="3"/>
        <v>0</v>
      </c>
      <c r="N99" s="32">
        <f t="shared" si="4"/>
        <v>0</v>
      </c>
      <c r="O99" s="32">
        <f t="shared" si="5"/>
        <v>0</v>
      </c>
    </row>
    <row r="100" spans="1:15" s="18" customFormat="1">
      <c r="A100" s="79" t="s">
        <v>373</v>
      </c>
      <c r="B100" s="45">
        <f>B88*(1-B98)/'Data Sheet'!B17</f>
        <v>0.1402793620476725</v>
      </c>
      <c r="C100" s="45">
        <f>C88*(1-C98)/'Data Sheet'!C17</f>
        <v>0.18021082012884335</v>
      </c>
      <c r="D100" s="45">
        <f>D88*(1-D98)/'Data Sheet'!D17</f>
        <v>0.13862723528949569</v>
      </c>
      <c r="E100" s="45">
        <f>E88*(1-E98)/'Data Sheet'!E17</f>
        <v>0.12751946917101184</v>
      </c>
      <c r="F100" s="45">
        <f>F88*(1-F98)/'Data Sheet'!F17</f>
        <v>8.1528865427170513E-2</v>
      </c>
      <c r="G100" s="45">
        <f>G88*(1-G98)/'Data Sheet'!G17</f>
        <v>9.4235506096590746E-2</v>
      </c>
      <c r="H100" s="45">
        <f>H88*(1-H98)/'Data Sheet'!H17</f>
        <v>0.10188673227077699</v>
      </c>
      <c r="I100" s="45">
        <f>I88*(1-I98)/'Data Sheet'!I17</f>
        <v>0.1084580675598911</v>
      </c>
      <c r="J100" s="45">
        <f>J88*(1-J98)/'Data Sheet'!J17</f>
        <v>6.7338302931205005E-2</v>
      </c>
      <c r="K100" s="45">
        <f>K88*(1-K98)/'Data Sheet'!K17</f>
        <v>7.2549346677787049E-2</v>
      </c>
      <c r="L100" s="45">
        <f>('Profit &amp; Loss'!L10+'Profit &amp; Loss'!L9-'Profit &amp; Loss'!L7)*(1-Customization!L98)/'Profit &amp; Loss'!L4</f>
        <v>6.238760082427014E-2</v>
      </c>
      <c r="M100" s="136">
        <f t="shared" si="3"/>
        <v>7.9214352542392896E-2</v>
      </c>
      <c r="N100" s="32">
        <f t="shared" si="4"/>
        <v>0.1172139817805828</v>
      </c>
      <c r="O100" s="32">
        <f t="shared" si="5"/>
        <v>8.2781905722961055E-2</v>
      </c>
    </row>
    <row r="101" spans="1:15" s="18" customFormat="1">
      <c r="A101" s="79" t="s">
        <v>489</v>
      </c>
      <c r="B101" s="171"/>
      <c r="C101" s="45">
        <f>(C100-B100)/B100</f>
        <v>0.28465668433536612</v>
      </c>
      <c r="D101" s="45">
        <f t="shared" ref="D101:L101" si="11">(D100-C100)/C100</f>
        <v>-0.23074965648354021</v>
      </c>
      <c r="E101" s="45">
        <f t="shared" si="11"/>
        <v>-8.0126867532829826E-2</v>
      </c>
      <c r="F101" s="45">
        <f t="shared" si="11"/>
        <v>-0.36065554572035552</v>
      </c>
      <c r="G101" s="45">
        <f t="shared" si="11"/>
        <v>0.15585450138234827</v>
      </c>
      <c r="H101" s="45">
        <f t="shared" si="11"/>
        <v>8.1192604476955768E-2</v>
      </c>
      <c r="I101" s="45">
        <f t="shared" si="11"/>
        <v>6.4496477045214717E-2</v>
      </c>
      <c r="J101" s="45">
        <f t="shared" si="11"/>
        <v>-0.37913052992558205</v>
      </c>
      <c r="K101" s="45">
        <f t="shared" si="11"/>
        <v>7.7386027264539414E-2</v>
      </c>
      <c r="L101" s="45">
        <f t="shared" si="11"/>
        <v>-0.14006667625345004</v>
      </c>
      <c r="M101" s="136">
        <f t="shared" si="3"/>
        <v>-6.7173298949324931E-2</v>
      </c>
      <c r="N101" s="32">
        <f t="shared" si="4"/>
        <v>-4.1488178991859768E-2</v>
      </c>
      <c r="O101" s="32">
        <f t="shared" si="5"/>
        <v>-7.9082675205275968E-2</v>
      </c>
    </row>
    <row r="102" spans="1:15" s="18" customFormat="1" hidden="1">
      <c r="A102" s="79" t="s">
        <v>367</v>
      </c>
      <c r="B102" s="171">
        <f>'Data Sheet'!B17/Customization!B82</f>
        <v>1.3825136612021858</v>
      </c>
      <c r="C102" s="171">
        <f>'Data Sheet'!C17/Customization!C82</f>
        <v>1.7389213328753006</v>
      </c>
      <c r="D102" s="171">
        <f>'Data Sheet'!D17/Customization!D82</f>
        <v>1.5370308867485887</v>
      </c>
      <c r="E102" s="171">
        <f>'Data Sheet'!E17/Customization!E82</f>
        <v>1.2943387361992016</v>
      </c>
      <c r="F102" s="171">
        <f>'Data Sheet'!F17/Customization!F82</f>
        <v>1.3341918866709592</v>
      </c>
      <c r="G102" s="171">
        <f>'Data Sheet'!G17/Customization!G82</f>
        <v>1.3344106140500085</v>
      </c>
      <c r="H102" s="171">
        <f>'Data Sheet'!H17/Customization!H82</f>
        <v>1.3818787475016656</v>
      </c>
      <c r="I102" s="171">
        <f>'Data Sheet'!I17/Customization!I82</f>
        <v>1.1587696595659964</v>
      </c>
      <c r="J102" s="171">
        <f>'Data Sheet'!J17/Customization!J82</f>
        <v>1.0849285100398469</v>
      </c>
      <c r="K102" s="171">
        <f>'Data Sheet'!K17/Customization!K82</f>
        <v>0.94077811711592074</v>
      </c>
      <c r="L102" s="171"/>
      <c r="M102" s="136">
        <f t="shared" si="3"/>
        <v>1.0066327157892185</v>
      </c>
      <c r="N102" s="32">
        <f t="shared" si="4"/>
        <v>1.3814796728125314</v>
      </c>
      <c r="O102" s="32">
        <f t="shared" si="5"/>
        <v>1.0614920955739213</v>
      </c>
    </row>
    <row r="103" spans="1:15" s="18" customFormat="1" hidden="1">
      <c r="A103" s="79" t="s">
        <v>489</v>
      </c>
      <c r="B103" s="171"/>
      <c r="C103" s="45">
        <f>(C102-B102)/B102</f>
        <v>0.2577968534236364</v>
      </c>
      <c r="D103" s="45">
        <f t="shared" ref="D103:K103" si="12">(D102-C102)/C102</f>
        <v>-0.11610096575955321</v>
      </c>
      <c r="E103" s="45">
        <f t="shared" si="12"/>
        <v>-0.15789672975458177</v>
      </c>
      <c r="F103" s="45">
        <f t="shared" si="12"/>
        <v>3.0790355999686429E-2</v>
      </c>
      <c r="G103" s="45">
        <f t="shared" si="12"/>
        <v>1.6393997088007253E-4</v>
      </c>
      <c r="H103" s="45">
        <f t="shared" si="12"/>
        <v>3.5572359026423486E-2</v>
      </c>
      <c r="I103" s="45">
        <f t="shared" si="12"/>
        <v>-0.16145344759012606</v>
      </c>
      <c r="J103" s="45">
        <f t="shared" si="12"/>
        <v>-6.3723751236122145E-2</v>
      </c>
      <c r="K103" s="45">
        <f t="shared" si="12"/>
        <v>-0.13286625947237007</v>
      </c>
      <c r="L103" s="45"/>
      <c r="M103" s="136">
        <f t="shared" si="3"/>
        <v>-5.6551449881576329E-2</v>
      </c>
      <c r="N103" s="32">
        <f t="shared" si="4"/>
        <v>-7.577172183657821E-2</v>
      </c>
      <c r="O103" s="32">
        <f t="shared" si="5"/>
        <v>-0.11934781943287276</v>
      </c>
    </row>
    <row r="104" spans="1:15" s="18" customFormat="1" hidden="1">
      <c r="A104" s="79" t="s">
        <v>368</v>
      </c>
      <c r="B104" s="171">
        <f>'Data Sheet'!B17/Customization!B83</f>
        <v>1.4429657794676807</v>
      </c>
      <c r="C104" s="171">
        <f>'Data Sheet'!C17/Customization!C83</f>
        <v>1.7931278781438185</v>
      </c>
      <c r="D104" s="171">
        <f>'Data Sheet'!D17/Customization!D83</f>
        <v>1.5914718019257224</v>
      </c>
      <c r="E104" s="171">
        <f>'Data Sheet'!E17/Customization!E83</f>
        <v>1.3283510125361624</v>
      </c>
      <c r="F104" s="171">
        <f>'Data Sheet'!F17/Customization!F83</f>
        <v>1.377964974506761</v>
      </c>
      <c r="G104" s="171">
        <f>'Data Sheet'!G17/Customization!G83</f>
        <v>1.3780080800983665</v>
      </c>
      <c r="H104" s="171">
        <f>'Data Sheet'!H17/Customization!H83</f>
        <v>1.4204903437885221</v>
      </c>
      <c r="I104" s="171">
        <f>'Data Sheet'!I17/Customization!I83</f>
        <v>1.2208704771893026</v>
      </c>
      <c r="J104" s="171">
        <f>'Data Sheet'!J17/Customization!J83</f>
        <v>1.350384129145191</v>
      </c>
      <c r="K104" s="171">
        <f>'Data Sheet'!K17/Customization!K83</f>
        <v>1.0836647292750077</v>
      </c>
      <c r="L104" s="171"/>
      <c r="M104" s="136">
        <f t="shared" si="3"/>
        <v>1.0751205548465035</v>
      </c>
      <c r="N104" s="32">
        <f t="shared" si="4"/>
        <v>1.5057076628685784</v>
      </c>
      <c r="O104" s="32">
        <f t="shared" si="5"/>
        <v>1.2183064452031671</v>
      </c>
    </row>
    <row r="105" spans="1:15" s="18" customFormat="1" hidden="1">
      <c r="A105" s="79" t="s">
        <v>489</v>
      </c>
      <c r="B105" s="171"/>
      <c r="C105" s="45">
        <f>(C104-B104)/B104</f>
        <v>0.24266833188886491</v>
      </c>
      <c r="D105" s="45">
        <f t="shared" ref="D105:K105" si="13">(D104-C104)/C104</f>
        <v>-0.11246051030495563</v>
      </c>
      <c r="E105" s="45">
        <f t="shared" si="13"/>
        <v>-0.165331731967338</v>
      </c>
      <c r="F105" s="45">
        <f t="shared" si="13"/>
        <v>3.7350038884581327E-2</v>
      </c>
      <c r="G105" s="45">
        <f t="shared" si="13"/>
        <v>3.1282066237499321E-5</v>
      </c>
      <c r="H105" s="45">
        <f t="shared" si="13"/>
        <v>3.0828747888853529E-2</v>
      </c>
      <c r="I105" s="45">
        <f t="shared" si="13"/>
        <v>-0.14052884447410099</v>
      </c>
      <c r="J105" s="45">
        <f t="shared" si="13"/>
        <v>0.10608304023704111</v>
      </c>
      <c r="K105" s="45">
        <f t="shared" si="13"/>
        <v>-0.19751372525313951</v>
      </c>
      <c r="L105" s="45"/>
      <c r="M105" s="136">
        <f t="shared" si="3"/>
        <v>-4.4154170292282059E-2</v>
      </c>
      <c r="N105" s="32">
        <f t="shared" si="4"/>
        <v>-4.9050733965478086E-2</v>
      </c>
      <c r="O105" s="32">
        <f t="shared" si="5"/>
        <v>-7.7319843163399793E-2</v>
      </c>
    </row>
    <row r="106" spans="1:15" s="18" customFormat="1">
      <c r="A106" s="79" t="s">
        <v>369</v>
      </c>
      <c r="B106" s="171">
        <f>'Data Sheet'!B17/Customization!B84</f>
        <v>1.3825136612021858</v>
      </c>
      <c r="C106" s="171">
        <f>'Data Sheet'!C17/Customization!C84</f>
        <v>1.7389213328753006</v>
      </c>
      <c r="D106" s="171">
        <f>'Data Sheet'!D17/Customization!D84</f>
        <v>1.5370308867485887</v>
      </c>
      <c r="E106" s="171">
        <f>'Data Sheet'!E17/Customization!E84</f>
        <v>1.3041420118343197</v>
      </c>
      <c r="F106" s="171">
        <f>'Data Sheet'!F17/Customization!F84</f>
        <v>1.3661538461538461</v>
      </c>
      <c r="G106" s="171">
        <f>'Data Sheet'!G17/Customization!G84</f>
        <v>1.4636194029850746</v>
      </c>
      <c r="H106" s="171">
        <f>'Data Sheet'!H17/Customization!H84</f>
        <v>1.5330376940133035</v>
      </c>
      <c r="I106" s="171">
        <f>'Data Sheet'!I17/Customization!I84</f>
        <v>1.3267608844312739</v>
      </c>
      <c r="J106" s="171">
        <f>'Data Sheet'!J17/Customization!J84</f>
        <v>1.2175361683472163</v>
      </c>
      <c r="K106" s="171">
        <f>'Data Sheet'!K17/Customization!K84</f>
        <v>1.0377911234802988</v>
      </c>
      <c r="L106" s="171"/>
      <c r="M106" s="136">
        <f t="shared" si="3"/>
        <v>1.078607201799392</v>
      </c>
      <c r="N106" s="32">
        <f t="shared" si="4"/>
        <v>1.531470495011312</v>
      </c>
      <c r="O106" s="32">
        <f t="shared" si="5"/>
        <v>1.194029392086263</v>
      </c>
    </row>
    <row r="107" spans="1:15" s="18" customFormat="1">
      <c r="A107" s="79" t="s">
        <v>489</v>
      </c>
      <c r="B107" s="171"/>
      <c r="C107" s="45">
        <f>(C106-B106)/B106</f>
        <v>0.2577968534236364</v>
      </c>
      <c r="D107" s="45">
        <f t="shared" ref="D107:K107" si="14">(D106-C106)/C106</f>
        <v>-0.11610096575955321</v>
      </c>
      <c r="E107" s="45">
        <f t="shared" si="14"/>
        <v>-0.1515186694829006</v>
      </c>
      <c r="F107" s="45">
        <f t="shared" si="14"/>
        <v>4.7549909255898179E-2</v>
      </c>
      <c r="G107" s="45">
        <f t="shared" si="14"/>
        <v>7.1343031464300211E-2</v>
      </c>
      <c r="H107" s="45">
        <f t="shared" si="14"/>
        <v>4.7429195654723581E-2</v>
      </c>
      <c r="I107" s="45">
        <f t="shared" si="14"/>
        <v>-0.13455429725411533</v>
      </c>
      <c r="J107" s="45">
        <f t="shared" si="14"/>
        <v>-8.2324341458768283E-2</v>
      </c>
      <c r="K107" s="45">
        <f t="shared" si="14"/>
        <v>-0.14763014811372566</v>
      </c>
      <c r="L107" s="45"/>
      <c r="M107" s="136">
        <f t="shared" si="3"/>
        <v>-4.6580628569414105E-2</v>
      </c>
      <c r="N107" s="32">
        <f t="shared" si="4"/>
        <v>-5.8463437655399908E-2</v>
      </c>
      <c r="O107" s="32">
        <f t="shared" si="5"/>
        <v>-0.12150292894220309</v>
      </c>
    </row>
    <row r="108" spans="1:15" s="18" customFormat="1" hidden="1">
      <c r="A108" s="79" t="s">
        <v>370</v>
      </c>
      <c r="B108" s="171">
        <f>'Data Sheet'!B17/Customization!B85</f>
        <v>1.4429657794676807</v>
      </c>
      <c r="C108" s="171">
        <f>'Data Sheet'!C17/Customization!C85</f>
        <v>1.7931278781438185</v>
      </c>
      <c r="D108" s="171">
        <f>'Data Sheet'!D17/Customization!D85</f>
        <v>1.5914718019257221</v>
      </c>
      <c r="E108" s="171">
        <f>'Data Sheet'!E17/Customization!E85</f>
        <v>1.3386783284742469</v>
      </c>
      <c r="F108" s="171">
        <f>'Data Sheet'!F17/Customization!F85</f>
        <v>1.4120854157201272</v>
      </c>
      <c r="G108" s="171">
        <f>'Data Sheet'!G17/Customization!G85</f>
        <v>1.516235021260147</v>
      </c>
      <c r="H108" s="171">
        <f>'Data Sheet'!H17/Customization!H85</f>
        <v>1.5807041609510744</v>
      </c>
      <c r="I108" s="171">
        <f>'Data Sheet'!I17/Customization!I85</f>
        <v>1.4088103594336199</v>
      </c>
      <c r="J108" s="171">
        <f>'Data Sheet'!J17/Customization!J85</f>
        <v>1.5621554730565872</v>
      </c>
      <c r="K108" s="171">
        <f>'Data Sheet'!K17/Customization!K85</f>
        <v>1.2144326362701403</v>
      </c>
      <c r="L108" s="171"/>
      <c r="M108" s="136">
        <f t="shared" si="3"/>
        <v>1.1624573197091665</v>
      </c>
      <c r="N108" s="32">
        <f t="shared" si="4"/>
        <v>1.6889589941361471</v>
      </c>
      <c r="O108" s="32">
        <f t="shared" si="5"/>
        <v>1.3951328229201156</v>
      </c>
    </row>
    <row r="109" spans="1:15" s="18" customFormat="1" hidden="1">
      <c r="A109" s="79" t="s">
        <v>489</v>
      </c>
      <c r="B109" s="171"/>
      <c r="C109" s="45">
        <f>(C108-B108)/B108</f>
        <v>0.24266833188886491</v>
      </c>
      <c r="D109" s="45">
        <f t="shared" ref="D109:K109" si="15">(D108-C108)/C108</f>
        <v>-0.11246051030495575</v>
      </c>
      <c r="E109" s="45">
        <f t="shared" si="15"/>
        <v>-0.1588425714772882</v>
      </c>
      <c r="F109" s="45">
        <f t="shared" si="15"/>
        <v>5.483549384828372E-2</v>
      </c>
      <c r="G109" s="45">
        <f t="shared" si="15"/>
        <v>7.3755882172967635E-2</v>
      </c>
      <c r="H109" s="45">
        <f t="shared" si="15"/>
        <v>4.2519226100810485E-2</v>
      </c>
      <c r="I109" s="45">
        <f t="shared" si="15"/>
        <v>-0.10874508068228898</v>
      </c>
      <c r="J109" s="45">
        <f t="shared" si="15"/>
        <v>0.10884723596482938</v>
      </c>
      <c r="K109" s="45">
        <f t="shared" si="15"/>
        <v>-0.22259169639887122</v>
      </c>
      <c r="L109" s="45"/>
      <c r="M109" s="136">
        <f t="shared" si="3"/>
        <v>-3.2268202077651291E-2</v>
      </c>
      <c r="N109" s="32">
        <f t="shared" si="4"/>
        <v>-2.7696526984040799E-2</v>
      </c>
      <c r="O109" s="32">
        <f t="shared" si="5"/>
        <v>-7.4163180372110268E-2</v>
      </c>
    </row>
    <row r="110" spans="1:15" s="18" customFormat="1" hidden="1">
      <c r="A110" s="57" t="s">
        <v>88</v>
      </c>
      <c r="B110" s="45">
        <f>B94*(1-B98)</f>
        <v>0.19393813441563465</v>
      </c>
      <c r="C110" s="45">
        <f t="shared" ref="C110:K110" si="16">C94*(1-C98)</f>
        <v>0.31337243953699934</v>
      </c>
      <c r="D110" s="45">
        <f t="shared" si="16"/>
        <v>0.21307434238451881</v>
      </c>
      <c r="E110" s="45">
        <f t="shared" si="16"/>
        <v>0.16505338856760052</v>
      </c>
      <c r="F110" s="45">
        <f t="shared" si="16"/>
        <v>0.10877515078241938</v>
      </c>
      <c r="G110" s="45">
        <f t="shared" si="16"/>
        <v>0.12574885955566498</v>
      </c>
      <c r="H110" s="45">
        <f t="shared" si="16"/>
        <v>0.14079510997737882</v>
      </c>
      <c r="I110" s="45">
        <f t="shared" si="16"/>
        <v>0.12567791802356085</v>
      </c>
      <c r="J110" s="45">
        <f t="shared" si="16"/>
        <v>7.3057244667764101E-2</v>
      </c>
      <c r="K110" s="45">
        <f t="shared" si="16"/>
        <v>6.8252837765518687E-2</v>
      </c>
      <c r="L110" s="45"/>
      <c r="M110" s="136">
        <f t="shared" si="3"/>
        <v>0.10204348517244262</v>
      </c>
      <c r="N110" s="32">
        <f t="shared" si="4"/>
        <v>0.12711509103246604</v>
      </c>
      <c r="O110" s="32">
        <f t="shared" si="5"/>
        <v>8.8996000152281221E-2</v>
      </c>
    </row>
    <row r="111" spans="1:15" s="18" customFormat="1" hidden="1">
      <c r="A111" s="57" t="s">
        <v>89</v>
      </c>
      <c r="B111" s="45">
        <f>B95*(1-B98)</f>
        <v>0.20241831900034876</v>
      </c>
      <c r="C111" s="45">
        <f t="shared" ref="C111:K111" si="17">C95*(1-C98)</f>
        <v>0.32314104551619027</v>
      </c>
      <c r="D111" s="45">
        <f t="shared" si="17"/>
        <v>0.22062133594215477</v>
      </c>
      <c r="E111" s="45">
        <f t="shared" si="17"/>
        <v>0.16939061599138752</v>
      </c>
      <c r="F111" s="45">
        <f t="shared" si="17"/>
        <v>0.11234392096991616</v>
      </c>
      <c r="G111" s="45">
        <f t="shared" si="17"/>
        <v>0.12985728883326092</v>
      </c>
      <c r="H111" s="45">
        <f t="shared" si="17"/>
        <v>0.14472911935080512</v>
      </c>
      <c r="I111" s="45">
        <f t="shared" si="17"/>
        <v>0.13241325269687387</v>
      </c>
      <c r="J111" s="45">
        <f t="shared" si="17"/>
        <v>9.093257556187033E-2</v>
      </c>
      <c r="K111" s="45">
        <f t="shared" si="17"/>
        <v>7.8619168126662781E-2</v>
      </c>
      <c r="L111" s="45"/>
      <c r="M111" s="136">
        <f t="shared" si="3"/>
        <v>0.10789072774729316</v>
      </c>
      <c r="N111" s="32">
        <f t="shared" si="4"/>
        <v>0.13688842646335325</v>
      </c>
      <c r="O111" s="32">
        <f t="shared" si="5"/>
        <v>0.10065499879513566</v>
      </c>
    </row>
    <row r="112" spans="1:15" s="2" customFormat="1">
      <c r="A112" s="138" t="s">
        <v>597</v>
      </c>
      <c r="B112" s="140">
        <f>B96*(1-B98)</f>
        <v>0.19393813441563465</v>
      </c>
      <c r="C112" s="140">
        <f t="shared" ref="C112:K112" si="18">C96*(1-C98)</f>
        <v>0.31337243953699934</v>
      </c>
      <c r="D112" s="140">
        <f t="shared" si="18"/>
        <v>0.21307434238451881</v>
      </c>
      <c r="E112" s="140">
        <f t="shared" si="18"/>
        <v>0.16630349707272787</v>
      </c>
      <c r="F112" s="140">
        <f t="shared" si="18"/>
        <v>0.11138097307588833</v>
      </c>
      <c r="G112" s="140">
        <f t="shared" si="18"/>
        <v>0.1379249151730885</v>
      </c>
      <c r="H112" s="140">
        <f t="shared" si="18"/>
        <v>0.15619620109094282</v>
      </c>
      <c r="I112" s="140">
        <f t="shared" si="18"/>
        <v>0.14389792163946799</v>
      </c>
      <c r="J112" s="140">
        <f t="shared" si="18"/>
        <v>8.1986819333863467E-2</v>
      </c>
      <c r="K112" s="140">
        <f t="shared" si="18"/>
        <v>7.5291067996502314E-2</v>
      </c>
      <c r="L112" s="140"/>
      <c r="M112" s="136">
        <f t="shared" si="3"/>
        <v>0.10860557377669999</v>
      </c>
      <c r="N112" s="32">
        <f t="shared" si="4"/>
        <v>0.14078049980211299</v>
      </c>
      <c r="O112" s="32">
        <f t="shared" si="5"/>
        <v>0.10039193632327792</v>
      </c>
    </row>
    <row r="113" spans="1:15" s="18" customFormat="1" hidden="1">
      <c r="A113" s="57" t="s">
        <v>139</v>
      </c>
      <c r="B113" s="45">
        <f>B97*(1-B98)</f>
        <v>0.20241831900034876</v>
      </c>
      <c r="C113" s="45">
        <f t="shared" ref="C113:K113" si="19">C97*(1-C98)</f>
        <v>0.32314104551619027</v>
      </c>
      <c r="D113" s="45">
        <f t="shared" si="19"/>
        <v>0.22062133594215477</v>
      </c>
      <c r="E113" s="45">
        <f t="shared" si="19"/>
        <v>0.17070754983777339</v>
      </c>
      <c r="F113" s="45">
        <f t="shared" si="19"/>
        <v>0.11512572182991639</v>
      </c>
      <c r="G113" s="45">
        <f t="shared" si="19"/>
        <v>0.14288317458982497</v>
      </c>
      <c r="H113" s="45">
        <f t="shared" si="19"/>
        <v>0.1610527816461253</v>
      </c>
      <c r="I113" s="45">
        <f t="shared" si="19"/>
        <v>0.152796849142526</v>
      </c>
      <c r="J113" s="45">
        <f t="shared" si="19"/>
        <v>0.10519289847032433</v>
      </c>
      <c r="K113" s="45">
        <f t="shared" si="19"/>
        <v>8.8106294345581274E-2</v>
      </c>
      <c r="L113" s="45"/>
      <c r="M113" s="136">
        <f t="shared" si="3"/>
        <v>0.11564866058042264</v>
      </c>
      <c r="N113" s="32">
        <f t="shared" si="4"/>
        <v>0.15313613175496091</v>
      </c>
      <c r="O113" s="32">
        <f t="shared" si="5"/>
        <v>0.11536534731947719</v>
      </c>
    </row>
    <row r="114" spans="1:15" s="18" customFormat="1" hidden="1">
      <c r="A114" s="57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136">
        <f t="shared" si="3"/>
        <v>0</v>
      </c>
      <c r="N114" s="32">
        <f t="shared" si="4"/>
        <v>0</v>
      </c>
      <c r="O114" s="32">
        <f t="shared" si="5"/>
        <v>0</v>
      </c>
    </row>
    <row r="115" spans="1:15" s="18" customFormat="1" hidden="1">
      <c r="A115" s="57" t="s">
        <v>333</v>
      </c>
      <c r="B115" s="45"/>
      <c r="C115" s="45"/>
      <c r="D115" s="45">
        <f>SUM(B110:D110)/3</f>
        <v>0.24012830544571762</v>
      </c>
      <c r="E115" s="45">
        <f t="shared" ref="E115:K118" si="20">SUM(C110:E110)/3</f>
        <v>0.23050005682970623</v>
      </c>
      <c r="F115" s="45">
        <f t="shared" si="20"/>
        <v>0.16230096057817958</v>
      </c>
      <c r="G115" s="45">
        <f t="shared" si="20"/>
        <v>0.13319246630189496</v>
      </c>
      <c r="H115" s="45">
        <f t="shared" si="20"/>
        <v>0.12510637343848771</v>
      </c>
      <c r="I115" s="45">
        <f t="shared" si="20"/>
        <v>0.13074062918553489</v>
      </c>
      <c r="J115" s="45">
        <f t="shared" si="20"/>
        <v>0.11317675755623458</v>
      </c>
      <c r="K115" s="45">
        <f t="shared" si="20"/>
        <v>8.8996000152281221E-2</v>
      </c>
      <c r="L115" s="45"/>
      <c r="M115" s="136">
        <f t="shared" si="3"/>
        <v>0.12241415494880367</v>
      </c>
      <c r="N115" s="32">
        <f t="shared" si="4"/>
        <v>0.14272527631664741</v>
      </c>
      <c r="O115" s="32">
        <f t="shared" si="5"/>
        <v>0.11097112896468357</v>
      </c>
    </row>
    <row r="116" spans="1:15" s="18" customFormat="1" hidden="1">
      <c r="A116" s="57" t="s">
        <v>334</v>
      </c>
      <c r="B116" s="45"/>
      <c r="C116" s="45"/>
      <c r="D116" s="45">
        <f t="shared" ref="D116:D118" si="21">SUM(B111:D111)/3</f>
        <v>0.24872690015289792</v>
      </c>
      <c r="E116" s="45">
        <f t="shared" si="20"/>
        <v>0.23771766581657749</v>
      </c>
      <c r="F116" s="45">
        <f t="shared" si="20"/>
        <v>0.16745195763448617</v>
      </c>
      <c r="G116" s="45">
        <f t="shared" si="20"/>
        <v>0.13719727526485487</v>
      </c>
      <c r="H116" s="45">
        <f t="shared" si="20"/>
        <v>0.12897677638466074</v>
      </c>
      <c r="I116" s="45">
        <f t="shared" si="20"/>
        <v>0.13566655362697996</v>
      </c>
      <c r="J116" s="45">
        <f t="shared" si="20"/>
        <v>0.12269164920318311</v>
      </c>
      <c r="K116" s="45">
        <f t="shared" si="20"/>
        <v>0.10065499879513566</v>
      </c>
      <c r="L116" s="45"/>
      <c r="M116" s="136">
        <f t="shared" si="3"/>
        <v>0.12790837768787761</v>
      </c>
      <c r="N116" s="32">
        <f t="shared" si="4"/>
        <v>0.15061912619253839</v>
      </c>
      <c r="O116" s="32">
        <f t="shared" si="5"/>
        <v>0.11967106720843292</v>
      </c>
    </row>
    <row r="117" spans="1:15" s="2" customFormat="1">
      <c r="A117" s="138" t="s">
        <v>335</v>
      </c>
      <c r="B117" s="140"/>
      <c r="C117" s="140"/>
      <c r="D117" s="140">
        <f t="shared" si="21"/>
        <v>0.24012830544571762</v>
      </c>
      <c r="E117" s="140">
        <f t="shared" si="20"/>
        <v>0.23091675966474867</v>
      </c>
      <c r="F117" s="140">
        <f t="shared" si="20"/>
        <v>0.16358627084437835</v>
      </c>
      <c r="G117" s="140">
        <f t="shared" si="20"/>
        <v>0.13853646177390155</v>
      </c>
      <c r="H117" s="140">
        <f t="shared" si="20"/>
        <v>0.13516736311330654</v>
      </c>
      <c r="I117" s="140">
        <f t="shared" si="20"/>
        <v>0.1460063459678331</v>
      </c>
      <c r="J117" s="140">
        <f t="shared" si="20"/>
        <v>0.12736031402142475</v>
      </c>
      <c r="K117" s="140">
        <f t="shared" si="20"/>
        <v>0.10039193632327792</v>
      </c>
      <c r="L117" s="140"/>
      <c r="M117" s="136">
        <f t="shared" si="3"/>
        <v>0.12820937571545885</v>
      </c>
      <c r="N117" s="32">
        <f t="shared" si="4"/>
        <v>0.15513435938304057</v>
      </c>
      <c r="O117" s="32">
        <f t="shared" si="5"/>
        <v>0.12458619877084526</v>
      </c>
    </row>
    <row r="118" spans="1:15" s="18" customFormat="1" hidden="1">
      <c r="A118" s="57" t="s">
        <v>336</v>
      </c>
      <c r="B118" s="45"/>
      <c r="C118" s="45"/>
      <c r="D118" s="45">
        <f t="shared" si="21"/>
        <v>0.24872690015289792</v>
      </c>
      <c r="E118" s="45">
        <f t="shared" si="20"/>
        <v>0.23815664376537279</v>
      </c>
      <c r="F118" s="45">
        <f t="shared" si="20"/>
        <v>0.16881820253661486</v>
      </c>
      <c r="G118" s="45">
        <f t="shared" si="20"/>
        <v>0.14290548208583825</v>
      </c>
      <c r="H118" s="45">
        <f t="shared" si="20"/>
        <v>0.13968722602195555</v>
      </c>
      <c r="I118" s="45">
        <f t="shared" si="20"/>
        <v>0.1522442684594921</v>
      </c>
      <c r="J118" s="45">
        <f t="shared" si="20"/>
        <v>0.1396808430863252</v>
      </c>
      <c r="K118" s="45">
        <f t="shared" si="20"/>
        <v>0.11536534731947719</v>
      </c>
      <c r="L118" s="45"/>
      <c r="M118" s="136">
        <f t="shared" si="3"/>
        <v>0.13455849134279735</v>
      </c>
      <c r="N118" s="32">
        <f t="shared" si="4"/>
        <v>0.16488833166317715</v>
      </c>
      <c r="O118" s="32">
        <f t="shared" si="5"/>
        <v>0.13576348628843149</v>
      </c>
    </row>
    <row r="119" spans="1:15" s="18" customFormat="1" hidden="1">
      <c r="A119" s="57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36">
        <f t="shared" si="3"/>
        <v>0</v>
      </c>
      <c r="N119" s="32">
        <f t="shared" si="4"/>
        <v>0</v>
      </c>
      <c r="O119" s="32">
        <f t="shared" si="5"/>
        <v>0</v>
      </c>
    </row>
    <row r="120" spans="1:15" s="18" customFormat="1" hidden="1">
      <c r="A120" s="57" t="s">
        <v>337</v>
      </c>
      <c r="B120" s="45"/>
      <c r="C120" s="45"/>
      <c r="D120" s="45"/>
      <c r="E120" s="45"/>
      <c r="F120" s="45">
        <f>SUM(B110:F110)/5</f>
        <v>0.19884269113743455</v>
      </c>
      <c r="G120" s="45">
        <f t="shared" ref="G120:K123" si="22">SUM(C110:G110)/5</f>
        <v>0.18520483616544062</v>
      </c>
      <c r="H120" s="45">
        <f t="shared" si="22"/>
        <v>0.1506893702535165</v>
      </c>
      <c r="I120" s="45">
        <f t="shared" si="22"/>
        <v>0.13321008538132492</v>
      </c>
      <c r="J120" s="45">
        <f t="shared" si="22"/>
        <v>0.11481085660135762</v>
      </c>
      <c r="K120" s="45">
        <f t="shared" si="22"/>
        <v>0.1067063939979775</v>
      </c>
      <c r="L120" s="45"/>
      <c r="M120" s="136">
        <f t="shared" si="3"/>
        <v>8.8946423353705173E-2</v>
      </c>
      <c r="N120" s="32">
        <f t="shared" si="4"/>
        <v>0.15591359315066447</v>
      </c>
      <c r="O120" s="32">
        <f t="shared" si="5"/>
        <v>0.11824244532688667</v>
      </c>
    </row>
    <row r="121" spans="1:15" s="18" customFormat="1" hidden="1">
      <c r="A121" s="57" t="s">
        <v>338</v>
      </c>
      <c r="B121" s="45"/>
      <c r="C121" s="45"/>
      <c r="D121" s="45"/>
      <c r="E121" s="45"/>
      <c r="F121" s="45">
        <f t="shared" ref="F121:F123" si="23">SUM(B111:F111)/5</f>
        <v>0.20558304748399947</v>
      </c>
      <c r="G121" s="45">
        <f t="shared" si="22"/>
        <v>0.1910708414505819</v>
      </c>
      <c r="H121" s="45">
        <f t="shared" si="22"/>
        <v>0.15538845621750491</v>
      </c>
      <c r="I121" s="45">
        <f t="shared" si="22"/>
        <v>0.13774683956844871</v>
      </c>
      <c r="J121" s="45">
        <f t="shared" si="22"/>
        <v>0.12205523148254527</v>
      </c>
      <c r="K121" s="45">
        <f t="shared" si="22"/>
        <v>0.11531028091389461</v>
      </c>
      <c r="L121" s="45"/>
      <c r="M121" s="136">
        <f t="shared" si="3"/>
        <v>9.2715469711697487E-2</v>
      </c>
      <c r="N121" s="32">
        <f t="shared" si="4"/>
        <v>0.16285742386893459</v>
      </c>
      <c r="O121" s="32">
        <f t="shared" si="5"/>
        <v>0.12503745065496286</v>
      </c>
    </row>
    <row r="122" spans="1:15" s="2" customFormat="1" hidden="1">
      <c r="A122" s="138" t="s">
        <v>339</v>
      </c>
      <c r="B122" s="140"/>
      <c r="C122" s="140"/>
      <c r="D122" s="140"/>
      <c r="E122" s="140"/>
      <c r="F122" s="140">
        <f t="shared" si="23"/>
        <v>0.1996138772971538</v>
      </c>
      <c r="G122" s="140">
        <f t="shared" si="22"/>
        <v>0.18841123344864458</v>
      </c>
      <c r="H122" s="140">
        <f t="shared" si="22"/>
        <v>0.15697598575943325</v>
      </c>
      <c r="I122" s="140">
        <f t="shared" si="22"/>
        <v>0.14314070161042308</v>
      </c>
      <c r="J122" s="140">
        <f t="shared" si="22"/>
        <v>0.12627736606265022</v>
      </c>
      <c r="K122" s="140">
        <f t="shared" si="22"/>
        <v>0.11905938504677301</v>
      </c>
      <c r="L122" s="140"/>
      <c r="M122" s="136">
        <f t="shared" si="3"/>
        <v>9.33478549225078E-2</v>
      </c>
      <c r="N122" s="32">
        <f t="shared" si="4"/>
        <v>0.1654425053700864</v>
      </c>
      <c r="O122" s="32">
        <f t="shared" si="5"/>
        <v>0.12949248423994877</v>
      </c>
    </row>
    <row r="123" spans="1:15" s="18" customFormat="1" hidden="1">
      <c r="A123" s="57" t="s">
        <v>340</v>
      </c>
      <c r="B123" s="45"/>
      <c r="C123" s="45"/>
      <c r="D123" s="45"/>
      <c r="E123" s="45"/>
      <c r="F123" s="45">
        <f t="shared" si="23"/>
        <v>0.2064027944252767</v>
      </c>
      <c r="G123" s="45">
        <f t="shared" si="22"/>
        <v>0.19449576554317197</v>
      </c>
      <c r="H123" s="45">
        <f t="shared" si="22"/>
        <v>0.16207811276915898</v>
      </c>
      <c r="I123" s="45">
        <f t="shared" si="22"/>
        <v>0.14851321540923321</v>
      </c>
      <c r="J123" s="45">
        <f t="shared" si="22"/>
        <v>0.13541028513574341</v>
      </c>
      <c r="K123" s="45">
        <f t="shared" si="22"/>
        <v>0.13000639963887636</v>
      </c>
      <c r="L123" s="45"/>
      <c r="M123" s="136">
        <f t="shared" si="3"/>
        <v>9.7690657292146071E-2</v>
      </c>
      <c r="N123" s="32">
        <f t="shared" si="4"/>
        <v>0.17363888715766601</v>
      </c>
      <c r="O123" s="32">
        <f t="shared" si="5"/>
        <v>0.13797663339461766</v>
      </c>
    </row>
    <row r="124" spans="1:15" s="18" customFormat="1" hidden="1">
      <c r="A124" s="57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36">
        <f t="shared" si="3"/>
        <v>0</v>
      </c>
      <c r="N124" s="32">
        <f t="shared" si="4"/>
        <v>0</v>
      </c>
      <c r="O124" s="32">
        <f t="shared" si="5"/>
        <v>0</v>
      </c>
    </row>
    <row r="125" spans="1:15" s="18" customFormat="1" hidden="1">
      <c r="A125" s="57" t="s">
        <v>470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>
        <f>SUM(B110:K110)/10</f>
        <v>0.15277454256770601</v>
      </c>
      <c r="L125" s="45"/>
      <c r="M125" s="136">
        <f t="shared" si="3"/>
        <v>1.5277454256770601E-2</v>
      </c>
      <c r="N125" s="32">
        <f t="shared" si="4"/>
        <v>3.3610399364895321E-2</v>
      </c>
      <c r="O125" s="32">
        <f t="shared" si="5"/>
        <v>5.0924847522568671E-2</v>
      </c>
    </row>
    <row r="126" spans="1:15" s="18" customFormat="1" hidden="1">
      <c r="A126" s="57" t="s">
        <v>471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>
        <f>SUM(B111:K111)/10</f>
        <v>0.16044666419894704</v>
      </c>
      <c r="L126" s="45"/>
      <c r="M126" s="136">
        <f t="shared" si="3"/>
        <v>1.6044666419894705E-2</v>
      </c>
      <c r="N126" s="32">
        <f t="shared" si="4"/>
        <v>3.5298266123768351E-2</v>
      </c>
      <c r="O126" s="32">
        <f t="shared" si="5"/>
        <v>5.3482221399649012E-2</v>
      </c>
    </row>
    <row r="127" spans="1:15" s="18" customFormat="1" hidden="1">
      <c r="A127" s="138" t="s">
        <v>472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>
        <f>SUM(B112:K112)/10</f>
        <v>0.15933663117196342</v>
      </c>
      <c r="L127" s="45"/>
      <c r="M127" s="136">
        <f t="shared" si="3"/>
        <v>1.5933663117196344E-2</v>
      </c>
      <c r="N127" s="32">
        <f t="shared" si="4"/>
        <v>3.5054058857831957E-2</v>
      </c>
      <c r="O127" s="32">
        <f t="shared" si="5"/>
        <v>5.3112210390654474E-2</v>
      </c>
    </row>
    <row r="128" spans="1:15" s="18" customFormat="1" hidden="1">
      <c r="A128" s="57" t="s">
        <v>473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>
        <f>SUM(B113:K113)/10</f>
        <v>0.16820459703207652</v>
      </c>
      <c r="L128" s="45"/>
      <c r="M128" s="136">
        <f t="shared" si="3"/>
        <v>1.6820459703207651E-2</v>
      </c>
      <c r="N128" s="32">
        <f t="shared" si="4"/>
        <v>3.7005011347056832E-2</v>
      </c>
      <c r="O128" s="32">
        <f t="shared" si="5"/>
        <v>5.6068199010692175E-2</v>
      </c>
    </row>
    <row r="129" spans="1:15" s="18" customFormat="1" hidden="1">
      <c r="A129" s="57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136">
        <f t="shared" si="3"/>
        <v>0</v>
      </c>
      <c r="N129" s="32">
        <f t="shared" si="4"/>
        <v>0</v>
      </c>
      <c r="O129" s="32">
        <f t="shared" si="5"/>
        <v>0</v>
      </c>
    </row>
    <row r="130" spans="1:15" s="18" customFormat="1" hidden="1">
      <c r="A130" s="57" t="s">
        <v>449</v>
      </c>
      <c r="B130" s="141">
        <f t="shared" ref="B130:K130" si="24">B82*(B110-0.12)</f>
        <v>1.6236814317673371</v>
      </c>
      <c r="C130" s="141">
        <f t="shared" si="24"/>
        <v>5.6290717149220511</v>
      </c>
      <c r="D130" s="141">
        <f t="shared" si="24"/>
        <v>2.8024684491978613</v>
      </c>
      <c r="E130" s="141">
        <f t="shared" si="24"/>
        <v>1.9179227513227539</v>
      </c>
      <c r="F130" s="141">
        <f t="shared" si="24"/>
        <v>-0.52296572504708094</v>
      </c>
      <c r="G130" s="141">
        <f t="shared" si="24"/>
        <v>0.33797545327754425</v>
      </c>
      <c r="H130" s="141">
        <f t="shared" si="24"/>
        <v>1.5606730038022807</v>
      </c>
      <c r="I130" s="141">
        <f t="shared" si="24"/>
        <v>0.57040364464692317</v>
      </c>
      <c r="J130" s="141">
        <f t="shared" si="24"/>
        <v>-6.0082032549728721</v>
      </c>
      <c r="K130" s="141">
        <f t="shared" si="24"/>
        <v>-7.7941575757575752</v>
      </c>
      <c r="L130" s="141"/>
      <c r="M130" s="136">
        <f t="shared" si="3"/>
        <v>-0.71358832535301642</v>
      </c>
      <c r="N130" s="32">
        <f t="shared" si="4"/>
        <v>-2.4093794108713431</v>
      </c>
      <c r="O130" s="32">
        <f t="shared" si="5"/>
        <v>-4.4106523953611747</v>
      </c>
    </row>
    <row r="131" spans="1:15" s="18" customFormat="1" hidden="1">
      <c r="A131" s="57" t="s">
        <v>450</v>
      </c>
      <c r="B131" s="141">
        <f t="shared" ref="B131:K131" si="25">B83*(B111-0.12)</f>
        <v>1.7340814317673379</v>
      </c>
      <c r="C131" s="141">
        <f t="shared" si="25"/>
        <v>5.7346717149220519</v>
      </c>
      <c r="D131" s="141">
        <f t="shared" si="25"/>
        <v>2.9260684491978606</v>
      </c>
      <c r="E131" s="141">
        <f t="shared" si="25"/>
        <v>2.0487227513227539</v>
      </c>
      <c r="F131" s="141">
        <f t="shared" si="25"/>
        <v>-0.3453657250470818</v>
      </c>
      <c r="G131" s="141">
        <f t="shared" si="25"/>
        <v>0.56117545327754437</v>
      </c>
      <c r="H131" s="141">
        <f t="shared" si="25"/>
        <v>1.8054730038022822</v>
      </c>
      <c r="I131" s="141">
        <f t="shared" si="25"/>
        <v>1.1836036446469242</v>
      </c>
      <c r="J131" s="141">
        <f t="shared" si="25"/>
        <v>-2.9890032549728738</v>
      </c>
      <c r="K131" s="141">
        <f t="shared" si="25"/>
        <v>-5.4109575757575739</v>
      </c>
      <c r="L131" s="141"/>
      <c r="M131" s="136">
        <f t="shared" si="3"/>
        <v>-2.2028325353016333E-2</v>
      </c>
      <c r="N131" s="32">
        <f t="shared" si="4"/>
        <v>-0.97434741087134247</v>
      </c>
      <c r="O131" s="32">
        <f t="shared" si="5"/>
        <v>-2.4054523953611744</v>
      </c>
    </row>
    <row r="132" spans="1:15" s="26" customFormat="1" hidden="1">
      <c r="A132" s="135" t="s">
        <v>451</v>
      </c>
      <c r="B132" s="142">
        <f t="shared" ref="B132:K132" si="26">B84*(B112-0.12)</f>
        <v>1.6236814317673371</v>
      </c>
      <c r="C132" s="142">
        <f t="shared" si="26"/>
        <v>5.6290717149220511</v>
      </c>
      <c r="D132" s="142">
        <f t="shared" si="26"/>
        <v>2.8024684491978613</v>
      </c>
      <c r="E132" s="142">
        <f t="shared" si="26"/>
        <v>1.9563227513227528</v>
      </c>
      <c r="F132" s="142">
        <f t="shared" si="26"/>
        <v>-0.39216572504708069</v>
      </c>
      <c r="G132" s="142">
        <f t="shared" si="26"/>
        <v>0.96077545327754366</v>
      </c>
      <c r="H132" s="142">
        <f t="shared" si="26"/>
        <v>2.4486730038022819</v>
      </c>
      <c r="I132" s="142">
        <f t="shared" si="26"/>
        <v>2.096803644646922</v>
      </c>
      <c r="J132" s="142">
        <f t="shared" si="26"/>
        <v>-4.3354032549728707</v>
      </c>
      <c r="K132" s="142">
        <f t="shared" si="26"/>
        <v>-6.104557575757573</v>
      </c>
      <c r="L132" s="142"/>
      <c r="M132" s="136">
        <f t="shared" si="3"/>
        <v>-5.6708325353016245E-2</v>
      </c>
      <c r="N132" s="32">
        <f t="shared" si="4"/>
        <v>-0.99808341087134234</v>
      </c>
      <c r="O132" s="32">
        <f t="shared" si="5"/>
        <v>-2.7810523953611739</v>
      </c>
    </row>
    <row r="133" spans="1:15" s="18" customFormat="1" hidden="1">
      <c r="A133" s="57" t="s">
        <v>452</v>
      </c>
      <c r="B133" s="143">
        <f t="shared" ref="B133:K133" si="27">B85*(B113-0.12)</f>
        <v>1.7340814317673379</v>
      </c>
      <c r="C133" s="143">
        <f t="shared" si="27"/>
        <v>5.7346717149220519</v>
      </c>
      <c r="D133" s="143">
        <f t="shared" si="27"/>
        <v>2.926068449197861</v>
      </c>
      <c r="E133" s="143">
        <f t="shared" si="27"/>
        <v>2.0871227513227528</v>
      </c>
      <c r="F133" s="143">
        <f t="shared" si="27"/>
        <v>-0.21456572504708046</v>
      </c>
      <c r="G133" s="143">
        <f t="shared" si="27"/>
        <v>1.1839754532775442</v>
      </c>
      <c r="H133" s="143">
        <f t="shared" si="27"/>
        <v>2.6934730038022812</v>
      </c>
      <c r="I133" s="143">
        <f t="shared" si="27"/>
        <v>2.7100036446469238</v>
      </c>
      <c r="J133" s="143">
        <f t="shared" si="27"/>
        <v>-1.3162032549728699</v>
      </c>
      <c r="K133" s="143">
        <f t="shared" si="27"/>
        <v>-3.7213575757575765</v>
      </c>
      <c r="L133" s="143"/>
      <c r="M133" s="136">
        <f t="shared" ref="M133:M199" si="28">SUM(D133:K133)/10</f>
        <v>0.63485167464698367</v>
      </c>
      <c r="N133" s="32">
        <f t="shared" ref="N133:N199" si="29">SUM(G133:M133)/5</f>
        <v>0.43694858912865708</v>
      </c>
      <c r="O133" s="32">
        <f t="shared" ref="O133:O199" si="30">SUM(I133:K133)/3</f>
        <v>-0.77585239536117412</v>
      </c>
    </row>
    <row r="134" spans="1:15" s="18" customFormat="1" hidden="1">
      <c r="A134" s="57" t="s">
        <v>585</v>
      </c>
      <c r="B134" s="45">
        <f>B130/'Data Sheet'!B17</f>
        <v>5.3480943075340487E-2</v>
      </c>
      <c r="C134" s="45">
        <f>C130/'Data Sheet'!C17</f>
        <v>0.11120252301307886</v>
      </c>
      <c r="D134" s="45">
        <f>D130/'Data Sheet'!D17</f>
        <v>6.055463373374808E-2</v>
      </c>
      <c r="E134" s="45">
        <f>E130/'Data Sheet'!E17</f>
        <v>3.4808035414206059E-2</v>
      </c>
      <c r="F134" s="45">
        <f>F130/'Data Sheet'!F17</f>
        <v>-8.4132195149144301E-3</v>
      </c>
      <c r="G134" s="45">
        <f>G130/'Data Sheet'!G17</f>
        <v>4.3081638403765993E-3</v>
      </c>
      <c r="H134" s="45">
        <f>H130/'Data Sheet'!H17</f>
        <v>1.5048433167508252E-2</v>
      </c>
      <c r="I134" s="45">
        <f>I130/'Data Sheet'!I17</f>
        <v>4.899953995764309E-3</v>
      </c>
      <c r="J134" s="45">
        <f>J130/'Data Sheet'!J17</f>
        <v>-4.3268063192948805E-2</v>
      </c>
      <c r="K134" s="45">
        <f>K130/'Data Sheet'!K17</f>
        <v>-5.500464061931952E-2</v>
      </c>
      <c r="L134" s="45"/>
      <c r="M134" s="136">
        <f t="shared" si="28"/>
        <v>1.2933296824420542E-3</v>
      </c>
      <c r="N134" s="32">
        <f t="shared" si="29"/>
        <v>-1.454456462523542E-2</v>
      </c>
      <c r="O134" s="32">
        <f t="shared" si="30"/>
        <v>-3.1124249938834669E-2</v>
      </c>
    </row>
    <row r="135" spans="1:15" s="18" customFormat="1" hidden="1">
      <c r="A135" s="57" t="s">
        <v>93</v>
      </c>
      <c r="B135" s="45">
        <f>B131/'Data Sheet'!B17</f>
        <v>5.7117306711704147E-2</v>
      </c>
      <c r="C135" s="45">
        <f>C131/'Data Sheet'!C17</f>
        <v>0.1132886549767296</v>
      </c>
      <c r="D135" s="45">
        <f>D131/'Data Sheet'!D17</f>
        <v>6.3225333820178489E-2</v>
      </c>
      <c r="E135" s="45">
        <f>E131/'Data Sheet'!E17</f>
        <v>3.7181901112935643E-2</v>
      </c>
      <c r="F135" s="45">
        <f>F131/'Data Sheet'!F17</f>
        <v>-5.5560766577715864E-3</v>
      </c>
      <c r="G135" s="45">
        <f>G131/'Data Sheet'!G17</f>
        <v>7.1532881233593928E-3</v>
      </c>
      <c r="H135" s="45">
        <f>H131/'Data Sheet'!H17</f>
        <v>1.74088612843726E-2</v>
      </c>
      <c r="I135" s="45">
        <f>I131/'Data Sheet'!I17</f>
        <v>1.0167542690893603E-2</v>
      </c>
      <c r="J135" s="45">
        <f>J131/'Data Sheet'!J17</f>
        <v>-2.1525300698349945E-2</v>
      </c>
      <c r="K135" s="45">
        <f>K131/'Data Sheet'!K17</f>
        <v>-3.8186009708945479E-2</v>
      </c>
      <c r="L135" s="45"/>
      <c r="M135" s="136">
        <f t="shared" si="28"/>
        <v>6.986953996667271E-3</v>
      </c>
      <c r="N135" s="32">
        <f t="shared" si="29"/>
        <v>-3.5989328624005121E-3</v>
      </c>
      <c r="O135" s="32">
        <f t="shared" si="30"/>
        <v>-1.6514589238800607E-2</v>
      </c>
    </row>
    <row r="136" spans="1:15" s="26" customFormat="1">
      <c r="A136" s="135" t="s">
        <v>586</v>
      </c>
      <c r="B136" s="191">
        <f>B132/'Data Sheet'!B17</f>
        <v>5.3480943075340487E-2</v>
      </c>
      <c r="C136" s="191">
        <f>C132/'Data Sheet'!C17</f>
        <v>0.11120252301307886</v>
      </c>
      <c r="D136" s="191">
        <f>D132/'Data Sheet'!D17</f>
        <v>6.055463373374808E-2</v>
      </c>
      <c r="E136" s="191">
        <f>E132/'Data Sheet'!E17</f>
        <v>3.5504950114750501E-2</v>
      </c>
      <c r="F136" s="191">
        <f>F132/'Data Sheet'!F17</f>
        <v>-6.3089724106673217E-3</v>
      </c>
      <c r="G136" s="191">
        <f>G132/'Data Sheet'!G17</f>
        <v>1.2246978371925349E-2</v>
      </c>
      <c r="H136" s="191">
        <f>H132/'Data Sheet'!H17</f>
        <v>2.3610770454173001E-2</v>
      </c>
      <c r="I136" s="191">
        <f>I132/'Data Sheet'!I17</f>
        <v>1.8012229573463809E-2</v>
      </c>
      <c r="J136" s="191">
        <f>J132/'Data Sheet'!J17</f>
        <v>-3.1221397486481853E-2</v>
      </c>
      <c r="K136" s="191">
        <f>K132/'Data Sheet'!K17</f>
        <v>-4.3080857979940532E-2</v>
      </c>
      <c r="L136" s="191"/>
      <c r="M136" s="213">
        <f t="shared" si="28"/>
        <v>6.9318334370971017E-3</v>
      </c>
      <c r="N136" s="214">
        <f t="shared" si="29"/>
        <v>-2.7000887259526246E-3</v>
      </c>
      <c r="O136" s="214">
        <f t="shared" si="30"/>
        <v>-1.8763341964319526E-2</v>
      </c>
    </row>
    <row r="137" spans="1:15" s="18" customFormat="1" hidden="1">
      <c r="A137" s="57" t="s">
        <v>140</v>
      </c>
      <c r="B137" s="45">
        <f>B133/'Data Sheet'!B17</f>
        <v>5.7117306711704147E-2</v>
      </c>
      <c r="C137" s="45">
        <f>C133/'Data Sheet'!C17</f>
        <v>0.1132886549767296</v>
      </c>
      <c r="D137" s="45">
        <f>D133/'Data Sheet'!D17</f>
        <v>6.3225333820178503E-2</v>
      </c>
      <c r="E137" s="45">
        <f>E133/'Data Sheet'!E17</f>
        <v>3.7878815813480085E-2</v>
      </c>
      <c r="F137" s="45">
        <f>F133/'Data Sheet'!F17</f>
        <v>-3.4518295535244607E-3</v>
      </c>
      <c r="G137" s="45">
        <f>G133/'Data Sheet'!G17</f>
        <v>1.5092102654908146E-2</v>
      </c>
      <c r="H137" s="45">
        <f>H133/'Data Sheet'!H17</f>
        <v>2.5971198571037329E-2</v>
      </c>
      <c r="I137" s="45">
        <f>I133/'Data Sheet'!I17</f>
        <v>2.327981826859311E-2</v>
      </c>
      <c r="J137" s="45">
        <f>J133/'Data Sheet'!J17</f>
        <v>-9.4786349918829747E-3</v>
      </c>
      <c r="K137" s="45">
        <f>K133/'Data Sheet'!K17</f>
        <v>-2.6262227069566525E-2</v>
      </c>
      <c r="L137" s="45"/>
      <c r="M137" s="136">
        <f t="shared" si="28"/>
        <v>1.2625457751322322E-2</v>
      </c>
      <c r="N137" s="32">
        <f t="shared" si="29"/>
        <v>8.2455430368822795E-3</v>
      </c>
      <c r="O137" s="32">
        <f t="shared" si="30"/>
        <v>-4.1536812642854635E-3</v>
      </c>
    </row>
    <row r="138" spans="1:15" s="18" customFormat="1" hidden="1">
      <c r="A138" s="57" t="s">
        <v>453</v>
      </c>
      <c r="B138" s="141">
        <f t="shared" ref="B138:K138" si="31">B82*(B110-0.1)</f>
        <v>2.062881431767337</v>
      </c>
      <c r="C138" s="141">
        <f t="shared" si="31"/>
        <v>6.2112717149220504</v>
      </c>
      <c r="D138" s="141">
        <f t="shared" si="31"/>
        <v>3.4046684491978612</v>
      </c>
      <c r="E138" s="141">
        <f t="shared" si="31"/>
        <v>2.7693227513227532</v>
      </c>
      <c r="F138" s="141">
        <f t="shared" si="31"/>
        <v>0.40883427495291869</v>
      </c>
      <c r="G138" s="141">
        <f t="shared" si="31"/>
        <v>1.5137754532775436</v>
      </c>
      <c r="H138" s="141">
        <f t="shared" si="31"/>
        <v>3.0616730038022797</v>
      </c>
      <c r="I138" s="141">
        <f t="shared" si="31"/>
        <v>2.5796036446469222</v>
      </c>
      <c r="J138" s="141">
        <f t="shared" si="31"/>
        <v>-3.4484032549728738</v>
      </c>
      <c r="K138" s="141">
        <f t="shared" si="31"/>
        <v>-4.7817575757575765</v>
      </c>
      <c r="L138" s="141"/>
      <c r="M138" s="136">
        <f t="shared" si="28"/>
        <v>0.55077167464698296</v>
      </c>
      <c r="N138" s="32">
        <f t="shared" si="29"/>
        <v>-0.10486741087134435</v>
      </c>
      <c r="O138" s="32">
        <f t="shared" si="30"/>
        <v>-1.8835190620278428</v>
      </c>
    </row>
    <row r="139" spans="1:15" s="18" customFormat="1" hidden="1">
      <c r="A139" s="57" t="s">
        <v>454</v>
      </c>
      <c r="B139" s="141">
        <f t="shared" ref="B139:K139" si="32">B83*(B111-0.1)</f>
        <v>2.1548814317673379</v>
      </c>
      <c r="C139" s="141">
        <f t="shared" si="32"/>
        <v>6.2992717149220514</v>
      </c>
      <c r="D139" s="141">
        <f t="shared" si="32"/>
        <v>3.5076684491978605</v>
      </c>
      <c r="E139" s="141">
        <f t="shared" si="32"/>
        <v>2.8783227513227536</v>
      </c>
      <c r="F139" s="141">
        <f t="shared" si="32"/>
        <v>0.55683427495291782</v>
      </c>
      <c r="G139" s="141">
        <f t="shared" si="32"/>
        <v>1.6997754532775438</v>
      </c>
      <c r="H139" s="141">
        <f t="shared" si="32"/>
        <v>3.2656730038022812</v>
      </c>
      <c r="I139" s="141">
        <f t="shared" si="32"/>
        <v>3.0906036446469232</v>
      </c>
      <c r="J139" s="141">
        <f t="shared" si="32"/>
        <v>-0.93240325497287468</v>
      </c>
      <c r="K139" s="141">
        <f t="shared" si="32"/>
        <v>-2.7957575757575754</v>
      </c>
      <c r="L139" s="141"/>
      <c r="M139" s="136">
        <f t="shared" si="28"/>
        <v>1.1270716746469829</v>
      </c>
      <c r="N139" s="32">
        <f t="shared" si="29"/>
        <v>1.0909925891286563</v>
      </c>
      <c r="O139" s="32">
        <f t="shared" si="30"/>
        <v>-0.21251906202784232</v>
      </c>
    </row>
    <row r="140" spans="1:15" s="26" customFormat="1" hidden="1">
      <c r="A140" s="135" t="s">
        <v>455</v>
      </c>
      <c r="B140" s="144">
        <f t="shared" ref="B140:K140" si="33">B84*(B112-0.1)</f>
        <v>2.062881431767337</v>
      </c>
      <c r="C140" s="144">
        <f t="shared" si="33"/>
        <v>6.2112717149220504</v>
      </c>
      <c r="D140" s="144">
        <f t="shared" si="33"/>
        <v>3.4046684491978612</v>
      </c>
      <c r="E140" s="144">
        <f t="shared" si="33"/>
        <v>2.8013227513227523</v>
      </c>
      <c r="F140" s="144">
        <f t="shared" si="33"/>
        <v>0.51783427495291878</v>
      </c>
      <c r="G140" s="144">
        <f t="shared" si="33"/>
        <v>2.0327754532775431</v>
      </c>
      <c r="H140" s="144">
        <f t="shared" si="33"/>
        <v>3.8016730038022812</v>
      </c>
      <c r="I140" s="144">
        <f t="shared" si="33"/>
        <v>3.8516036446469215</v>
      </c>
      <c r="J140" s="144">
        <f t="shared" si="33"/>
        <v>-2.0544032549728719</v>
      </c>
      <c r="K140" s="144">
        <f t="shared" si="33"/>
        <v>-3.3737575757575744</v>
      </c>
      <c r="L140" s="144"/>
      <c r="M140" s="136">
        <f t="shared" si="28"/>
        <v>1.098171674646983</v>
      </c>
      <c r="N140" s="32">
        <f t="shared" si="29"/>
        <v>1.0712125891286566</v>
      </c>
      <c r="O140" s="32">
        <f t="shared" si="30"/>
        <v>-0.5255190620278416</v>
      </c>
    </row>
    <row r="141" spans="1:15" s="18" customFormat="1" hidden="1">
      <c r="A141" s="57" t="s">
        <v>456</v>
      </c>
      <c r="B141" s="141">
        <f t="shared" ref="B141:K141" si="34">B85*(B113-0.1)</f>
        <v>2.1548814317673379</v>
      </c>
      <c r="C141" s="141">
        <f t="shared" si="34"/>
        <v>6.2992717149220514</v>
      </c>
      <c r="D141" s="141">
        <f t="shared" si="34"/>
        <v>3.5076684491978609</v>
      </c>
      <c r="E141" s="141">
        <f t="shared" si="34"/>
        <v>2.9103227513227523</v>
      </c>
      <c r="F141" s="141">
        <f t="shared" si="34"/>
        <v>0.66583427495291903</v>
      </c>
      <c r="G141" s="141">
        <f t="shared" si="34"/>
        <v>2.2187754532775434</v>
      </c>
      <c r="H141" s="141">
        <f t="shared" si="34"/>
        <v>4.0056730038022801</v>
      </c>
      <c r="I141" s="141">
        <f t="shared" si="34"/>
        <v>4.3626036446469225</v>
      </c>
      <c r="J141" s="141">
        <f t="shared" si="34"/>
        <v>0.46159674502712894</v>
      </c>
      <c r="K141" s="141">
        <f t="shared" si="34"/>
        <v>-1.3877575757575777</v>
      </c>
      <c r="L141" s="141"/>
      <c r="M141" s="136">
        <f t="shared" si="28"/>
        <v>1.674471674646983</v>
      </c>
      <c r="N141" s="32">
        <f t="shared" si="29"/>
        <v>2.2670725891286558</v>
      </c>
      <c r="O141" s="32">
        <f t="shared" si="30"/>
        <v>1.145480937972158</v>
      </c>
    </row>
    <row r="142" spans="1:15" s="18" customFormat="1" hidden="1">
      <c r="A142" s="57" t="s">
        <v>564</v>
      </c>
      <c r="B142" s="45">
        <f>B138/'Data Sheet'!B17</f>
        <v>6.7947346237395817E-2</v>
      </c>
      <c r="C142" s="45">
        <f>C138/'Data Sheet'!C17</f>
        <v>0.12270390586570626</v>
      </c>
      <c r="D142" s="45">
        <f>D138/'Data Sheet'!D17</f>
        <v>7.3566733993039354E-2</v>
      </c>
      <c r="E142" s="45">
        <f>E138/'Data Sheet'!E17</f>
        <v>5.0259941040340345E-2</v>
      </c>
      <c r="F142" s="45">
        <f>F138/'Data Sheet'!F17</f>
        <v>6.577127975433055E-3</v>
      </c>
      <c r="G142" s="45">
        <f>G138/'Data Sheet'!G17</f>
        <v>1.9296054216412284E-2</v>
      </c>
      <c r="H142" s="45">
        <f>H138/'Data Sheet'!H17</f>
        <v>2.9521483018053032E-2</v>
      </c>
      <c r="I142" s="45">
        <f>I138/'Data Sheet'!I17</f>
        <v>2.2159639589785434E-2</v>
      </c>
      <c r="J142" s="45">
        <f>J138/'Data Sheet'!J17</f>
        <v>-2.4833668838923184E-2</v>
      </c>
      <c r="K142" s="45">
        <f>K138/'Data Sheet'!K17</f>
        <v>-3.3745642736468434E-2</v>
      </c>
      <c r="L142" s="45"/>
      <c r="M142" s="136">
        <f t="shared" si="28"/>
        <v>1.4280166825767188E-2</v>
      </c>
      <c r="N142" s="32">
        <f t="shared" si="29"/>
        <v>5.3356064149252648E-3</v>
      </c>
      <c r="O142" s="32">
        <f t="shared" si="30"/>
        <v>-1.2139890661868727E-2</v>
      </c>
    </row>
    <row r="143" spans="1:15" s="18" customFormat="1" hidden="1">
      <c r="A143" s="57" t="s">
        <v>93</v>
      </c>
      <c r="B143" s="45">
        <f>B139/'Data Sheet'!B17</f>
        <v>7.0977649267698881E-2</v>
      </c>
      <c r="C143" s="45">
        <f>C139/'Data Sheet'!C17</f>
        <v>0.12444234916874855</v>
      </c>
      <c r="D143" s="45">
        <f>D139/'Data Sheet'!D17</f>
        <v>7.5792317398398021E-2</v>
      </c>
      <c r="E143" s="45">
        <f>E139/'Data Sheet'!E17</f>
        <v>5.2238162455948339E-2</v>
      </c>
      <c r="F143" s="45">
        <f>F139/'Data Sheet'!F17</f>
        <v>8.9580803563854231E-3</v>
      </c>
      <c r="G143" s="45">
        <f>G139/'Data Sheet'!G17</f>
        <v>2.1666991118897944E-2</v>
      </c>
      <c r="H143" s="45">
        <f>H139/'Data Sheet'!H17</f>
        <v>3.1488506448773323E-2</v>
      </c>
      <c r="I143" s="45">
        <f>I139/'Data Sheet'!I17</f>
        <v>2.6549296835726512E-2</v>
      </c>
      <c r="J143" s="45">
        <f>J139/'Data Sheet'!J17</f>
        <v>-6.7147000934241292E-3</v>
      </c>
      <c r="K143" s="45">
        <f>K139/'Data Sheet'!K17</f>
        <v>-1.9730116977823398E-2</v>
      </c>
      <c r="L143" s="45"/>
      <c r="M143" s="136">
        <f t="shared" si="28"/>
        <v>1.9024853754288203E-2</v>
      </c>
      <c r="N143" s="32">
        <f t="shared" si="29"/>
        <v>1.4456966217287693E-2</v>
      </c>
      <c r="O143" s="32">
        <f t="shared" si="30"/>
        <v>3.4826588159661553E-5</v>
      </c>
    </row>
    <row r="144" spans="1:15" s="2" customFormat="1">
      <c r="A144" s="138" t="s">
        <v>587</v>
      </c>
      <c r="B144" s="140">
        <f>B140/'Data Sheet'!B17</f>
        <v>6.7947346237395817E-2</v>
      </c>
      <c r="C144" s="140">
        <f>C140/'Data Sheet'!C17</f>
        <v>0.12270390586570626</v>
      </c>
      <c r="D144" s="140">
        <f>D140/'Data Sheet'!D17</f>
        <v>7.3566733993039354E-2</v>
      </c>
      <c r="E144" s="140">
        <f>E140/'Data Sheet'!E17</f>
        <v>5.084070329079405E-2</v>
      </c>
      <c r="F144" s="140">
        <f>F140/'Data Sheet'!F17</f>
        <v>8.3306672289723098E-3</v>
      </c>
      <c r="G144" s="140">
        <f>G140/'Data Sheet'!G17</f>
        <v>2.5911732992702906E-2</v>
      </c>
      <c r="H144" s="140">
        <f>H140/'Data Sheet'!H17</f>
        <v>3.6656764090273665E-2</v>
      </c>
      <c r="I144" s="140">
        <f>I140/'Data Sheet'!I17</f>
        <v>3.3086535904535017E-2</v>
      </c>
      <c r="J144" s="140">
        <f>J140/'Data Sheet'!J17</f>
        <v>-1.4794780750200718E-2</v>
      </c>
      <c r="K144" s="140">
        <f>K140/'Data Sheet'!K17</f>
        <v>-2.380915720365261E-2</v>
      </c>
      <c r="L144" s="140"/>
      <c r="M144" s="136">
        <f t="shared" si="28"/>
        <v>1.8978919954646397E-2</v>
      </c>
      <c r="N144" s="32">
        <f t="shared" si="29"/>
        <v>1.5206002997660933E-2</v>
      </c>
      <c r="O144" s="32">
        <f t="shared" si="30"/>
        <v>-1.8391340164394369E-3</v>
      </c>
    </row>
    <row r="145" spans="1:15" s="18" customFormat="1" hidden="1">
      <c r="A145" s="57" t="s">
        <v>140</v>
      </c>
      <c r="B145" s="45">
        <f>B141/'Data Sheet'!B17</f>
        <v>7.0977649267698881E-2</v>
      </c>
      <c r="C145" s="45">
        <f>C141/'Data Sheet'!C17</f>
        <v>0.12444234916874855</v>
      </c>
      <c r="D145" s="45">
        <f>D141/'Data Sheet'!D17</f>
        <v>7.5792317398398035E-2</v>
      </c>
      <c r="E145" s="45">
        <f>E141/'Data Sheet'!E17</f>
        <v>5.2818924706402037E-2</v>
      </c>
      <c r="F145" s="45">
        <f>F141/'Data Sheet'!F17</f>
        <v>1.0711619609924696E-2</v>
      </c>
      <c r="G145" s="45">
        <f>G141/'Data Sheet'!G17</f>
        <v>2.8282669895188569E-2</v>
      </c>
      <c r="H145" s="45">
        <f>H141/'Data Sheet'!H17</f>
        <v>3.8623787520993928E-2</v>
      </c>
      <c r="I145" s="45">
        <f>I141/'Data Sheet'!I17</f>
        <v>3.7476193150476102E-2</v>
      </c>
      <c r="J145" s="45">
        <f>J141/'Data Sheet'!J17</f>
        <v>3.32418799529835E-3</v>
      </c>
      <c r="K145" s="45">
        <f>K141/'Data Sheet'!K17</f>
        <v>-9.793631445007606E-3</v>
      </c>
      <c r="L145" s="45"/>
      <c r="M145" s="136">
        <f t="shared" si="28"/>
        <v>2.3723606883167412E-2</v>
      </c>
      <c r="N145" s="32">
        <f t="shared" si="29"/>
        <v>2.4327362800023351E-2</v>
      </c>
      <c r="O145" s="32">
        <f t="shared" si="30"/>
        <v>1.0335583233588949E-2</v>
      </c>
    </row>
    <row r="146" spans="1:15" s="26" customFormat="1">
      <c r="A146" s="135" t="s">
        <v>605</v>
      </c>
      <c r="B146" s="191">
        <f>B136*B106</f>
        <v>7.3938134415634654E-2</v>
      </c>
      <c r="C146" s="191">
        <f t="shared" ref="C146:K146" si="35">C136*C106</f>
        <v>0.19337243953699937</v>
      </c>
      <c r="D146" s="191">
        <f t="shared" si="35"/>
        <v>9.307434238451881E-2</v>
      </c>
      <c r="E146" s="191">
        <f t="shared" si="35"/>
        <v>4.6303497072727878E-2</v>
      </c>
      <c r="F146" s="191">
        <f t="shared" si="35"/>
        <v>-8.619026924111664E-3</v>
      </c>
      <c r="G146" s="191">
        <f t="shared" si="35"/>
        <v>1.7924915173088501E-2</v>
      </c>
      <c r="H146" s="191">
        <f t="shared" si="35"/>
        <v>3.6196201090942813E-2</v>
      </c>
      <c r="I146" s="191">
        <f t="shared" si="35"/>
        <v>2.3897921639467992E-2</v>
      </c>
      <c r="J146" s="191">
        <f t="shared" si="35"/>
        <v>-3.8013180666136528E-2</v>
      </c>
      <c r="K146" s="191">
        <f t="shared" si="35"/>
        <v>-4.4708932003497681E-2</v>
      </c>
      <c r="L146" s="191"/>
      <c r="M146" s="213"/>
      <c r="N146" s="214"/>
      <c r="O146" s="214"/>
    </row>
    <row r="147" spans="1:15" s="2" customFormat="1">
      <c r="A147" s="138" t="s">
        <v>606</v>
      </c>
      <c r="B147" s="140">
        <f>B144*B106</f>
        <v>9.3938134415634658E-2</v>
      </c>
      <c r="C147" s="140">
        <f t="shared" ref="C147:K147" si="36">C144*C106</f>
        <v>0.21337243953699933</v>
      </c>
      <c r="D147" s="140">
        <f t="shared" si="36"/>
        <v>0.11307434238451881</v>
      </c>
      <c r="E147" s="140">
        <f t="shared" si="36"/>
        <v>6.6303497072727868E-2</v>
      </c>
      <c r="F147" s="140">
        <f t="shared" si="36"/>
        <v>1.1380973075888324E-2</v>
      </c>
      <c r="G147" s="140">
        <f t="shared" si="36"/>
        <v>3.7924915173088491E-2</v>
      </c>
      <c r="H147" s="140">
        <f t="shared" si="36"/>
        <v>5.619620109094281E-2</v>
      </c>
      <c r="I147" s="140">
        <f t="shared" si="36"/>
        <v>4.3897921639467978E-2</v>
      </c>
      <c r="J147" s="140">
        <f t="shared" si="36"/>
        <v>-1.8013180666136538E-2</v>
      </c>
      <c r="K147" s="140">
        <f t="shared" si="36"/>
        <v>-2.4708932003497691E-2</v>
      </c>
      <c r="L147" s="140"/>
      <c r="M147" s="195"/>
      <c r="N147" s="75"/>
      <c r="O147" s="75"/>
    </row>
    <row r="148" spans="1:15" ht="18.75">
      <c r="A148" s="68" t="s">
        <v>141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136">
        <f t="shared" si="28"/>
        <v>0</v>
      </c>
      <c r="N148" s="32">
        <f t="shared" si="29"/>
        <v>0</v>
      </c>
      <c r="O148" s="32">
        <f t="shared" si="30"/>
        <v>0</v>
      </c>
    </row>
    <row r="149" spans="1:15" s="18" customFormat="1">
      <c r="A149" s="172" t="s">
        <v>103</v>
      </c>
      <c r="B149" s="141">
        <f>'Data Sheet'!B17/'Data Sheet'!B66</f>
        <v>0.97903901967107376</v>
      </c>
      <c r="C149" s="141">
        <f>'Data Sheet'!C17/'Data Sheet'!C66</f>
        <v>1.2946291560102301</v>
      </c>
      <c r="D149" s="141">
        <f>'Data Sheet'!D17/'Data Sheet'!D66</f>
        <v>1.0688221709006929</v>
      </c>
      <c r="E149" s="141">
        <f>'Data Sheet'!E17/'Data Sheet'!E66</f>
        <v>0.99368800721370598</v>
      </c>
      <c r="F149" s="141">
        <f>'Data Sheet'!F17/'Data Sheet'!F66</f>
        <v>1.0698795180722891</v>
      </c>
      <c r="G149" s="141">
        <f>'Data Sheet'!G17/'Data Sheet'!G66</f>
        <v>1.0283130161226897</v>
      </c>
      <c r="H149" s="141">
        <f>'Data Sheet'!H17/'Data Sheet'!H66</f>
        <v>1.0708311822405783</v>
      </c>
      <c r="I149" s="141">
        <f>'Data Sheet'!I17/'Data Sheet'!I66</f>
        <v>0.94373733279286587</v>
      </c>
      <c r="J149" s="141">
        <f>'Data Sheet'!J17/'Data Sheet'!J66</f>
        <v>0.83585144164208758</v>
      </c>
      <c r="K149" s="141">
        <f>'Data Sheet'!K17/'Data Sheet'!K66</f>
        <v>0.78291618321454215</v>
      </c>
      <c r="L149" s="141"/>
      <c r="M149" s="136">
        <f t="shared" si="28"/>
        <v>0.77940388521994508</v>
      </c>
      <c r="N149" s="32">
        <f t="shared" si="29"/>
        <v>1.0882106082465417</v>
      </c>
      <c r="O149" s="32">
        <f t="shared" si="30"/>
        <v>0.8541683192164985</v>
      </c>
    </row>
    <row r="150" spans="1:15" s="18" customFormat="1">
      <c r="A150" s="172" t="s">
        <v>106</v>
      </c>
      <c r="B150" s="141">
        <f>'Data Sheet'!B61/('Data Sheet'!B57+'Data Sheet'!B58)</f>
        <v>3.3633405639913239</v>
      </c>
      <c r="C150" s="141">
        <f>'Data Sheet'!C61/('Data Sheet'!C57+'Data Sheet'!C58)</f>
        <v>2.4762507916402785</v>
      </c>
      <c r="D150" s="141">
        <f>'Data Sheet'!D61/('Data Sheet'!D57+'Data Sheet'!D58)</f>
        <v>2.0777351247600766</v>
      </c>
      <c r="E150" s="141">
        <f>'Data Sheet'!E61/('Data Sheet'!E57+'Data Sheet'!E58)</f>
        <v>2.1736573892591142</v>
      </c>
      <c r="F150" s="141">
        <f>'Data Sheet'!F61/('Data Sheet'!F57+'Data Sheet'!F58)</f>
        <v>2.0698254364089776</v>
      </c>
      <c r="G150" s="141">
        <f>'Data Sheet'!G61/('Data Sheet'!G57+'Data Sheet'!G58)</f>
        <v>2.3945386064030134</v>
      </c>
      <c r="H150" s="141">
        <f>'Data Sheet'!H61/('Data Sheet'!H57+'Data Sheet'!H58)</f>
        <v>2.533350771645305</v>
      </c>
      <c r="I150" s="141">
        <f>'Data Sheet'!I61/('Data Sheet'!I57+'Data Sheet'!I58)</f>
        <v>2.6345578812473303</v>
      </c>
      <c r="J150" s="141">
        <f>'Data Sheet'!J61/('Data Sheet'!J57+'Data Sheet'!J58)</f>
        <v>2.0479536489151871</v>
      </c>
      <c r="K150" s="141">
        <f>'Data Sheet'!K61/('Data Sheet'!K57+'Data Sheet'!K58)</f>
        <v>2.0235912343470486</v>
      </c>
      <c r="L150" s="141"/>
      <c r="M150" s="136">
        <f t="shared" si="28"/>
        <v>1.7955210092986054</v>
      </c>
      <c r="N150" s="32">
        <f t="shared" si="29"/>
        <v>2.6859026303712978</v>
      </c>
      <c r="O150" s="32">
        <f t="shared" si="30"/>
        <v>2.2353675881698556</v>
      </c>
    </row>
    <row r="151" spans="1:15" s="18" customFormat="1">
      <c r="A151" s="79" t="s">
        <v>142</v>
      </c>
      <c r="B151" s="45">
        <f>'Data Sheet'!B30/'Data Sheet'!B17</f>
        <v>0.11989459815546773</v>
      </c>
      <c r="C151" s="45">
        <f>'Data Sheet'!C30/'Data Sheet'!C17</f>
        <v>0.1457921770051363</v>
      </c>
      <c r="D151" s="45">
        <f>'Data Sheet'!D30/'Data Sheet'!D17</f>
        <v>0.12770095073465859</v>
      </c>
      <c r="E151" s="45">
        <f>'Data Sheet'!E30/'Data Sheet'!E17</f>
        <v>0.10980036297640652</v>
      </c>
      <c r="F151" s="45">
        <f>'Data Sheet'!F30/'Data Sheet'!F17</f>
        <v>6.3384813384813388E-2</v>
      </c>
      <c r="G151" s="45">
        <f>'Data Sheet'!G30/'Data Sheet'!G17</f>
        <v>7.0108349267049078E-2</v>
      </c>
      <c r="H151" s="45">
        <f>'Data Sheet'!H30/'Data Sheet'!H17</f>
        <v>7.6945328319352052E-2</v>
      </c>
      <c r="I151" s="45">
        <f>'Data Sheet'!I30/'Data Sheet'!I17</f>
        <v>8.1436302723133763E-2</v>
      </c>
      <c r="J151" s="45">
        <f>'Data Sheet'!J30/'Data Sheet'!J17</f>
        <v>5.0770560276537514E-2</v>
      </c>
      <c r="K151" s="45">
        <f>'Data Sheet'!K30/'Data Sheet'!K17</f>
        <v>5.8715596330275233E-2</v>
      </c>
      <c r="L151" s="45">
        <f>'Profit &amp; Loss'!L12/'Profit &amp; Loss'!L4</f>
        <v>5.1296788562396722E-2</v>
      </c>
      <c r="M151" s="136">
        <f t="shared" si="28"/>
        <v>6.3886226401222601E-2</v>
      </c>
      <c r="N151" s="32">
        <f t="shared" si="29"/>
        <v>9.06318303759934E-2</v>
      </c>
      <c r="O151" s="32">
        <f t="shared" si="30"/>
        <v>6.364081977664883E-2</v>
      </c>
    </row>
    <row r="152" spans="1:15" s="18" customFormat="1">
      <c r="A152" s="57" t="s">
        <v>94</v>
      </c>
      <c r="B152" s="45">
        <f>B149*B150*B151</f>
        <v>0.3947939262472886</v>
      </c>
      <c r="C152" s="45">
        <f t="shared" ref="C152:K152" si="37">C149*C150*C151</f>
        <v>0.46738442051931595</v>
      </c>
      <c r="D152" s="45">
        <f t="shared" si="37"/>
        <v>0.28358925143953928</v>
      </c>
      <c r="E152" s="45">
        <f t="shared" si="37"/>
        <v>0.23716189729517834</v>
      </c>
      <c r="F152" s="45">
        <f t="shared" si="37"/>
        <v>0.14036337727110795</v>
      </c>
      <c r="G152" s="45">
        <f t="shared" si="37"/>
        <v>0.17263025737602009</v>
      </c>
      <c r="H152" s="45">
        <f t="shared" si="37"/>
        <v>0.20873659429767205</v>
      </c>
      <c r="I152" s="45">
        <f t="shared" si="37"/>
        <v>0.2024775736864588</v>
      </c>
      <c r="J152" s="45">
        <f t="shared" si="37"/>
        <v>8.6908284023668625E-2</v>
      </c>
      <c r="K152" s="45">
        <f t="shared" si="37"/>
        <v>9.3023255813953487E-2</v>
      </c>
      <c r="L152" s="45"/>
      <c r="M152" s="136">
        <f t="shared" si="28"/>
        <v>0.14248904912035984</v>
      </c>
      <c r="N152" s="32">
        <f t="shared" si="29"/>
        <v>0.18125300286362656</v>
      </c>
      <c r="O152" s="32">
        <f t="shared" si="30"/>
        <v>0.12746970450802697</v>
      </c>
    </row>
    <row r="153" spans="1:15" s="32" customFormat="1" hidden="1">
      <c r="A153" s="45" t="s">
        <v>249</v>
      </c>
      <c r="B153" s="45">
        <f>('Profit &amp; Loss'!B10+'Profit &amp; Loss'!B9)*(1-B98)/('Balance Sheet'!B4+'Balance Sheet'!B5+'Balance Sheet'!B6-'Data Sheet'!B69)</f>
        <v>0.21635151113039189</v>
      </c>
      <c r="C153" s="45">
        <f>('Profit &amp; Loss'!C10+'Profit &amp; Loss'!C9)*(1-C98)/('Balance Sheet'!C4+'Balance Sheet'!C5+'Balance Sheet'!C6-'Data Sheet'!C69)</f>
        <v>0.33303905952299245</v>
      </c>
      <c r="D153" s="45">
        <f>('Profit &amp; Loss'!D10+'Profit &amp; Loss'!D9)*(1-D98)/('Balance Sheet'!D4+'Balance Sheet'!D5+'Balance Sheet'!D6-'Data Sheet'!D69)</f>
        <v>0.23610830164252775</v>
      </c>
      <c r="E153" s="45">
        <f>('Profit &amp; Loss'!E10+'Profit &amp; Loss'!E9)*(1-E98)/('Balance Sheet'!E4+'Balance Sheet'!E5+'Balance Sheet'!E6-'Data Sheet'!E69)</f>
        <v>0.17652894491129792</v>
      </c>
      <c r="F153" s="45">
        <f>('Profit &amp; Loss'!F10+'Profit &amp; Loss'!F9)*(1-F98)/('Balance Sheet'!F4+'Balance Sheet'!F5+'Balance Sheet'!F6-'Data Sheet'!F69)</f>
        <v>0.12698317275076909</v>
      </c>
      <c r="G153" s="45">
        <f>('Profit &amp; Loss'!G10+'Profit &amp; Loss'!G9)*(1-G98)/('Balance Sheet'!G4+'Balance Sheet'!G5+'Balance Sheet'!G6-'Data Sheet'!G69)</f>
        <v>0.14079121855830681</v>
      </c>
      <c r="H153" s="45">
        <f>('Profit &amp; Loss'!H10+'Profit &amp; Loss'!H9)*(1-H98)/('Balance Sheet'!H4+'Balance Sheet'!H5+'Balance Sheet'!H6-'Data Sheet'!H69)</f>
        <v>0.15272922142547274</v>
      </c>
      <c r="I153" s="45">
        <f>('Profit &amp; Loss'!I10+'Profit &amp; Loss'!I9)*(1-I98)/('Balance Sheet'!I4+'Balance Sheet'!I5+'Balance Sheet'!I6-'Data Sheet'!I69)</f>
        <v>0.14086837487592171</v>
      </c>
      <c r="J153" s="45">
        <f>('Profit &amp; Loss'!J10+'Profit &amp; Loss'!J9)*(1-J98)/('Balance Sheet'!J4+'Balance Sheet'!J5+'Balance Sheet'!J6-'Data Sheet'!J69)</f>
        <v>0.10486030156692196</v>
      </c>
      <c r="K153" s="45">
        <f>('Profit &amp; Loss'!K10+'Profit &amp; Loss'!K9)*(1-K98)/('Balance Sheet'!K4+'Balance Sheet'!K5+'Balance Sheet'!K6-'Data Sheet'!K69)</f>
        <v>9.1344772286956449E-2</v>
      </c>
      <c r="L153" s="45"/>
      <c r="M153" s="136">
        <f t="shared" si="28"/>
        <v>0.11702143080181746</v>
      </c>
      <c r="N153" s="32">
        <f t="shared" si="29"/>
        <v>0.14952306390307943</v>
      </c>
      <c r="O153" s="32">
        <f t="shared" si="30"/>
        <v>0.11235781624326673</v>
      </c>
    </row>
    <row r="154" spans="1:15" s="53" customFormat="1" hidden="1">
      <c r="A154" s="56" t="s">
        <v>250</v>
      </c>
      <c r="B154" s="58">
        <f>'Balance Sheet'!B6/('Balance Sheet'!B4+'Balance Sheet'!B5)</f>
        <v>1.3817787418655099</v>
      </c>
      <c r="C154" s="58">
        <f>'Balance Sheet'!C6/('Balance Sheet'!C4+'Balance Sheet'!C5)</f>
        <v>0.84357188093730207</v>
      </c>
      <c r="D154" s="58">
        <f>'Balance Sheet'!D6/('Balance Sheet'!D4+'Balance Sheet'!D5)</f>
        <v>0.44481765834932818</v>
      </c>
      <c r="E154" s="58">
        <f>'Balance Sheet'!E6/('Balance Sheet'!E4+'Balance Sheet'!E5)</f>
        <v>0.66875735005880044</v>
      </c>
      <c r="F154" s="58">
        <f>'Balance Sheet'!F6/('Balance Sheet'!F4+'Balance Sheet'!F5)</f>
        <v>0.65977912361952262</v>
      </c>
      <c r="G154" s="58">
        <f>'Balance Sheet'!G6/('Balance Sheet'!G4+'Balance Sheet'!G5)</f>
        <v>0.84526051475204023</v>
      </c>
      <c r="H154" s="58">
        <f>'Balance Sheet'!H6/('Balance Sheet'!H4+'Balance Sheet'!H5)</f>
        <v>0.96311797018048662</v>
      </c>
      <c r="I154" s="58">
        <f>'Balance Sheet'!I6/('Balance Sheet'!I4+'Balance Sheet'!I5)</f>
        <v>1.1456642460486972</v>
      </c>
      <c r="J154" s="58">
        <f>'Balance Sheet'!J6/('Balance Sheet'!J4+'Balance Sheet'!J5)</f>
        <v>0.57778599605522674</v>
      </c>
      <c r="K154" s="58">
        <f>'Balance Sheet'!K6/('Balance Sheet'!K4+'Balance Sheet'!K5)</f>
        <v>0.68403398926654746</v>
      </c>
      <c r="L154" s="58"/>
      <c r="M154" s="136">
        <f t="shared" si="28"/>
        <v>0.59892168483306496</v>
      </c>
      <c r="N154" s="32">
        <f t="shared" si="29"/>
        <v>0.96295688022721271</v>
      </c>
      <c r="O154" s="32">
        <f t="shared" si="30"/>
        <v>0.80249474379015717</v>
      </c>
    </row>
    <row r="155" spans="1:15" s="18" customFormat="1" hidden="1">
      <c r="A155" s="57" t="s">
        <v>252</v>
      </c>
      <c r="B155" s="45"/>
      <c r="C155" s="45">
        <f>'Profit &amp; Loss'!C9/'Balance Sheet'!B6</f>
        <v>0.19309262166405022</v>
      </c>
      <c r="D155" s="45">
        <f>'Profit &amp; Loss'!D9/'Balance Sheet'!C6</f>
        <v>9.0840840840840834E-2</v>
      </c>
      <c r="E155" s="45">
        <f>'Profit &amp; Loss'!E9/'Balance Sheet'!D6</f>
        <v>0.17152103559870552</v>
      </c>
      <c r="F155" s="45">
        <f>'Profit &amp; Loss'!F9/'Balance Sheet'!E6</f>
        <v>0.14126611957796015</v>
      </c>
      <c r="G155" s="45">
        <f>'Profit &amp; Loss'!G9/'Balance Sheet'!F6</f>
        <v>0.17602591792656586</v>
      </c>
      <c r="H155" s="45">
        <f>'Profit &amp; Loss'!H9/'Balance Sheet'!G6</f>
        <v>0.15521722985518008</v>
      </c>
      <c r="I155" s="45">
        <f>'Profit &amp; Loss'!I9/'Balance Sheet'!H6</f>
        <v>0.14910374796306355</v>
      </c>
      <c r="J155" s="45">
        <f>'Profit &amp; Loss'!J9/'Balance Sheet'!I6</f>
        <v>0.10961968680089486</v>
      </c>
      <c r="K155" s="45">
        <f>'Profit &amp; Loss'!K9/'Balance Sheet'!J6</f>
        <v>0.12267975250693408</v>
      </c>
      <c r="L155" s="45"/>
      <c r="M155" s="136">
        <f t="shared" si="28"/>
        <v>0.11162743310701448</v>
      </c>
      <c r="N155" s="32">
        <f t="shared" si="29"/>
        <v>0.16485475363193058</v>
      </c>
      <c r="O155" s="32">
        <f t="shared" si="30"/>
        <v>0.12713439575696417</v>
      </c>
    </row>
    <row r="156" spans="1:15" s="18" customFormat="1" hidden="1">
      <c r="A156" s="57" t="s">
        <v>251</v>
      </c>
      <c r="B156" s="45"/>
      <c r="C156" s="45">
        <f t="shared" ref="C156:K156" si="38">C154*(C153-C155)</f>
        <v>0.11805487981514316</v>
      </c>
      <c r="D156" s="45">
        <f t="shared" si="38"/>
        <v>6.4617531748159193E-2</v>
      </c>
      <c r="E156" s="45">
        <f t="shared" si="38"/>
        <v>3.349076161224083E-3</v>
      </c>
      <c r="F156" s="45">
        <f t="shared" si="38"/>
        <v>-9.423590140348357E-3</v>
      </c>
      <c r="G156" s="45">
        <f t="shared" si="38"/>
        <v>-2.9782500125148024E-2</v>
      </c>
      <c r="H156" s="45">
        <f t="shared" si="38"/>
        <v>-2.3962456286116722E-3</v>
      </c>
      <c r="I156" s="45">
        <f t="shared" si="38"/>
        <v>-9.4349724988100868E-3</v>
      </c>
      <c r="J156" s="45">
        <f t="shared" si="38"/>
        <v>-2.749906138021571E-3</v>
      </c>
      <c r="K156" s="45">
        <f t="shared" si="38"/>
        <v>-2.1434191523459656E-2</v>
      </c>
      <c r="L156" s="45"/>
      <c r="M156" s="136">
        <f t="shared" si="28"/>
        <v>-7.2547981450160875E-4</v>
      </c>
      <c r="N156" s="32">
        <f t="shared" si="29"/>
        <v>-1.3304659145710523E-2</v>
      </c>
      <c r="O156" s="32">
        <f t="shared" si="30"/>
        <v>-1.1206356720097106E-2</v>
      </c>
    </row>
    <row r="157" spans="1:15" s="18" customFormat="1" hidden="1">
      <c r="A157" s="57" t="s">
        <v>253</v>
      </c>
      <c r="B157" s="45"/>
      <c r="C157" s="45">
        <f t="shared" ref="C157:K157" si="39">C153+C156</f>
        <v>0.45109393933813563</v>
      </c>
      <c r="D157" s="45">
        <f t="shared" si="39"/>
        <v>0.30072583339068693</v>
      </c>
      <c r="E157" s="45">
        <f t="shared" si="39"/>
        <v>0.17987802107252202</v>
      </c>
      <c r="F157" s="45">
        <f t="shared" si="39"/>
        <v>0.11755958261042074</v>
      </c>
      <c r="G157" s="45">
        <f t="shared" si="39"/>
        <v>0.11100871843315879</v>
      </c>
      <c r="H157" s="45">
        <f t="shared" si="39"/>
        <v>0.15033297579686106</v>
      </c>
      <c r="I157" s="45">
        <f t="shared" si="39"/>
        <v>0.13143340237711162</v>
      </c>
      <c r="J157" s="45">
        <f t="shared" si="39"/>
        <v>0.10211039542890038</v>
      </c>
      <c r="K157" s="45">
        <f t="shared" si="39"/>
        <v>6.9910580763496794E-2</v>
      </c>
      <c r="L157" s="45"/>
      <c r="M157" s="136">
        <f t="shared" si="28"/>
        <v>0.11629595098731582</v>
      </c>
      <c r="N157" s="32">
        <f t="shared" si="29"/>
        <v>0.1362184047573689</v>
      </c>
      <c r="O157" s="32">
        <f t="shared" si="30"/>
        <v>0.1011514595231696</v>
      </c>
    </row>
    <row r="158" spans="1:15" s="18" customFormat="1">
      <c r="A158" s="57" t="s">
        <v>95</v>
      </c>
      <c r="B158" s="78">
        <f>'Balance Sheet'!B24</f>
        <v>0.20744931636020739</v>
      </c>
      <c r="C158" s="78">
        <f>'Balance Sheet'!C24</f>
        <v>0.33251662583129143</v>
      </c>
      <c r="D158" s="78">
        <f>'Balance Sheet'!D24</f>
        <v>0.22294077603812124</v>
      </c>
      <c r="E158" s="78">
        <f>'Balance Sheet'!E24</f>
        <v>0.17400670177118258</v>
      </c>
      <c r="F158" s="78">
        <f>'Balance Sheet'!F24</f>
        <v>0.12106430155210625</v>
      </c>
      <c r="G158" s="78">
        <f>'Balance Sheet'!G24</f>
        <v>0.14848711243929782</v>
      </c>
      <c r="H158" s="78">
        <f>'Balance Sheet'!H24</f>
        <v>0.17043244052072398</v>
      </c>
      <c r="I158" s="78">
        <f>'Balance Sheet'!I24</f>
        <v>0.16206412356658079</v>
      </c>
      <c r="J158" s="78">
        <f>'Balance Sheet'!J24</f>
        <v>9.5110873630777651E-2</v>
      </c>
      <c r="K158" s="78">
        <f>'Balance Sheet'!K24</f>
        <v>8.5144388210776856E-2</v>
      </c>
      <c r="L158" s="78"/>
      <c r="M158" s="136">
        <f t="shared" si="28"/>
        <v>0.1179250717729567</v>
      </c>
      <c r="N158" s="32">
        <f t="shared" si="29"/>
        <v>0.15583280202822278</v>
      </c>
      <c r="O158" s="32">
        <f t="shared" si="30"/>
        <v>0.11410646180271176</v>
      </c>
    </row>
    <row r="159" spans="1:15" s="18" customFormat="1">
      <c r="A159" s="57" t="s">
        <v>593</v>
      </c>
      <c r="B159" s="78">
        <f>'Data Sheet'!B82/'Profit &amp; Loss'!B6</f>
        <v>0.58966565349544087</v>
      </c>
      <c r="C159" s="78">
        <f>'Data Sheet'!C82/'Profit &amp; Loss'!C6</f>
        <v>0.47424242424242435</v>
      </c>
      <c r="D159" s="78">
        <f>'Data Sheet'!D82/'Profit &amp; Loss'!D6</f>
        <v>0.87372330547817989</v>
      </c>
      <c r="E159" s="78">
        <f>'Data Sheet'!E82/'Profit &amp; Loss'!E6</f>
        <v>0.2551546391752576</v>
      </c>
      <c r="F159" s="78">
        <f>'Data Sheet'!F82/'Profit &amp; Loss'!F6</f>
        <v>0.72413793103448332</v>
      </c>
      <c r="G159" s="78">
        <f>'Data Sheet'!G82/'Profit &amp; Loss'!G6</f>
        <v>0.21940298507462677</v>
      </c>
      <c r="H159" s="78">
        <f>'Data Sheet'!H82/'Profit &amp; Loss'!H6</f>
        <v>0.37672366243794853</v>
      </c>
      <c r="I159" s="78">
        <f>'Data Sheet'!I82/'Profit &amp; Loss'!I6</f>
        <v>0.5977283483199245</v>
      </c>
      <c r="J159" s="78">
        <f>'Data Sheet'!J82/'Profit &amp; Loss'!J6</f>
        <v>7.1539657853810182E-2</v>
      </c>
      <c r="K159" s="78">
        <f>'Data Sheet'!K82/'Profit &amp; Loss'!K6</f>
        <v>0.15035460992907818</v>
      </c>
      <c r="L159" s="78"/>
      <c r="M159" s="136"/>
      <c r="N159" s="32"/>
      <c r="O159" s="32"/>
    </row>
    <row r="160" spans="1:15" s="18" customFormat="1">
      <c r="A160" s="57" t="s">
        <v>225</v>
      </c>
      <c r="B160" s="78">
        <f>B88/('Data Sheet'!B62+'Balance Sheet'!B16-'Data Sheet'!B69)</f>
        <v>0.25776244455396746</v>
      </c>
      <c r="C160" s="78">
        <f>C88/('Data Sheet'!C62+'Balance Sheet'!C16-'Data Sheet'!C69)</f>
        <v>0.40086673889490793</v>
      </c>
      <c r="D160" s="78">
        <f>D88/('Data Sheet'!D62+'Balance Sheet'!D16-'Data Sheet'!D69)</f>
        <v>0.28641975308641976</v>
      </c>
      <c r="E160" s="78">
        <f>E88/('Data Sheet'!E62+'Balance Sheet'!E16-'Data Sheet'!E69)</f>
        <v>0.21577783239125095</v>
      </c>
      <c r="F160" s="78">
        <f>F88/('Data Sheet'!F62+'Balance Sheet'!F16-'Data Sheet'!F69)</f>
        <v>0.15657955066483265</v>
      </c>
      <c r="G160" s="78">
        <f>G88/('Data Sheet'!G62+'Balance Sheet'!G16-'Data Sheet'!G69)</f>
        <v>0.18614551083591327</v>
      </c>
      <c r="H160" s="78">
        <f>H88/('Data Sheet'!H62+'Balance Sheet'!H16-'Data Sheet'!H69)</f>
        <v>0.21500231517209448</v>
      </c>
      <c r="I160" s="78">
        <f>I88/('Data Sheet'!I62+'Balance Sheet'!I16-'Data Sheet'!I69)</f>
        <v>0.21829495955196013</v>
      </c>
      <c r="J160" s="78">
        <f>J88/('Data Sheet'!J62+'Balance Sheet'!J16-'Data Sheet'!J69)</f>
        <v>0.1685986457018249</v>
      </c>
      <c r="K160" s="78">
        <f>K88/('Data Sheet'!K62+'Balance Sheet'!K16-'Data Sheet'!K69)</f>
        <v>0.14244541484716156</v>
      </c>
      <c r="L160" s="78"/>
      <c r="M160" s="136">
        <f t="shared" si="28"/>
        <v>0.15892639822514579</v>
      </c>
      <c r="N160" s="32">
        <f t="shared" si="29"/>
        <v>0.21788264886682004</v>
      </c>
      <c r="O160" s="32">
        <f t="shared" si="30"/>
        <v>0.17644634003364887</v>
      </c>
    </row>
    <row r="161" spans="1:15" ht="18.75">
      <c r="A161" s="68" t="s">
        <v>484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136">
        <f t="shared" si="28"/>
        <v>0</v>
      </c>
      <c r="N161" s="32">
        <f t="shared" si="29"/>
        <v>0</v>
      </c>
      <c r="O161" s="32">
        <f t="shared" si="30"/>
        <v>0</v>
      </c>
    </row>
    <row r="162" spans="1:15" s="18" customFormat="1">
      <c r="A162" s="79" t="s">
        <v>486</v>
      </c>
      <c r="B162" s="78">
        <f>'Profit &amp; Loss'!B12/'Profit &amp; Loss'!B4</f>
        <v>0.11989459815546773</v>
      </c>
      <c r="C162" s="78">
        <f>'Profit &amp; Loss'!C12/'Profit &amp; Loss'!C4</f>
        <v>0.1457921770051363</v>
      </c>
      <c r="D162" s="78">
        <f>'Profit &amp; Loss'!D12/'Profit &amp; Loss'!D4</f>
        <v>0.12770095073465859</v>
      </c>
      <c r="E162" s="78">
        <f>'Profit &amp; Loss'!E12/'Profit &amp; Loss'!E4</f>
        <v>0.10980036297640652</v>
      </c>
      <c r="F162" s="78">
        <f>'Profit &amp; Loss'!F12/'Profit &amp; Loss'!F4</f>
        <v>6.3384813384813388E-2</v>
      </c>
      <c r="G162" s="78">
        <f>'Profit &amp; Loss'!G12/'Profit &amp; Loss'!G4</f>
        <v>7.0108349267049078E-2</v>
      </c>
      <c r="H162" s="78">
        <f>'Profit &amp; Loss'!H12/'Profit &amp; Loss'!H4</f>
        <v>7.6945328319352052E-2</v>
      </c>
      <c r="I162" s="78">
        <f>'Profit &amp; Loss'!I12/'Profit &amp; Loss'!I4</f>
        <v>8.1436302723133763E-2</v>
      </c>
      <c r="J162" s="78">
        <f>'Profit &amp; Loss'!J12/'Profit &amp; Loss'!J4</f>
        <v>5.0770560276537514E-2</v>
      </c>
      <c r="K162" s="78">
        <f>'Profit &amp; Loss'!K12/'Profit &amp; Loss'!K4</f>
        <v>5.8715596330275233E-2</v>
      </c>
      <c r="L162" s="78">
        <f>L151</f>
        <v>5.1296788562396722E-2</v>
      </c>
      <c r="M162" s="136">
        <f t="shared" si="28"/>
        <v>6.3886226401222601E-2</v>
      </c>
      <c r="N162" s="32">
        <f t="shared" si="29"/>
        <v>9.06318303759934E-2</v>
      </c>
      <c r="O162" s="32">
        <f t="shared" si="30"/>
        <v>6.364081977664883E-2</v>
      </c>
    </row>
    <row r="163" spans="1:15" s="18" customFormat="1">
      <c r="A163" s="79" t="s">
        <v>487</v>
      </c>
      <c r="B163" s="78">
        <f>'Profit &amp; Loss'!B4/'Data Sheet'!B61</f>
        <v>0.97903901967107376</v>
      </c>
      <c r="C163" s="78">
        <f>'Profit &amp; Loss'!C4/'Data Sheet'!C61</f>
        <v>1.2946291560102301</v>
      </c>
      <c r="D163" s="78">
        <f>'Profit &amp; Loss'!D4/'Data Sheet'!D61</f>
        <v>1.0688221709006929</v>
      </c>
      <c r="E163" s="78">
        <f>'Profit &amp; Loss'!E4/'Data Sheet'!E61</f>
        <v>0.99368800721370598</v>
      </c>
      <c r="F163" s="78">
        <f>'Profit &amp; Loss'!F4/'Data Sheet'!F61</f>
        <v>1.0698795180722891</v>
      </c>
      <c r="G163" s="78">
        <f>'Profit &amp; Loss'!G4/'Data Sheet'!G61</f>
        <v>1.0283130161226897</v>
      </c>
      <c r="H163" s="78">
        <f>'Profit &amp; Loss'!H4/'Data Sheet'!H61</f>
        <v>1.0708311822405783</v>
      </c>
      <c r="I163" s="78">
        <f>'Profit &amp; Loss'!I4/'Data Sheet'!I61</f>
        <v>0.94373733279286587</v>
      </c>
      <c r="J163" s="78">
        <f>'Profit &amp; Loss'!J4/'Data Sheet'!J61</f>
        <v>0.83585144164208758</v>
      </c>
      <c r="K163" s="78">
        <f>'Profit &amp; Loss'!K4/'Data Sheet'!K61</f>
        <v>0.78291618321454215</v>
      </c>
      <c r="L163" s="78"/>
      <c r="M163" s="136">
        <f t="shared" si="28"/>
        <v>0.77940388521994508</v>
      </c>
      <c r="N163" s="32">
        <f t="shared" si="29"/>
        <v>1.0882106082465417</v>
      </c>
      <c r="O163" s="32">
        <f t="shared" si="30"/>
        <v>0.8541683192164985</v>
      </c>
    </row>
    <row r="164" spans="1:15" s="18" customFormat="1">
      <c r="A164" s="57" t="s">
        <v>485</v>
      </c>
      <c r="B164" s="45">
        <f>'Data Sheet'!B30/'Data Sheet'!B61</f>
        <v>0.11738148984198646</v>
      </c>
      <c r="C164" s="45">
        <f>'Data Sheet'!C30/'Data Sheet'!C61</f>
        <v>0.1887468030690537</v>
      </c>
      <c r="D164" s="45">
        <f>'Data Sheet'!D30/'Data Sheet'!D61</f>
        <v>0.13648960739030025</v>
      </c>
      <c r="E164" s="45">
        <f>'Data Sheet'!E30/'Data Sheet'!E61</f>
        <v>0.10910730387736699</v>
      </c>
      <c r="F164" s="45">
        <f>'Data Sheet'!F30/'Data Sheet'!F61</f>
        <v>6.7814113597246123E-2</v>
      </c>
      <c r="G164" s="45">
        <f>'Data Sheet'!G30/'Data Sheet'!G61</f>
        <v>7.2093328090182193E-2</v>
      </c>
      <c r="H164" s="45">
        <f>'Data Sheet'!H30/'Data Sheet'!H61</f>
        <v>8.239545689210119E-2</v>
      </c>
      <c r="I164" s="45">
        <f>'Data Sheet'!I30/'Data Sheet'!I61</f>
        <v>7.6854479124442654E-2</v>
      </c>
      <c r="J164" s="45">
        <f>'Data Sheet'!J30/'Data Sheet'!J61</f>
        <v>4.2436646000120384E-2</v>
      </c>
      <c r="K164" s="45">
        <f>'Data Sheet'!K30/'Data Sheet'!K61</f>
        <v>4.5969390574064864E-2</v>
      </c>
      <c r="L164" s="45"/>
      <c r="M164" s="136">
        <f t="shared" si="28"/>
        <v>6.3316032554582485E-2</v>
      </c>
      <c r="N164" s="32">
        <f t="shared" si="29"/>
        <v>7.6613066647098743E-2</v>
      </c>
      <c r="O164" s="32">
        <f t="shared" si="30"/>
        <v>5.5086838566209301E-2</v>
      </c>
    </row>
    <row r="165" spans="1:15" s="18" customFormat="1" ht="18.75" hidden="1">
      <c r="A165" s="137" t="s">
        <v>317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136">
        <f t="shared" si="28"/>
        <v>0</v>
      </c>
      <c r="N165" s="32">
        <f t="shared" si="29"/>
        <v>0</v>
      </c>
      <c r="O165" s="32">
        <f t="shared" si="30"/>
        <v>0</v>
      </c>
    </row>
    <row r="166" spans="1:15" s="49" customFormat="1">
      <c r="A166" s="159" t="s">
        <v>596</v>
      </c>
      <c r="B166" s="143">
        <f t="shared" ref="B166:K166" si="40">B88*(1-B98)</f>
        <v>4.2588814317673371</v>
      </c>
      <c r="C166" s="143">
        <f t="shared" si="40"/>
        <v>9.12227171492205</v>
      </c>
      <c r="D166" s="143">
        <f t="shared" si="40"/>
        <v>6.4156684491978613</v>
      </c>
      <c r="E166" s="143">
        <f t="shared" si="40"/>
        <v>7.026322751322752</v>
      </c>
      <c r="F166" s="143">
        <f t="shared" si="40"/>
        <v>5.0678342749529186</v>
      </c>
      <c r="G166" s="143">
        <f t="shared" si="40"/>
        <v>7.3927754532775438</v>
      </c>
      <c r="H166" s="143">
        <f t="shared" si="40"/>
        <v>10.566673003802281</v>
      </c>
      <c r="I166" s="143">
        <f t="shared" si="40"/>
        <v>12.625603644646922</v>
      </c>
      <c r="J166" s="143">
        <f t="shared" si="40"/>
        <v>9.3505967450271275</v>
      </c>
      <c r="K166" s="143">
        <f t="shared" si="40"/>
        <v>10.280242424242424</v>
      </c>
      <c r="L166" s="143">
        <f>('Profit &amp; Loss'!L10+'Profit &amp; Loss'!L9-'Profit &amp; Loss'!L7)*(1-Customization!L98)</f>
        <v>8.6837301587301603</v>
      </c>
      <c r="M166" s="136">
        <f t="shared" si="28"/>
        <v>6.8725716746469825</v>
      </c>
      <c r="N166" s="32">
        <f t="shared" si="29"/>
        <v>13.154438620874686</v>
      </c>
      <c r="O166" s="32">
        <f t="shared" si="30"/>
        <v>10.752147604638823</v>
      </c>
    </row>
    <row r="167" spans="1:15" s="49" customFormat="1" hidden="1">
      <c r="A167" s="159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36">
        <f t="shared" si="28"/>
        <v>0</v>
      </c>
      <c r="N167" s="32">
        <f t="shared" si="29"/>
        <v>0</v>
      </c>
      <c r="O167" s="32">
        <f t="shared" si="30"/>
        <v>0</v>
      </c>
    </row>
    <row r="168" spans="1:15" s="173" customFormat="1">
      <c r="A168" s="165" t="s">
        <v>457</v>
      </c>
      <c r="B168" s="160"/>
      <c r="C168" s="160">
        <f>C166-B166</f>
        <v>4.8633902831547129</v>
      </c>
      <c r="D168" s="160">
        <f t="shared" ref="D168:L168" si="41">D166-C166</f>
        <v>-2.7066032657241887</v>
      </c>
      <c r="E168" s="160">
        <f t="shared" si="41"/>
        <v>0.61065430212489069</v>
      </c>
      <c r="F168" s="160">
        <f t="shared" si="41"/>
        <v>-1.9584884763698334</v>
      </c>
      <c r="G168" s="160">
        <f t="shared" si="41"/>
        <v>2.3249411783246252</v>
      </c>
      <c r="H168" s="160">
        <f t="shared" si="41"/>
        <v>3.1738975505247371</v>
      </c>
      <c r="I168" s="160">
        <f t="shared" si="41"/>
        <v>2.0589306408446415</v>
      </c>
      <c r="J168" s="160">
        <f t="shared" si="41"/>
        <v>-3.275006899619795</v>
      </c>
      <c r="K168" s="160">
        <f t="shared" si="41"/>
        <v>0.92964567921529628</v>
      </c>
      <c r="L168" s="160">
        <f t="shared" si="41"/>
        <v>-1.5965122655122634</v>
      </c>
      <c r="M168" s="136">
        <f t="shared" si="28"/>
        <v>0.11579707093203737</v>
      </c>
      <c r="N168" s="32">
        <f t="shared" si="29"/>
        <v>0.74633859094185584</v>
      </c>
      <c r="O168" s="32">
        <f t="shared" si="30"/>
        <v>-9.5476859853285731E-2</v>
      </c>
    </row>
    <row r="169" spans="1:15" s="49" customFormat="1" hidden="1">
      <c r="A169" s="159" t="s">
        <v>458</v>
      </c>
      <c r="B169" s="143"/>
      <c r="C169" s="143"/>
      <c r="D169" s="143">
        <f t="shared" ref="D169:K172" si="42">C82-B82</f>
        <v>7.1499999999999986</v>
      </c>
      <c r="E169" s="143">
        <f t="shared" si="42"/>
        <v>1</v>
      </c>
      <c r="F169" s="143">
        <f t="shared" si="42"/>
        <v>12.459999999999994</v>
      </c>
      <c r="G169" s="143">
        <f t="shared" si="42"/>
        <v>4.0200000000000102</v>
      </c>
      <c r="H169" s="143">
        <f t="shared" si="42"/>
        <v>12.199999999999996</v>
      </c>
      <c r="I169" s="143">
        <f t="shared" si="42"/>
        <v>16.259999999999998</v>
      </c>
      <c r="J169" s="143">
        <f t="shared" si="42"/>
        <v>25.409999999999997</v>
      </c>
      <c r="K169" s="143">
        <f t="shared" si="42"/>
        <v>27.530000000000015</v>
      </c>
      <c r="L169" s="143"/>
      <c r="M169" s="136">
        <f t="shared" si="28"/>
        <v>10.603000000000002</v>
      </c>
      <c r="N169" s="32">
        <f t="shared" si="29"/>
        <v>19.204600000000006</v>
      </c>
      <c r="O169" s="32">
        <f t="shared" si="30"/>
        <v>23.066666666666674</v>
      </c>
    </row>
    <row r="170" spans="1:15" s="49" customFormat="1" hidden="1">
      <c r="A170" s="159" t="s">
        <v>459</v>
      </c>
      <c r="B170" s="143"/>
      <c r="C170" s="143"/>
      <c r="D170" s="143">
        <f t="shared" si="42"/>
        <v>7.1900000000000013</v>
      </c>
      <c r="E170" s="143">
        <f t="shared" si="42"/>
        <v>0.84999999999999787</v>
      </c>
      <c r="F170" s="143">
        <f t="shared" si="42"/>
        <v>12.399999999999991</v>
      </c>
      <c r="G170" s="143">
        <f t="shared" si="42"/>
        <v>3.6300000000000168</v>
      </c>
      <c r="H170" s="143">
        <f t="shared" si="42"/>
        <v>11.819999999999993</v>
      </c>
      <c r="I170" s="143">
        <f t="shared" si="42"/>
        <v>16.079999999999991</v>
      </c>
      <c r="J170" s="143">
        <f t="shared" si="42"/>
        <v>22.340000000000003</v>
      </c>
      <c r="K170" s="143">
        <f t="shared" si="42"/>
        <v>7.4800000000000182</v>
      </c>
      <c r="L170" s="143"/>
      <c r="M170" s="136">
        <f t="shared" si="28"/>
        <v>8.179000000000002</v>
      </c>
      <c r="N170" s="32">
        <f t="shared" si="29"/>
        <v>13.905800000000005</v>
      </c>
      <c r="O170" s="32">
        <f t="shared" si="30"/>
        <v>15.300000000000004</v>
      </c>
    </row>
    <row r="171" spans="1:15" s="173" customFormat="1" hidden="1">
      <c r="A171" s="165" t="s">
        <v>460</v>
      </c>
      <c r="B171" s="160"/>
      <c r="C171" s="160"/>
      <c r="D171" s="160">
        <f t="shared" si="42"/>
        <v>7.1499999999999986</v>
      </c>
      <c r="E171" s="160">
        <f t="shared" si="42"/>
        <v>1</v>
      </c>
      <c r="F171" s="160">
        <f t="shared" si="42"/>
        <v>12.14</v>
      </c>
      <c r="G171" s="160">
        <f t="shared" si="42"/>
        <v>3.25</v>
      </c>
      <c r="H171" s="160">
        <f t="shared" si="42"/>
        <v>8.1000000000000014</v>
      </c>
      <c r="I171" s="160">
        <f t="shared" si="42"/>
        <v>14.050000000000004</v>
      </c>
      <c r="J171" s="160">
        <f t="shared" si="42"/>
        <v>20.090000000000003</v>
      </c>
      <c r="K171" s="160">
        <f t="shared" si="42"/>
        <v>26.309999999999974</v>
      </c>
      <c r="L171" s="160"/>
      <c r="M171" s="136">
        <f t="shared" si="28"/>
        <v>9.2089999999999979</v>
      </c>
      <c r="N171" s="32">
        <f t="shared" si="29"/>
        <v>16.201799999999999</v>
      </c>
      <c r="O171" s="32">
        <f t="shared" si="30"/>
        <v>20.149999999999995</v>
      </c>
    </row>
    <row r="172" spans="1:15" s="49" customFormat="1" hidden="1">
      <c r="A172" s="159" t="s">
        <v>461</v>
      </c>
      <c r="B172" s="143"/>
      <c r="C172" s="143"/>
      <c r="D172" s="143">
        <f t="shared" si="42"/>
        <v>7.1900000000000013</v>
      </c>
      <c r="E172" s="143">
        <f t="shared" si="42"/>
        <v>0.85000000000000142</v>
      </c>
      <c r="F172" s="143">
        <f t="shared" si="42"/>
        <v>12.079999999999995</v>
      </c>
      <c r="G172" s="143">
        <f t="shared" si="42"/>
        <v>2.8599999999999994</v>
      </c>
      <c r="H172" s="143">
        <f t="shared" si="42"/>
        <v>7.720000000000006</v>
      </c>
      <c r="I172" s="143">
        <f t="shared" si="42"/>
        <v>13.869999999999997</v>
      </c>
      <c r="J172" s="143">
        <f t="shared" si="42"/>
        <v>17.019999999999996</v>
      </c>
      <c r="K172" s="143">
        <f t="shared" si="42"/>
        <v>6.2599999999999909</v>
      </c>
      <c r="L172" s="143"/>
      <c r="M172" s="136">
        <f t="shared" si="28"/>
        <v>6.7849999999999993</v>
      </c>
      <c r="N172" s="32">
        <f t="shared" si="29"/>
        <v>10.902999999999997</v>
      </c>
      <c r="O172" s="32">
        <f t="shared" si="30"/>
        <v>12.383333333333328</v>
      </c>
    </row>
    <row r="173" spans="1:15" s="18" customFormat="1" hidden="1">
      <c r="A173" s="57" t="s">
        <v>97</v>
      </c>
      <c r="B173" s="46"/>
      <c r="C173" s="69"/>
      <c r="D173" s="45">
        <f t="shared" ref="D173:K173" si="43">(D166-C166)/(C82-B82)</f>
        <v>-0.3785459112900964</v>
      </c>
      <c r="E173" s="45">
        <f t="shared" si="43"/>
        <v>0.61065430212489069</v>
      </c>
      <c r="F173" s="45">
        <f t="shared" si="43"/>
        <v>-0.15718206070383903</v>
      </c>
      <c r="G173" s="45">
        <f t="shared" si="43"/>
        <v>0.57834357669766645</v>
      </c>
      <c r="H173" s="45">
        <f t="shared" si="43"/>
        <v>0.26015553692825721</v>
      </c>
      <c r="I173" s="45">
        <f t="shared" si="43"/>
        <v>0.12662550066695213</v>
      </c>
      <c r="J173" s="45">
        <f t="shared" si="43"/>
        <v>-0.128886536781574</v>
      </c>
      <c r="K173" s="45">
        <f t="shared" si="43"/>
        <v>3.3768459106984956E-2</v>
      </c>
      <c r="L173" s="45"/>
      <c r="M173" s="136">
        <f t="shared" si="28"/>
        <v>9.449328667492421E-2</v>
      </c>
      <c r="N173" s="32">
        <f t="shared" si="29"/>
        <v>0.19289996465864218</v>
      </c>
      <c r="O173" s="32">
        <f t="shared" si="30"/>
        <v>1.0502474330787699E-2</v>
      </c>
    </row>
    <row r="174" spans="1:15" s="18" customFormat="1" hidden="1">
      <c r="A174" s="57" t="s">
        <v>98</v>
      </c>
      <c r="B174" s="46"/>
      <c r="C174" s="69"/>
      <c r="D174" s="45">
        <f t="shared" ref="D174:K174" si="44">(D166-C166)/(C83-B83)</f>
        <v>-0.37643995350823201</v>
      </c>
      <c r="E174" s="45">
        <f t="shared" si="44"/>
        <v>0.71841682602928492</v>
      </c>
      <c r="F174" s="45">
        <f t="shared" si="44"/>
        <v>-0.15794261906208346</v>
      </c>
      <c r="G174" s="45">
        <f t="shared" si="44"/>
        <v>0.64047966345030705</v>
      </c>
      <c r="H174" s="45">
        <f t="shared" si="44"/>
        <v>0.26851925131342969</v>
      </c>
      <c r="I174" s="45">
        <f t="shared" si="44"/>
        <v>0.12804295030128374</v>
      </c>
      <c r="J174" s="45">
        <f t="shared" si="44"/>
        <v>-0.14659833928468194</v>
      </c>
      <c r="K174" s="45">
        <f t="shared" si="44"/>
        <v>0.1242841817132746</v>
      </c>
      <c r="L174" s="45"/>
      <c r="M174" s="136">
        <f t="shared" si="28"/>
        <v>0.11987619609525826</v>
      </c>
      <c r="N174" s="32">
        <f t="shared" si="29"/>
        <v>0.2269207807177743</v>
      </c>
      <c r="O174" s="32">
        <f t="shared" si="30"/>
        <v>3.5242930909958801E-2</v>
      </c>
    </row>
    <row r="175" spans="1:15" s="2" customFormat="1">
      <c r="A175" s="138" t="s">
        <v>101</v>
      </c>
      <c r="B175" s="145"/>
      <c r="C175" s="146"/>
      <c r="D175" s="140">
        <f t="shared" ref="D175:K175" si="45">(D166-C166)/(C84-B84)</f>
        <v>-0.3785459112900964</v>
      </c>
      <c r="E175" s="140">
        <f t="shared" si="45"/>
        <v>0.61065430212489069</v>
      </c>
      <c r="F175" s="140">
        <f t="shared" si="45"/>
        <v>-0.16132524517049698</v>
      </c>
      <c r="G175" s="140">
        <f t="shared" si="45"/>
        <v>0.71536651640757698</v>
      </c>
      <c r="H175" s="140">
        <f t="shared" si="45"/>
        <v>0.39183920376848597</v>
      </c>
      <c r="I175" s="140">
        <f t="shared" si="45"/>
        <v>0.14654310610993884</v>
      </c>
      <c r="J175" s="140">
        <f t="shared" si="45"/>
        <v>-0.16301676951815802</v>
      </c>
      <c r="K175" s="140">
        <f t="shared" si="45"/>
        <v>3.5334309358240105E-2</v>
      </c>
      <c r="L175" s="140"/>
      <c r="M175" s="136">
        <f t="shared" si="28"/>
        <v>0.11968495117903814</v>
      </c>
      <c r="N175" s="32">
        <f t="shared" si="29"/>
        <v>0.2491502634610244</v>
      </c>
      <c r="O175" s="32">
        <f t="shared" si="30"/>
        <v>6.2868819833403087E-3</v>
      </c>
    </row>
    <row r="176" spans="1:15" s="18" customFormat="1" hidden="1">
      <c r="A176" s="57" t="s">
        <v>143</v>
      </c>
      <c r="B176" s="46"/>
      <c r="C176" s="69"/>
      <c r="D176" s="45">
        <f t="shared" ref="D176:K176" si="46">(D166-C166)/(C85-B85)</f>
        <v>-0.37643995350823201</v>
      </c>
      <c r="E176" s="45">
        <f t="shared" si="46"/>
        <v>0.71841682602928192</v>
      </c>
      <c r="F176" s="45">
        <f t="shared" si="46"/>
        <v>-0.1621265295008141</v>
      </c>
      <c r="G176" s="45">
        <f t="shared" si="46"/>
        <v>0.81291649591770132</v>
      </c>
      <c r="H176" s="45">
        <f t="shared" si="46"/>
        <v>0.41112662571563918</v>
      </c>
      <c r="I176" s="45">
        <f t="shared" si="46"/>
        <v>0.14844489119283646</v>
      </c>
      <c r="J176" s="45">
        <f t="shared" si="46"/>
        <v>-0.19242108693418306</v>
      </c>
      <c r="K176" s="45">
        <f t="shared" si="46"/>
        <v>0.14850569955515935</v>
      </c>
      <c r="L176" s="45"/>
      <c r="M176" s="136">
        <f t="shared" si="28"/>
        <v>0.15084229684673889</v>
      </c>
      <c r="N176" s="32">
        <f t="shared" si="29"/>
        <v>0.29588298445877836</v>
      </c>
      <c r="O176" s="32">
        <f t="shared" si="30"/>
        <v>3.484316793793759E-2</v>
      </c>
    </row>
    <row r="177" spans="1:15" s="18" customFormat="1" hidden="1">
      <c r="A177" s="57"/>
      <c r="B177" s="46"/>
      <c r="C177" s="69"/>
      <c r="D177" s="45"/>
      <c r="E177" s="45"/>
      <c r="F177" s="45"/>
      <c r="G177" s="45"/>
      <c r="H177" s="45"/>
      <c r="I177" s="45"/>
      <c r="J177" s="45"/>
      <c r="K177" s="45"/>
      <c r="L177" s="45"/>
      <c r="M177" s="136">
        <f t="shared" si="28"/>
        <v>0</v>
      </c>
      <c r="N177" s="32">
        <f t="shared" si="29"/>
        <v>0</v>
      </c>
      <c r="O177" s="32">
        <f t="shared" si="30"/>
        <v>0</v>
      </c>
    </row>
    <row r="178" spans="1:15" s="18" customFormat="1" hidden="1">
      <c r="A178" s="57" t="s">
        <v>293</v>
      </c>
      <c r="B178" s="46"/>
      <c r="C178" s="69"/>
      <c r="D178" s="45"/>
      <c r="E178" s="45"/>
      <c r="F178" s="45">
        <f t="shared" ref="F178:K178" si="47">(F166-C166)/(E82-B82)</f>
        <v>-0.19672185540849749</v>
      </c>
      <c r="G178" s="45">
        <f t="shared" si="47"/>
        <v>5.589857002744178E-2</v>
      </c>
      <c r="H178" s="45">
        <f t="shared" si="47"/>
        <v>0.12344317477264745</v>
      </c>
      <c r="I178" s="45">
        <f t="shared" si="47"/>
        <v>0.23268994364821438</v>
      </c>
      <c r="J178" s="45">
        <f t="shared" si="47"/>
        <v>3.6343443321878298E-2</v>
      </c>
      <c r="K178" s="45">
        <f t="shared" si="47"/>
        <v>-4.1391702248534269E-3</v>
      </c>
      <c r="L178" s="45"/>
      <c r="M178" s="136">
        <f t="shared" si="28"/>
        <v>2.4751410613683095E-2</v>
      </c>
      <c r="N178" s="32">
        <f t="shared" si="29"/>
        <v>9.3797474431802308E-2</v>
      </c>
      <c r="O178" s="32">
        <f t="shared" si="30"/>
        <v>8.8298072248413073E-2</v>
      </c>
    </row>
    <row r="179" spans="1:15" s="18" customFormat="1" hidden="1">
      <c r="A179" s="57" t="s">
        <v>294</v>
      </c>
      <c r="B179" s="46"/>
      <c r="C179" s="69"/>
      <c r="D179" s="45"/>
      <c r="E179" s="45"/>
      <c r="F179" s="45">
        <f t="shared" ref="F179:K179" si="48">(F166-C166)/(E83-B83)</f>
        <v>-0.19835799608459556</v>
      </c>
      <c r="G179" s="45">
        <f t="shared" si="48"/>
        <v>5.7885486023677851E-2</v>
      </c>
      <c r="H179" s="45">
        <f t="shared" si="48"/>
        <v>0.12712209165097052</v>
      </c>
      <c r="I179" s="45">
        <f t="shared" si="48"/>
        <v>0.23970089976828429</v>
      </c>
      <c r="J179" s="45">
        <f t="shared" si="48"/>
        <v>3.8969372845334076E-2</v>
      </c>
      <c r="K179" s="45">
        <f t="shared" si="48"/>
        <v>-6.2403176374696539E-3</v>
      </c>
      <c r="L179" s="45"/>
      <c r="M179" s="136">
        <f t="shared" si="28"/>
        <v>2.5907953656620152E-2</v>
      </c>
      <c r="N179" s="32">
        <f t="shared" si="29"/>
        <v>9.6669097261483455E-2</v>
      </c>
      <c r="O179" s="32">
        <f t="shared" si="30"/>
        <v>9.0809984992049578E-2</v>
      </c>
    </row>
    <row r="180" spans="1:15" s="2" customFormat="1">
      <c r="A180" s="138" t="s">
        <v>295</v>
      </c>
      <c r="B180" s="145"/>
      <c r="C180" s="146"/>
      <c r="D180" s="140"/>
      <c r="E180" s="140"/>
      <c r="F180" s="140">
        <f t="shared" ref="F180:K180" si="49">(F166-C166)/(E84-B84)</f>
        <v>-0.19982441793835048</v>
      </c>
      <c r="G180" s="140">
        <f t="shared" si="49"/>
        <v>5.9616046618650546E-2</v>
      </c>
      <c r="H180" s="140">
        <f t="shared" si="49"/>
        <v>0.15071733727030773</v>
      </c>
      <c r="I180" s="140">
        <f t="shared" si="49"/>
        <v>0.29754997518480325</v>
      </c>
      <c r="J180" s="140">
        <f t="shared" si="49"/>
        <v>4.6349935884223085E-2</v>
      </c>
      <c r="K180" s="140">
        <f t="shared" si="49"/>
        <v>-4.7383056999149254E-3</v>
      </c>
      <c r="L180" s="140"/>
      <c r="M180" s="136">
        <f t="shared" si="28"/>
        <v>3.4967057131971922E-2</v>
      </c>
      <c r="N180" s="32">
        <f t="shared" si="29"/>
        <v>0.1168924092780083</v>
      </c>
      <c r="O180" s="32">
        <f t="shared" si="30"/>
        <v>0.11305386845637048</v>
      </c>
    </row>
    <row r="181" spans="1:15" s="18" customFormat="1" hidden="1">
      <c r="A181" s="57" t="s">
        <v>296</v>
      </c>
      <c r="B181" s="46"/>
      <c r="C181" s="69"/>
      <c r="D181" s="45"/>
      <c r="E181" s="45"/>
      <c r="F181" s="45">
        <f t="shared" ref="F181:K181" si="50">(F166-C166)/(E85-B85)</f>
        <v>-0.20151279522709403</v>
      </c>
      <c r="G181" s="45">
        <f t="shared" si="50"/>
        <v>6.1881380879017275E-2</v>
      </c>
      <c r="H181" s="45">
        <f t="shared" si="50"/>
        <v>0.15623787521974974</v>
      </c>
      <c r="I181" s="45">
        <f t="shared" si="50"/>
        <v>0.30911122166437638</v>
      </c>
      <c r="J181" s="45">
        <f t="shared" si="50"/>
        <v>5.0707622163936379E-2</v>
      </c>
      <c r="K181" s="45">
        <f t="shared" si="50"/>
        <v>-7.7101098131859298E-3</v>
      </c>
      <c r="L181" s="45"/>
      <c r="M181" s="136">
        <f t="shared" si="28"/>
        <v>3.6871519488679984E-2</v>
      </c>
      <c r="N181" s="32">
        <f t="shared" si="29"/>
        <v>0.12141990192051474</v>
      </c>
      <c r="O181" s="32">
        <f t="shared" si="30"/>
        <v>0.11736957800504227</v>
      </c>
    </row>
    <row r="182" spans="1:15" s="18" customFormat="1" hidden="1">
      <c r="A182" s="57"/>
      <c r="B182" s="46"/>
      <c r="C182" s="69"/>
      <c r="D182" s="45"/>
      <c r="E182" s="45"/>
      <c r="F182" s="45"/>
      <c r="G182" s="45"/>
      <c r="H182" s="45"/>
      <c r="I182" s="45"/>
      <c r="J182" s="45"/>
      <c r="K182" s="45"/>
      <c r="L182" s="45"/>
      <c r="M182" s="136">
        <f t="shared" si="28"/>
        <v>0</v>
      </c>
      <c r="N182" s="32">
        <f t="shared" si="29"/>
        <v>0</v>
      </c>
      <c r="O182" s="32">
        <f t="shared" si="30"/>
        <v>0</v>
      </c>
    </row>
    <row r="183" spans="1:15" s="18" customFormat="1" hidden="1">
      <c r="A183" s="57" t="s">
        <v>297</v>
      </c>
      <c r="B183" s="46"/>
      <c r="C183" s="69"/>
      <c r="D183" s="45"/>
      <c r="E183" s="45"/>
      <c r="F183" s="45"/>
      <c r="G183" s="45"/>
      <c r="H183" s="45">
        <f>(H166-C166)/(G82-B82)</f>
        <v>3.9218063776275618E-2</v>
      </c>
      <c r="I183" s="45">
        <f>(I166-D166)/(H82-C82)</f>
        <v>0.13517490630058906</v>
      </c>
      <c r="J183" s="45">
        <f>(J166-E166)/(I82-D82)</f>
        <v>3.303872059281273E-2</v>
      </c>
      <c r="K183" s="45">
        <f>(K166-F166)/(J82-E82)</f>
        <v>6.1020933613784877E-2</v>
      </c>
      <c r="L183" s="45"/>
      <c r="M183" s="136">
        <f t="shared" si="28"/>
        <v>2.6845262428346228E-2</v>
      </c>
      <c r="N183" s="32">
        <f t="shared" si="29"/>
        <v>5.9059577342361703E-2</v>
      </c>
      <c r="O183" s="32">
        <f t="shared" si="30"/>
        <v>7.6411520169062233E-2</v>
      </c>
    </row>
    <row r="184" spans="1:15" s="18" customFormat="1" hidden="1">
      <c r="A184" s="57" t="s">
        <v>298</v>
      </c>
      <c r="B184" s="46"/>
      <c r="C184" s="69"/>
      <c r="D184" s="45"/>
      <c r="E184" s="45"/>
      <c r="F184" s="45"/>
      <c r="G184" s="45"/>
      <c r="H184" s="45">
        <f>(H166-C166)/(G83-B83)</f>
        <v>4.0245229559215126E-2</v>
      </c>
      <c r="I184" s="45">
        <f>(I166-D166)/(H83-C83)</f>
        <v>0.13867653406541008</v>
      </c>
      <c r="J184" s="45">
        <f>(J166-E166)/(I83-D83)</f>
        <v>3.5072793024058781E-2</v>
      </c>
      <c r="K184" s="45">
        <f>(K166-F166)/(J83-E83)</f>
        <v>8.4961828024278777E-2</v>
      </c>
      <c r="L184" s="45"/>
      <c r="M184" s="136">
        <f t="shared" si="28"/>
        <v>2.9895638467296277E-2</v>
      </c>
      <c r="N184" s="32">
        <f t="shared" si="29"/>
        <v>6.577040462805181E-2</v>
      </c>
      <c r="O184" s="32">
        <f t="shared" si="30"/>
        <v>8.6237051704582554E-2</v>
      </c>
    </row>
    <row r="185" spans="1:15" s="2" customFormat="1" hidden="1">
      <c r="A185" s="138" t="s">
        <v>299</v>
      </c>
      <c r="B185" s="145"/>
      <c r="C185" s="146"/>
      <c r="D185" s="140"/>
      <c r="E185" s="140"/>
      <c r="F185" s="140"/>
      <c r="G185" s="140"/>
      <c r="H185" s="140">
        <f>(H166-C166)/(G84-B84)</f>
        <v>4.5651115324912478E-2</v>
      </c>
      <c r="I185" s="140">
        <f>(I166-E166)/(H84-D84)</f>
        <v>0.14915505842632312</v>
      </c>
      <c r="J185" s="140">
        <f>(J166-F166)/(I84-E84)</f>
        <v>9.414733941688741E-2</v>
      </c>
      <c r="K185" s="140">
        <f>(K166-G166)/(J84-F84)</f>
        <v>4.2122056469217808E-2</v>
      </c>
      <c r="L185" s="140"/>
      <c r="M185" s="136">
        <f t="shared" si="28"/>
        <v>3.3107556963734082E-2</v>
      </c>
      <c r="N185" s="32">
        <f t="shared" si="29"/>
        <v>7.2836625320214982E-2</v>
      </c>
      <c r="O185" s="32">
        <f t="shared" si="30"/>
        <v>9.5141484770809456E-2</v>
      </c>
    </row>
    <row r="186" spans="1:15" s="18" customFormat="1" hidden="1">
      <c r="A186" s="57" t="s">
        <v>300</v>
      </c>
      <c r="B186" s="46"/>
      <c r="C186" s="69"/>
      <c r="D186" s="45"/>
      <c r="E186" s="45"/>
      <c r="F186" s="45"/>
      <c r="G186" s="45"/>
      <c r="H186" s="45">
        <f>(H166-C166)/(G85-B85)</f>
        <v>4.7048901917922825E-2</v>
      </c>
      <c r="I186" s="45">
        <f>(I166-D166)/(H85-C85)</f>
        <v>0.1661298875187015</v>
      </c>
      <c r="J186" s="45">
        <f>(J166-E166)/(I85-D85)</f>
        <v>4.3403809406244179E-2</v>
      </c>
      <c r="K186" s="45">
        <f>(K166-F166)/(J85-E85)</f>
        <v>0.1092061208734445</v>
      </c>
      <c r="L186" s="45"/>
      <c r="M186" s="136">
        <f t="shared" si="28"/>
        <v>3.6578871971631302E-2</v>
      </c>
      <c r="N186" s="32">
        <f t="shared" si="29"/>
        <v>8.0473518337588854E-2</v>
      </c>
      <c r="O186" s="32">
        <f t="shared" si="30"/>
        <v>0.10624660593279672</v>
      </c>
    </row>
    <row r="187" spans="1:15" s="18" customFormat="1" hidden="1">
      <c r="A187" s="57"/>
      <c r="B187" s="46"/>
      <c r="C187" s="69"/>
      <c r="D187" s="45"/>
      <c r="E187" s="45"/>
      <c r="F187" s="45"/>
      <c r="G187" s="45"/>
      <c r="H187" s="45"/>
      <c r="I187" s="45"/>
      <c r="J187" s="45"/>
      <c r="K187" s="45"/>
      <c r="L187" s="45"/>
      <c r="M187" s="136">
        <f t="shared" si="28"/>
        <v>0</v>
      </c>
      <c r="N187" s="32">
        <f t="shared" si="29"/>
        <v>0</v>
      </c>
      <c r="O187" s="32">
        <f t="shared" si="30"/>
        <v>0</v>
      </c>
    </row>
    <row r="188" spans="1:15" s="18" customFormat="1" hidden="1">
      <c r="A188" s="57" t="s">
        <v>462</v>
      </c>
      <c r="B188" s="46"/>
      <c r="C188" s="69"/>
      <c r="D188" s="45"/>
      <c r="E188" s="45"/>
      <c r="F188" s="45"/>
      <c r="G188" s="45"/>
      <c r="H188" s="45"/>
      <c r="I188" s="45"/>
      <c r="J188" s="45"/>
      <c r="K188" s="45">
        <f>(K166-B166)/(K82-B82)</f>
        <v>4.6800567328424428E-2</v>
      </c>
      <c r="L188" s="45"/>
      <c r="M188" s="136">
        <f t="shared" si="28"/>
        <v>4.6800567328424431E-3</v>
      </c>
      <c r="N188" s="32">
        <f t="shared" si="29"/>
        <v>1.0296124812253374E-2</v>
      </c>
      <c r="O188" s="32">
        <f t="shared" si="30"/>
        <v>1.560018910947481E-2</v>
      </c>
    </row>
    <row r="189" spans="1:15" s="18" customFormat="1" hidden="1">
      <c r="A189" s="57" t="s">
        <v>463</v>
      </c>
      <c r="B189" s="46"/>
      <c r="C189" s="69"/>
      <c r="D189" s="45"/>
      <c r="E189" s="45"/>
      <c r="F189" s="45"/>
      <c r="G189" s="45"/>
      <c r="H189" s="45"/>
      <c r="I189" s="45"/>
      <c r="J189" s="45"/>
      <c r="K189" s="45">
        <f>(K166-B166)/(K83-B83)</f>
        <v>5.4879338247129844E-2</v>
      </c>
      <c r="L189" s="45"/>
      <c r="M189" s="136">
        <f t="shared" si="28"/>
        <v>5.4879338247129841E-3</v>
      </c>
      <c r="N189" s="32">
        <f t="shared" si="29"/>
        <v>1.2073454414368566E-2</v>
      </c>
      <c r="O189" s="32">
        <f t="shared" si="30"/>
        <v>1.8293112749043283E-2</v>
      </c>
    </row>
    <row r="190" spans="1:15" s="18" customFormat="1" hidden="1">
      <c r="A190" s="138" t="s">
        <v>464</v>
      </c>
      <c r="B190" s="46"/>
      <c r="C190" s="69"/>
      <c r="D190" s="45"/>
      <c r="E190" s="45"/>
      <c r="F190" s="45"/>
      <c r="G190" s="45"/>
      <c r="H190" s="45"/>
      <c r="I190" s="45"/>
      <c r="J190" s="45"/>
      <c r="K190" s="45">
        <f>(K166-B166)/(K84-B84)</f>
        <v>5.2551588344170778E-2</v>
      </c>
      <c r="L190" s="45"/>
      <c r="M190" s="136">
        <f t="shared" si="28"/>
        <v>5.2551588344170782E-3</v>
      </c>
      <c r="N190" s="32">
        <f t="shared" si="29"/>
        <v>1.1561349435717572E-2</v>
      </c>
      <c r="O190" s="32">
        <f t="shared" si="30"/>
        <v>1.7517196114723594E-2</v>
      </c>
    </row>
    <row r="191" spans="1:15" s="18" customFormat="1" hidden="1">
      <c r="A191" s="57" t="s">
        <v>465</v>
      </c>
      <c r="B191" s="46"/>
      <c r="C191" s="69"/>
      <c r="D191" s="45"/>
      <c r="E191" s="45"/>
      <c r="F191" s="45"/>
      <c r="G191" s="45"/>
      <c r="H191" s="45"/>
      <c r="I191" s="45"/>
      <c r="J191" s="45"/>
      <c r="K191" s="45">
        <f>(K166-B166)/(K85-B85)</f>
        <v>6.295860510743502E-2</v>
      </c>
      <c r="L191" s="45"/>
      <c r="M191" s="136">
        <f t="shared" si="28"/>
        <v>6.2958605107435017E-3</v>
      </c>
      <c r="N191" s="32">
        <f t="shared" si="29"/>
        <v>1.3850893123635705E-2</v>
      </c>
      <c r="O191" s="32">
        <f t="shared" si="30"/>
        <v>2.0986201702478339E-2</v>
      </c>
    </row>
    <row r="192" spans="1:15" s="18" customFormat="1" hidden="1">
      <c r="A192" s="57"/>
      <c r="B192" s="46"/>
      <c r="C192" s="69"/>
      <c r="D192" s="45"/>
      <c r="E192" s="45"/>
      <c r="F192" s="45"/>
      <c r="G192" s="45"/>
      <c r="H192" s="45"/>
      <c r="I192" s="45"/>
      <c r="J192" s="45"/>
      <c r="K192" s="45"/>
      <c r="L192" s="45"/>
      <c r="M192" s="136">
        <f t="shared" si="28"/>
        <v>0</v>
      </c>
      <c r="N192" s="32">
        <f t="shared" si="29"/>
        <v>0</v>
      </c>
      <c r="O192" s="32">
        <f t="shared" si="30"/>
        <v>0</v>
      </c>
    </row>
    <row r="193" spans="1:15" s="18" customFormat="1" hidden="1">
      <c r="A193" s="57" t="s">
        <v>341</v>
      </c>
      <c r="B193" s="46"/>
      <c r="C193" s="69"/>
      <c r="D193" s="45"/>
      <c r="E193" s="45">
        <f t="shared" ref="E193:K193" si="51">(E82-B82)/SUM(B166:D166)</f>
        <v>1.0410762101468691</v>
      </c>
      <c r="F193" s="45">
        <f t="shared" si="51"/>
        <v>0.77467631296021378</v>
      </c>
      <c r="G193" s="45">
        <f t="shared" si="51"/>
        <v>1.5494473482747024</v>
      </c>
      <c r="H193" s="45">
        <f t="shared" si="51"/>
        <v>1.6667579689148022</v>
      </c>
      <c r="I193" s="45">
        <f t="shared" si="51"/>
        <v>2.3393989046333559</v>
      </c>
      <c r="J193" s="45">
        <f t="shared" si="51"/>
        <v>2.2625431459079706</v>
      </c>
      <c r="K193" s="45">
        <f t="shared" si="51"/>
        <v>2.3221674093213007</v>
      </c>
      <c r="L193" s="45"/>
      <c r="M193" s="136">
        <f t="shared" si="28"/>
        <v>1.1956067300159214</v>
      </c>
      <c r="N193" s="32">
        <f t="shared" si="29"/>
        <v>2.2671843014136104</v>
      </c>
      <c r="O193" s="32">
        <f t="shared" si="30"/>
        <v>2.308036486620876</v>
      </c>
    </row>
    <row r="194" spans="1:15" s="18" customFormat="1" hidden="1">
      <c r="A194" s="57" t="s">
        <v>342</v>
      </c>
      <c r="B194" s="46"/>
      <c r="C194" s="69"/>
      <c r="D194" s="45"/>
      <c r="E194" s="45">
        <f>(E83-B83)/SUM(B166:D166)</f>
        <v>1.03248897309083</v>
      </c>
      <c r="F194" s="45">
        <f>(F83-C83)/SUM(C166:E166)</f>
        <v>0.7480855928357214</v>
      </c>
      <c r="G194" s="45">
        <f>(G83-D83)/SUM(C166:E166)</f>
        <v>1.2342525924451915</v>
      </c>
      <c r="H194" s="45">
        <f>(H83-E83)/SUM(D166:F166)</f>
        <v>1.7034196266074397</v>
      </c>
      <c r="I194" s="45">
        <f>(I83-F83)/SUM(E166:G166)</f>
        <v>2.5781379420652595</v>
      </c>
      <c r="J194" s="45">
        <f>(J83-G83)/SUM(F166:H166)</f>
        <v>1.9932877245715812</v>
      </c>
      <c r="K194" s="45">
        <f>(K83-H83)/SUM(G166:I166)</f>
        <v>1.8881772641067236</v>
      </c>
      <c r="L194" s="45"/>
      <c r="M194" s="136">
        <f t="shared" si="28"/>
        <v>1.1177849715722747</v>
      </c>
      <c r="N194" s="32">
        <f t="shared" si="29"/>
        <v>2.1030120242736943</v>
      </c>
      <c r="O194" s="32">
        <f t="shared" si="30"/>
        <v>2.1532009769145213</v>
      </c>
    </row>
    <row r="195" spans="1:15" s="2" customFormat="1">
      <c r="A195" s="138" t="s">
        <v>343</v>
      </c>
      <c r="B195" s="145"/>
      <c r="C195" s="146"/>
      <c r="D195" s="140"/>
      <c r="E195" s="140">
        <f t="shared" ref="E195:K195" si="52">(E84-B84)/SUM(B166:D166)</f>
        <v>1.0249119992178546</v>
      </c>
      <c r="F195" s="140">
        <f t="shared" si="52"/>
        <v>0.72636983806738564</v>
      </c>
      <c r="G195" s="140">
        <f t="shared" si="52"/>
        <v>1.2690557256266655</v>
      </c>
      <c r="H195" s="140">
        <f t="shared" si="52"/>
        <v>1.3034375742129303</v>
      </c>
      <c r="I195" s="140">
        <f t="shared" si="52"/>
        <v>1.8343458275795987</v>
      </c>
      <c r="J195" s="140">
        <f t="shared" si="52"/>
        <v>1.976455681649375</v>
      </c>
      <c r="K195" s="140">
        <f t="shared" si="52"/>
        <v>2.1168997330705883</v>
      </c>
      <c r="L195" s="140"/>
      <c r="M195" s="136">
        <f t="shared" si="28"/>
        <v>1.02514763794244</v>
      </c>
      <c r="N195" s="32">
        <f t="shared" si="29"/>
        <v>1.9050684360163195</v>
      </c>
      <c r="O195" s="32">
        <f t="shared" si="30"/>
        <v>1.9759004140998542</v>
      </c>
    </row>
    <row r="196" spans="1:15" s="18" customFormat="1" hidden="1">
      <c r="A196" s="57" t="s">
        <v>344</v>
      </c>
      <c r="B196" s="46"/>
      <c r="C196" s="69"/>
      <c r="D196" s="45"/>
      <c r="E196" s="45">
        <f t="shared" ref="E196:K196" si="53">(E85-B85)/SUM(B166:D166)</f>
        <v>1.0163247621618154</v>
      </c>
      <c r="F196" s="45">
        <f t="shared" si="53"/>
        <v>0.69977911794289294</v>
      </c>
      <c r="G196" s="45">
        <f t="shared" si="53"/>
        <v>1.2242146761473067</v>
      </c>
      <c r="H196" s="45">
        <f t="shared" si="53"/>
        <v>1.2546869562797693</v>
      </c>
      <c r="I196" s="45">
        <f t="shared" si="53"/>
        <v>1.6767067330219765</v>
      </c>
      <c r="J196" s="45">
        <f t="shared" si="53"/>
        <v>1.2146456339664891</v>
      </c>
      <c r="K196" s="45">
        <f t="shared" si="53"/>
        <v>1.569314405108361</v>
      </c>
      <c r="L196" s="45"/>
      <c r="M196" s="136">
        <f t="shared" si="28"/>
        <v>0.86556722846286116</v>
      </c>
      <c r="N196" s="32">
        <f t="shared" si="29"/>
        <v>1.5610271265973528</v>
      </c>
      <c r="O196" s="32">
        <f t="shared" si="30"/>
        <v>1.4868889240322758</v>
      </c>
    </row>
    <row r="197" spans="1:15" s="18" customFormat="1" hidden="1">
      <c r="A197" s="57"/>
      <c r="B197" s="46"/>
      <c r="C197" s="69"/>
      <c r="D197" s="45"/>
      <c r="E197" s="45"/>
      <c r="F197" s="45"/>
      <c r="G197" s="45"/>
      <c r="H197" s="45"/>
      <c r="I197" s="45"/>
      <c r="J197" s="45"/>
      <c r="K197" s="46"/>
      <c r="L197" s="46"/>
      <c r="M197" s="136">
        <f t="shared" si="28"/>
        <v>0</v>
      </c>
      <c r="N197" s="32">
        <f t="shared" si="29"/>
        <v>0</v>
      </c>
      <c r="O197" s="32">
        <f t="shared" si="30"/>
        <v>0</v>
      </c>
    </row>
    <row r="198" spans="1:15" s="18" customFormat="1" hidden="1">
      <c r="A198" s="57" t="s">
        <v>345</v>
      </c>
      <c r="B198" s="46"/>
      <c r="C198" s="69"/>
      <c r="D198" s="45"/>
      <c r="E198" s="45"/>
      <c r="F198" s="45"/>
      <c r="G198" s="45">
        <f>(G82-B82)/SUM(B166:F166)</f>
        <v>1.154872054456324</v>
      </c>
      <c r="H198" s="45">
        <f>(H82-C82)/SUM(C166:G166)</f>
        <v>1.3116393160761024</v>
      </c>
      <c r="I198" s="45">
        <f>(I82-D82)/SUM(D166:H166)</f>
        <v>1.9290211296804536</v>
      </c>
      <c r="J198" s="45">
        <f>(J82-E82)/SUM(E166:I166)</f>
        <v>2.0014428979649197</v>
      </c>
      <c r="K198" s="45">
        <f>(K82-F82)/SUM(F166:J166)</f>
        <v>2.311598853774556</v>
      </c>
      <c r="L198" s="45"/>
      <c r="M198" s="136">
        <f t="shared" si="28"/>
        <v>0.87085742519523568</v>
      </c>
      <c r="N198" s="32">
        <f t="shared" si="29"/>
        <v>1.9158863354295186</v>
      </c>
      <c r="O198" s="32">
        <f t="shared" si="30"/>
        <v>2.0806876271399766</v>
      </c>
    </row>
    <row r="199" spans="1:15" s="18" customFormat="1" hidden="1">
      <c r="A199" s="57" t="s">
        <v>346</v>
      </c>
      <c r="B199" s="46"/>
      <c r="C199" s="69"/>
      <c r="D199" s="45"/>
      <c r="E199" s="45"/>
      <c r="F199" s="45"/>
      <c r="G199" s="45">
        <f>(G83-B83)/SUM(B166:F166)</f>
        <v>1.1253966341145119</v>
      </c>
      <c r="H199" s="45">
        <f>(H83-C83)/SUM(C166:G166)</f>
        <v>1.2785199950780985</v>
      </c>
      <c r="I199" s="45">
        <f>(I83-D83)/SUM(D166:H166)</f>
        <v>1.8171461302618857</v>
      </c>
      <c r="J199" s="45">
        <f>(J83-E83)/SUM(E166:I166)</f>
        <v>1.4374680612286097</v>
      </c>
      <c r="K199" s="45">
        <f>(K83-F83)/SUM(F166:J166)</f>
        <v>1.9031860215879137</v>
      </c>
      <c r="L199" s="45"/>
      <c r="M199" s="136">
        <f t="shared" si="28"/>
        <v>0.75617168422710201</v>
      </c>
      <c r="N199" s="32">
        <f t="shared" si="29"/>
        <v>1.6635777052996243</v>
      </c>
      <c r="O199" s="32">
        <f t="shared" si="30"/>
        <v>1.719266737692803</v>
      </c>
    </row>
    <row r="200" spans="1:15" s="2" customFormat="1" hidden="1">
      <c r="A200" s="138" t="s">
        <v>347</v>
      </c>
      <c r="B200" s="145"/>
      <c r="C200" s="146"/>
      <c r="D200" s="140"/>
      <c r="E200" s="140"/>
      <c r="F200" s="140"/>
      <c r="G200" s="140">
        <f>(G84-B84)/SUM(B166:F166)</f>
        <v>0.9921301059733395</v>
      </c>
      <c r="H200" s="140">
        <f>(H84-C84)/SUM(C166:G166)</f>
        <v>1.1003608890198737</v>
      </c>
      <c r="I200" s="140">
        <f>(I84-D84)/SUM(D166:H166)</f>
        <v>1.5802343667872718</v>
      </c>
      <c r="J200" s="140">
        <f>(J84-E84)/SUM(E166:I166)</f>
        <v>1.6823179591884942</v>
      </c>
      <c r="K200" s="140">
        <f>(K84-F84)/SUM(F166:J166)</f>
        <v>2.0229545289592958</v>
      </c>
      <c r="L200" s="140"/>
      <c r="M200" s="136">
        <f t="shared" ref="M200:M263" si="54">SUM(D200:K200)/10</f>
        <v>0.73779978499282761</v>
      </c>
      <c r="N200" s="32">
        <f t="shared" ref="N200:N263" si="55">SUM(G200:M200)/5</f>
        <v>1.6231595269842205</v>
      </c>
      <c r="O200" s="32">
        <f t="shared" ref="O200:O263" si="56">SUM(I200:K200)/3</f>
        <v>1.761835618311687</v>
      </c>
    </row>
    <row r="201" spans="1:15" s="18" customFormat="1" hidden="1">
      <c r="A201" s="57" t="s">
        <v>348</v>
      </c>
      <c r="B201" s="46"/>
      <c r="C201" s="69"/>
      <c r="D201" s="45"/>
      <c r="E201" s="45"/>
      <c r="F201" s="45"/>
      <c r="G201" s="45">
        <f>(G85-B85)/SUM(B166:F166)</f>
        <v>0.96265468563152734</v>
      </c>
      <c r="H201" s="45">
        <f>(H85-C85)/SUM(C166:G166)</f>
        <v>1.0672415680218699</v>
      </c>
      <c r="I201" s="45">
        <f>(I85-D85)/SUM(D166:H166)</f>
        <v>1.4683593673687034</v>
      </c>
      <c r="J201" s="45">
        <f>(J85-E85)/SUM(E166:I166)</f>
        <v>1.1183431224521843</v>
      </c>
      <c r="K201" s="45">
        <f>(K85-F85)/SUM(F166:J166)</f>
        <v>1.6145416967726547</v>
      </c>
      <c r="L201" s="45"/>
      <c r="M201" s="136">
        <f t="shared" si="54"/>
        <v>0.62311404402469395</v>
      </c>
      <c r="N201" s="32">
        <f t="shared" si="55"/>
        <v>1.3708508968543267</v>
      </c>
      <c r="O201" s="32">
        <f t="shared" si="56"/>
        <v>1.4004147288645141</v>
      </c>
    </row>
    <row r="202" spans="1:15" s="18" customFormat="1" hidden="1">
      <c r="A202" s="57"/>
      <c r="B202" s="46"/>
      <c r="C202" s="69"/>
      <c r="D202" s="45"/>
      <c r="E202" s="45"/>
      <c r="F202" s="45"/>
      <c r="G202" s="45"/>
      <c r="H202" s="45"/>
      <c r="I202" s="45"/>
      <c r="J202" s="45"/>
      <c r="K202" s="45"/>
      <c r="L202" s="45"/>
      <c r="M202" s="136">
        <f t="shared" si="54"/>
        <v>0</v>
      </c>
      <c r="N202" s="32">
        <f t="shared" si="55"/>
        <v>0</v>
      </c>
      <c r="O202" s="32">
        <f t="shared" si="56"/>
        <v>0</v>
      </c>
    </row>
    <row r="203" spans="1:15" s="18" customFormat="1" hidden="1">
      <c r="A203" s="57" t="s">
        <v>466</v>
      </c>
      <c r="B203" s="46"/>
      <c r="C203" s="69"/>
      <c r="D203" s="45"/>
      <c r="E203" s="45"/>
      <c r="F203" s="45"/>
      <c r="G203" s="45"/>
      <c r="H203" s="45"/>
      <c r="I203" s="45"/>
      <c r="J203" s="45"/>
      <c r="K203" s="45">
        <f>(K82-B82)/SUM(B166:K166)</f>
        <v>1.566982155907509</v>
      </c>
      <c r="L203" s="45"/>
      <c r="M203" s="136">
        <f t="shared" si="54"/>
        <v>0.15669821559075089</v>
      </c>
      <c r="N203" s="32">
        <f t="shared" si="55"/>
        <v>0.34473607429965197</v>
      </c>
      <c r="O203" s="32">
        <f t="shared" si="56"/>
        <v>0.522327385302503</v>
      </c>
    </row>
    <row r="204" spans="1:15" s="18" customFormat="1" hidden="1">
      <c r="A204" s="57" t="s">
        <v>467</v>
      </c>
      <c r="B204" s="46"/>
      <c r="C204" s="69"/>
      <c r="D204" s="45"/>
      <c r="E204" s="45"/>
      <c r="F204" s="45"/>
      <c r="G204" s="45"/>
      <c r="H204" s="45"/>
      <c r="I204" s="45"/>
      <c r="J204" s="45"/>
      <c r="K204" s="45">
        <f>(K83-B83)/SUM(B166:K166)</f>
        <v>1.3363071828553699</v>
      </c>
      <c r="L204" s="45"/>
      <c r="M204" s="136">
        <f t="shared" si="54"/>
        <v>0.13363071828553699</v>
      </c>
      <c r="N204" s="32">
        <f t="shared" si="55"/>
        <v>0.29398758022818139</v>
      </c>
      <c r="O204" s="32">
        <f t="shared" si="56"/>
        <v>0.44543572761845662</v>
      </c>
    </row>
    <row r="205" spans="1:15" s="18" customFormat="1" hidden="1">
      <c r="A205" s="138" t="s">
        <v>468</v>
      </c>
      <c r="B205" s="46"/>
      <c r="C205" s="69"/>
      <c r="D205" s="45"/>
      <c r="E205" s="45"/>
      <c r="F205" s="45"/>
      <c r="G205" s="45"/>
      <c r="H205" s="45"/>
      <c r="I205" s="45"/>
      <c r="J205" s="45"/>
      <c r="K205" s="45">
        <f>(K84-B84)/SUM(B166:K166)</f>
        <v>1.3954983322235532</v>
      </c>
      <c r="L205" s="45"/>
      <c r="M205" s="136">
        <f t="shared" si="54"/>
        <v>0.13954983322235531</v>
      </c>
      <c r="N205" s="32">
        <f t="shared" si="55"/>
        <v>0.30700963308918172</v>
      </c>
      <c r="O205" s="32">
        <f t="shared" si="56"/>
        <v>0.46516611074118441</v>
      </c>
    </row>
    <row r="206" spans="1:15" s="18" customFormat="1" hidden="1">
      <c r="A206" s="57" t="s">
        <v>469</v>
      </c>
      <c r="B206" s="46"/>
      <c r="C206" s="69"/>
      <c r="D206" s="45"/>
      <c r="E206" s="45"/>
      <c r="F206" s="45"/>
      <c r="G206" s="45"/>
      <c r="H206" s="45"/>
      <c r="I206" s="45"/>
      <c r="J206" s="45"/>
      <c r="K206" s="45">
        <f>(K85-B85)/SUM(B166:K166)</f>
        <v>1.1648233591714146</v>
      </c>
      <c r="L206" s="45"/>
      <c r="M206" s="136">
        <f t="shared" si="54"/>
        <v>0.11648233591714145</v>
      </c>
      <c r="N206" s="32">
        <f t="shared" si="55"/>
        <v>0.25626113901771119</v>
      </c>
      <c r="O206" s="32">
        <f t="shared" si="56"/>
        <v>0.3882744530571382</v>
      </c>
    </row>
    <row r="207" spans="1:15" s="18" customFormat="1" hidden="1">
      <c r="A207" s="57"/>
      <c r="B207" s="46"/>
      <c r="C207" s="69"/>
      <c r="D207" s="45"/>
      <c r="E207" s="45"/>
      <c r="F207" s="45"/>
      <c r="G207" s="45"/>
      <c r="H207" s="45"/>
      <c r="I207" s="45"/>
      <c r="J207" s="45"/>
      <c r="K207" s="46"/>
      <c r="L207" s="46"/>
      <c r="M207" s="136">
        <f t="shared" si="54"/>
        <v>0</v>
      </c>
      <c r="N207" s="32">
        <f t="shared" si="55"/>
        <v>0</v>
      </c>
      <c r="O207" s="32">
        <f t="shared" si="56"/>
        <v>0</v>
      </c>
    </row>
    <row r="208" spans="1:15" s="18" customFormat="1" hidden="1">
      <c r="A208" s="57" t="s">
        <v>325</v>
      </c>
      <c r="B208" s="46"/>
      <c r="C208" s="69"/>
      <c r="D208" s="45"/>
      <c r="E208" s="45">
        <f t="shared" ref="E208:K211" si="57">E115*E193</f>
        <v>0.23996812560290853</v>
      </c>
      <c r="F208" s="45">
        <f t="shared" si="57"/>
        <v>0.12573070973060516</v>
      </c>
      <c r="G208" s="45">
        <f t="shared" si="57"/>
        <v>0.20637471372163882</v>
      </c>
      <c r="H208" s="45">
        <f t="shared" si="57"/>
        <v>0.20852204489063053</v>
      </c>
      <c r="I208" s="45">
        <f t="shared" si="57"/>
        <v>0.30585448470771609</v>
      </c>
      <c r="J208" s="45">
        <f t="shared" si="57"/>
        <v>0.25606729708494663</v>
      </c>
      <c r="K208" s="45">
        <f t="shared" si="57"/>
        <v>0.20666361111358098</v>
      </c>
      <c r="L208" s="45"/>
      <c r="M208" s="136">
        <f t="shared" si="54"/>
        <v>0.15491809868520268</v>
      </c>
      <c r="N208" s="32">
        <f t="shared" si="55"/>
        <v>0.26768005004074313</v>
      </c>
      <c r="O208" s="32">
        <f t="shared" si="56"/>
        <v>0.25619513096874791</v>
      </c>
    </row>
    <row r="209" spans="1:15" s="18" customFormat="1" hidden="1">
      <c r="A209" s="57" t="s">
        <v>326</v>
      </c>
      <c r="B209" s="46"/>
      <c r="C209" s="69"/>
      <c r="D209" s="45"/>
      <c r="E209" s="45">
        <f t="shared" si="57"/>
        <v>0.24544086866450721</v>
      </c>
      <c r="F209" s="45">
        <f t="shared" si="57"/>
        <v>0.12526839699849668</v>
      </c>
      <c r="G209" s="45">
        <f t="shared" si="57"/>
        <v>0.16933609267206368</v>
      </c>
      <c r="H209" s="45">
        <f t="shared" si="57"/>
        <v>0.21970157227019005</v>
      </c>
      <c r="I209" s="45">
        <f t="shared" si="57"/>
        <v>0.34976708937494827</v>
      </c>
      <c r="J209" s="45">
        <f t="shared" si="57"/>
        <v>0.24455975826414753</v>
      </c>
      <c r="K209" s="45">
        <f t="shared" si="57"/>
        <v>0.19005448024366481</v>
      </c>
      <c r="L209" s="45"/>
      <c r="M209" s="136">
        <f t="shared" si="54"/>
        <v>0.15441282584880181</v>
      </c>
      <c r="N209" s="32">
        <f t="shared" si="55"/>
        <v>0.26556636373476328</v>
      </c>
      <c r="O209" s="32">
        <f t="shared" si="56"/>
        <v>0.26146044262758689</v>
      </c>
    </row>
    <row r="210" spans="1:15" s="2" customFormat="1">
      <c r="A210" s="138" t="s">
        <v>327</v>
      </c>
      <c r="B210" s="145"/>
      <c r="C210" s="146"/>
      <c r="D210" s="140"/>
      <c r="E210" s="140">
        <f t="shared" si="57"/>
        <v>0.23666935780090639</v>
      </c>
      <c r="F210" s="140">
        <f t="shared" si="57"/>
        <v>0.11882413306327859</v>
      </c>
      <c r="G210" s="140">
        <f t="shared" si="57"/>
        <v>0.17581049002222943</v>
      </c>
      <c r="H210" s="140">
        <f t="shared" si="57"/>
        <v>0.1761822198891666</v>
      </c>
      <c r="I210" s="140">
        <f t="shared" si="57"/>
        <v>0.26782613152623802</v>
      </c>
      <c r="J210" s="140">
        <f t="shared" si="57"/>
        <v>0.25172201626429352</v>
      </c>
      <c r="K210" s="140">
        <f t="shared" si="57"/>
        <v>0.21251966320518653</v>
      </c>
      <c r="L210" s="140"/>
      <c r="M210" s="136">
        <f t="shared" si="54"/>
        <v>0.1439554011771299</v>
      </c>
      <c r="N210" s="32">
        <f t="shared" si="55"/>
        <v>0.24560318441684875</v>
      </c>
      <c r="O210" s="32">
        <f t="shared" si="56"/>
        <v>0.24402260366523934</v>
      </c>
    </row>
    <row r="211" spans="1:15" s="18" customFormat="1" hidden="1">
      <c r="A211" s="57" t="s">
        <v>328</v>
      </c>
      <c r="B211" s="46"/>
      <c r="C211" s="69"/>
      <c r="D211" s="45"/>
      <c r="E211" s="45">
        <f t="shared" si="57"/>
        <v>0.24204449433209871</v>
      </c>
      <c r="F211" s="45">
        <f t="shared" si="57"/>
        <v>0.118135452863777</v>
      </c>
      <c r="G211" s="45">
        <f t="shared" si="57"/>
        <v>0.17494698847138923</v>
      </c>
      <c r="H211" s="45">
        <f t="shared" si="57"/>
        <v>0.17526374044865159</v>
      </c>
      <c r="I211" s="45">
        <f t="shared" si="57"/>
        <v>0.25526898999003572</v>
      </c>
      <c r="J211" s="45">
        <f t="shared" si="57"/>
        <v>0.16966272620356315</v>
      </c>
      <c r="K211" s="45">
        <f t="shared" si="57"/>
        <v>0.18104450139878478</v>
      </c>
      <c r="L211" s="45"/>
      <c r="M211" s="136">
        <f t="shared" si="54"/>
        <v>0.13163668937083001</v>
      </c>
      <c r="N211" s="32">
        <f t="shared" si="55"/>
        <v>0.2175647271766509</v>
      </c>
      <c r="O211" s="32">
        <f t="shared" si="56"/>
        <v>0.20199207253079454</v>
      </c>
    </row>
    <row r="212" spans="1:15" hidden="1">
      <c r="A212" s="38"/>
      <c r="B212" s="54"/>
      <c r="C212" s="55"/>
      <c r="D212" s="37"/>
      <c r="E212" s="37"/>
      <c r="F212" s="37"/>
      <c r="G212" s="37"/>
      <c r="H212" s="37"/>
      <c r="I212" s="37"/>
      <c r="J212" s="37"/>
      <c r="K212" s="37"/>
      <c r="L212" s="37"/>
      <c r="M212" s="136">
        <f t="shared" si="54"/>
        <v>0</v>
      </c>
      <c r="N212" s="32">
        <f t="shared" si="55"/>
        <v>0</v>
      </c>
      <c r="O212" s="32">
        <f t="shared" si="56"/>
        <v>0</v>
      </c>
    </row>
    <row r="213" spans="1:15" hidden="1">
      <c r="A213" s="38" t="s">
        <v>329</v>
      </c>
      <c r="B213" s="54"/>
      <c r="C213" s="55"/>
      <c r="D213" s="37"/>
      <c r="E213" s="37"/>
      <c r="F213" s="37"/>
      <c r="G213" s="37">
        <f t="shared" ref="G213:K216" si="58">G198*G120</f>
        <v>0.21388788963762931</v>
      </c>
      <c r="H213" s="37">
        <f t="shared" si="58"/>
        <v>0.19765010253926096</v>
      </c>
      <c r="I213" s="37">
        <f t="shared" si="58"/>
        <v>0.25696506938711305</v>
      </c>
      <c r="J213" s="37">
        <f t="shared" si="58"/>
        <v>0.22978737355405601</v>
      </c>
      <c r="K213" s="37">
        <f t="shared" si="58"/>
        <v>0.24666237805614097</v>
      </c>
      <c r="L213" s="37"/>
      <c r="M213" s="136">
        <f t="shared" si="54"/>
        <v>0.11449528131742001</v>
      </c>
      <c r="N213" s="32">
        <f t="shared" si="55"/>
        <v>0.25188961889832406</v>
      </c>
      <c r="O213" s="32">
        <f t="shared" si="56"/>
        <v>0.24447160699910334</v>
      </c>
    </row>
    <row r="214" spans="1:15" hidden="1">
      <c r="A214" s="38" t="s">
        <v>330</v>
      </c>
      <c r="B214" s="54"/>
      <c r="C214" s="55"/>
      <c r="D214" s="37"/>
      <c r="E214" s="37"/>
      <c r="F214" s="37"/>
      <c r="G214" s="37">
        <f t="shared" si="58"/>
        <v>0.21503048184591242</v>
      </c>
      <c r="H214" s="37">
        <f t="shared" si="58"/>
        <v>0.19866724827839771</v>
      </c>
      <c r="I214" s="37">
        <f t="shared" si="58"/>
        <v>0.25030613647761135</v>
      </c>
      <c r="J214" s="37">
        <f t="shared" si="58"/>
        <v>0.1754504969620235</v>
      </c>
      <c r="K214" s="37">
        <f t="shared" si="58"/>
        <v>0.21945691478069984</v>
      </c>
      <c r="L214" s="37"/>
      <c r="M214" s="136">
        <f t="shared" si="54"/>
        <v>0.10589112783446449</v>
      </c>
      <c r="N214" s="32">
        <f t="shared" si="55"/>
        <v>0.23296048123582186</v>
      </c>
      <c r="O214" s="32">
        <f t="shared" si="56"/>
        <v>0.21507118274011158</v>
      </c>
    </row>
    <row r="215" spans="1:15" s="8" customFormat="1" hidden="1">
      <c r="A215" s="71" t="s">
        <v>331</v>
      </c>
      <c r="B215" s="73"/>
      <c r="C215" s="74"/>
      <c r="D215" s="72"/>
      <c r="E215" s="72"/>
      <c r="F215" s="72"/>
      <c r="G215" s="72">
        <f t="shared" si="58"/>
        <v>0.18692845700797137</v>
      </c>
      <c r="H215" s="72">
        <f t="shared" si="58"/>
        <v>0.17273023524502101</v>
      </c>
      <c r="I215" s="72">
        <f t="shared" si="58"/>
        <v>0.22619585597083275</v>
      </c>
      <c r="J215" s="72">
        <f t="shared" si="58"/>
        <v>0.21243868076621614</v>
      </c>
      <c r="K215" s="72">
        <f t="shared" si="58"/>
        <v>0.24085172219547812</v>
      </c>
      <c r="L215" s="72"/>
      <c r="M215" s="136">
        <f t="shared" si="54"/>
        <v>0.10391449511855196</v>
      </c>
      <c r="N215" s="32">
        <f t="shared" si="55"/>
        <v>0.2286118892608143</v>
      </c>
      <c r="O215" s="32">
        <f t="shared" si="56"/>
        <v>0.22649541964417566</v>
      </c>
    </row>
    <row r="216" spans="1:15" hidden="1">
      <c r="A216" s="38" t="s">
        <v>332</v>
      </c>
      <c r="B216" s="54"/>
      <c r="C216" s="55"/>
      <c r="D216" s="37"/>
      <c r="E216" s="37"/>
      <c r="F216" s="37"/>
      <c r="G216" s="37">
        <f t="shared" si="58"/>
        <v>0.18723226003562546</v>
      </c>
      <c r="H216" s="37">
        <f t="shared" si="58"/>
        <v>0.17297649921378269</v>
      </c>
      <c r="I216" s="37">
        <f t="shared" si="58"/>
        <v>0.21807077102419364</v>
      </c>
      <c r="J216" s="37">
        <f t="shared" si="58"/>
        <v>0.15143516109084787</v>
      </c>
      <c r="K216" s="37">
        <f t="shared" si="58"/>
        <v>0.20990075306425529</v>
      </c>
      <c r="L216" s="37"/>
      <c r="M216" s="136">
        <f t="shared" si="54"/>
        <v>9.3961544442870498E-2</v>
      </c>
      <c r="N216" s="32">
        <f t="shared" si="55"/>
        <v>0.20671539777431508</v>
      </c>
      <c r="O216" s="32">
        <f t="shared" si="56"/>
        <v>0.19313556172643229</v>
      </c>
    </row>
    <row r="217" spans="1:15" hidden="1">
      <c r="A217" s="38"/>
      <c r="B217" s="54"/>
      <c r="C217" s="55"/>
      <c r="D217" s="37"/>
      <c r="E217" s="37"/>
      <c r="F217" s="37"/>
      <c r="G217" s="37"/>
      <c r="H217" s="37"/>
      <c r="I217" s="37"/>
      <c r="J217" s="37"/>
      <c r="K217" s="37"/>
      <c r="L217" s="37"/>
      <c r="M217" s="136">
        <f t="shared" si="54"/>
        <v>0</v>
      </c>
      <c r="N217" s="32">
        <f t="shared" si="55"/>
        <v>0</v>
      </c>
      <c r="O217" s="32">
        <f t="shared" si="56"/>
        <v>0</v>
      </c>
    </row>
    <row r="218" spans="1:15" hidden="1">
      <c r="A218" s="38" t="s">
        <v>474</v>
      </c>
      <c r="B218" s="54"/>
      <c r="C218" s="55"/>
      <c r="D218" s="37"/>
      <c r="E218" s="37"/>
      <c r="F218" s="37"/>
      <c r="G218" s="37"/>
      <c r="H218" s="37"/>
      <c r="I218" s="37"/>
      <c r="J218" s="37"/>
      <c r="K218" s="37">
        <f>K203*K125</f>
        <v>0.23939498208052745</v>
      </c>
      <c r="L218" s="37"/>
      <c r="M218" s="136">
        <f t="shared" si="54"/>
        <v>2.3939498208052745E-2</v>
      </c>
      <c r="N218" s="32">
        <f t="shared" si="55"/>
        <v>5.2666896057716038E-2</v>
      </c>
      <c r="O218" s="32">
        <f t="shared" si="56"/>
        <v>7.9798327360175822E-2</v>
      </c>
    </row>
    <row r="219" spans="1:15" hidden="1">
      <c r="A219" s="38" t="s">
        <v>475</v>
      </c>
      <c r="B219" s="54"/>
      <c r="C219" s="55"/>
      <c r="D219" s="37"/>
      <c r="E219" s="37"/>
      <c r="F219" s="37"/>
      <c r="G219" s="37"/>
      <c r="H219" s="37"/>
      <c r="I219" s="37"/>
      <c r="J219" s="37"/>
      <c r="K219" s="37">
        <f>K204*K126</f>
        <v>0.21440602983423646</v>
      </c>
      <c r="L219" s="37"/>
      <c r="M219" s="136">
        <f t="shared" si="54"/>
        <v>2.1440602983423644E-2</v>
      </c>
      <c r="N219" s="32">
        <f t="shared" si="55"/>
        <v>4.7169326563532024E-2</v>
      </c>
      <c r="O219" s="32">
        <f t="shared" si="56"/>
        <v>7.1468676611412152E-2</v>
      </c>
    </row>
    <row r="220" spans="1:15" hidden="1">
      <c r="A220" s="71" t="s">
        <v>476</v>
      </c>
      <c r="B220" s="54"/>
      <c r="C220" s="55"/>
      <c r="D220" s="37"/>
      <c r="E220" s="37"/>
      <c r="F220" s="37"/>
      <c r="G220" s="37"/>
      <c r="H220" s="37"/>
      <c r="I220" s="37"/>
      <c r="J220" s="37"/>
      <c r="K220" s="37">
        <f>K205*K127</f>
        <v>0.22235400306259437</v>
      </c>
      <c r="L220" s="37"/>
      <c r="M220" s="136">
        <f t="shared" si="54"/>
        <v>2.2235400306259437E-2</v>
      </c>
      <c r="N220" s="32">
        <f t="shared" si="55"/>
        <v>4.8917880673770765E-2</v>
      </c>
      <c r="O220" s="32">
        <f t="shared" si="56"/>
        <v>7.4118001020864785E-2</v>
      </c>
    </row>
    <row r="221" spans="1:15" hidden="1">
      <c r="A221" s="38" t="s">
        <v>477</v>
      </c>
      <c r="B221" s="54"/>
      <c r="C221" s="55"/>
      <c r="D221" s="37"/>
      <c r="E221" s="37"/>
      <c r="F221" s="37"/>
      <c r="G221" s="37"/>
      <c r="H221" s="37"/>
      <c r="I221" s="37"/>
      <c r="J221" s="37"/>
      <c r="K221" s="37">
        <f>K206*K128</f>
        <v>0.19592864374297753</v>
      </c>
      <c r="L221" s="37"/>
      <c r="M221" s="136">
        <f t="shared" si="54"/>
        <v>1.9592864374297754E-2</v>
      </c>
      <c r="N221" s="32">
        <f t="shared" si="55"/>
        <v>4.3104301623455056E-2</v>
      </c>
      <c r="O221" s="32">
        <f t="shared" si="56"/>
        <v>6.5309547914325847E-2</v>
      </c>
    </row>
    <row r="222" spans="1:15" ht="18.75">
      <c r="A222" s="68" t="s">
        <v>144</v>
      </c>
      <c r="B222" s="46"/>
      <c r="C222" s="69"/>
      <c r="D222" s="46"/>
      <c r="E222" s="46"/>
      <c r="F222" s="46"/>
      <c r="G222" s="46"/>
      <c r="H222" s="46"/>
      <c r="I222" s="46"/>
      <c r="J222" s="46"/>
      <c r="K222" s="45"/>
      <c r="L222" s="45"/>
      <c r="M222" s="136">
        <f t="shared" si="54"/>
        <v>0</v>
      </c>
      <c r="N222" s="32">
        <f t="shared" si="55"/>
        <v>0</v>
      </c>
      <c r="O222" s="32">
        <f t="shared" si="56"/>
        <v>0</v>
      </c>
    </row>
    <row r="223" spans="1:15" hidden="1">
      <c r="A223" s="41" t="s">
        <v>104</v>
      </c>
      <c r="B223" s="39">
        <f>'Data Sheet'!B17/Customization!B82</f>
        <v>1.3825136612021858</v>
      </c>
      <c r="C223" s="39">
        <f>'Data Sheet'!C17/Customization!C82</f>
        <v>1.7389213328753006</v>
      </c>
      <c r="D223" s="39">
        <f>'Data Sheet'!D17/Customization!D82</f>
        <v>1.5370308867485887</v>
      </c>
      <c r="E223" s="39">
        <f>'Data Sheet'!E17/Customization!E82</f>
        <v>1.2943387361992016</v>
      </c>
      <c r="F223" s="39">
        <f>'Data Sheet'!F17/Customization!F82</f>
        <v>1.3341918866709592</v>
      </c>
      <c r="G223" s="39">
        <f>'Data Sheet'!G17/Customization!G82</f>
        <v>1.3344106140500085</v>
      </c>
      <c r="H223" s="39">
        <f>'Data Sheet'!H17/Customization!H82</f>
        <v>1.3818787475016656</v>
      </c>
      <c r="I223" s="39">
        <f>'Data Sheet'!I17/Customization!I82</f>
        <v>1.1587696595659964</v>
      </c>
      <c r="J223" s="39">
        <f>'Data Sheet'!J17/Customization!J82</f>
        <v>1.0849285100398469</v>
      </c>
      <c r="K223" s="39">
        <f>'Data Sheet'!K17/Customization!K82</f>
        <v>0.94077811711592074</v>
      </c>
      <c r="L223" s="39"/>
      <c r="M223" s="136">
        <f t="shared" si="54"/>
        <v>1.0066327157892185</v>
      </c>
      <c r="N223" s="32">
        <f t="shared" si="55"/>
        <v>1.3814796728125314</v>
      </c>
      <c r="O223" s="32">
        <f t="shared" si="56"/>
        <v>1.0614920955739213</v>
      </c>
    </row>
    <row r="224" spans="1:15" hidden="1">
      <c r="A224" s="41" t="s">
        <v>105</v>
      </c>
      <c r="B224" s="39">
        <f>'Data Sheet'!B17/Customization!B83</f>
        <v>1.4429657794676807</v>
      </c>
      <c r="C224" s="39">
        <f>'Data Sheet'!C17/Customization!C83</f>
        <v>1.7931278781438185</v>
      </c>
      <c r="D224" s="39">
        <f>'Data Sheet'!D17/Customization!D83</f>
        <v>1.5914718019257224</v>
      </c>
      <c r="E224" s="39">
        <f>'Data Sheet'!E17/Customization!E83</f>
        <v>1.3283510125361624</v>
      </c>
      <c r="F224" s="39">
        <f>'Data Sheet'!F17/Customization!F83</f>
        <v>1.377964974506761</v>
      </c>
      <c r="G224" s="39">
        <f>'Data Sheet'!G17/Customization!G83</f>
        <v>1.3780080800983665</v>
      </c>
      <c r="H224" s="39">
        <f>'Data Sheet'!H17/Customization!H83</f>
        <v>1.4204903437885221</v>
      </c>
      <c r="I224" s="39">
        <f>'Data Sheet'!I17/Customization!I83</f>
        <v>1.2208704771893026</v>
      </c>
      <c r="J224" s="39">
        <f>'Data Sheet'!J17/Customization!J83</f>
        <v>1.350384129145191</v>
      </c>
      <c r="K224" s="39">
        <f>'Data Sheet'!K17/Customization!K83</f>
        <v>1.0836647292750077</v>
      </c>
      <c r="L224" s="39"/>
      <c r="M224" s="136">
        <f t="shared" si="54"/>
        <v>1.0751205548465035</v>
      </c>
      <c r="N224" s="32">
        <f t="shared" si="55"/>
        <v>1.5057076628685784</v>
      </c>
      <c r="O224" s="32">
        <f t="shared" si="56"/>
        <v>1.2183064452031671</v>
      </c>
    </row>
    <row r="225" spans="1:15" s="2" customFormat="1">
      <c r="A225" s="164" t="s">
        <v>490</v>
      </c>
      <c r="B225" s="160">
        <f>'Data Sheet'!B17/Customization!B84</f>
        <v>1.3825136612021858</v>
      </c>
      <c r="C225" s="160">
        <f>'Data Sheet'!C17/Customization!C84</f>
        <v>1.7389213328753006</v>
      </c>
      <c r="D225" s="160">
        <f>'Data Sheet'!D17/Customization!D84</f>
        <v>1.5370308867485887</v>
      </c>
      <c r="E225" s="160">
        <f>'Data Sheet'!E17/Customization!E84</f>
        <v>1.3041420118343197</v>
      </c>
      <c r="F225" s="160">
        <f>'Data Sheet'!F17/Customization!F84</f>
        <v>1.3661538461538461</v>
      </c>
      <c r="G225" s="160">
        <f>'Data Sheet'!G17/Customization!G84</f>
        <v>1.4636194029850746</v>
      </c>
      <c r="H225" s="160">
        <f>'Data Sheet'!H17/Customization!H84</f>
        <v>1.5330376940133035</v>
      </c>
      <c r="I225" s="160">
        <f>'Data Sheet'!I17/Customization!I84</f>
        <v>1.3267608844312739</v>
      </c>
      <c r="J225" s="160">
        <f>'Data Sheet'!J17/Customization!J84</f>
        <v>1.2175361683472163</v>
      </c>
      <c r="K225" s="160">
        <f>'Data Sheet'!K17/Customization!K84</f>
        <v>1.0377911234802988</v>
      </c>
      <c r="L225" s="160"/>
      <c r="M225" s="136">
        <f t="shared" si="54"/>
        <v>1.078607201799392</v>
      </c>
      <c r="N225" s="32">
        <f t="shared" si="55"/>
        <v>1.531470495011312</v>
      </c>
      <c r="O225" s="32">
        <f t="shared" si="56"/>
        <v>1.194029392086263</v>
      </c>
    </row>
    <row r="226" spans="1:15" s="18" customFormat="1" hidden="1">
      <c r="A226" s="147" t="s">
        <v>491</v>
      </c>
      <c r="B226" s="143">
        <f>'Data Sheet'!B17/Customization!B84</f>
        <v>1.3825136612021858</v>
      </c>
      <c r="C226" s="143">
        <f>'Data Sheet'!C17/Customization!C84</f>
        <v>1.7389213328753006</v>
      </c>
      <c r="D226" s="143">
        <f>'Data Sheet'!D17/Customization!D84</f>
        <v>1.5370308867485887</v>
      </c>
      <c r="E226" s="143">
        <f>'Data Sheet'!E17/Customization!E84</f>
        <v>1.3041420118343197</v>
      </c>
      <c r="F226" s="143">
        <f>'Data Sheet'!F17/Customization!F84</f>
        <v>1.3661538461538461</v>
      </c>
      <c r="G226" s="143">
        <f>'Data Sheet'!G17/Customization!G84</f>
        <v>1.4636194029850746</v>
      </c>
      <c r="H226" s="143">
        <f>'Data Sheet'!H17/Customization!H84</f>
        <v>1.5330376940133035</v>
      </c>
      <c r="I226" s="143">
        <f>'Data Sheet'!I17/Customization!I84</f>
        <v>1.3267608844312739</v>
      </c>
      <c r="J226" s="143">
        <f>'Data Sheet'!J17/Customization!J84</f>
        <v>1.2175361683472163</v>
      </c>
      <c r="K226" s="143">
        <f>'Data Sheet'!K17/Customization!K84</f>
        <v>1.0377911234802988</v>
      </c>
      <c r="L226" s="143"/>
      <c r="M226" s="136">
        <f t="shared" si="54"/>
        <v>1.078607201799392</v>
      </c>
      <c r="N226" s="32">
        <f t="shared" si="55"/>
        <v>1.531470495011312</v>
      </c>
      <c r="O226" s="32">
        <f t="shared" si="56"/>
        <v>1.194029392086263</v>
      </c>
    </row>
    <row r="227" spans="1:15" s="2" customFormat="1">
      <c r="A227" s="164" t="s">
        <v>102</v>
      </c>
      <c r="B227" s="174">
        <f>'Data Sheet'!B17/'Data Sheet'!B62</f>
        <v>2.8886774500475738</v>
      </c>
      <c r="C227" s="174">
        <f>'Data Sheet'!C17*2/('Data Sheet'!B62+'Data Sheet'!C62)</f>
        <v>3.9362363919129084</v>
      </c>
      <c r="D227" s="174">
        <f>'Data Sheet'!D17*2/('Data Sheet'!C62+'Data Sheet'!D62)</f>
        <v>2.8185140073081607</v>
      </c>
      <c r="E227" s="174">
        <f>'Data Sheet'!E17*2/('Data Sheet'!D62+'Data Sheet'!E62)</f>
        <v>2.8992370428834517</v>
      </c>
      <c r="F227" s="174">
        <f>'Data Sheet'!F17*2/('Data Sheet'!E62+'Data Sheet'!F62)</f>
        <v>3.0366389838788472</v>
      </c>
      <c r="G227" s="174">
        <f>'Data Sheet'!G17*2/('Data Sheet'!F62+'Data Sheet'!G62)</f>
        <v>3.4589947089947093</v>
      </c>
      <c r="H227" s="174">
        <f>'Data Sheet'!H17*2/('Data Sheet'!G62+'Data Sheet'!H62)</f>
        <v>3.9410982329469886</v>
      </c>
      <c r="I227" s="174">
        <f>'Data Sheet'!I17*2/('Data Sheet'!H62+'Data Sheet'!I62)</f>
        <v>3.7869225764476253</v>
      </c>
      <c r="J227" s="174">
        <f>'Data Sheet'!J17*2/('Data Sheet'!I62+'Data Sheet'!J62)</f>
        <v>3.908246552209401</v>
      </c>
      <c r="K227" s="174">
        <f>'Data Sheet'!K17*2/('Data Sheet'!J62+'Data Sheet'!K62)</f>
        <v>3.4455927051671731</v>
      </c>
      <c r="L227" s="174"/>
      <c r="M227" s="136">
        <f t="shared" si="54"/>
        <v>2.7295244809836356</v>
      </c>
      <c r="N227" s="32">
        <f t="shared" si="55"/>
        <v>4.2540758513499064</v>
      </c>
      <c r="O227" s="32">
        <f t="shared" si="56"/>
        <v>3.7135872779414001</v>
      </c>
    </row>
    <row r="228" spans="1:15" s="2" customFormat="1">
      <c r="A228" s="164" t="s">
        <v>487</v>
      </c>
      <c r="B228" s="174">
        <f>'Data Sheet'!B17/'Data Sheet'!B61</f>
        <v>0.97903901967107376</v>
      </c>
      <c r="C228" s="174">
        <f>'Data Sheet'!C17/'Data Sheet'!C61</f>
        <v>1.2946291560102301</v>
      </c>
      <c r="D228" s="174">
        <f>'Data Sheet'!D17/'Data Sheet'!D61</f>
        <v>1.0688221709006929</v>
      </c>
      <c r="E228" s="174">
        <f>'Data Sheet'!E17/'Data Sheet'!E61</f>
        <v>0.99368800721370598</v>
      </c>
      <c r="F228" s="174">
        <f>'Data Sheet'!F17/'Data Sheet'!F61</f>
        <v>1.0698795180722891</v>
      </c>
      <c r="G228" s="174">
        <f>'Data Sheet'!G17/'Data Sheet'!G61</f>
        <v>1.0283130161226897</v>
      </c>
      <c r="H228" s="174">
        <f>'Data Sheet'!H17/'Data Sheet'!H61</f>
        <v>1.0708311822405783</v>
      </c>
      <c r="I228" s="174">
        <f>'Data Sheet'!I17/'Data Sheet'!I61</f>
        <v>0.94373733279286587</v>
      </c>
      <c r="J228" s="174">
        <f>'Data Sheet'!J17/'Data Sheet'!J61</f>
        <v>0.83585144164208758</v>
      </c>
      <c r="K228" s="174">
        <f>'Data Sheet'!K17/'Data Sheet'!K61</f>
        <v>0.78291618321454215</v>
      </c>
      <c r="L228" s="174"/>
      <c r="M228" s="136">
        <f t="shared" si="54"/>
        <v>0.77940388521994508</v>
      </c>
      <c r="N228" s="32">
        <f t="shared" si="55"/>
        <v>1.0882106082465417</v>
      </c>
      <c r="O228" s="32">
        <f t="shared" si="56"/>
        <v>0.8541683192164985</v>
      </c>
    </row>
    <row r="229" spans="1:15" s="18" customFormat="1">
      <c r="A229" s="147" t="s">
        <v>145</v>
      </c>
      <c r="B229" s="45">
        <f>B86/'Data Sheet'!B17</f>
        <v>0.35243741765480896</v>
      </c>
      <c r="C229" s="45">
        <f>C86/'Data Sheet'!C17</f>
        <v>0.26392730146187282</v>
      </c>
      <c r="D229" s="45">
        <f>D86/'Data Sheet'!D17</f>
        <v>0.25388936905790843</v>
      </c>
      <c r="E229" s="45">
        <f>E86/'Data Sheet'!E17</f>
        <v>0.38838475499092556</v>
      </c>
      <c r="F229" s="45">
        <f>F86/'Data Sheet'!F17</f>
        <v>0.39478764478764478</v>
      </c>
      <c r="G229" s="45">
        <f>G86/'Data Sheet'!G17</f>
        <v>0.36634799235181648</v>
      </c>
      <c r="H229" s="45">
        <f>H86/'Data Sheet'!H17</f>
        <v>0.37604859704946486</v>
      </c>
      <c r="I229" s="45">
        <f>I86/'Data Sheet'!I17</f>
        <v>0.44506485697105064</v>
      </c>
      <c r="J229" s="45">
        <f>J86/'Data Sheet'!J17</f>
        <v>0.53924816361803252</v>
      </c>
      <c r="K229" s="45">
        <f>K86/'Data Sheet'!K17</f>
        <v>0.63175723359209601</v>
      </c>
      <c r="L229" s="45"/>
      <c r="M229" s="136">
        <f t="shared" si="54"/>
        <v>0.33955286124189393</v>
      </c>
      <c r="N229" s="32">
        <f t="shared" si="55"/>
        <v>0.53960394096487097</v>
      </c>
      <c r="O229" s="32">
        <f t="shared" si="56"/>
        <v>0.5386900847270597</v>
      </c>
    </row>
    <row r="230" spans="1:15" s="32" customFormat="1">
      <c r="A230" s="175" t="s">
        <v>146</v>
      </c>
      <c r="B230" s="45">
        <f>B87/'Data Sheet'!B17</f>
        <v>0.32213438735177863</v>
      </c>
      <c r="C230" s="45">
        <f>C87/'Data Sheet'!C17</f>
        <v>0.24654286843145004</v>
      </c>
      <c r="D230" s="45">
        <f>D87/'Data Sheet'!D17</f>
        <v>0.23163353500432157</v>
      </c>
      <c r="E230" s="45">
        <f>E87/'Data Sheet'!E17</f>
        <v>0.36860254083484573</v>
      </c>
      <c r="F230" s="45">
        <f>F87/'Data Sheet'!F17</f>
        <v>0.370978120978121</v>
      </c>
      <c r="G230" s="45">
        <f>G87/'Data Sheet'!G17</f>
        <v>0.34263862332695988</v>
      </c>
      <c r="H230" s="45">
        <f>H87/'Data Sheet'!H17</f>
        <v>0.35637836274226209</v>
      </c>
      <c r="I230" s="45">
        <f>I87/'Data Sheet'!I17</f>
        <v>0.40116828451163994</v>
      </c>
      <c r="J230" s="45">
        <f>J87/'Data Sheet'!J17</f>
        <v>0.35805847616304187</v>
      </c>
      <c r="K230" s="45">
        <f>K87/'Data Sheet'!K17</f>
        <v>0.49160197600564576</v>
      </c>
      <c r="L230" s="45"/>
      <c r="M230" s="136">
        <f t="shared" si="54"/>
        <v>0.2921059919566838</v>
      </c>
      <c r="N230" s="32">
        <f t="shared" si="55"/>
        <v>0.44839034294124669</v>
      </c>
      <c r="O230" s="32">
        <f t="shared" si="56"/>
        <v>0.41694291222677587</v>
      </c>
    </row>
    <row r="231" spans="1:15" s="18" customFormat="1">
      <c r="A231" s="147" t="s">
        <v>46</v>
      </c>
      <c r="B231" s="143">
        <f>'Balance Sheet'!B20</f>
        <v>142.22496706192359</v>
      </c>
      <c r="C231" s="143">
        <f>'Balance Sheet'!C20</f>
        <v>72.754839984195982</v>
      </c>
      <c r="D231" s="143">
        <f>'Balance Sheet'!D20</f>
        <v>85.571521175453753</v>
      </c>
      <c r="E231" s="143">
        <f>'Balance Sheet'!E20</f>
        <v>107.51270417422869</v>
      </c>
      <c r="F231" s="143">
        <f>'Balance Sheet'!F20</f>
        <v>87.257078507078504</v>
      </c>
      <c r="G231" s="143">
        <f>'Balance Sheet'!G20</f>
        <v>93.332058636073924</v>
      </c>
      <c r="H231" s="143">
        <f>'Balance Sheet'!H20</f>
        <v>85.838877639571891</v>
      </c>
      <c r="I231" s="143">
        <f>'Balance Sheet'!I20</f>
        <v>86.413538355811355</v>
      </c>
      <c r="J231" s="143">
        <f>'Balance Sheet'!J20</f>
        <v>90.132867636468376</v>
      </c>
      <c r="K231" s="143">
        <f>'Balance Sheet'!K20</f>
        <v>91.443189837685253</v>
      </c>
      <c r="L231" s="143"/>
      <c r="M231" s="136">
        <f t="shared" si="54"/>
        <v>72.750183596237179</v>
      </c>
      <c r="N231" s="32">
        <f t="shared" si="55"/>
        <v>103.98214314036962</v>
      </c>
      <c r="O231" s="32">
        <f t="shared" si="56"/>
        <v>89.329865276654985</v>
      </c>
    </row>
    <row r="232" spans="1:15" s="18" customFormat="1">
      <c r="A232" s="147" t="s">
        <v>112</v>
      </c>
      <c r="B232" s="143">
        <f>365/B235</f>
        <v>62.276021080368906</v>
      </c>
      <c r="C232" s="143">
        <f t="shared" ref="C232:K232" si="59">365/C235</f>
        <v>61.506321612011064</v>
      </c>
      <c r="D232" s="143">
        <f t="shared" si="59"/>
        <v>76.501728608470174</v>
      </c>
      <c r="E232" s="143">
        <f t="shared" si="59"/>
        <v>64.984573502722327</v>
      </c>
      <c r="F232" s="143">
        <f t="shared" si="59"/>
        <v>61.36180823680823</v>
      </c>
      <c r="G232" s="143">
        <f t="shared" si="59"/>
        <v>75.698534098151683</v>
      </c>
      <c r="H232" s="143">
        <f t="shared" si="59"/>
        <v>74.928647189277797</v>
      </c>
      <c r="I232" s="143">
        <f t="shared" si="59"/>
        <v>73.08779314491882</v>
      </c>
      <c r="J232" s="143">
        <f t="shared" si="59"/>
        <v>64.0051130635172</v>
      </c>
      <c r="K232" s="143">
        <f t="shared" si="59"/>
        <v>73.180310515172906</v>
      </c>
      <c r="L232" s="143"/>
      <c r="M232" s="136">
        <f t="shared" si="54"/>
        <v>56.374850835903906</v>
      </c>
      <c r="N232" s="32">
        <f t="shared" si="55"/>
        <v>83.455049769388467</v>
      </c>
      <c r="O232" s="32">
        <f t="shared" si="56"/>
        <v>70.09107224120298</v>
      </c>
    </row>
    <row r="233" spans="1:15" s="18" customFormat="1">
      <c r="A233" s="147" t="s">
        <v>361</v>
      </c>
      <c r="B233" s="143"/>
      <c r="C233" s="143">
        <f t="shared" ref="C233:K233" si="60">365/B236</f>
        <v>128.63965744400525</v>
      </c>
      <c r="D233" s="143">
        <f t="shared" si="60"/>
        <v>96.333465033583579</v>
      </c>
      <c r="E233" s="143">
        <f t="shared" si="60"/>
        <v>92.669619706136572</v>
      </c>
      <c r="F233" s="143">
        <f t="shared" si="60"/>
        <v>141.76043557168782</v>
      </c>
      <c r="G233" s="143">
        <f t="shared" si="60"/>
        <v>144.09749034749035</v>
      </c>
      <c r="H233" s="143">
        <f t="shared" si="60"/>
        <v>133.71701720841301</v>
      </c>
      <c r="I233" s="143">
        <f t="shared" si="60"/>
        <v>137.25773792305466</v>
      </c>
      <c r="J233" s="143">
        <f t="shared" si="60"/>
        <v>162.44867279443346</v>
      </c>
      <c r="K233" s="143">
        <f t="shared" si="60"/>
        <v>196.82557972058186</v>
      </c>
      <c r="L233" s="143"/>
      <c r="M233" s="136">
        <f t="shared" si="54"/>
        <v>110.51100183053813</v>
      </c>
      <c r="N233" s="32">
        <f t="shared" si="55"/>
        <v>176.97149996490231</v>
      </c>
      <c r="O233" s="32">
        <f t="shared" si="56"/>
        <v>165.51066347935665</v>
      </c>
    </row>
    <row r="234" spans="1:15" s="18" customFormat="1">
      <c r="A234" s="147" t="s">
        <v>116</v>
      </c>
      <c r="B234" s="143">
        <f>'Data Sheet'!B17/'Data Sheet'!B67</f>
        <v>2.5663567202028741</v>
      </c>
      <c r="C234" s="143">
        <f>'Data Sheet'!C17/'Data Sheet'!C67</f>
        <v>5.0168483647175419</v>
      </c>
      <c r="D234" s="143">
        <f>'Data Sheet'!D17/'Data Sheet'!D67</f>
        <v>4.2654377880184331</v>
      </c>
      <c r="E234" s="143">
        <f>'Data Sheet'!E17/'Data Sheet'!E67</f>
        <v>3.3949476278496613</v>
      </c>
      <c r="F234" s="143">
        <f>'Data Sheet'!F17/'Data Sheet'!F67</f>
        <v>4.1830417227456254</v>
      </c>
      <c r="G234" s="143">
        <f>'Data Sheet'!G17/'Data Sheet'!G67</f>
        <v>3.9107676969092724</v>
      </c>
      <c r="H234" s="143">
        <f>'Data Sheet'!H17/'Data Sheet'!H67</f>
        <v>4.2521525215252147</v>
      </c>
      <c r="I234" s="143">
        <f>'Data Sheet'!I17/'Data Sheet'!I67</f>
        <v>4.2238751814223514</v>
      </c>
      <c r="J234" s="143">
        <f>'Data Sheet'!J17/'Data Sheet'!J67</f>
        <v>4.04957713619131</v>
      </c>
      <c r="K234" s="143">
        <f>'Data Sheet'!K17/'Data Sheet'!K67</f>
        <v>3.9915492957746475</v>
      </c>
      <c r="L234" s="143"/>
      <c r="M234" s="136">
        <f t="shared" si="54"/>
        <v>3.2271348970436513</v>
      </c>
      <c r="N234" s="32">
        <f t="shared" si="55"/>
        <v>4.7310113457732887</v>
      </c>
      <c r="O234" s="32">
        <f t="shared" si="56"/>
        <v>4.0883338711294357</v>
      </c>
    </row>
    <row r="235" spans="1:15" s="18" customFormat="1">
      <c r="A235" s="147" t="s">
        <v>113</v>
      </c>
      <c r="B235" s="141">
        <f>'Data Sheet'!B17/'Data Sheet'!B68</f>
        <v>5.8610038610038613</v>
      </c>
      <c r="C235" s="141">
        <f>'Data Sheet'!C17/'Data Sheet'!C68</f>
        <v>5.9343493552168818</v>
      </c>
      <c r="D235" s="141">
        <f>'Data Sheet'!D17/'Data Sheet'!D68</f>
        <v>4.7711340206185575</v>
      </c>
      <c r="E235" s="141">
        <f>'Data Sheet'!E17/'Data Sheet'!E68</f>
        <v>5.6167176350662587</v>
      </c>
      <c r="F235" s="141">
        <f>'Data Sheet'!F17/'Data Sheet'!F68</f>
        <v>5.9483253588516751</v>
      </c>
      <c r="G235" s="141">
        <f>'Data Sheet'!G17/'Data Sheet'!G68</f>
        <v>4.8217578365089127</v>
      </c>
      <c r="H235" s="141">
        <f>'Data Sheet'!H17/'Data Sheet'!H68</f>
        <v>4.871301080319399</v>
      </c>
      <c r="I235" s="141">
        <f>'Data Sheet'!I17/'Data Sheet'!I68</f>
        <v>4.9939939939939944</v>
      </c>
      <c r="J235" s="141">
        <f>'Data Sheet'!J17/'Data Sheet'!J68</f>
        <v>5.7026694045174544</v>
      </c>
      <c r="K235" s="141">
        <f>'Data Sheet'!K17/'Data Sheet'!K68</f>
        <v>4.9876803942273842</v>
      </c>
      <c r="L235" s="141"/>
      <c r="M235" s="136">
        <f t="shared" si="54"/>
        <v>4.1713579724103642</v>
      </c>
      <c r="N235" s="32">
        <f t="shared" si="55"/>
        <v>5.9097521363955012</v>
      </c>
      <c r="O235" s="32">
        <f t="shared" si="56"/>
        <v>5.2281145975796113</v>
      </c>
    </row>
    <row r="236" spans="1:15" s="18" customFormat="1">
      <c r="A236" s="147" t="s">
        <v>362</v>
      </c>
      <c r="B236" s="141">
        <f>'Data Sheet'!B17/'Balance Sheet'!B16</f>
        <v>2.8373831775700937</v>
      </c>
      <c r="C236" s="141">
        <f>'Data Sheet'!C17/'Balance Sheet'!C16</f>
        <v>3.7889221556886223</v>
      </c>
      <c r="D236" s="141">
        <f>'Data Sheet'!D17/'Balance Sheet'!D16</f>
        <v>3.9387234042553185</v>
      </c>
      <c r="E236" s="141">
        <f>'Data Sheet'!E17/'Balance Sheet'!E16</f>
        <v>2.5747663551401874</v>
      </c>
      <c r="F236" s="141">
        <f>'Data Sheet'!F17/'Balance Sheet'!F16</f>
        <v>2.5330073349633251</v>
      </c>
      <c r="G236" s="141">
        <f>'Data Sheet'!G17/'Balance Sheet'!G16</f>
        <v>2.7296450939457202</v>
      </c>
      <c r="H236" s="141">
        <f>'Data Sheet'!H17/'Balance Sheet'!H16</f>
        <v>2.6592307692307693</v>
      </c>
      <c r="I236" s="141">
        <f>'Data Sheet'!I17/'Balance Sheet'!I16</f>
        <v>2.2468635398571704</v>
      </c>
      <c r="J236" s="141">
        <f>'Data Sheet'!J17/'Balance Sheet'!J16</f>
        <v>1.8544337606837609</v>
      </c>
      <c r="K236" s="141">
        <f>'Data Sheet'!K17/'Balance Sheet'!K16</f>
        <v>1.5828865058087578</v>
      </c>
      <c r="L236" s="141"/>
      <c r="M236" s="136">
        <f t="shared" si="54"/>
        <v>2.0119556763885011</v>
      </c>
      <c r="N236" s="32">
        <f t="shared" si="55"/>
        <v>2.6170030691829358</v>
      </c>
      <c r="O236" s="32">
        <f t="shared" si="56"/>
        <v>1.8947279354498965</v>
      </c>
    </row>
    <row r="237" spans="1:15" s="18" customFormat="1">
      <c r="A237" s="147" t="s">
        <v>363</v>
      </c>
      <c r="B237" s="58">
        <f>'Data Sheet'!B17/('Balance Sheet'!B17+'Balance Sheet'!B18)</f>
        <v>1.7848324514991183</v>
      </c>
      <c r="C237" s="58">
        <f>'Data Sheet'!C17/('Balance Sheet'!C17+'Balance Sheet'!C18)</f>
        <v>2.7185821697099897</v>
      </c>
      <c r="D237" s="58">
        <f>'Data Sheet'!D17/('Balance Sheet'!D17+'Balance Sheet'!D18)</f>
        <v>2.2520681265206814</v>
      </c>
      <c r="E237" s="58">
        <f>'Data Sheet'!E17/('Balance Sheet'!E17+'Balance Sheet'!E18)</f>
        <v>2.1159754224270353</v>
      </c>
      <c r="F237" s="58">
        <f>'Data Sheet'!F17/('Balance Sheet'!F17+'Balance Sheet'!F18)</f>
        <v>2.4559462662979059</v>
      </c>
      <c r="G237" s="58">
        <f>'Data Sheet'!G17/('Balance Sheet'!G17+'Balance Sheet'!G18)</f>
        <v>2.1593724194880264</v>
      </c>
      <c r="H237" s="58">
        <f>'Data Sheet'!H17/('Balance Sheet'!H17+'Balance Sheet'!H18)</f>
        <v>2.2703590192644483</v>
      </c>
      <c r="I237" s="58">
        <f>'Data Sheet'!I17/('Balance Sheet'!I17+'Balance Sheet'!I18)</f>
        <v>2.2883821505799098</v>
      </c>
      <c r="J237" s="58">
        <f>'Data Sheet'!J17/('Balance Sheet'!J17+'Balance Sheet'!J18)</f>
        <v>2.3680081855388817</v>
      </c>
      <c r="K237" s="58">
        <f>'Data Sheet'!K17/('Balance Sheet'!K17+'Balance Sheet'!K18)</f>
        <v>2.217180409951494</v>
      </c>
      <c r="L237" s="58"/>
      <c r="M237" s="136">
        <f t="shared" si="54"/>
        <v>1.8127292000068382</v>
      </c>
      <c r="N237" s="32">
        <f t="shared" si="55"/>
        <v>2.6232062769659197</v>
      </c>
      <c r="O237" s="32">
        <f t="shared" si="56"/>
        <v>2.291190248690095</v>
      </c>
    </row>
    <row r="238" spans="1:15" s="18" customFormat="1">
      <c r="A238" s="147" t="s">
        <v>365</v>
      </c>
      <c r="B238" s="45">
        <f>'Balance Sheet'!B17/'Data Sheet'!B17</f>
        <v>0.38965744400527008</v>
      </c>
      <c r="C238" s="45">
        <f>'Balance Sheet'!C17/'Data Sheet'!C17</f>
        <v>0.19932832872382458</v>
      </c>
      <c r="D238" s="45">
        <f>'Balance Sheet'!D17/'Data Sheet'!D17</f>
        <v>0.23444252376836644</v>
      </c>
      <c r="E238" s="45">
        <f>'Balance Sheet'!E17/'Data Sheet'!E17</f>
        <v>0.29455535390199639</v>
      </c>
      <c r="F238" s="45">
        <f>'Balance Sheet'!F17/'Data Sheet'!F17</f>
        <v>0.23906048906048907</v>
      </c>
      <c r="G238" s="45">
        <f>'Balance Sheet'!G17/'Data Sheet'!G17</f>
        <v>0.25570427023581899</v>
      </c>
      <c r="H238" s="45">
        <f>'Balance Sheet'!H17/'Data Sheet'!H17</f>
        <v>0.23517500723170381</v>
      </c>
      <c r="I238" s="45">
        <f>'Balance Sheet'!I17/'Data Sheet'!I17</f>
        <v>0.23674942015290781</v>
      </c>
      <c r="J238" s="45">
        <f>'Balance Sheet'!J17/'Data Sheet'!J17</f>
        <v>0.2469393633875846</v>
      </c>
      <c r="K238" s="45">
        <f>'Balance Sheet'!K17/'Data Sheet'!K17</f>
        <v>0.25052928722653495</v>
      </c>
      <c r="L238" s="45"/>
      <c r="M238" s="136">
        <f t="shared" si="54"/>
        <v>0.19931557149654019</v>
      </c>
      <c r="N238" s="32">
        <f t="shared" si="55"/>
        <v>0.28488258394621807</v>
      </c>
      <c r="O238" s="32">
        <f t="shared" si="56"/>
        <v>0.24473935692234247</v>
      </c>
    </row>
    <row r="239" spans="1:15" s="18" customFormat="1">
      <c r="A239" s="147" t="s">
        <v>366</v>
      </c>
      <c r="B239" s="45">
        <f>'Balance Sheet'!B18/'Data Sheet'!B17</f>
        <v>0.17061923583662714</v>
      </c>
      <c r="C239" s="45">
        <f>'Balance Sheet'!C18/'Data Sheet'!C17</f>
        <v>0.16851047016989332</v>
      </c>
      <c r="D239" s="45">
        <f>'Balance Sheet'!D18/'Data Sheet'!D17</f>
        <v>0.20959377700950732</v>
      </c>
      <c r="E239" s="45">
        <f>'Balance Sheet'!E18/'Data Sheet'!E17</f>
        <v>0.17803992740471869</v>
      </c>
      <c r="F239" s="45">
        <f>'Balance Sheet'!F18/'Data Sheet'!F17</f>
        <v>0.1681145431145431</v>
      </c>
      <c r="G239" s="45">
        <f>'Balance Sheet'!G18/'Data Sheet'!G17</f>
        <v>0.20739324410452517</v>
      </c>
      <c r="H239" s="45">
        <f>'Balance Sheet'!H18/'Data Sheet'!H17</f>
        <v>0.20528396490213094</v>
      </c>
      <c r="I239" s="45">
        <f>'Balance Sheet'!I18/'Data Sheet'!I17</f>
        <v>0.20024052916416116</v>
      </c>
      <c r="J239" s="45">
        <f>'Balance Sheet'!J18/'Data Sheet'!J17</f>
        <v>0.1753564741466225</v>
      </c>
      <c r="K239" s="45">
        <f>'Balance Sheet'!K18/'Data Sheet'!K17</f>
        <v>0.20049400141143262</v>
      </c>
      <c r="L239" s="45"/>
      <c r="M239" s="136">
        <f t="shared" si="54"/>
        <v>0.15445164612576417</v>
      </c>
      <c r="N239" s="32">
        <f t="shared" si="55"/>
        <v>0.22864397197092731</v>
      </c>
      <c r="O239" s="32">
        <f t="shared" si="56"/>
        <v>0.19203033490740543</v>
      </c>
    </row>
    <row r="240" spans="1:15" s="18" customFormat="1">
      <c r="A240" s="147" t="s">
        <v>364</v>
      </c>
      <c r="B240" s="45">
        <f>1/B237</f>
        <v>0.56027667984189722</v>
      </c>
      <c r="C240" s="45">
        <f t="shared" ref="C240:K240" si="61">1/C237</f>
        <v>0.36783879889371784</v>
      </c>
      <c r="D240" s="45">
        <f t="shared" si="61"/>
        <v>0.44403630077787376</v>
      </c>
      <c r="E240" s="45">
        <f t="shared" si="61"/>
        <v>0.47259528130671508</v>
      </c>
      <c r="F240" s="45">
        <f t="shared" si="61"/>
        <v>0.4071750321750322</v>
      </c>
      <c r="G240" s="45">
        <f t="shared" si="61"/>
        <v>0.46309751434034419</v>
      </c>
      <c r="H240" s="45">
        <f t="shared" si="61"/>
        <v>0.44045897213383473</v>
      </c>
      <c r="I240" s="45">
        <f t="shared" si="61"/>
        <v>0.43698994931706892</v>
      </c>
      <c r="J240" s="45">
        <f t="shared" si="61"/>
        <v>0.42229583753420702</v>
      </c>
      <c r="K240" s="45">
        <f t="shared" si="61"/>
        <v>0.45102328863796759</v>
      </c>
      <c r="L240" s="45"/>
      <c r="M240" s="136">
        <f t="shared" si="54"/>
        <v>0.35376721762230434</v>
      </c>
      <c r="N240" s="32">
        <f t="shared" si="55"/>
        <v>0.51352655591714524</v>
      </c>
      <c r="O240" s="32">
        <f t="shared" si="56"/>
        <v>0.43676969182974784</v>
      </c>
    </row>
    <row r="241" spans="1:15" s="18" customFormat="1">
      <c r="A241" s="147" t="s">
        <v>154</v>
      </c>
      <c r="B241" s="141">
        <f>'Data Sheet'!B30</f>
        <v>3.64</v>
      </c>
      <c r="C241" s="141">
        <f>'Data Sheet'!C30</f>
        <v>7.38</v>
      </c>
      <c r="D241" s="141">
        <f>'Data Sheet'!D30</f>
        <v>5.91</v>
      </c>
      <c r="E241" s="141">
        <f>'Data Sheet'!E30</f>
        <v>6.05</v>
      </c>
      <c r="F241" s="141">
        <f>'Data Sheet'!F30</f>
        <v>3.94</v>
      </c>
      <c r="G241" s="141">
        <f>'Data Sheet'!G30</f>
        <v>5.5</v>
      </c>
      <c r="H241" s="141">
        <f>'Data Sheet'!H30</f>
        <v>7.98</v>
      </c>
      <c r="I241" s="141">
        <f>'Data Sheet'!I30</f>
        <v>9.48</v>
      </c>
      <c r="J241" s="141">
        <f>'Data Sheet'!J30</f>
        <v>7.05</v>
      </c>
      <c r="K241" s="141">
        <f>'Data Sheet'!K30</f>
        <v>8.32</v>
      </c>
      <c r="L241" s="141">
        <f>'Profit &amp; Loss'!L12</f>
        <v>7.14</v>
      </c>
      <c r="M241" s="136">
        <f t="shared" si="54"/>
        <v>5.423</v>
      </c>
      <c r="N241" s="32">
        <f t="shared" si="55"/>
        <v>10.178599999999999</v>
      </c>
      <c r="O241" s="32">
        <f t="shared" si="56"/>
        <v>8.2833333333333332</v>
      </c>
    </row>
    <row r="242" spans="1:15" s="18" customFormat="1">
      <c r="A242" s="147" t="s">
        <v>155</v>
      </c>
      <c r="B242" s="141">
        <f>'Data Sheet'!B82</f>
        <v>3.88</v>
      </c>
      <c r="C242" s="141">
        <f>'Data Sheet'!C82</f>
        <v>6.26</v>
      </c>
      <c r="D242" s="141">
        <f>'Data Sheet'!D82</f>
        <v>9.41</v>
      </c>
      <c r="E242" s="141">
        <f>'Data Sheet'!E82</f>
        <v>2.97</v>
      </c>
      <c r="F242" s="141">
        <f>'Data Sheet'!F82</f>
        <v>7.35</v>
      </c>
      <c r="G242" s="141">
        <f>'Data Sheet'!G82</f>
        <v>2.94</v>
      </c>
      <c r="H242" s="141">
        <f>'Data Sheet'!H82</f>
        <v>6.83</v>
      </c>
      <c r="I242" s="141">
        <f>'Data Sheet'!I82</f>
        <v>12.63</v>
      </c>
      <c r="J242" s="141">
        <f>'Data Sheet'!J82</f>
        <v>1.38</v>
      </c>
      <c r="K242" s="141">
        <f>'Data Sheet'!K82</f>
        <v>3.18</v>
      </c>
      <c r="L242" s="141"/>
      <c r="M242" s="136">
        <f t="shared" si="54"/>
        <v>4.6690000000000005</v>
      </c>
      <c r="N242" s="32">
        <f t="shared" si="55"/>
        <v>6.3257999999999992</v>
      </c>
      <c r="O242" s="32">
        <f t="shared" si="56"/>
        <v>5.73</v>
      </c>
    </row>
    <row r="243" spans="1:15" s="18" customFormat="1">
      <c r="A243" s="147" t="s">
        <v>156</v>
      </c>
      <c r="B243" s="141"/>
      <c r="C243" s="141"/>
      <c r="D243" s="141">
        <f>SUM(B241:D241)</f>
        <v>16.93</v>
      </c>
      <c r="E243" s="141">
        <f t="shared" ref="E243:K243" si="62">SUM(C241:E241)</f>
        <v>19.34</v>
      </c>
      <c r="F243" s="141">
        <f t="shared" si="62"/>
        <v>15.9</v>
      </c>
      <c r="G243" s="141">
        <f t="shared" si="62"/>
        <v>15.49</v>
      </c>
      <c r="H243" s="141">
        <f t="shared" si="62"/>
        <v>17.420000000000002</v>
      </c>
      <c r="I243" s="141">
        <f t="shared" si="62"/>
        <v>22.96</v>
      </c>
      <c r="J243" s="141">
        <f t="shared" si="62"/>
        <v>24.51</v>
      </c>
      <c r="K243" s="141">
        <f t="shared" si="62"/>
        <v>24.85</v>
      </c>
      <c r="L243" s="141"/>
      <c r="M243" s="136">
        <f t="shared" si="54"/>
        <v>15.739999999999998</v>
      </c>
      <c r="N243" s="32">
        <f t="shared" si="55"/>
        <v>24.194000000000003</v>
      </c>
      <c r="O243" s="32">
        <f t="shared" si="56"/>
        <v>24.106666666666666</v>
      </c>
    </row>
    <row r="244" spans="1:15" s="18" customFormat="1">
      <c r="A244" s="147" t="s">
        <v>153</v>
      </c>
      <c r="B244" s="141"/>
      <c r="C244" s="141"/>
      <c r="D244" s="141">
        <f>SUM(B242:D242)</f>
        <v>19.55</v>
      </c>
      <c r="E244" s="141">
        <f t="shared" ref="E244:K244" si="63">SUM(C242:E242)</f>
        <v>18.64</v>
      </c>
      <c r="F244" s="141">
        <f t="shared" si="63"/>
        <v>19.73</v>
      </c>
      <c r="G244" s="141">
        <f t="shared" si="63"/>
        <v>13.26</v>
      </c>
      <c r="H244" s="141">
        <f t="shared" si="63"/>
        <v>17.119999999999997</v>
      </c>
      <c r="I244" s="141">
        <f t="shared" si="63"/>
        <v>22.4</v>
      </c>
      <c r="J244" s="141">
        <f t="shared" si="63"/>
        <v>20.84</v>
      </c>
      <c r="K244" s="141">
        <f t="shared" si="63"/>
        <v>17.190000000000001</v>
      </c>
      <c r="L244" s="141"/>
      <c r="M244" s="136">
        <f t="shared" si="54"/>
        <v>14.873000000000001</v>
      </c>
      <c r="N244" s="32">
        <f t="shared" si="55"/>
        <v>21.136599999999998</v>
      </c>
      <c r="O244" s="32">
        <f t="shared" si="56"/>
        <v>20.143333333333331</v>
      </c>
    </row>
    <row r="245" spans="1:15" s="18" customFormat="1">
      <c r="A245" s="147" t="s">
        <v>157</v>
      </c>
      <c r="B245" s="141"/>
      <c r="C245" s="141"/>
      <c r="D245" s="141"/>
      <c r="E245" s="141"/>
      <c r="F245" s="141">
        <f>SUM(B241:F241)</f>
        <v>26.92</v>
      </c>
      <c r="G245" s="141">
        <f t="shared" ref="G245:K245" si="64">SUM(C241:G241)</f>
        <v>28.78</v>
      </c>
      <c r="H245" s="141">
        <f t="shared" si="64"/>
        <v>29.38</v>
      </c>
      <c r="I245" s="141">
        <f t="shared" si="64"/>
        <v>32.950000000000003</v>
      </c>
      <c r="J245" s="141">
        <f t="shared" si="64"/>
        <v>33.950000000000003</v>
      </c>
      <c r="K245" s="141">
        <f t="shared" si="64"/>
        <v>38.33</v>
      </c>
      <c r="L245" s="141"/>
      <c r="M245" s="136">
        <f t="shared" si="54"/>
        <v>19.030999999999999</v>
      </c>
      <c r="N245" s="32">
        <f t="shared" si="55"/>
        <v>36.484200000000001</v>
      </c>
      <c r="O245" s="32">
        <f t="shared" si="56"/>
        <v>35.076666666666668</v>
      </c>
    </row>
    <row r="246" spans="1:15" s="18" customFormat="1">
      <c r="A246" s="147" t="s">
        <v>158</v>
      </c>
      <c r="B246" s="141"/>
      <c r="C246" s="141"/>
      <c r="D246" s="141"/>
      <c r="E246" s="141"/>
      <c r="F246" s="141">
        <f>SUM(B242:F242)</f>
        <v>29.869999999999997</v>
      </c>
      <c r="G246" s="141">
        <f t="shared" ref="G246:K246" si="65">SUM(C242:G242)</f>
        <v>28.930000000000003</v>
      </c>
      <c r="H246" s="141">
        <f t="shared" si="65"/>
        <v>29.5</v>
      </c>
      <c r="I246" s="141">
        <f t="shared" si="65"/>
        <v>32.72</v>
      </c>
      <c r="J246" s="141">
        <f t="shared" si="65"/>
        <v>31.13</v>
      </c>
      <c r="K246" s="141">
        <f t="shared" si="65"/>
        <v>26.959999999999997</v>
      </c>
      <c r="L246" s="141"/>
      <c r="M246" s="136">
        <f t="shared" si="54"/>
        <v>17.911000000000001</v>
      </c>
      <c r="N246" s="32">
        <f t="shared" si="55"/>
        <v>33.430199999999999</v>
      </c>
      <c r="O246" s="32">
        <f t="shared" si="56"/>
        <v>30.269999999999996</v>
      </c>
    </row>
    <row r="247" spans="1:15" s="18" customFormat="1" hidden="1">
      <c r="A247" s="147" t="s">
        <v>219</v>
      </c>
      <c r="B247" s="45">
        <f>('Data Sheet'!B17-'Data Sheet'!B18+'Data Sheet'!B19)/'Data Sheet'!B17</f>
        <v>0.65184453227931483</v>
      </c>
      <c r="C247" s="45">
        <f>('Data Sheet'!C17-'Data Sheet'!C18+'Data Sheet'!C19)/'Data Sheet'!C17</f>
        <v>0.66080600553141045</v>
      </c>
      <c r="D247" s="45">
        <f>('Data Sheet'!D17-'Data Sheet'!D18+'Data Sheet'!D19)/'Data Sheet'!D17</f>
        <v>0.69273984442523773</v>
      </c>
      <c r="E247" s="45">
        <f>('Data Sheet'!E17-'Data Sheet'!E18+'Data Sheet'!E19)/'Data Sheet'!E17</f>
        <v>0.6716878402903812</v>
      </c>
      <c r="F247" s="45">
        <f>('Data Sheet'!F17-'Data Sheet'!F18+'Data Sheet'!F19)/'Data Sheet'!F17</f>
        <v>0.59523809523809512</v>
      </c>
      <c r="G247" s="45">
        <f>('Data Sheet'!G17-'Data Sheet'!G18+'Data Sheet'!G19)/'Data Sheet'!G17</f>
        <v>0.58789037603569161</v>
      </c>
      <c r="H247" s="45">
        <f>('Data Sheet'!H17-'Data Sheet'!H18+'Data Sheet'!H19)/'Data Sheet'!H17</f>
        <v>0.58027191206248185</v>
      </c>
      <c r="I247" s="45">
        <f>('Data Sheet'!I17-'Data Sheet'!I18+'Data Sheet'!I19)/'Data Sheet'!I17</f>
        <v>0.60931191478395319</v>
      </c>
      <c r="J247" s="45">
        <f>('Data Sheet'!J17-'Data Sheet'!J18+'Data Sheet'!J19)/'Data Sheet'!J17</f>
        <v>0.62789860290940513</v>
      </c>
      <c r="K247" s="45">
        <f>('Data Sheet'!K17-'Data Sheet'!K18+'Data Sheet'!K19)/'Data Sheet'!K17</f>
        <v>0.65257586450246996</v>
      </c>
      <c r="L247" s="45"/>
      <c r="M247" s="136">
        <f t="shared" si="54"/>
        <v>0.5017614450247716</v>
      </c>
      <c r="N247" s="32">
        <f t="shared" si="55"/>
        <v>0.71194202306375476</v>
      </c>
      <c r="O247" s="32">
        <f t="shared" si="56"/>
        <v>0.62992879406527613</v>
      </c>
    </row>
    <row r="248" spans="1:15" s="18" customFormat="1" hidden="1">
      <c r="A248" s="147" t="s">
        <v>272</v>
      </c>
      <c r="B248" s="45">
        <f>B88/'Data Sheet'!B17</f>
        <v>0.172266139657444</v>
      </c>
      <c r="C248" s="45">
        <f>C88/'Data Sheet'!C17</f>
        <v>0.21928091663374163</v>
      </c>
      <c r="D248" s="45">
        <f>D88/'Data Sheet'!D17</f>
        <v>0.17545375972342267</v>
      </c>
      <c r="E248" s="45">
        <f>E88/'Data Sheet'!E17</f>
        <v>0.15934664246823957</v>
      </c>
      <c r="F248" s="45">
        <f>F88/'Data Sheet'!F17</f>
        <v>0.10987773487773489</v>
      </c>
      <c r="G248" s="45">
        <f>G88/'Data Sheet'!G17</f>
        <v>0.12262587635436582</v>
      </c>
      <c r="H248" s="45">
        <f>H88/'Data Sheet'!H17</f>
        <v>0.13431684504869348</v>
      </c>
      <c r="I248" s="45">
        <f>I88/'Data Sheet'!I17</f>
        <v>0.15067434069238037</v>
      </c>
      <c r="J248" s="45">
        <f>J88/'Data Sheet'!J17</f>
        <v>0.10579000432089875</v>
      </c>
      <c r="K248" s="45">
        <f>K88/'Data Sheet'!K17</f>
        <v>0.11510232886379676</v>
      </c>
      <c r="L248" s="45"/>
      <c r="M248" s="136">
        <f t="shared" si="54"/>
        <v>0.10731875323495321</v>
      </c>
      <c r="N248" s="32">
        <f t="shared" si="55"/>
        <v>0.14716562970301766</v>
      </c>
      <c r="O248" s="32">
        <f t="shared" si="56"/>
        <v>0.12385555795902529</v>
      </c>
    </row>
    <row r="249" spans="1:15" s="18" customFormat="1" hidden="1">
      <c r="A249" s="147" t="s">
        <v>273</v>
      </c>
      <c r="B249" s="45">
        <f>B89/'Data Sheet'!B17</f>
        <v>0.21673254281949936</v>
      </c>
      <c r="C249" s="45">
        <f>C89/'Data Sheet'!C17</f>
        <v>0.2607664954563414</v>
      </c>
      <c r="D249" s="45">
        <f>D89/'Data Sheet'!D17</f>
        <v>0.232713915298185</v>
      </c>
      <c r="E249" s="45">
        <f>E89/'Data Sheet'!E17</f>
        <v>0.21125226860254084</v>
      </c>
      <c r="F249" s="45">
        <f>F89/'Data Sheet'!F17</f>
        <v>0.16328828828828831</v>
      </c>
      <c r="G249" s="45">
        <f>G89/'Data Sheet'!G17</f>
        <v>0.17093690248565965</v>
      </c>
      <c r="H249" s="45">
        <f>H89/'Data Sheet'!H17</f>
        <v>0.17481438626940507</v>
      </c>
      <c r="I249" s="45">
        <f>I89/'Data Sheet'!I17</f>
        <v>0.18151361566875698</v>
      </c>
      <c r="J249" s="45">
        <f>J89/'Data Sheet'!J17</f>
        <v>0.13884487973498488</v>
      </c>
      <c r="K249" s="45">
        <f>K89/'Data Sheet'!K17</f>
        <v>0.14918842625264644</v>
      </c>
      <c r="L249" s="45"/>
      <c r="M249" s="136">
        <f t="shared" si="54"/>
        <v>0.1422552682600467</v>
      </c>
      <c r="N249" s="32">
        <f t="shared" si="55"/>
        <v>0.19151069573429993</v>
      </c>
      <c r="O249" s="32">
        <f t="shared" si="56"/>
        <v>0.15651564055212944</v>
      </c>
    </row>
    <row r="250" spans="1:15" s="18" customFormat="1" hidden="1">
      <c r="A250" s="147" t="s">
        <v>372</v>
      </c>
      <c r="B250" s="45">
        <f>'Data Sheet'!B82/'Data Sheet'!B17</f>
        <v>0.12779973649538867</v>
      </c>
      <c r="C250" s="45">
        <f>'Data Sheet'!C82/'Data Sheet'!C17</f>
        <v>0.12366653496641644</v>
      </c>
      <c r="D250" s="45">
        <f>'Data Sheet'!D82/'Data Sheet'!D17</f>
        <v>0.2033275713050994</v>
      </c>
      <c r="E250" s="45">
        <f>'Data Sheet'!E82/'Data Sheet'!E17</f>
        <v>5.390199637023594E-2</v>
      </c>
      <c r="F250" s="45">
        <f>'Data Sheet'!F82/'Data Sheet'!F17</f>
        <v>0.11824324324324324</v>
      </c>
      <c r="G250" s="45">
        <f>'Data Sheet'!G82/'Data Sheet'!G17</f>
        <v>3.7476099426386231E-2</v>
      </c>
      <c r="H250" s="45">
        <f>'Data Sheet'!H82/'Data Sheet'!H17</f>
        <v>6.5856715842252445E-2</v>
      </c>
      <c r="I250" s="45">
        <f>'Data Sheet'!I82/'Data Sheet'!I17</f>
        <v>0.10849583369126364</v>
      </c>
      <c r="J250" s="45">
        <f>'Data Sheet'!J82/'Data Sheet'!J17</f>
        <v>9.9380671179605338E-3</v>
      </c>
      <c r="K250" s="45">
        <f>'Data Sheet'!K82/'Data Sheet'!K17</f>
        <v>2.2441778405081159E-2</v>
      </c>
      <c r="L250" s="45"/>
      <c r="M250" s="136">
        <f t="shared" si="54"/>
        <v>6.1968130540152266E-2</v>
      </c>
      <c r="N250" s="32">
        <f t="shared" si="55"/>
        <v>6.1235325004619257E-2</v>
      </c>
      <c r="O250" s="32">
        <f t="shared" si="56"/>
        <v>4.6958559738101778E-2</v>
      </c>
    </row>
    <row r="251" spans="1:15" hidden="1">
      <c r="A251" s="41" t="s">
        <v>274</v>
      </c>
      <c r="B251" s="34">
        <f>'Profit &amp; Loss'!B7/'Profit &amp; Loss'!B4</f>
        <v>1.1857707509881422E-2</v>
      </c>
      <c r="C251" s="34">
        <f>'Profit &amp; Loss'!C7/'Profit &amp; Loss'!C4</f>
        <v>6.7167127617542479E-3</v>
      </c>
      <c r="D251" s="34">
        <f>'Profit &amp; Loss'!D7/'Profit &amp; Loss'!D4</f>
        <v>1.2316335350043214E-2</v>
      </c>
      <c r="E251" s="34">
        <f>'Profit &amp; Loss'!E7/'Profit &amp; Loss'!E4</f>
        <v>6.7150635208711434E-3</v>
      </c>
      <c r="F251" s="34">
        <f>'Profit &amp; Loss'!F7/'Profit &amp; Loss'!F4</f>
        <v>1.4317889317889319E-2</v>
      </c>
      <c r="G251" s="34">
        <f>'Profit &amp; Loss'!G7/'Profit &amp; Loss'!G4</f>
        <v>1.0325047801147227E-2</v>
      </c>
      <c r="H251" s="34">
        <f>'Profit &amp; Loss'!H7/'Profit &amp; Loss'!H4</f>
        <v>7.4245492237971274E-3</v>
      </c>
      <c r="I251" s="34">
        <f>'Profit &amp; Loss'!I7/'Profit &amp; Loss'!I4</f>
        <v>9.6211665664461821E-3</v>
      </c>
      <c r="J251" s="34">
        <f>'Profit &amp; Loss'!J7/'Profit &amp; Loss'!J4</f>
        <v>1.6203370301022611E-2</v>
      </c>
      <c r="K251" s="34">
        <f>'Profit &amp; Loss'!K7/'Profit &amp; Loss'!K4</f>
        <v>1.8630910374029641E-2</v>
      </c>
      <c r="L251" s="34"/>
      <c r="M251" s="136">
        <f t="shared" si="54"/>
        <v>9.5554332455246478E-3</v>
      </c>
      <c r="N251" s="32">
        <f t="shared" si="55"/>
        <v>1.4352095502393487E-2</v>
      </c>
      <c r="O251" s="32">
        <f t="shared" si="56"/>
        <v>1.4818482413832811E-2</v>
      </c>
    </row>
    <row r="252" spans="1:15" hidden="1">
      <c r="A252" s="41" t="s">
        <v>234</v>
      </c>
      <c r="B252" s="34">
        <f>('Data Sheet'!B20+'Data Sheet'!B21+'Data Sheet'!B22)/'Data Sheet'!B17</f>
        <v>0.2196969696969697</v>
      </c>
      <c r="C252" s="34">
        <f>('Data Sheet'!C20+'Data Sheet'!C21+'Data Sheet'!C22)/'Data Sheet'!C17</f>
        <v>0.21651521137890162</v>
      </c>
      <c r="D252" s="34">
        <f>('Data Sheet'!D20+'Data Sheet'!D21+'Data Sheet'!D22)/'Data Sheet'!D17</f>
        <v>0.26296456352636122</v>
      </c>
      <c r="E252" s="34">
        <f>('Data Sheet'!E20+'Data Sheet'!E21+'Data Sheet'!E22)/'Data Sheet'!E17</f>
        <v>0.26388384754990923</v>
      </c>
      <c r="F252" s="34">
        <f>('Data Sheet'!F20+'Data Sheet'!F21+'Data Sheet'!F22)/'Data Sheet'!F17</f>
        <v>0.25016087516087521</v>
      </c>
      <c r="G252" s="34">
        <f>('Data Sheet'!G20+'Data Sheet'!G21+'Data Sheet'!G22)/'Data Sheet'!G17</f>
        <v>0.24333970681963032</v>
      </c>
      <c r="H252" s="34">
        <f>('Data Sheet'!H20+'Data Sheet'!H21+'Data Sheet'!H22)/'Data Sheet'!H17</f>
        <v>0.240381833960081</v>
      </c>
      <c r="I252" s="34">
        <f>('Data Sheet'!I20+'Data Sheet'!I21+'Data Sheet'!I22)/'Data Sheet'!I17</f>
        <v>0.22188815393866509</v>
      </c>
      <c r="J252" s="34">
        <f>('Data Sheet'!J20+'Data Sheet'!J21+'Data Sheet'!J22)/'Data Sheet'!J17</f>
        <v>0.22684718421431654</v>
      </c>
      <c r="K252" s="34">
        <f>('Data Sheet'!K20+'Data Sheet'!K21+'Data Sheet'!K22)/'Data Sheet'!K17</f>
        <v>0.24262526464361331</v>
      </c>
      <c r="L252" s="34"/>
      <c r="M252" s="136">
        <f t="shared" si="54"/>
        <v>0.19520914298134517</v>
      </c>
      <c r="N252" s="32">
        <f t="shared" si="55"/>
        <v>0.27405825731153033</v>
      </c>
      <c r="O252" s="32">
        <f t="shared" si="56"/>
        <v>0.23045353426553164</v>
      </c>
    </row>
    <row r="253" spans="1:15" hidden="1">
      <c r="A253" s="41" t="s">
        <v>220</v>
      </c>
      <c r="B253" s="34">
        <f>('Data Sheet'!B23+'Data Sheet'!B24)/'Data Sheet'!B17</f>
        <v>0.21541501976284586</v>
      </c>
      <c r="C253" s="34">
        <f>('Data Sheet'!C23+'Data Sheet'!C24)/'Data Sheet'!C17</f>
        <v>0.18352429869616751</v>
      </c>
      <c r="D253" s="34">
        <f>('Data Sheet'!D23+'Data Sheet'!D24)/'Data Sheet'!D17</f>
        <v>0.19706136560069146</v>
      </c>
      <c r="E253" s="34">
        <f>('Data Sheet'!E23+'Data Sheet'!E24)/'Data Sheet'!E17</f>
        <v>0.19655172413793104</v>
      </c>
      <c r="F253" s="34">
        <f>('Data Sheet'!F23+'Data Sheet'!F24)/'Data Sheet'!F17</f>
        <v>0.18178893178893177</v>
      </c>
      <c r="G253" s="34">
        <f>('Data Sheet'!G23+'Data Sheet'!G24)/'Data Sheet'!G17</f>
        <v>0.1737412364563416</v>
      </c>
      <c r="H253" s="34">
        <f>('Data Sheet'!H23+'Data Sheet'!H24)/'Data Sheet'!H17</f>
        <v>0.16507569183299586</v>
      </c>
      <c r="I253" s="34">
        <f>('Data Sheet'!I23+'Data Sheet'!I24)/'Data Sheet'!I17</f>
        <v>0.20591014517653125</v>
      </c>
      <c r="J253" s="34">
        <f>('Data Sheet'!J23+'Data Sheet'!J24)/'Data Sheet'!J17</f>
        <v>0.26213452398098802</v>
      </c>
      <c r="K253" s="34">
        <f>('Data Sheet'!K23+'Data Sheet'!K24)/'Data Sheet'!K17</f>
        <v>0.26069160197600566</v>
      </c>
      <c r="L253" s="34"/>
      <c r="M253" s="136">
        <f t="shared" si="54"/>
        <v>0.16429552209504167</v>
      </c>
      <c r="N253" s="32">
        <f t="shared" si="55"/>
        <v>0.24636974430358083</v>
      </c>
      <c r="O253" s="32">
        <f t="shared" si="56"/>
        <v>0.24291209037784167</v>
      </c>
    </row>
    <row r="254" spans="1:15" hidden="1">
      <c r="A254" s="41" t="s">
        <v>18</v>
      </c>
      <c r="B254" s="34">
        <f>'Profit &amp; Loss'!B19</f>
        <v>0.2167325428194993</v>
      </c>
      <c r="C254" s="34">
        <f>'Profit &amp; Loss'!C19</f>
        <v>0.26076649545634129</v>
      </c>
      <c r="D254" s="34">
        <f>'Profit &amp; Loss'!D19</f>
        <v>0.23271391529818503</v>
      </c>
      <c r="E254" s="34">
        <f>'Profit &amp; Loss'!E19</f>
        <v>0.21125226860254098</v>
      </c>
      <c r="F254" s="34">
        <f>'Profit &amp; Loss'!F19</f>
        <v>0.16328828828828815</v>
      </c>
      <c r="G254" s="34">
        <f>'Profit &amp; Loss'!G19</f>
        <v>0.17080943275971963</v>
      </c>
      <c r="H254" s="34">
        <f>'Profit &amp; Loss'!H19</f>
        <v>0.1748143862694049</v>
      </c>
      <c r="I254" s="34">
        <f>'Profit &amp; Loss'!I19</f>
        <v>0.18151361566875696</v>
      </c>
      <c r="J254" s="34">
        <f>'Profit &amp; Loss'!J19</f>
        <v>0.13891689471410068</v>
      </c>
      <c r="K254" s="34">
        <f>'Profit &amp; Loss'!K19</f>
        <v>0.14925899788285094</v>
      </c>
      <c r="L254" s="34"/>
      <c r="M254" s="136">
        <f t="shared" si="54"/>
        <v>0.14225677994838473</v>
      </c>
      <c r="N254" s="32">
        <f t="shared" si="55"/>
        <v>0.19151402144864355</v>
      </c>
      <c r="O254" s="32">
        <f t="shared" si="56"/>
        <v>0.15656316942190285</v>
      </c>
    </row>
    <row r="255" spans="1:15" hidden="1">
      <c r="A255" s="41" t="s">
        <v>134</v>
      </c>
      <c r="B255" s="34">
        <f>B64</f>
        <v>0.11989459815546773</v>
      </c>
      <c r="C255" s="34">
        <f t="shared" ref="C255:K255" si="66">C64</f>
        <v>0.1457921770051363</v>
      </c>
      <c r="D255" s="34">
        <f t="shared" si="66"/>
        <v>0.12770095073465859</v>
      </c>
      <c r="E255" s="34">
        <f t="shared" si="66"/>
        <v>0.10980036297640652</v>
      </c>
      <c r="F255" s="34">
        <f t="shared" si="66"/>
        <v>6.3384813384813388E-2</v>
      </c>
      <c r="G255" s="34">
        <f t="shared" si="66"/>
        <v>7.0108349267049078E-2</v>
      </c>
      <c r="H255" s="34">
        <f t="shared" si="66"/>
        <v>7.6945328319352052E-2</v>
      </c>
      <c r="I255" s="34">
        <f t="shared" si="66"/>
        <v>8.1436302723133763E-2</v>
      </c>
      <c r="J255" s="34">
        <f t="shared" si="66"/>
        <v>5.0770560276537514E-2</v>
      </c>
      <c r="K255" s="34">
        <f t="shared" si="66"/>
        <v>5.8715596330275233E-2</v>
      </c>
      <c r="L255" s="34"/>
      <c r="M255" s="136">
        <f t="shared" si="54"/>
        <v>6.3886226401222601E-2</v>
      </c>
      <c r="N255" s="32">
        <f t="shared" si="55"/>
        <v>8.037247266351405E-2</v>
      </c>
      <c r="O255" s="32">
        <f t="shared" si="56"/>
        <v>6.364081977664883E-2</v>
      </c>
    </row>
    <row r="256" spans="1:15" hidden="1">
      <c r="A256" s="41" t="s">
        <v>235</v>
      </c>
      <c r="B256" s="34">
        <f>('Data Sheet'!B17-'Data Sheet'!B18+'Data Sheet'!B19)/'Data Sheet'!B61</f>
        <v>0.63818123186069009</v>
      </c>
      <c r="C256" s="34">
        <f>('Data Sheet'!C17-'Data Sheet'!C18+'Data Sheet'!C19)/'Data Sheet'!C61</f>
        <v>0.85549872122762138</v>
      </c>
      <c r="D256" s="34">
        <f>('Data Sheet'!D17-'Data Sheet'!D18+'Data Sheet'!D19)/'Data Sheet'!D61</f>
        <v>0.74041570438799087</v>
      </c>
      <c r="E256" s="34">
        <f>('Data Sheet'!E17-'Data Sheet'!E18+'Data Sheet'!E19)/'Data Sheet'!E61</f>
        <v>0.66744815148782688</v>
      </c>
      <c r="F256" s="34">
        <f>('Data Sheet'!F17-'Data Sheet'!F18+'Data Sheet'!F19)/'Data Sheet'!F61</f>
        <v>0.63683304647160055</v>
      </c>
      <c r="G256" s="34">
        <f>('Data Sheet'!G17-'Data Sheet'!G18+'Data Sheet'!G19)/'Data Sheet'!G61</f>
        <v>0.60453532573076418</v>
      </c>
      <c r="H256" s="34">
        <f>('Data Sheet'!H17-'Data Sheet'!H18+'Data Sheet'!H19)/'Data Sheet'!H61</f>
        <v>0.62137325761486828</v>
      </c>
      <c r="I256" s="34">
        <f>('Data Sheet'!I17-'Data Sheet'!I18+'Data Sheet'!I19)/'Data Sheet'!I61</f>
        <v>0.57503040129712202</v>
      </c>
      <c r="J256" s="34">
        <f>('Data Sheet'!J17-'Data Sheet'!J18+'Data Sheet'!J19)/'Data Sheet'!J61</f>
        <v>0.52482995244687902</v>
      </c>
      <c r="K256" s="34">
        <f>('Data Sheet'!K17-'Data Sheet'!K18+'Data Sheet'!K19)/'Data Sheet'!K61</f>
        <v>0.51091220509420399</v>
      </c>
      <c r="L256" s="34"/>
      <c r="M256" s="136">
        <f t="shared" si="54"/>
        <v>0.4881378044531256</v>
      </c>
      <c r="N256" s="32">
        <f t="shared" si="55"/>
        <v>0.66496378932739264</v>
      </c>
      <c r="O256" s="32">
        <f t="shared" si="56"/>
        <v>0.53692418627940164</v>
      </c>
    </row>
    <row r="257" spans="1:15" hidden="1">
      <c r="A257" s="41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136">
        <f t="shared" si="54"/>
        <v>0</v>
      </c>
      <c r="N257" s="32">
        <f t="shared" si="55"/>
        <v>0</v>
      </c>
      <c r="O257" s="32">
        <f t="shared" si="56"/>
        <v>0</v>
      </c>
    </row>
    <row r="258" spans="1:15" hidden="1">
      <c r="A258" s="41" t="s">
        <v>226</v>
      </c>
      <c r="B258" s="34">
        <f>B86/'Data Sheet'!B61</f>
        <v>0.34504998387616892</v>
      </c>
      <c r="C258" s="34">
        <f>C86/'Data Sheet'!C61</f>
        <v>0.34168797953964197</v>
      </c>
      <c r="D258" s="34">
        <f>D86/'Data Sheet'!D61</f>
        <v>0.27136258660508089</v>
      </c>
      <c r="E258" s="34">
        <f>E86/'Data Sheet'!E61</f>
        <v>0.3859332732191163</v>
      </c>
      <c r="F258" s="34">
        <f>F86/'Data Sheet'!F61</f>
        <v>0.42237521514629944</v>
      </c>
      <c r="G258" s="34">
        <f>G86/'Data Sheet'!G61</f>
        <v>0.37672040896578846</v>
      </c>
      <c r="H258" s="34">
        <f>H86/'Data Sheet'!H61</f>
        <v>0.40268456375838929</v>
      </c>
      <c r="I258" s="34">
        <f>I86/'Data Sheet'!I61</f>
        <v>0.42002432103769766</v>
      </c>
      <c r="J258" s="34">
        <f>J86/'Data Sheet'!J61</f>
        <v>0.45073135496298078</v>
      </c>
      <c r="K258" s="34">
        <f>K86/'Data Sheet'!K61</f>
        <v>0.4946129620421017</v>
      </c>
      <c r="L258" s="34"/>
      <c r="M258" s="136">
        <f t="shared" si="54"/>
        <v>0.32244446857374542</v>
      </c>
      <c r="N258" s="32">
        <f t="shared" si="55"/>
        <v>0.49344361586814067</v>
      </c>
      <c r="O258" s="32">
        <f t="shared" si="56"/>
        <v>0.45512287934759338</v>
      </c>
    </row>
    <row r="259" spans="1:15" hidden="1">
      <c r="A259" s="41" t="s">
        <v>227</v>
      </c>
      <c r="B259" s="34">
        <f>B87/'Data Sheet'!B61</f>
        <v>0.31538213479522731</v>
      </c>
      <c r="C259" s="34">
        <f>C87/'Data Sheet'!C61</f>
        <v>0.31918158567774935</v>
      </c>
      <c r="D259" s="34">
        <f>D87/'Data Sheet'!D61</f>
        <v>0.24757505773672062</v>
      </c>
      <c r="E259" s="34">
        <f>E87/'Data Sheet'!E61</f>
        <v>0.36627592425608652</v>
      </c>
      <c r="F259" s="34">
        <f>F87/'Data Sheet'!F61</f>
        <v>0.39690189328743541</v>
      </c>
      <c r="G259" s="34">
        <f>G87/'Data Sheet'!G61</f>
        <v>0.3523397561934723</v>
      </c>
      <c r="H259" s="34">
        <f>H87/'Data Sheet'!H61</f>
        <v>0.38162106350025815</v>
      </c>
      <c r="I259" s="34">
        <f>I87/'Data Sheet'!I61</f>
        <v>0.37859748682610461</v>
      </c>
      <c r="J259" s="34">
        <f>J87/'Data Sheet'!J61</f>
        <v>0.29928369349304762</v>
      </c>
      <c r="K259" s="34">
        <f>K87/'Data Sheet'!K61</f>
        <v>0.38488314271506707</v>
      </c>
      <c r="L259" s="34"/>
      <c r="M259" s="136">
        <f t="shared" si="54"/>
        <v>0.28074780180081926</v>
      </c>
      <c r="N259" s="32">
        <f t="shared" si="55"/>
        <v>0.41549458890575386</v>
      </c>
      <c r="O259" s="32">
        <f t="shared" si="56"/>
        <v>0.35425477434473979</v>
      </c>
    </row>
    <row r="260" spans="1:15" hidden="1">
      <c r="A260" s="41" t="s">
        <v>228</v>
      </c>
      <c r="B260" s="34">
        <f>B470/'Data Sheet'!B61</f>
        <v>9.2228313447275084E-2</v>
      </c>
      <c r="C260" s="34">
        <f>C470/'Data Sheet'!C61</f>
        <v>0.16035805626598465</v>
      </c>
      <c r="D260" s="34">
        <f>D470/'Data Sheet'!D61</f>
        <v>0.10923787528868362</v>
      </c>
      <c r="E260" s="34">
        <f>E470/'Data Sheet'!E61</f>
        <v>8.7646528403967527E-2</v>
      </c>
      <c r="F260" s="34">
        <f>F470/'Data Sheet'!F61</f>
        <v>4.7332185886402756E-2</v>
      </c>
      <c r="G260" s="34">
        <f>G470/'Data Sheet'!G61</f>
        <v>5.2824747673351685E-2</v>
      </c>
      <c r="H260" s="34">
        <f>H470/'Data Sheet'!H61</f>
        <v>6.3810015487867841E-2</v>
      </c>
      <c r="I260" s="34">
        <f>I470/'Data Sheet'!I61</f>
        <v>6.1775435751925421E-2</v>
      </c>
      <c r="J260" s="34">
        <f>J470/'Data Sheet'!J61</f>
        <v>2.6846445554686089E-2</v>
      </c>
      <c r="K260" s="34">
        <f>K470/'Data Sheet'!K61</f>
        <v>4.5969390574064864E-2</v>
      </c>
      <c r="L260" s="34"/>
      <c r="M260" s="136">
        <f t="shared" si="54"/>
        <v>4.9544262462094972E-2</v>
      </c>
      <c r="N260" s="32">
        <f t="shared" si="55"/>
        <v>6.0154059500798177E-2</v>
      </c>
      <c r="O260" s="32">
        <f t="shared" si="56"/>
        <v>4.4863757293558792E-2</v>
      </c>
    </row>
    <row r="261" spans="1:15" hidden="1">
      <c r="A261" s="41" t="s">
        <v>221</v>
      </c>
      <c r="B261" s="34">
        <f>B88/'Data Sheet'!B61</f>
        <v>0.16865527249274426</v>
      </c>
      <c r="C261" s="34">
        <f>C88/'Data Sheet'!C61</f>
        <v>0.28388746803069054</v>
      </c>
      <c r="D261" s="34">
        <f>D88/'Data Sheet'!D61</f>
        <v>0.18752886836027718</v>
      </c>
      <c r="E261" s="34">
        <f>E88/'Data Sheet'!E61</f>
        <v>0.15834084761045988</v>
      </c>
      <c r="F261" s="34">
        <f>F88/'Data Sheet'!F61</f>
        <v>0.11755593803786575</v>
      </c>
      <c r="G261" s="34">
        <f>G88/'Data Sheet'!G61</f>
        <v>0.12609778476864594</v>
      </c>
      <c r="H261" s="34">
        <f>H88/'Data Sheet'!H61</f>
        <v>0.14383066597831698</v>
      </c>
      <c r="I261" s="34">
        <f>I88/'Data Sheet'!I61</f>
        <v>0.14219700040535063</v>
      </c>
      <c r="J261" s="34">
        <f>J88/'Data Sheet'!J61</f>
        <v>8.8424727622945898E-2</v>
      </c>
      <c r="K261" s="34">
        <f>K88/'Data Sheet'!K61</f>
        <v>9.0115475993148786E-2</v>
      </c>
      <c r="L261" s="34"/>
      <c r="M261" s="136">
        <f t="shared" si="54"/>
        <v>0.10540913087770112</v>
      </c>
      <c r="N261" s="32">
        <f t="shared" si="55"/>
        <v>0.13921495712922188</v>
      </c>
      <c r="O261" s="32">
        <f t="shared" si="56"/>
        <v>0.10691240134048179</v>
      </c>
    </row>
    <row r="262" spans="1:15" hidden="1">
      <c r="A262" s="41" t="s">
        <v>223</v>
      </c>
      <c r="B262" s="34">
        <f>'Data Sheet'!B82/'Data Sheet'!B61</f>
        <v>0.12512092873266686</v>
      </c>
      <c r="C262" s="34">
        <f>'Data Sheet'!C82/'Data Sheet'!C61</f>
        <v>0.16010230179028132</v>
      </c>
      <c r="D262" s="34">
        <f>'Data Sheet'!D82/'Data Sheet'!D61</f>
        <v>0.21732101616628177</v>
      </c>
      <c r="E262" s="34">
        <f>'Data Sheet'!E82/'Data Sheet'!E61</f>
        <v>5.3561767357980163E-2</v>
      </c>
      <c r="F262" s="34">
        <f>'Data Sheet'!F82/'Data Sheet'!F61</f>
        <v>0.12650602409638553</v>
      </c>
      <c r="G262" s="34">
        <f>'Data Sheet'!G82/'Data Sheet'!G61</f>
        <v>3.8537160833661023E-2</v>
      </c>
      <c r="H262" s="34">
        <f>'Data Sheet'!H82/'Data Sheet'!H61</f>
        <v>7.0521424883841E-2</v>
      </c>
      <c r="I262" s="34">
        <f>'Data Sheet'!I82/'Data Sheet'!I61</f>
        <v>0.1023915687069315</v>
      </c>
      <c r="J262" s="34">
        <f>'Data Sheet'!J82/'Data Sheet'!J61</f>
        <v>8.3067477276831392E-3</v>
      </c>
      <c r="K262" s="34">
        <f>'Data Sheet'!K82/'Data Sheet'!K61</f>
        <v>1.7570031493452678E-2</v>
      </c>
      <c r="L262" s="34"/>
      <c r="M262" s="136">
        <f t="shared" si="54"/>
        <v>6.3471574126621674E-2</v>
      </c>
      <c r="N262" s="32">
        <f t="shared" si="55"/>
        <v>6.0159701554438207E-2</v>
      </c>
      <c r="O262" s="32">
        <f t="shared" si="56"/>
        <v>4.2756115976022441E-2</v>
      </c>
    </row>
    <row r="263" spans="1:15" hidden="1">
      <c r="A263" s="41" t="s">
        <v>222</v>
      </c>
      <c r="B263" s="34">
        <f>'Data Sheet'!B17/'Data Sheet'!B61</f>
        <v>0.97903901967107376</v>
      </c>
      <c r="C263" s="34">
        <f>'Data Sheet'!C17/'Data Sheet'!C61</f>
        <v>1.2946291560102301</v>
      </c>
      <c r="D263" s="34">
        <f>'Data Sheet'!D17/'Data Sheet'!D61</f>
        <v>1.0688221709006929</v>
      </c>
      <c r="E263" s="34">
        <f>'Data Sheet'!E17/'Data Sheet'!E61</f>
        <v>0.99368800721370598</v>
      </c>
      <c r="F263" s="34">
        <f>'Data Sheet'!F17/'Data Sheet'!F61</f>
        <v>1.0698795180722891</v>
      </c>
      <c r="G263" s="34">
        <f>'Data Sheet'!G17/'Data Sheet'!G61</f>
        <v>1.0283130161226897</v>
      </c>
      <c r="H263" s="34">
        <f>'Data Sheet'!H17/'Data Sheet'!H61</f>
        <v>1.0708311822405783</v>
      </c>
      <c r="I263" s="34">
        <f>'Data Sheet'!I17/'Data Sheet'!I61</f>
        <v>0.94373733279286587</v>
      </c>
      <c r="J263" s="34">
        <f>'Data Sheet'!J17/'Data Sheet'!J61</f>
        <v>0.83585144164208758</v>
      </c>
      <c r="K263" s="34">
        <f>'Data Sheet'!K17/'Data Sheet'!K61</f>
        <v>0.78291618321454215</v>
      </c>
      <c r="L263" s="34"/>
      <c r="M263" s="136">
        <f t="shared" si="54"/>
        <v>0.77940388521994508</v>
      </c>
      <c r="N263" s="32">
        <f t="shared" si="55"/>
        <v>1.0882106082465417</v>
      </c>
      <c r="O263" s="32">
        <f t="shared" si="56"/>
        <v>0.8541683192164985</v>
      </c>
    </row>
    <row r="264" spans="1:15" s="30" customFormat="1" hidden="1">
      <c r="A264" s="43" t="s">
        <v>224</v>
      </c>
      <c r="B264" s="44">
        <f>('Data Sheet'!B67+'Data Sheet'!B68+'Data Sheet'!B69)/'Data Sheet'!B60</f>
        <v>1.9812154696132596</v>
      </c>
      <c r="C264" s="44">
        <f>('Data Sheet'!C67+'Data Sheet'!C68+'Data Sheet'!C69)/'Data Sheet'!C60</f>
        <v>1.9519519519519515</v>
      </c>
      <c r="D264" s="44">
        <f>('Data Sheet'!D67+'Data Sheet'!D68+'Data Sheet'!D69)/'Data Sheet'!D60</f>
        <v>1.6360879454131918</v>
      </c>
      <c r="E264" s="44">
        <f>('Data Sheet'!E67+'Data Sheet'!E68+'Data Sheet'!E69)/'Data Sheet'!E60</f>
        <v>2.106366459627329</v>
      </c>
      <c r="F264" s="44">
        <f>('Data Sheet'!F67+'Data Sheet'!F68+'Data Sheet'!F69)/'Data Sheet'!F60</f>
        <v>2.3275412684622068</v>
      </c>
      <c r="G264" s="44">
        <f>('Data Sheet'!G67+'Data Sheet'!G68+'Data Sheet'!G69)/'Data Sheet'!G60</f>
        <v>2.1822857142857139</v>
      </c>
      <c r="H264" s="44">
        <f>('Data Sheet'!H67+'Data Sheet'!H68+'Data Sheet'!H69)/'Data Sheet'!H60</f>
        <v>2.1889908256880735</v>
      </c>
      <c r="I264" s="44">
        <f>('Data Sheet'!I67+'Data Sheet'!I68+'Data Sheet'!I69)/'Data Sheet'!I60</f>
        <v>2.4456094364351242</v>
      </c>
      <c r="J264" s="44">
        <f>('Data Sheet'!J67+'Data Sheet'!J68+'Data Sheet'!J69)/'Data Sheet'!J60</f>
        <v>2.1971683272155218</v>
      </c>
      <c r="K264" s="44">
        <f>('Data Sheet'!K67+'Data Sheet'!K68+'Data Sheet'!K69)/'Data Sheet'!K60</f>
        <v>2.7583141257820216</v>
      </c>
      <c r="L264" s="44"/>
      <c r="M264" s="136">
        <f t="shared" ref="M264:M327" si="67">SUM(D264:K264)/10</f>
        <v>1.7842364102909181</v>
      </c>
      <c r="N264" s="32">
        <f t="shared" ref="N264:N327" si="68">SUM(G264:M264)/5</f>
        <v>2.7113209679394745</v>
      </c>
      <c r="O264" s="32">
        <f t="shared" ref="O264:O327" si="69">SUM(I264:K264)/3</f>
        <v>2.4670306298108891</v>
      </c>
    </row>
    <row r="265" spans="1:15" s="30" customFormat="1" hidden="1">
      <c r="A265" s="43" t="s">
        <v>224</v>
      </c>
      <c r="B265" s="44">
        <f>'Data Sheet'!B65/'Data Sheet'!B60</f>
        <v>2.1823204419889501</v>
      </c>
      <c r="C265" s="44">
        <f>'Data Sheet'!C65/'Data Sheet'!C60</f>
        <v>2.3373373373373374</v>
      </c>
      <c r="D265" s="44">
        <f>'Data Sheet'!D65/'Data Sheet'!D60</f>
        <v>1.8908263836239576</v>
      </c>
      <c r="E265" s="44">
        <f>'Data Sheet'!E65/'Data Sheet'!E60</f>
        <v>2.6614906832298137</v>
      </c>
      <c r="F265" s="44">
        <f>'Data Sheet'!F65/'Data Sheet'!F60</f>
        <v>3.1320590790616851</v>
      </c>
      <c r="G265" s="44">
        <f>'Data Sheet'!G65/'Data Sheet'!G60</f>
        <v>2.6422857142857143</v>
      </c>
      <c r="H265" s="44">
        <f>'Data Sheet'!H65/'Data Sheet'!H60</f>
        <v>2.7889908256880731</v>
      </c>
      <c r="I265" s="44">
        <f>'Data Sheet'!I65/'Data Sheet'!I60</f>
        <v>3.2634338138925294</v>
      </c>
      <c r="J265" s="44">
        <f>'Data Sheet'!J65/'Data Sheet'!J60</f>
        <v>2.9632931305715782</v>
      </c>
      <c r="K265" s="44">
        <f>'Data Sheet'!K65/'Data Sheet'!K60</f>
        <v>3.9476457029963781</v>
      </c>
      <c r="L265" s="44"/>
      <c r="M265" s="136">
        <f t="shared" si="67"/>
        <v>2.3290025333349726</v>
      </c>
      <c r="N265" s="32">
        <f t="shared" si="68"/>
        <v>3.5869303441538491</v>
      </c>
      <c r="O265" s="32">
        <f t="shared" si="69"/>
        <v>3.3914575491534955</v>
      </c>
    </row>
    <row r="266" spans="1:15" s="29" customFormat="1" hidden="1">
      <c r="A266" s="42" t="s">
        <v>229</v>
      </c>
      <c r="B266" s="34">
        <f>'Data Sheet'!B67/'Data Sheet'!B61</f>
        <v>0.38148984198645597</v>
      </c>
      <c r="C266" s="34">
        <f>'Data Sheet'!C67/'Data Sheet'!C61</f>
        <v>0.2580562659846547</v>
      </c>
      <c r="D266" s="34">
        <f>'Data Sheet'!D67/'Data Sheet'!D61</f>
        <v>0.25057736720554274</v>
      </c>
      <c r="E266" s="34">
        <f>'Data Sheet'!E67/'Data Sheet'!E61</f>
        <v>0.29269612263300271</v>
      </c>
      <c r="F266" s="34">
        <f>'Data Sheet'!F67/'Data Sheet'!F61</f>
        <v>0.25576592082616179</v>
      </c>
      <c r="G266" s="34">
        <f>'Data Sheet'!G67/'Data Sheet'!G61</f>
        <v>0.26294402936164629</v>
      </c>
      <c r="H266" s="34">
        <f>'Data Sheet'!H67/'Data Sheet'!H61</f>
        <v>0.25183273102736192</v>
      </c>
      <c r="I266" s="34">
        <f>'Data Sheet'!I67/'Data Sheet'!I61</f>
        <v>0.22342926631536278</v>
      </c>
      <c r="J266" s="34">
        <f>'Data Sheet'!J67/'Data Sheet'!J61</f>
        <v>0.20640462288569192</v>
      </c>
      <c r="K266" s="34">
        <f>'Data Sheet'!K67/'Data Sheet'!K61</f>
        <v>0.1961434333388585</v>
      </c>
      <c r="L266" s="34"/>
      <c r="M266" s="136">
        <f t="shared" si="67"/>
        <v>0.19397934935936284</v>
      </c>
      <c r="N266" s="32">
        <f t="shared" si="68"/>
        <v>0.26694668645765685</v>
      </c>
      <c r="O266" s="32">
        <f t="shared" si="69"/>
        <v>0.20865910751330441</v>
      </c>
    </row>
    <row r="267" spans="1:15" s="29" customFormat="1" hidden="1">
      <c r="A267" s="42" t="s">
        <v>230</v>
      </c>
      <c r="B267" s="34">
        <f>('Data Sheet'!B61-'Data Sheet'!B62-'Data Sheet'!B69)/'Data Sheet'!B61</f>
        <v>0.6314092228313446</v>
      </c>
      <c r="C267" s="34">
        <f>('Data Sheet'!C61-'Data Sheet'!C62-'Data Sheet'!C69)/'Data Sheet'!C61</f>
        <v>0.58849104859335044</v>
      </c>
      <c r="D267" s="34">
        <f>('Data Sheet'!D61-'Data Sheet'!D62-'Data Sheet'!D69)/'Data Sheet'!D61</f>
        <v>0.5690531177829099</v>
      </c>
      <c r="E267" s="34">
        <f>('Data Sheet'!E61-'Data Sheet'!E62-'Data Sheet'!E69)/'Data Sheet'!E61</f>
        <v>0.61280432822362496</v>
      </c>
      <c r="F267" s="34">
        <f>('Data Sheet'!F61-'Data Sheet'!F62-'Data Sheet'!F69)/'Data Sheet'!F61</f>
        <v>0.6206540447504304</v>
      </c>
      <c r="G267" s="34">
        <f>('Data Sheet'!G61-'Data Sheet'!G62-'Data Sheet'!G69)/'Data Sheet'!G61</f>
        <v>0.6505439769301351</v>
      </c>
      <c r="H267" s="34">
        <f>('Data Sheet'!H61-'Data Sheet'!H62-'Data Sheet'!H69)/'Data Sheet'!H61</f>
        <v>0.69158492514197201</v>
      </c>
      <c r="I267" s="34">
        <f>('Data Sheet'!I61-'Data Sheet'!I62-'Data Sheet'!I69)/'Data Sheet'!I61</f>
        <v>0.68577219294689906</v>
      </c>
      <c r="J267" s="34">
        <f>('Data Sheet'!J61-'Data Sheet'!J62-'Data Sheet'!J69)/'Data Sheet'!J61</f>
        <v>0.62336724252091735</v>
      </c>
      <c r="K267" s="34">
        <f>('Data Sheet'!K61-'Data Sheet'!K62-'Data Sheet'!K69)/'Data Sheet'!K61</f>
        <v>0.64252168628101003</v>
      </c>
      <c r="L267" s="34"/>
      <c r="M267" s="136">
        <f t="shared" si="67"/>
        <v>0.50963015145778989</v>
      </c>
      <c r="N267" s="32">
        <f t="shared" si="68"/>
        <v>0.76068403505574467</v>
      </c>
      <c r="O267" s="32">
        <f t="shared" si="69"/>
        <v>0.65055370724960893</v>
      </c>
    </row>
    <row r="268" spans="1:15" s="29" customFormat="1" hidden="1">
      <c r="A268" s="42" t="s">
        <v>232</v>
      </c>
      <c r="B268" s="34">
        <f>('Data Sheet'!B62+'Data Sheet'!B69)/'Data Sheet'!B61</f>
        <v>0.36859077716865524</v>
      </c>
      <c r="C268" s="34">
        <f>('Data Sheet'!C62+'Data Sheet'!C69)/'Data Sheet'!C61</f>
        <v>0.41150895140664961</v>
      </c>
      <c r="D268" s="34">
        <f>('Data Sheet'!D62+'Data Sheet'!D69)/'Data Sheet'!D61</f>
        <v>0.4309468822170901</v>
      </c>
      <c r="E268" s="34">
        <f>('Data Sheet'!E62+'Data Sheet'!E69)/'Data Sheet'!E61</f>
        <v>0.38719567177637509</v>
      </c>
      <c r="F268" s="34">
        <f>('Data Sheet'!F62+'Data Sheet'!F69)/'Data Sheet'!F61</f>
        <v>0.37934595524956971</v>
      </c>
      <c r="G268" s="34">
        <f>('Data Sheet'!G62+'Data Sheet'!G69)/'Data Sheet'!G61</f>
        <v>0.34945602306986495</v>
      </c>
      <c r="H268" s="34">
        <f>('Data Sheet'!H62+'Data Sheet'!H69)/'Data Sheet'!H61</f>
        <v>0.30841507485802788</v>
      </c>
      <c r="I268" s="34">
        <f>('Data Sheet'!I62+'Data Sheet'!I69)/'Data Sheet'!I61</f>
        <v>0.31422780705310094</v>
      </c>
      <c r="J268" s="34">
        <f>('Data Sheet'!J62+'Data Sheet'!J69)/'Data Sheet'!J61</f>
        <v>0.37663275747908259</v>
      </c>
      <c r="K268" s="34">
        <f>('Data Sheet'!K62+'Data Sheet'!K69)/'Data Sheet'!K61</f>
        <v>0.35747831371898997</v>
      </c>
      <c r="L268" s="34"/>
      <c r="M268" s="136">
        <f t="shared" si="67"/>
        <v>0.2903698485422101</v>
      </c>
      <c r="N268" s="32">
        <f t="shared" si="68"/>
        <v>0.39931596494425531</v>
      </c>
      <c r="O268" s="32">
        <f t="shared" si="69"/>
        <v>0.34944629275039113</v>
      </c>
    </row>
    <row r="269" spans="1:15" s="29" customFormat="1" hidden="1">
      <c r="A269" s="42" t="s">
        <v>231</v>
      </c>
      <c r="B269" s="34">
        <f>'Data Sheet'!B62/'Data Sheet'!B61</f>
        <v>0.33892292808771363</v>
      </c>
      <c r="C269" s="34">
        <f>'Data Sheet'!C62/'Data Sheet'!C61</f>
        <v>0.38900255754475704</v>
      </c>
      <c r="D269" s="34">
        <f>'Data Sheet'!D62/'Data Sheet'!D61</f>
        <v>0.40715935334872977</v>
      </c>
      <c r="E269" s="34">
        <f>'Data Sheet'!E62/'Data Sheet'!E61</f>
        <v>0.36753832281334531</v>
      </c>
      <c r="F269" s="34">
        <f>'Data Sheet'!F62/'Data Sheet'!F61</f>
        <v>0.35387263339070563</v>
      </c>
      <c r="G269" s="34">
        <f>'Data Sheet'!G62/'Data Sheet'!G61</f>
        <v>0.32507537029754879</v>
      </c>
      <c r="H269" s="34">
        <f>'Data Sheet'!H62/'Data Sheet'!H61</f>
        <v>0.28735157459989674</v>
      </c>
      <c r="I269" s="34">
        <f>'Data Sheet'!I62/'Data Sheet'!I61</f>
        <v>0.27280097284150789</v>
      </c>
      <c r="J269" s="34">
        <f>'Data Sheet'!J62/'Data Sheet'!J61</f>
        <v>0.22518509600914946</v>
      </c>
      <c r="K269" s="34">
        <f>'Data Sheet'!K62/'Data Sheet'!K61</f>
        <v>0.24774849439195537</v>
      </c>
      <c r="L269" s="34"/>
      <c r="M269" s="136">
        <f t="shared" si="67"/>
        <v>0.24867318176928385</v>
      </c>
      <c r="N269" s="32">
        <f t="shared" si="68"/>
        <v>0.32136693798186844</v>
      </c>
      <c r="O269" s="32">
        <f t="shared" si="69"/>
        <v>0.24857818774753757</v>
      </c>
    </row>
    <row r="270" spans="1:15" s="29" customFormat="1" hidden="1">
      <c r="A270" s="42" t="s">
        <v>233</v>
      </c>
      <c r="B270" s="34">
        <f>('Data Sheet'!B57+'Data Sheet'!B58)/'Data Sheet'!B61</f>
        <v>0.29732344405030631</v>
      </c>
      <c r="C270" s="34">
        <f>('Data Sheet'!C57+'Data Sheet'!C58)/'Data Sheet'!C61</f>
        <v>0.4038363171355499</v>
      </c>
      <c r="D270" s="34">
        <f>('Data Sheet'!D57+'Data Sheet'!D58)/'Data Sheet'!D61</f>
        <v>0.48129330254041575</v>
      </c>
      <c r="E270" s="34">
        <f>('Data Sheet'!E57+'Data Sheet'!E58)/'Data Sheet'!E61</f>
        <v>0.460054102795311</v>
      </c>
      <c r="F270" s="34">
        <f>('Data Sheet'!F57+'Data Sheet'!F58)/'Data Sheet'!F61</f>
        <v>0.48313253012048191</v>
      </c>
      <c r="G270" s="34">
        <f>('Data Sheet'!G57+'Data Sheet'!G58)/'Data Sheet'!G61</f>
        <v>0.41761698780967355</v>
      </c>
      <c r="H270" s="34">
        <f>('Data Sheet'!H57+'Data Sheet'!H58)/'Data Sheet'!H61</f>
        <v>0.39473412493546722</v>
      </c>
      <c r="I270" s="34">
        <f>('Data Sheet'!I57+'Data Sheet'!I58)/'Data Sheet'!I61</f>
        <v>0.37957032833400889</v>
      </c>
      <c r="J270" s="34">
        <f>('Data Sheet'!J57+'Data Sheet'!J58)/'Data Sheet'!J61</f>
        <v>0.48829230120989592</v>
      </c>
      <c r="K270" s="34">
        <f>('Data Sheet'!K57+'Data Sheet'!K58)/'Data Sheet'!K61</f>
        <v>0.49417094867119726</v>
      </c>
      <c r="L270" s="34"/>
      <c r="M270" s="136">
        <f t="shared" si="67"/>
        <v>0.35988646264164514</v>
      </c>
      <c r="N270" s="32">
        <f t="shared" si="68"/>
        <v>0.50685423072037761</v>
      </c>
      <c r="O270" s="32">
        <f t="shared" si="69"/>
        <v>0.45401119273836738</v>
      </c>
    </row>
    <row r="271" spans="1:15" s="29" customFormat="1" hidden="1">
      <c r="A271" s="42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136">
        <f t="shared" si="67"/>
        <v>0</v>
      </c>
      <c r="N271" s="32">
        <f t="shared" si="68"/>
        <v>0</v>
      </c>
      <c r="O271" s="32">
        <f t="shared" si="69"/>
        <v>0</v>
      </c>
    </row>
    <row r="272" spans="1:15" ht="18.75">
      <c r="A272" s="118" t="s">
        <v>147</v>
      </c>
      <c r="B272" s="46"/>
      <c r="C272" s="69"/>
      <c r="D272" s="46"/>
      <c r="E272" s="46"/>
      <c r="F272" s="46"/>
      <c r="G272" s="46"/>
      <c r="H272" s="46"/>
      <c r="I272" s="46"/>
      <c r="J272" s="46"/>
      <c r="K272" s="46"/>
      <c r="L272" s="46"/>
      <c r="M272" s="136">
        <f t="shared" si="67"/>
        <v>0</v>
      </c>
      <c r="N272" s="32">
        <f t="shared" si="68"/>
        <v>0</v>
      </c>
      <c r="O272" s="32">
        <f t="shared" si="69"/>
        <v>0</v>
      </c>
    </row>
    <row r="273" spans="1:15" s="18" customFormat="1">
      <c r="A273" s="147" t="s">
        <v>107</v>
      </c>
      <c r="B273" s="141">
        <f>'Data Sheet'!B59/'Data Sheet'!B30</f>
        <v>3.5</v>
      </c>
      <c r="C273" s="141">
        <f>'Data Sheet'!C59/'Data Sheet'!C30</f>
        <v>1.8048780487804879</v>
      </c>
      <c r="D273" s="141">
        <f>'Data Sheet'!D59/'Data Sheet'!D30</f>
        <v>1.5685279187817258</v>
      </c>
      <c r="E273" s="141">
        <f>'Data Sheet'!E59/'Data Sheet'!E30</f>
        <v>2.8198347107438013</v>
      </c>
      <c r="F273" s="141">
        <f>'Data Sheet'!F59/'Data Sheet'!F30</f>
        <v>4.7005076142131976</v>
      </c>
      <c r="G273" s="141">
        <f>'Data Sheet'!G59/'Data Sheet'!G30</f>
        <v>4.8963636363636365</v>
      </c>
      <c r="H273" s="141">
        <f>'Data Sheet'!H59/'Data Sheet'!H30</f>
        <v>4.6140350877192979</v>
      </c>
      <c r="I273" s="141">
        <f>'Data Sheet'!I59/'Data Sheet'!I30</f>
        <v>5.6582278481012658</v>
      </c>
      <c r="J273" s="141">
        <f>'Data Sheet'!J59/'Data Sheet'!J30</f>
        <v>6.6482269503546094</v>
      </c>
      <c r="K273" s="141">
        <f>'Data Sheet'!K59/'Data Sheet'!K30</f>
        <v>7.3533653846153841</v>
      </c>
      <c r="L273" s="141"/>
      <c r="M273" s="136">
        <f t="shared" si="67"/>
        <v>3.825908915089292</v>
      </c>
      <c r="N273" s="32">
        <f t="shared" si="68"/>
        <v>6.5992255644486972</v>
      </c>
      <c r="O273" s="32">
        <f t="shared" si="69"/>
        <v>6.5532733943570856</v>
      </c>
    </row>
    <row r="274" spans="1:15" s="18" customFormat="1">
      <c r="A274" s="147" t="s">
        <v>108</v>
      </c>
      <c r="B274" s="141">
        <f>'Data Sheet'!B60/'Data Sheet'!B30</f>
        <v>2.4862637362637363</v>
      </c>
      <c r="C274" s="141">
        <f>'Data Sheet'!C60/'Data Sheet'!C30</f>
        <v>1.3536585365853659</v>
      </c>
      <c r="D274" s="141">
        <f>'Data Sheet'!D60/'Data Sheet'!D30</f>
        <v>2.2318104906937393</v>
      </c>
      <c r="E274" s="141">
        <f>'Data Sheet'!E60/'Data Sheet'!E30</f>
        <v>2.1289256198347108</v>
      </c>
      <c r="F274" s="141">
        <f>'Data Sheet'!F60/'Data Sheet'!F30</f>
        <v>2.9213197969543145</v>
      </c>
      <c r="G274" s="141">
        <f>'Data Sheet'!G60/'Data Sheet'!G30</f>
        <v>3.1818181818181817</v>
      </c>
      <c r="H274" s="141">
        <f>'Data Sheet'!H60/'Data Sheet'!H30</f>
        <v>2.7318295739348368</v>
      </c>
      <c r="I274" s="141">
        <f>'Data Sheet'!I60/'Data Sheet'!I30</f>
        <v>2.4145569620253164</v>
      </c>
      <c r="J274" s="141">
        <f>'Data Sheet'!J60/'Data Sheet'!J30</f>
        <v>5.4099290780141844</v>
      </c>
      <c r="K274" s="141">
        <f>'Data Sheet'!K60/'Data Sheet'!K30</f>
        <v>3.6502403846153846</v>
      </c>
      <c r="L274" s="141"/>
      <c r="M274" s="136">
        <f t="shared" si="67"/>
        <v>2.4670430087890667</v>
      </c>
      <c r="N274" s="32">
        <f t="shared" si="68"/>
        <v>3.9710834378393933</v>
      </c>
      <c r="O274" s="32">
        <f t="shared" si="69"/>
        <v>3.8249088082182952</v>
      </c>
    </row>
    <row r="275" spans="1:15" s="18" customFormat="1">
      <c r="A275" s="147" t="s">
        <v>109</v>
      </c>
      <c r="B275" s="141">
        <f>B273+B274</f>
        <v>5.9862637362637363</v>
      </c>
      <c r="C275" s="141">
        <f t="shared" ref="C275:K275" si="70">C273+C274</f>
        <v>3.1585365853658538</v>
      </c>
      <c r="D275" s="141">
        <f t="shared" si="70"/>
        <v>3.8003384094754651</v>
      </c>
      <c r="E275" s="141">
        <f t="shared" si="70"/>
        <v>4.9487603305785122</v>
      </c>
      <c r="F275" s="141">
        <f t="shared" si="70"/>
        <v>7.6218274111675122</v>
      </c>
      <c r="G275" s="141">
        <f t="shared" si="70"/>
        <v>8.0781818181818181</v>
      </c>
      <c r="H275" s="141">
        <f t="shared" si="70"/>
        <v>7.3458646616541348</v>
      </c>
      <c r="I275" s="141">
        <f t="shared" si="70"/>
        <v>8.0727848101265813</v>
      </c>
      <c r="J275" s="141">
        <f t="shared" si="70"/>
        <v>12.058156028368794</v>
      </c>
      <c r="K275" s="141">
        <f t="shared" si="70"/>
        <v>11.003605769230768</v>
      </c>
      <c r="L275" s="141"/>
      <c r="M275" s="136">
        <f t="shared" si="67"/>
        <v>6.2929519238783582</v>
      </c>
      <c r="N275" s="32">
        <f t="shared" si="68"/>
        <v>10.57030900228809</v>
      </c>
      <c r="O275" s="32">
        <f t="shared" si="69"/>
        <v>10.378182202575381</v>
      </c>
    </row>
    <row r="276" spans="1:15" s="18" customFormat="1">
      <c r="A276" s="147" t="s">
        <v>110</v>
      </c>
      <c r="B276" s="141">
        <f>'Data Sheet'!B59/('Data Sheet'!B57+'Data Sheet'!B58)</f>
        <v>1.3817787418655099</v>
      </c>
      <c r="C276" s="141">
        <f>'Data Sheet'!C59/('Data Sheet'!C57+'Data Sheet'!C58)</f>
        <v>0.84357188093730207</v>
      </c>
      <c r="D276" s="141">
        <f>'Data Sheet'!D59/('Data Sheet'!D57+'Data Sheet'!D58)</f>
        <v>0.44481765834932818</v>
      </c>
      <c r="E276" s="141">
        <f>'Data Sheet'!E59/('Data Sheet'!E57+'Data Sheet'!E58)</f>
        <v>0.66875735005880044</v>
      </c>
      <c r="F276" s="141">
        <f>'Data Sheet'!F59/('Data Sheet'!F57+'Data Sheet'!F58)</f>
        <v>0.65977912361952262</v>
      </c>
      <c r="G276" s="141">
        <f>'Data Sheet'!G59/('Data Sheet'!G57+'Data Sheet'!G58)</f>
        <v>0.84526051475204023</v>
      </c>
      <c r="H276" s="141">
        <f>'Data Sheet'!H59/('Data Sheet'!H57+'Data Sheet'!H58)</f>
        <v>0.96311797018048662</v>
      </c>
      <c r="I276" s="141">
        <f>'Data Sheet'!I59/('Data Sheet'!I57+'Data Sheet'!I58)</f>
        <v>1.1456642460486972</v>
      </c>
      <c r="J276" s="141">
        <f>'Data Sheet'!J59/('Data Sheet'!J57+'Data Sheet'!J58)</f>
        <v>0.57778599605522674</v>
      </c>
      <c r="K276" s="141">
        <f>'Data Sheet'!K59/('Data Sheet'!K57+'Data Sheet'!K58)</f>
        <v>0.68403398926654746</v>
      </c>
      <c r="L276" s="141"/>
      <c r="M276" s="136">
        <f t="shared" si="67"/>
        <v>0.59892168483306496</v>
      </c>
      <c r="N276" s="32">
        <f t="shared" si="68"/>
        <v>0.96295688022721271</v>
      </c>
      <c r="O276" s="32">
        <f t="shared" si="69"/>
        <v>0.80249474379015717</v>
      </c>
    </row>
    <row r="277" spans="1:15" s="18" customFormat="1">
      <c r="A277" s="147" t="s">
        <v>111</v>
      </c>
      <c r="B277" s="176">
        <f>B88/'Data Sheet'!B27</f>
        <v>4.6696428571428559</v>
      </c>
      <c r="C277" s="176">
        <f>C88/'Data Sheet'!C27</f>
        <v>4.51219512195122</v>
      </c>
      <c r="D277" s="176">
        <f>D88/'Data Sheet'!D27</f>
        <v>6.7107438016528933</v>
      </c>
      <c r="E277" s="176">
        <f>E88/'Data Sheet'!E27</f>
        <v>5.5220125786163523</v>
      </c>
      <c r="F277" s="176">
        <f>F88/'Data Sheet'!F27</f>
        <v>2.8340248962655599</v>
      </c>
      <c r="G277" s="176">
        <f>G88/'Data Sheet'!G27</f>
        <v>2.9509202453987728</v>
      </c>
      <c r="H277" s="176">
        <f>H88/'Data Sheet'!H27</f>
        <v>3.3325358851674642</v>
      </c>
      <c r="I277" s="176">
        <f>I88/'Data Sheet'!I27</f>
        <v>3.1948998178506374</v>
      </c>
      <c r="J277" s="176">
        <f>J88/'Data Sheet'!J27</f>
        <v>2.4982993197278915</v>
      </c>
      <c r="K277" s="176">
        <f>K88/'Data Sheet'!K27</f>
        <v>2.8365217391304345</v>
      </c>
      <c r="L277" s="176">
        <f>L729</f>
        <v>2.8439425051334704</v>
      </c>
      <c r="M277" s="136">
        <f t="shared" si="67"/>
        <v>2.9879958283810004</v>
      </c>
      <c r="N277" s="32">
        <f t="shared" si="68"/>
        <v>4.1290230681579336</v>
      </c>
      <c r="O277" s="32">
        <f t="shared" si="69"/>
        <v>2.8432402922363216</v>
      </c>
    </row>
    <row r="278" spans="1:15" s="18" customFormat="1">
      <c r="A278" s="147" t="s">
        <v>238</v>
      </c>
      <c r="B278" s="176">
        <f>B242/'Data Sheet'!B27</f>
        <v>3.464285714285714</v>
      </c>
      <c r="C278" s="176">
        <f>C242/'Data Sheet'!C27</f>
        <v>2.5447154471544713</v>
      </c>
      <c r="D278" s="176">
        <f>D242/'Data Sheet'!D27</f>
        <v>7.7768595041322319</v>
      </c>
      <c r="E278" s="176">
        <f>E242/'Data Sheet'!E27</f>
        <v>1.8679245283018868</v>
      </c>
      <c r="F278" s="176">
        <f>F242/'Data Sheet'!F27</f>
        <v>3.0497925311203318</v>
      </c>
      <c r="G278" s="176">
        <f>G242/'Data Sheet'!G27</f>
        <v>0.90184049079754602</v>
      </c>
      <c r="H278" s="176">
        <f>H242/'Data Sheet'!H27</f>
        <v>1.6339712918660287</v>
      </c>
      <c r="I278" s="176">
        <f>I242/'Data Sheet'!I27</f>
        <v>2.3005464480874318</v>
      </c>
      <c r="J278" s="176">
        <f>J242/'Data Sheet'!J27</f>
        <v>0.23469387755102039</v>
      </c>
      <c r="K278" s="176">
        <f>K242/'Data Sheet'!K27</f>
        <v>0.55304347826086964</v>
      </c>
      <c r="L278" s="176"/>
      <c r="M278" s="136">
        <f t="shared" si="67"/>
        <v>1.8318672150117348</v>
      </c>
      <c r="N278" s="32">
        <f t="shared" si="68"/>
        <v>1.4911925603149263</v>
      </c>
      <c r="O278" s="32">
        <f t="shared" si="69"/>
        <v>1.0294279346331072</v>
      </c>
    </row>
    <row r="279" spans="1:15" s="18" customFormat="1">
      <c r="A279" s="147" t="s">
        <v>271</v>
      </c>
      <c r="B279" s="176">
        <f>'Data Sheet'!B59/'Data Sheet'!B82</f>
        <v>3.2835051546391756</v>
      </c>
      <c r="C279" s="176">
        <f>'Data Sheet'!C59/'Data Sheet'!C82</f>
        <v>2.1277955271565498</v>
      </c>
      <c r="D279" s="176">
        <f>'Data Sheet'!D59/'Data Sheet'!D82</f>
        <v>0.98512221041445269</v>
      </c>
      <c r="E279" s="176">
        <f>'Data Sheet'!E59/'Data Sheet'!E82</f>
        <v>5.7441077441077431</v>
      </c>
      <c r="F279" s="176">
        <f>'Data Sheet'!F59/'Data Sheet'!F82</f>
        <v>2.5197278911564625</v>
      </c>
      <c r="G279" s="176">
        <f>'Data Sheet'!G59/'Data Sheet'!G82</f>
        <v>9.1598639455782322</v>
      </c>
      <c r="H279" s="176">
        <f>'Data Sheet'!H59/'Data Sheet'!H82</f>
        <v>5.3909224011713031</v>
      </c>
      <c r="I279" s="176">
        <f>'Data Sheet'!I59/'Data Sheet'!I82</f>
        <v>4.2470308788598574</v>
      </c>
      <c r="J279" s="176">
        <f>'Data Sheet'!J59/'Data Sheet'!J82</f>
        <v>33.963768115942031</v>
      </c>
      <c r="K279" s="176">
        <f>'Data Sheet'!K59/'Data Sheet'!K82</f>
        <v>19.238993710691823</v>
      </c>
      <c r="L279" s="176"/>
      <c r="M279" s="136">
        <f t="shared" si="67"/>
        <v>8.1249536897921892</v>
      </c>
      <c r="N279" s="32">
        <f t="shared" si="68"/>
        <v>16.025106548407088</v>
      </c>
      <c r="O279" s="32">
        <f t="shared" si="69"/>
        <v>19.149930901831237</v>
      </c>
    </row>
    <row r="280" spans="1:15" s="18" customFormat="1">
      <c r="A280" s="147" t="s">
        <v>265</v>
      </c>
      <c r="B280" s="176">
        <f>'Data Sheet'!B59/Customization!B88</f>
        <v>2.4359464627151053</v>
      </c>
      <c r="C280" s="176">
        <f>'Data Sheet'!C59/Customization!C88</f>
        <v>1.2</v>
      </c>
      <c r="D280" s="176">
        <f>'Data Sheet'!D59/Customization!D88</f>
        <v>1.1416256157635467</v>
      </c>
      <c r="E280" s="176">
        <f>'Data Sheet'!E59/Customization!E88</f>
        <v>1.9430523917995439</v>
      </c>
      <c r="F280" s="176">
        <f>'Data Sheet'!F59/Customization!F88</f>
        <v>2.7115666178623719</v>
      </c>
      <c r="G280" s="176">
        <f>'Data Sheet'!G59/Customization!G88</f>
        <v>2.7993762993762994</v>
      </c>
      <c r="H280" s="176">
        <f>'Data Sheet'!H59/Customization!H88</f>
        <v>2.6432160804020102</v>
      </c>
      <c r="I280" s="176">
        <f>'Data Sheet'!I59/Customization!I88</f>
        <v>3.0581527936145956</v>
      </c>
      <c r="J280" s="176">
        <f>'Data Sheet'!J59/Customization!J88</f>
        <v>3.1906058543226679</v>
      </c>
      <c r="K280" s="176">
        <f>'Data Sheet'!K59/Customization!K88</f>
        <v>3.7510729613733909</v>
      </c>
      <c r="L280" s="176"/>
      <c r="M280" s="136">
        <f t="shared" si="67"/>
        <v>2.1238668614514427</v>
      </c>
      <c r="N280" s="32">
        <f t="shared" si="68"/>
        <v>3.5132581701080809</v>
      </c>
      <c r="O280" s="32">
        <f t="shared" si="69"/>
        <v>3.3332772031035511</v>
      </c>
    </row>
    <row r="281" spans="1:15" s="18" customFormat="1">
      <c r="A281" s="147" t="s">
        <v>268</v>
      </c>
      <c r="B281" s="176">
        <f>'Data Sheet'!B59/Customization!B89</f>
        <v>1.9361702127659575</v>
      </c>
      <c r="C281" s="176">
        <f>'Data Sheet'!C59/Customization!C89</f>
        <v>1.009090909090909</v>
      </c>
      <c r="D281" s="176">
        <f>'Data Sheet'!D59/Customization!D89</f>
        <v>0.86072423398328679</v>
      </c>
      <c r="E281" s="176">
        <f>'Data Sheet'!E59/Customization!E89</f>
        <v>1.465635738831615</v>
      </c>
      <c r="F281" s="176">
        <f>'Data Sheet'!F59/Customization!F89</f>
        <v>1.8246305418719211</v>
      </c>
      <c r="G281" s="176">
        <f>'Data Sheet'!G59/Customization!G89</f>
        <v>2.0082028337061892</v>
      </c>
      <c r="H281" s="176">
        <f>'Data Sheet'!H59/Customization!H89</f>
        <v>2.0308880308880308</v>
      </c>
      <c r="I281" s="176">
        <f>'Data Sheet'!I59/Customization!I89</f>
        <v>2.5385707524846191</v>
      </c>
      <c r="J281" s="176">
        <f>'Data Sheet'!J59/Customization!J89</f>
        <v>2.4310165975103732</v>
      </c>
      <c r="K281" s="176">
        <f>'Data Sheet'!K59/Customization!K89</f>
        <v>2.8940397350993377</v>
      </c>
      <c r="L281" s="176"/>
      <c r="M281" s="136">
        <f t="shared" si="67"/>
        <v>1.6053708464375371</v>
      </c>
      <c r="N281" s="32">
        <f t="shared" si="68"/>
        <v>2.7016177592252175</v>
      </c>
      <c r="O281" s="32">
        <f t="shared" si="69"/>
        <v>2.6212090283647762</v>
      </c>
    </row>
    <row r="282" spans="1:15" s="18" customFormat="1">
      <c r="A282" s="147" t="s">
        <v>266</v>
      </c>
      <c r="B282" s="45">
        <f>'Data Sheet'!B82/Customization!B88</f>
        <v>0.74187380497131938</v>
      </c>
      <c r="C282" s="45">
        <f>'Data Sheet'!C82/Customization!C88</f>
        <v>0.56396396396396387</v>
      </c>
      <c r="D282" s="45">
        <f>'Data Sheet'!D82/Customization!D88</f>
        <v>1.1588669950738915</v>
      </c>
      <c r="E282" s="45">
        <f>'Data Sheet'!E82/Customization!E88</f>
        <v>0.33826879271070615</v>
      </c>
      <c r="F282" s="45">
        <f>'Data Sheet'!F82/Customization!F88</f>
        <v>1.076134699853587</v>
      </c>
      <c r="G282" s="45">
        <f>'Data Sheet'!G82/Customization!G88</f>
        <v>0.30561330561330563</v>
      </c>
      <c r="H282" s="45">
        <f>'Data Sheet'!H82/Customization!H88</f>
        <v>0.49030868628858582</v>
      </c>
      <c r="I282" s="45">
        <f>'Data Sheet'!I82/Customization!I88</f>
        <v>0.72006841505131136</v>
      </c>
      <c r="J282" s="45">
        <f>'Data Sheet'!J82/Customization!J88</f>
        <v>9.3941456773315168E-2</v>
      </c>
      <c r="K282" s="45">
        <f>'Data Sheet'!K82/Customization!K88</f>
        <v>0.19497240956468426</v>
      </c>
      <c r="L282" s="45"/>
      <c r="M282" s="136">
        <f t="shared" si="67"/>
        <v>0.43781747609293864</v>
      </c>
      <c r="N282" s="32">
        <f t="shared" si="68"/>
        <v>0.44854434987682817</v>
      </c>
      <c r="O282" s="32">
        <f t="shared" si="69"/>
        <v>0.33632742712977026</v>
      </c>
    </row>
    <row r="283" spans="1:15" s="18" customFormat="1">
      <c r="A283" s="147" t="s">
        <v>269</v>
      </c>
      <c r="B283" s="45">
        <f>'Data Sheet'!B82/Customization!B89</f>
        <v>0.58966565349544076</v>
      </c>
      <c r="C283" s="45">
        <f>'Data Sheet'!C82/Customization!C89</f>
        <v>0.47424242424242419</v>
      </c>
      <c r="D283" s="45">
        <f>'Data Sheet'!D82/Customization!D89</f>
        <v>0.87372330547818</v>
      </c>
      <c r="E283" s="45">
        <f>'Data Sheet'!E82/Customization!E89</f>
        <v>0.25515463917525771</v>
      </c>
      <c r="F283" s="45">
        <f>'Data Sheet'!F82/Customization!F89</f>
        <v>0.72413793103448265</v>
      </c>
      <c r="G283" s="45">
        <f>'Data Sheet'!G82/Customization!G89</f>
        <v>0.21923937360178972</v>
      </c>
      <c r="H283" s="45">
        <f>'Data Sheet'!H82/Customization!H89</f>
        <v>0.37672366243794819</v>
      </c>
      <c r="I283" s="45">
        <f>'Data Sheet'!I82/Customization!I89</f>
        <v>0.59772834831992439</v>
      </c>
      <c r="J283" s="45">
        <f>'Data Sheet'!J82/Customization!J89</f>
        <v>7.1576763485477174E-2</v>
      </c>
      <c r="K283" s="45">
        <f>'Data Sheet'!K82/Customization!K89</f>
        <v>0.15042573320719016</v>
      </c>
      <c r="L283" s="45"/>
      <c r="M283" s="136">
        <f t="shared" si="67"/>
        <v>0.32687097567402507</v>
      </c>
      <c r="N283" s="32">
        <f t="shared" si="68"/>
        <v>0.34851297134527093</v>
      </c>
      <c r="O283" s="32">
        <f t="shared" si="69"/>
        <v>0.27324361500419725</v>
      </c>
    </row>
    <row r="284" spans="1:15" s="18" customFormat="1" hidden="1">
      <c r="A284" s="147" t="s">
        <v>267</v>
      </c>
      <c r="B284" s="45">
        <f t="shared" ref="B284:K284" si="71">B88/B290</f>
        <v>0.17381189764041208</v>
      </c>
      <c r="C284" s="45">
        <f t="shared" si="71"/>
        <v>0.29042386185243335</v>
      </c>
      <c r="D284" s="45">
        <f t="shared" si="71"/>
        <v>0.19209841495150229</v>
      </c>
      <c r="E284" s="45">
        <f t="shared" si="71"/>
        <v>0.16247224278312364</v>
      </c>
      <c r="F284" s="45">
        <f t="shared" si="71"/>
        <v>0.12299657842607599</v>
      </c>
      <c r="G284" s="45">
        <f t="shared" si="71"/>
        <v>0.13893703061813978</v>
      </c>
      <c r="H284" s="45">
        <f t="shared" si="71"/>
        <v>0.15936391717194831</v>
      </c>
      <c r="I284" s="45">
        <f t="shared" si="71"/>
        <v>0.16622441243366187</v>
      </c>
      <c r="J284" s="45">
        <f t="shared" si="71"/>
        <v>0.11564197433677086</v>
      </c>
      <c r="K284" s="45">
        <f t="shared" si="71"/>
        <v>0.11091465487929277</v>
      </c>
      <c r="L284" s="45"/>
      <c r="M284" s="136">
        <f t="shared" si="67"/>
        <v>0.11686492256005154</v>
      </c>
      <c r="N284" s="32">
        <f t="shared" si="68"/>
        <v>0.16158938239997303</v>
      </c>
      <c r="O284" s="32">
        <f t="shared" si="69"/>
        <v>0.13092701388324182</v>
      </c>
    </row>
    <row r="285" spans="1:15" s="18" customFormat="1">
      <c r="A285" s="147" t="s">
        <v>270</v>
      </c>
      <c r="B285" s="45">
        <f t="shared" ref="B285:K285" si="72">B89/B290</f>
        <v>0.21867730142904621</v>
      </c>
      <c r="C285" s="45">
        <f t="shared" si="72"/>
        <v>0.34536891679748827</v>
      </c>
      <c r="D285" s="45">
        <f t="shared" si="72"/>
        <v>0.25479063165365512</v>
      </c>
      <c r="E285" s="45">
        <f t="shared" si="72"/>
        <v>0.21539600296076983</v>
      </c>
      <c r="F285" s="45">
        <f t="shared" si="72"/>
        <v>0.18278408067711147</v>
      </c>
      <c r="G285" s="45">
        <f t="shared" si="72"/>
        <v>0.19367417677642979</v>
      </c>
      <c r="H285" s="45">
        <f t="shared" si="72"/>
        <v>0.2074133394348473</v>
      </c>
      <c r="I285" s="45">
        <f t="shared" si="72"/>
        <v>0.20024639878695982</v>
      </c>
      <c r="J285" s="45">
        <f t="shared" si="72"/>
        <v>0.15177517121939699</v>
      </c>
      <c r="K285" s="45">
        <f t="shared" si="72"/>
        <v>0.14376062563753828</v>
      </c>
      <c r="L285" s="45"/>
      <c r="M285" s="136">
        <f t="shared" si="67"/>
        <v>0.15498404271467087</v>
      </c>
      <c r="N285" s="32">
        <f t="shared" si="68"/>
        <v>0.21037075091396859</v>
      </c>
      <c r="O285" s="32">
        <f t="shared" si="69"/>
        <v>0.16526073188129836</v>
      </c>
    </row>
    <row r="286" spans="1:15" ht="18" customHeight="1">
      <c r="A286" s="119" t="s">
        <v>258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136">
        <f t="shared" si="67"/>
        <v>0</v>
      </c>
      <c r="N286" s="32">
        <f t="shared" si="68"/>
        <v>0</v>
      </c>
      <c r="O286" s="32">
        <f t="shared" si="69"/>
        <v>0</v>
      </c>
    </row>
    <row r="287" spans="1:15" hidden="1">
      <c r="A287" s="63" t="s">
        <v>260</v>
      </c>
      <c r="B287" s="64">
        <f>'Data Sheet'!B61</f>
        <v>31.01</v>
      </c>
      <c r="C287" s="64">
        <f>'Data Sheet'!C61</f>
        <v>39.1</v>
      </c>
      <c r="D287" s="64">
        <f>'Data Sheet'!D61</f>
        <v>43.3</v>
      </c>
      <c r="E287" s="64">
        <f>'Data Sheet'!E61</f>
        <v>55.45</v>
      </c>
      <c r="F287" s="64">
        <f>'Data Sheet'!F61</f>
        <v>58.1</v>
      </c>
      <c r="G287" s="64">
        <f>'Data Sheet'!G61</f>
        <v>76.290000000000006</v>
      </c>
      <c r="H287" s="64">
        <f>'Data Sheet'!H61</f>
        <v>96.85</v>
      </c>
      <c r="I287" s="64">
        <f>'Data Sheet'!I61</f>
        <v>123.35</v>
      </c>
      <c r="J287" s="64">
        <f>'Data Sheet'!J61</f>
        <v>166.13</v>
      </c>
      <c r="K287" s="64">
        <f>'Data Sheet'!K61</f>
        <v>180.99</v>
      </c>
      <c r="L287" s="64"/>
      <c r="M287" s="136">
        <f t="shared" si="67"/>
        <v>80.046000000000006</v>
      </c>
      <c r="N287" s="32">
        <f t="shared" si="68"/>
        <v>144.7312</v>
      </c>
      <c r="O287" s="32">
        <f t="shared" si="69"/>
        <v>156.82333333333335</v>
      </c>
    </row>
    <row r="288" spans="1:15" hidden="1">
      <c r="A288" s="63" t="s">
        <v>29</v>
      </c>
      <c r="B288" s="64">
        <f>'Data Sheet'!B64</f>
        <v>0</v>
      </c>
      <c r="C288" s="64">
        <f>'Data Sheet'!C64</f>
        <v>0</v>
      </c>
      <c r="D288" s="64">
        <f>'Data Sheet'!D64</f>
        <v>0</v>
      </c>
      <c r="E288" s="64">
        <f>'Data Sheet'!E64</f>
        <v>0.32</v>
      </c>
      <c r="F288" s="64">
        <f>'Data Sheet'!F64</f>
        <v>1.0900000000000001</v>
      </c>
      <c r="G288" s="64">
        <f>'Data Sheet'!G64</f>
        <v>5.19</v>
      </c>
      <c r="H288" s="64">
        <f>'Data Sheet'!H64</f>
        <v>7.4</v>
      </c>
      <c r="I288" s="64">
        <f>'Data Sheet'!I64</f>
        <v>12.72</v>
      </c>
      <c r="J288" s="64">
        <f>'Data Sheet'!J64</f>
        <v>13.94</v>
      </c>
      <c r="K288" s="64">
        <f>'Data Sheet'!K64</f>
        <v>14.08</v>
      </c>
      <c r="L288" s="64"/>
      <c r="M288" s="136">
        <f t="shared" si="67"/>
        <v>5.4739999999999993</v>
      </c>
      <c r="N288" s="32">
        <f t="shared" si="68"/>
        <v>11.7608</v>
      </c>
      <c r="O288" s="32">
        <f t="shared" si="69"/>
        <v>13.58</v>
      </c>
    </row>
    <row r="289" spans="1:15" s="18" customFormat="1">
      <c r="A289" s="63" t="s">
        <v>78</v>
      </c>
      <c r="B289" s="64">
        <f>'Data Sheet'!B69</f>
        <v>0.92</v>
      </c>
      <c r="C289" s="64">
        <f>'Data Sheet'!C69</f>
        <v>0.88</v>
      </c>
      <c r="D289" s="64">
        <f>'Data Sheet'!D69</f>
        <v>1.03</v>
      </c>
      <c r="E289" s="64">
        <f>'Data Sheet'!E69</f>
        <v>1.0900000000000001</v>
      </c>
      <c r="F289" s="64">
        <f>'Data Sheet'!F69</f>
        <v>1.48</v>
      </c>
      <c r="G289" s="64">
        <f>'Data Sheet'!G69</f>
        <v>1.86</v>
      </c>
      <c r="H289" s="64">
        <f>'Data Sheet'!H69</f>
        <v>2.04</v>
      </c>
      <c r="I289" s="64">
        <f>'Data Sheet'!I69</f>
        <v>5.1100000000000003</v>
      </c>
      <c r="J289" s="64">
        <f>'Data Sheet'!J69</f>
        <v>25.16</v>
      </c>
      <c r="K289" s="64">
        <f>'Data Sheet'!K69</f>
        <v>19.86</v>
      </c>
      <c r="L289" s="64"/>
      <c r="M289" s="136">
        <f t="shared" si="67"/>
        <v>5.7629999999999999</v>
      </c>
      <c r="N289" s="32">
        <f t="shared" si="68"/>
        <v>11.958600000000001</v>
      </c>
      <c r="O289" s="32">
        <f t="shared" si="69"/>
        <v>16.709999999999997</v>
      </c>
    </row>
    <row r="290" spans="1:15" s="18" customFormat="1" ht="30">
      <c r="A290" s="190" t="s">
        <v>263</v>
      </c>
      <c r="B290" s="64">
        <f>'Data Sheet'!B61-'Data Sheet'!B69-'Data Sheet'!B64</f>
        <v>30.09</v>
      </c>
      <c r="C290" s="64">
        <f>'Data Sheet'!C61-'Data Sheet'!C69-'Data Sheet'!C64</f>
        <v>38.22</v>
      </c>
      <c r="D290" s="64">
        <f>'Data Sheet'!D61-'Data Sheet'!D69-'Data Sheet'!D64</f>
        <v>42.269999999999996</v>
      </c>
      <c r="E290" s="64">
        <f>'Data Sheet'!E61-'Data Sheet'!E69-'Data Sheet'!E64</f>
        <v>54.04</v>
      </c>
      <c r="F290" s="64">
        <f>'Data Sheet'!F61-'Data Sheet'!F69-'Data Sheet'!F64</f>
        <v>55.53</v>
      </c>
      <c r="G290" s="64">
        <f>'Data Sheet'!G61-'Data Sheet'!G69-'Data Sheet'!G64</f>
        <v>69.240000000000009</v>
      </c>
      <c r="H290" s="64">
        <f>'Data Sheet'!H61-'Data Sheet'!H69-'Data Sheet'!H64</f>
        <v>87.409999999999982</v>
      </c>
      <c r="I290" s="64">
        <f>'Data Sheet'!I61-'Data Sheet'!I69-'Data Sheet'!I64</f>
        <v>105.52</v>
      </c>
      <c r="J290" s="64">
        <f>'Data Sheet'!J61-'Data Sheet'!J69-'Data Sheet'!J64</f>
        <v>127.03</v>
      </c>
      <c r="K290" s="64">
        <f>'Data Sheet'!K61-'Data Sheet'!K69-'Data Sheet'!K64</f>
        <v>147.04999999999998</v>
      </c>
      <c r="L290" s="64"/>
      <c r="M290" s="136">
        <f t="shared" si="67"/>
        <v>68.808999999999997</v>
      </c>
      <c r="N290" s="32">
        <f t="shared" si="68"/>
        <v>121.01179999999997</v>
      </c>
      <c r="O290" s="32">
        <f t="shared" si="69"/>
        <v>126.53333333333335</v>
      </c>
    </row>
    <row r="291" spans="1:15" s="18" customFormat="1">
      <c r="A291" s="133" t="str">
        <f>A84</f>
        <v>invested Capital3(Net Block + Work in Progress + WC )</v>
      </c>
      <c r="B291" s="132">
        <f t="shared" ref="B291:K291" si="73">B84</f>
        <v>21.96</v>
      </c>
      <c r="C291" s="134">
        <f t="shared" si="73"/>
        <v>29.11</v>
      </c>
      <c r="D291" s="134">
        <f t="shared" si="73"/>
        <v>30.11</v>
      </c>
      <c r="E291" s="134">
        <f t="shared" si="73"/>
        <v>42.25</v>
      </c>
      <c r="F291" s="134">
        <f t="shared" si="73"/>
        <v>45.5</v>
      </c>
      <c r="G291" s="134">
        <f t="shared" si="73"/>
        <v>53.6</v>
      </c>
      <c r="H291" s="134">
        <f t="shared" si="73"/>
        <v>67.650000000000006</v>
      </c>
      <c r="I291" s="134">
        <f t="shared" si="73"/>
        <v>87.740000000000009</v>
      </c>
      <c r="J291" s="134">
        <f t="shared" si="73"/>
        <v>114.04999999999998</v>
      </c>
      <c r="K291" s="134">
        <f t="shared" si="73"/>
        <v>136.54</v>
      </c>
      <c r="L291" s="134"/>
      <c r="M291" s="136">
        <f t="shared" si="67"/>
        <v>57.743999999999993</v>
      </c>
      <c r="N291" s="32">
        <f t="shared" si="68"/>
        <v>103.4648</v>
      </c>
      <c r="O291" s="32">
        <f t="shared" si="69"/>
        <v>112.77666666666666</v>
      </c>
    </row>
    <row r="292" spans="1:15" s="18" customFormat="1">
      <c r="A292" s="63" t="s">
        <v>261</v>
      </c>
      <c r="B292" s="64">
        <f>'Data Sheet'!B59</f>
        <v>12.74</v>
      </c>
      <c r="C292" s="64">
        <f>'Data Sheet'!C59</f>
        <v>13.32</v>
      </c>
      <c r="D292" s="64">
        <f>'Data Sheet'!D59</f>
        <v>9.27</v>
      </c>
      <c r="E292" s="64">
        <f>'Data Sheet'!E59</f>
        <v>17.059999999999999</v>
      </c>
      <c r="F292" s="64">
        <f>'Data Sheet'!F59</f>
        <v>18.52</v>
      </c>
      <c r="G292" s="64">
        <f>'Data Sheet'!G59</f>
        <v>26.93</v>
      </c>
      <c r="H292" s="64">
        <f>'Data Sheet'!H59</f>
        <v>36.82</v>
      </c>
      <c r="I292" s="64">
        <f>'Data Sheet'!I59</f>
        <v>53.64</v>
      </c>
      <c r="J292" s="64">
        <f>'Data Sheet'!J59</f>
        <v>46.87</v>
      </c>
      <c r="K292" s="64">
        <f>'Data Sheet'!K59</f>
        <v>61.18</v>
      </c>
      <c r="L292" s="64"/>
      <c r="M292" s="136">
        <f t="shared" si="67"/>
        <v>27.029000000000003</v>
      </c>
      <c r="N292" s="32">
        <f t="shared" si="68"/>
        <v>50.4938</v>
      </c>
      <c r="O292" s="32">
        <f t="shared" si="69"/>
        <v>53.896666666666668</v>
      </c>
    </row>
    <row r="293" spans="1:15" s="18" customFormat="1">
      <c r="A293" s="63" t="s">
        <v>262</v>
      </c>
      <c r="B293" s="64">
        <f>'Data Sheet'!B57+'Data Sheet'!B58</f>
        <v>9.2199999999999989</v>
      </c>
      <c r="C293" s="64">
        <f>'Data Sheet'!C57+'Data Sheet'!C58</f>
        <v>15.790000000000001</v>
      </c>
      <c r="D293" s="64">
        <f>'Data Sheet'!D57+'Data Sheet'!D58</f>
        <v>20.84</v>
      </c>
      <c r="E293" s="64">
        <f>'Data Sheet'!E57+'Data Sheet'!E58</f>
        <v>25.509999999999998</v>
      </c>
      <c r="F293" s="64">
        <f>'Data Sheet'!F57+'Data Sheet'!F58</f>
        <v>28.07</v>
      </c>
      <c r="G293" s="64">
        <f>'Data Sheet'!G57+'Data Sheet'!G58</f>
        <v>31.86</v>
      </c>
      <c r="H293" s="64">
        <f>'Data Sheet'!H57+'Data Sheet'!H58</f>
        <v>38.229999999999997</v>
      </c>
      <c r="I293" s="64">
        <f>'Data Sheet'!I57+'Data Sheet'!I58</f>
        <v>46.819999999999993</v>
      </c>
      <c r="J293" s="64">
        <f>'Data Sheet'!J57+'Data Sheet'!J58</f>
        <v>81.12</v>
      </c>
      <c r="K293" s="64">
        <f>'Data Sheet'!K57+'Data Sheet'!K58</f>
        <v>89.44</v>
      </c>
      <c r="L293" s="64"/>
      <c r="M293" s="136">
        <f t="shared" si="67"/>
        <v>36.189</v>
      </c>
      <c r="N293" s="32">
        <f t="shared" si="68"/>
        <v>64.731800000000007</v>
      </c>
      <c r="O293" s="32">
        <f t="shared" si="69"/>
        <v>72.459999999999994</v>
      </c>
    </row>
    <row r="294" spans="1:15" s="18" customFormat="1">
      <c r="A294" s="63" t="s">
        <v>259</v>
      </c>
      <c r="B294" s="64">
        <f>B290-'Data Sheet'!B57-'Data Sheet'!B58-'Data Sheet'!B59</f>
        <v>8.1300000000000008</v>
      </c>
      <c r="C294" s="64">
        <f>C290-'Data Sheet'!C57-'Data Sheet'!C58-'Data Sheet'!C59</f>
        <v>9.11</v>
      </c>
      <c r="D294" s="64">
        <f>D290-'Data Sheet'!D57-'Data Sheet'!D58-'Data Sheet'!D59</f>
        <v>12.159999999999997</v>
      </c>
      <c r="E294" s="64">
        <f>E290-'Data Sheet'!E57-'Data Sheet'!E58-'Data Sheet'!E59</f>
        <v>11.470000000000002</v>
      </c>
      <c r="F294" s="64">
        <f>F290-'Data Sheet'!F57-'Data Sheet'!F58-'Data Sheet'!F59</f>
        <v>8.9400000000000013</v>
      </c>
      <c r="G294" s="64">
        <f>G290-'Data Sheet'!G57-'Data Sheet'!G58-'Data Sheet'!G59</f>
        <v>10.450000000000017</v>
      </c>
      <c r="H294" s="64">
        <f>H290-'Data Sheet'!H57-'Data Sheet'!H58-'Data Sheet'!H59</f>
        <v>12.359999999999978</v>
      </c>
      <c r="I294" s="64">
        <f>I290-'Data Sheet'!I57-'Data Sheet'!I58-'Data Sheet'!I59</f>
        <v>5.0600000000000023</v>
      </c>
      <c r="J294" s="64">
        <f>J290-'Data Sheet'!J57-'Data Sheet'!J58-'Data Sheet'!J59</f>
        <v>-0.96000000000000085</v>
      </c>
      <c r="K294" s="64">
        <f>K290-'Data Sheet'!K57-'Data Sheet'!K58-'Data Sheet'!K59</f>
        <v>-3.5700000000000145</v>
      </c>
      <c r="L294" s="64"/>
      <c r="M294" s="136">
        <f t="shared" si="67"/>
        <v>5.5909999999999984</v>
      </c>
      <c r="N294" s="32">
        <f t="shared" si="68"/>
        <v>5.7861999999999956</v>
      </c>
      <c r="O294" s="32">
        <f t="shared" si="69"/>
        <v>0.17666666666666231</v>
      </c>
    </row>
    <row r="295" spans="1:15" s="32" customFormat="1">
      <c r="A295" s="148" t="s">
        <v>258</v>
      </c>
      <c r="B295" s="45">
        <f>B294/B290</f>
        <v>0.27018943170488535</v>
      </c>
      <c r="C295" s="45">
        <f t="shared" ref="C295:K295" si="74">C294/C290</f>
        <v>0.23835688121402407</v>
      </c>
      <c r="D295" s="45">
        <f t="shared" si="74"/>
        <v>0.28767447362195403</v>
      </c>
      <c r="E295" s="45">
        <f t="shared" si="74"/>
        <v>0.21225018504811255</v>
      </c>
      <c r="F295" s="45">
        <f t="shared" si="74"/>
        <v>0.16099405726634253</v>
      </c>
      <c r="G295" s="45">
        <f t="shared" si="74"/>
        <v>0.15092432120161778</v>
      </c>
      <c r="H295" s="45">
        <f t="shared" si="74"/>
        <v>0.14140258551653107</v>
      </c>
      <c r="I295" s="45">
        <f t="shared" si="74"/>
        <v>4.7952994692949225E-2</v>
      </c>
      <c r="J295" s="45">
        <f t="shared" si="74"/>
        <v>-7.5572699362355415E-3</v>
      </c>
      <c r="K295" s="45">
        <f t="shared" si="74"/>
        <v>-2.4277456647398946E-2</v>
      </c>
      <c r="L295" s="45"/>
      <c r="M295" s="136">
        <f t="shared" si="67"/>
        <v>9.6936389076387283E-2</v>
      </c>
      <c r="N295" s="32">
        <f t="shared" si="68"/>
        <v>8.1076312780770182E-2</v>
      </c>
      <c r="O295" s="32">
        <f t="shared" si="69"/>
        <v>5.3727560364382468E-3</v>
      </c>
    </row>
    <row r="296" spans="1:15" s="18" customFormat="1">
      <c r="A296" s="147" t="s">
        <v>548</v>
      </c>
      <c r="B296" s="45">
        <f>B292/B290</f>
        <v>0.42339647723496177</v>
      </c>
      <c r="C296" s="45">
        <f t="shared" ref="C296:K296" si="75">C292/C290</f>
        <v>0.34850863422291994</v>
      </c>
      <c r="D296" s="45">
        <f t="shared" si="75"/>
        <v>0.21930447125621008</v>
      </c>
      <c r="E296" s="45">
        <f t="shared" si="75"/>
        <v>0.31569207994078458</v>
      </c>
      <c r="F296" s="45">
        <f t="shared" si="75"/>
        <v>0.33351341617143887</v>
      </c>
      <c r="G296" s="45">
        <f t="shared" si="75"/>
        <v>0.38893703061813972</v>
      </c>
      <c r="H296" s="45">
        <f t="shared" si="75"/>
        <v>0.42123326850474785</v>
      </c>
      <c r="I296" s="45">
        <f t="shared" si="75"/>
        <v>0.50833965125094771</v>
      </c>
      <c r="J296" s="45">
        <f t="shared" si="75"/>
        <v>0.36896796032433282</v>
      </c>
      <c r="K296" s="45">
        <f t="shared" si="75"/>
        <v>0.41604896293777632</v>
      </c>
      <c r="L296" s="45"/>
      <c r="M296" s="136">
        <f t="shared" si="67"/>
        <v>0.29720368410043779</v>
      </c>
      <c r="N296" s="32">
        <f t="shared" si="68"/>
        <v>0.48014611154727643</v>
      </c>
      <c r="O296" s="32">
        <f t="shared" si="69"/>
        <v>0.43111885817101897</v>
      </c>
    </row>
    <row r="297" spans="1:15" s="18" customFormat="1">
      <c r="A297" s="147" t="s">
        <v>549</v>
      </c>
      <c r="B297" s="45">
        <f>B293/B290</f>
        <v>0.30641409106015283</v>
      </c>
      <c r="C297" s="45">
        <f t="shared" ref="C297:K297" si="76">C293/C290</f>
        <v>0.41313448456305601</v>
      </c>
      <c r="D297" s="45">
        <f t="shared" si="76"/>
        <v>0.49302105512183586</v>
      </c>
      <c r="E297" s="45">
        <f t="shared" si="76"/>
        <v>0.47205773501110287</v>
      </c>
      <c r="F297" s="45">
        <f t="shared" si="76"/>
        <v>0.50549252656221866</v>
      </c>
      <c r="G297" s="45">
        <f t="shared" si="76"/>
        <v>0.46013864818024258</v>
      </c>
      <c r="H297" s="45">
        <f t="shared" si="76"/>
        <v>0.43736414597872103</v>
      </c>
      <c r="I297" s="45">
        <f t="shared" si="76"/>
        <v>0.44370735405610306</v>
      </c>
      <c r="J297" s="45">
        <f t="shared" si="76"/>
        <v>0.63858930961190274</v>
      </c>
      <c r="K297" s="45">
        <f t="shared" si="76"/>
        <v>0.60822849370962262</v>
      </c>
      <c r="L297" s="45"/>
      <c r="M297" s="136">
        <f t="shared" si="67"/>
        <v>0.40585992682317495</v>
      </c>
      <c r="N297" s="32">
        <f t="shared" si="68"/>
        <v>0.59877757567195344</v>
      </c>
      <c r="O297" s="32">
        <f t="shared" si="69"/>
        <v>0.56350838579254281</v>
      </c>
    </row>
    <row r="298" spans="1:15" s="18" customFormat="1">
      <c r="A298" s="147" t="s">
        <v>550</v>
      </c>
      <c r="B298" s="45">
        <f>B292/B291</f>
        <v>0.58014571948998173</v>
      </c>
      <c r="C298" s="45">
        <f t="shared" ref="C298:E298" si="77">C292/C291</f>
        <v>0.45757471659223636</v>
      </c>
      <c r="D298" s="45">
        <f t="shared" si="77"/>
        <v>0.30787113915642644</v>
      </c>
      <c r="E298" s="45">
        <f t="shared" si="77"/>
        <v>0.40378698224852067</v>
      </c>
      <c r="F298" s="45">
        <f t="shared" ref="F298:K298" si="78">F292/F291</f>
        <v>0.40703296703296704</v>
      </c>
      <c r="G298" s="45">
        <f t="shared" si="78"/>
        <v>0.50242537313432833</v>
      </c>
      <c r="H298" s="45">
        <f t="shared" si="78"/>
        <v>0.54427198817442712</v>
      </c>
      <c r="I298" s="45">
        <f t="shared" si="78"/>
        <v>0.61135172099384538</v>
      </c>
      <c r="J298" s="45">
        <f t="shared" si="78"/>
        <v>0.4109601052170101</v>
      </c>
      <c r="K298" s="45">
        <f t="shared" si="78"/>
        <v>0.4480738245202871</v>
      </c>
      <c r="L298" s="45"/>
      <c r="M298" s="136">
        <f t="shared" si="67"/>
        <v>0.36357741004778121</v>
      </c>
      <c r="N298" s="32">
        <f t="shared" si="68"/>
        <v>0.57613208441753583</v>
      </c>
      <c r="O298" s="32">
        <f t="shared" si="69"/>
        <v>0.49012855024371421</v>
      </c>
    </row>
    <row r="299" spans="1:15" s="18" customFormat="1">
      <c r="A299" s="147" t="s">
        <v>551</v>
      </c>
      <c r="B299" s="45">
        <f>B293/B291</f>
        <v>0.41985428051001816</v>
      </c>
      <c r="C299" s="45">
        <f t="shared" ref="C299:E299" si="79">C293/C291</f>
        <v>0.54242528340776375</v>
      </c>
      <c r="D299" s="45">
        <f t="shared" si="79"/>
        <v>0.69212886084357361</v>
      </c>
      <c r="E299" s="45">
        <f t="shared" si="79"/>
        <v>0.60378698224852068</v>
      </c>
      <c r="F299" s="45">
        <f t="shared" ref="F299:K299" si="80">F293/F291</f>
        <v>0.61692307692307691</v>
      </c>
      <c r="G299" s="45">
        <f t="shared" si="80"/>
        <v>0.59440298507462686</v>
      </c>
      <c r="H299" s="45">
        <f t="shared" si="80"/>
        <v>0.56511456023651141</v>
      </c>
      <c r="I299" s="45">
        <f t="shared" si="80"/>
        <v>0.53362206519261446</v>
      </c>
      <c r="J299" s="45">
        <f t="shared" si="80"/>
        <v>0.71126698816308653</v>
      </c>
      <c r="K299" s="45">
        <f t="shared" si="80"/>
        <v>0.65504614032517949</v>
      </c>
      <c r="L299" s="45"/>
      <c r="M299" s="136">
        <f t="shared" si="67"/>
        <v>0.49722916590071903</v>
      </c>
      <c r="N299" s="32">
        <f t="shared" si="68"/>
        <v>0.71133638097854746</v>
      </c>
      <c r="O299" s="32">
        <f t="shared" si="69"/>
        <v>0.63331173122696016</v>
      </c>
    </row>
    <row r="300" spans="1:15" s="18" customFormat="1" hidden="1">
      <c r="A300" s="147" t="s">
        <v>554</v>
      </c>
      <c r="B300" s="45"/>
      <c r="C300" s="58">
        <f>C290-B290</f>
        <v>8.129999999999999</v>
      </c>
      <c r="D300" s="58">
        <f t="shared" ref="D300:F300" si="81">D290-C290</f>
        <v>4.0499999999999972</v>
      </c>
      <c r="E300" s="58">
        <f t="shared" si="81"/>
        <v>11.770000000000003</v>
      </c>
      <c r="F300" s="58">
        <f t="shared" si="81"/>
        <v>1.490000000000002</v>
      </c>
      <c r="G300" s="58">
        <f t="shared" ref="G300:K300" si="82">(G290-F290)</f>
        <v>13.710000000000008</v>
      </c>
      <c r="H300" s="58">
        <f t="shared" si="82"/>
        <v>18.169999999999973</v>
      </c>
      <c r="I300" s="58">
        <f t="shared" si="82"/>
        <v>18.110000000000014</v>
      </c>
      <c r="J300" s="58">
        <f t="shared" si="82"/>
        <v>21.510000000000005</v>
      </c>
      <c r="K300" s="58">
        <f t="shared" si="82"/>
        <v>20.019999999999982</v>
      </c>
      <c r="L300" s="58"/>
      <c r="M300" s="136">
        <f t="shared" si="67"/>
        <v>10.882999999999999</v>
      </c>
      <c r="N300" s="32">
        <f t="shared" si="68"/>
        <v>20.480599999999995</v>
      </c>
      <c r="O300" s="32">
        <f t="shared" si="69"/>
        <v>19.88</v>
      </c>
    </row>
    <row r="301" spans="1:15" s="18" customFormat="1" hidden="1">
      <c r="A301" s="147" t="s">
        <v>460</v>
      </c>
      <c r="B301" s="45"/>
      <c r="C301" s="149">
        <f>C291-B291</f>
        <v>7.1499999999999986</v>
      </c>
      <c r="D301" s="149">
        <f t="shared" ref="D301:F301" si="83">D291-C291</f>
        <v>1</v>
      </c>
      <c r="E301" s="149">
        <f t="shared" si="83"/>
        <v>12.14</v>
      </c>
      <c r="F301" s="149">
        <f t="shared" si="83"/>
        <v>3.25</v>
      </c>
      <c r="G301" s="149">
        <f t="shared" ref="G301:K301" si="84">(G291-F291)</f>
        <v>8.1000000000000014</v>
      </c>
      <c r="H301" s="149">
        <f t="shared" si="84"/>
        <v>14.050000000000004</v>
      </c>
      <c r="I301" s="149">
        <f t="shared" si="84"/>
        <v>20.090000000000003</v>
      </c>
      <c r="J301" s="149">
        <f t="shared" si="84"/>
        <v>26.309999999999974</v>
      </c>
      <c r="K301" s="149">
        <f t="shared" si="84"/>
        <v>22.490000000000009</v>
      </c>
      <c r="L301" s="149"/>
      <c r="M301" s="136">
        <f t="shared" si="67"/>
        <v>10.742999999999999</v>
      </c>
      <c r="N301" s="32">
        <f t="shared" si="68"/>
        <v>20.356599999999997</v>
      </c>
      <c r="O301" s="32">
        <f t="shared" si="69"/>
        <v>22.963333333333328</v>
      </c>
    </row>
    <row r="302" spans="1:15" s="18" customFormat="1" hidden="1">
      <c r="A302" s="147" t="s">
        <v>552</v>
      </c>
      <c r="B302" s="45"/>
      <c r="C302" s="58">
        <f>C293-B293</f>
        <v>6.5700000000000021</v>
      </c>
      <c r="D302" s="58">
        <f t="shared" ref="D302:F302" si="85">D293-C293</f>
        <v>5.0499999999999989</v>
      </c>
      <c r="E302" s="58">
        <f t="shared" si="85"/>
        <v>4.6699999999999982</v>
      </c>
      <c r="F302" s="58">
        <f t="shared" si="85"/>
        <v>2.5600000000000023</v>
      </c>
      <c r="G302" s="149">
        <f t="shared" ref="G302:K302" si="86">(G293-F293)</f>
        <v>3.7899999999999991</v>
      </c>
      <c r="H302" s="149">
        <f t="shared" si="86"/>
        <v>6.3699999999999974</v>
      </c>
      <c r="I302" s="149">
        <f t="shared" si="86"/>
        <v>8.5899999999999963</v>
      </c>
      <c r="J302" s="149">
        <f t="shared" si="86"/>
        <v>34.300000000000011</v>
      </c>
      <c r="K302" s="149">
        <f t="shared" si="86"/>
        <v>8.3199999999999932</v>
      </c>
      <c r="L302" s="149"/>
      <c r="M302" s="136">
        <f t="shared" si="67"/>
        <v>7.3650000000000002</v>
      </c>
      <c r="N302" s="32">
        <f t="shared" si="68"/>
        <v>13.747</v>
      </c>
      <c r="O302" s="32">
        <f t="shared" si="69"/>
        <v>17.07</v>
      </c>
    </row>
    <row r="303" spans="1:15" s="18" customFormat="1" hidden="1">
      <c r="A303" s="147" t="s">
        <v>553</v>
      </c>
      <c r="B303" s="45"/>
      <c r="C303" s="58">
        <f>C292-B292</f>
        <v>0.58000000000000007</v>
      </c>
      <c r="D303" s="58">
        <f t="shared" ref="D303:F303" si="87">D292-C292</f>
        <v>-4.0500000000000007</v>
      </c>
      <c r="E303" s="58">
        <f t="shared" si="87"/>
        <v>7.7899999999999991</v>
      </c>
      <c r="F303" s="58">
        <f t="shared" si="87"/>
        <v>1.4600000000000009</v>
      </c>
      <c r="G303" s="149">
        <f t="shared" ref="G303:K303" si="88">(G292-F292)</f>
        <v>8.41</v>
      </c>
      <c r="H303" s="149">
        <f t="shared" si="88"/>
        <v>9.89</v>
      </c>
      <c r="I303" s="149">
        <f t="shared" si="88"/>
        <v>16.82</v>
      </c>
      <c r="J303" s="149">
        <f t="shared" si="88"/>
        <v>-6.7700000000000031</v>
      </c>
      <c r="K303" s="149">
        <f t="shared" si="88"/>
        <v>14.310000000000002</v>
      </c>
      <c r="L303" s="149"/>
      <c r="M303" s="136">
        <f t="shared" si="67"/>
        <v>4.7859999999999996</v>
      </c>
      <c r="N303" s="32">
        <f t="shared" si="68"/>
        <v>9.4892000000000003</v>
      </c>
      <c r="O303" s="32">
        <f t="shared" si="69"/>
        <v>8.1199999999999992</v>
      </c>
    </row>
    <row r="304" spans="1:15" s="18" customFormat="1" hidden="1">
      <c r="A304" s="147" t="s">
        <v>555</v>
      </c>
      <c r="B304" s="45"/>
      <c r="C304" s="45">
        <f>C302/C300</f>
        <v>0.80811808118081219</v>
      </c>
      <c r="D304" s="45">
        <f t="shared" ref="D304:F304" si="89">D302/D300</f>
        <v>1.2469135802469142</v>
      </c>
      <c r="E304" s="45">
        <f t="shared" si="89"/>
        <v>0.39677145284621895</v>
      </c>
      <c r="F304" s="45">
        <f t="shared" si="89"/>
        <v>1.7181208053691268</v>
      </c>
      <c r="G304" s="45">
        <f t="shared" ref="G304:K304" si="90">G302/G300</f>
        <v>0.27644055433989767</v>
      </c>
      <c r="H304" s="45">
        <f t="shared" si="90"/>
        <v>0.35057787561915282</v>
      </c>
      <c r="I304" s="45">
        <f t="shared" si="90"/>
        <v>0.47432357813362724</v>
      </c>
      <c r="J304" s="45">
        <f t="shared" si="90"/>
        <v>1.5946071594607161</v>
      </c>
      <c r="K304" s="45">
        <f t="shared" si="90"/>
        <v>0.41558441558441561</v>
      </c>
      <c r="L304" s="45"/>
      <c r="M304" s="136">
        <f t="shared" si="67"/>
        <v>0.64733394216000695</v>
      </c>
      <c r="N304" s="32">
        <f t="shared" si="68"/>
        <v>0.75177350505956331</v>
      </c>
      <c r="O304" s="32">
        <f t="shared" si="69"/>
        <v>0.82817171772625298</v>
      </c>
    </row>
    <row r="305" spans="1:15" s="18" customFormat="1" hidden="1">
      <c r="A305" s="147" t="s">
        <v>556</v>
      </c>
      <c r="B305" s="45"/>
      <c r="C305" s="45">
        <f>C303/C300</f>
        <v>7.134071340713409E-2</v>
      </c>
      <c r="D305" s="45">
        <f t="shared" ref="D305:F305" si="91">D303/D300</f>
        <v>-1.0000000000000009</v>
      </c>
      <c r="E305" s="45">
        <f t="shared" si="91"/>
        <v>0.66185216652506351</v>
      </c>
      <c r="F305" s="45">
        <f t="shared" si="91"/>
        <v>0.97986577181207979</v>
      </c>
      <c r="G305" s="45">
        <f t="shared" ref="G305:K305" si="92">G303/G300</f>
        <v>0.61342086068563062</v>
      </c>
      <c r="H305" s="45">
        <f t="shared" si="92"/>
        <v>0.54430379746835522</v>
      </c>
      <c r="I305" s="45">
        <f t="shared" si="92"/>
        <v>0.92876863611264426</v>
      </c>
      <c r="J305" s="45">
        <f t="shared" si="92"/>
        <v>-0.31473733147373323</v>
      </c>
      <c r="K305" s="45">
        <f t="shared" si="92"/>
        <v>0.71478521478521551</v>
      </c>
      <c r="L305" s="45"/>
      <c r="M305" s="136">
        <f t="shared" si="67"/>
        <v>0.3128259115915254</v>
      </c>
      <c r="N305" s="32">
        <f t="shared" si="68"/>
        <v>0.55987341783392763</v>
      </c>
      <c r="O305" s="32">
        <f t="shared" si="69"/>
        <v>0.44293883980804222</v>
      </c>
    </row>
    <row r="306" spans="1:15" s="18" customFormat="1" hidden="1">
      <c r="A306" s="147" t="s">
        <v>557</v>
      </c>
      <c r="B306" s="45"/>
      <c r="C306" s="45">
        <f>C302/C301</f>
        <v>0.91888111888111934</v>
      </c>
      <c r="D306" s="45">
        <f t="shared" ref="D306:F306" si="93">D302/D301</f>
        <v>5.0499999999999989</v>
      </c>
      <c r="E306" s="45">
        <f t="shared" si="93"/>
        <v>0.38467874794069173</v>
      </c>
      <c r="F306" s="45">
        <f t="shared" si="93"/>
        <v>0.78769230769230836</v>
      </c>
      <c r="G306" s="45">
        <f t="shared" ref="G306:K306" si="94">G302/G301</f>
        <v>0.46790123456790106</v>
      </c>
      <c r="H306" s="45">
        <f t="shared" si="94"/>
        <v>0.45338078291814915</v>
      </c>
      <c r="I306" s="45">
        <f t="shared" si="94"/>
        <v>0.4275759084121451</v>
      </c>
      <c r="J306" s="45">
        <f t="shared" si="94"/>
        <v>1.3036868110984434</v>
      </c>
      <c r="K306" s="45">
        <f t="shared" si="94"/>
        <v>0.36994219653179145</v>
      </c>
      <c r="L306" s="45"/>
      <c r="M306" s="136">
        <f t="shared" si="67"/>
        <v>0.92448579891614313</v>
      </c>
      <c r="N306" s="32">
        <f t="shared" si="68"/>
        <v>0.78939454648891461</v>
      </c>
      <c r="O306" s="32">
        <f t="shared" si="69"/>
        <v>0.7004016386807933</v>
      </c>
    </row>
    <row r="307" spans="1:15" s="18" customFormat="1" hidden="1">
      <c r="A307" s="147" t="s">
        <v>558</v>
      </c>
      <c r="B307" s="45"/>
      <c r="C307" s="45">
        <f>C303/C301</f>
        <v>8.1118881118881145E-2</v>
      </c>
      <c r="D307" s="45">
        <f t="shared" ref="D307:F307" si="95">D303/D301</f>
        <v>-4.0500000000000007</v>
      </c>
      <c r="E307" s="45">
        <f t="shared" si="95"/>
        <v>0.64168039538714983</v>
      </c>
      <c r="F307" s="45">
        <f t="shared" si="95"/>
        <v>0.44923076923076949</v>
      </c>
      <c r="G307" s="45">
        <f t="shared" ref="G307:K307" si="96">G303/G301</f>
        <v>1.0382716049382714</v>
      </c>
      <c r="H307" s="45">
        <f t="shared" si="96"/>
        <v>0.70391459074733076</v>
      </c>
      <c r="I307" s="45">
        <f t="shared" si="96"/>
        <v>0.83723245395719248</v>
      </c>
      <c r="J307" s="45">
        <f t="shared" si="96"/>
        <v>-0.25731660965412428</v>
      </c>
      <c r="K307" s="45">
        <f t="shared" si="96"/>
        <v>0.63628279235215635</v>
      </c>
      <c r="L307" s="45"/>
      <c r="M307" s="136">
        <f t="shared" si="67"/>
        <v>-7.0400304125495245E-5</v>
      </c>
      <c r="N307" s="32">
        <f t="shared" si="68"/>
        <v>0.59166288640734022</v>
      </c>
      <c r="O307" s="32">
        <f t="shared" si="69"/>
        <v>0.40539954555174146</v>
      </c>
    </row>
    <row r="308" spans="1:15" s="18" customFormat="1" ht="18.75" hidden="1">
      <c r="A308" s="150" t="s">
        <v>318</v>
      </c>
      <c r="B308" s="46"/>
      <c r="C308" s="69"/>
      <c r="D308" s="46"/>
      <c r="E308" s="46"/>
      <c r="F308" s="46"/>
      <c r="G308" s="46"/>
      <c r="H308" s="46"/>
      <c r="I308" s="46"/>
      <c r="J308" s="46"/>
      <c r="K308" s="46"/>
      <c r="L308" s="46"/>
      <c r="M308" s="136">
        <f t="shared" si="67"/>
        <v>0</v>
      </c>
      <c r="N308" s="32">
        <f t="shared" si="68"/>
        <v>0</v>
      </c>
      <c r="O308" s="32">
        <f t="shared" si="69"/>
        <v>0</v>
      </c>
    </row>
    <row r="309" spans="1:15" s="18" customFormat="1" hidden="1">
      <c r="A309" s="151" t="s">
        <v>117</v>
      </c>
      <c r="B309" s="141">
        <f>1/B227</f>
        <v>0.34617918313570489</v>
      </c>
      <c r="C309" s="141">
        <f t="shared" ref="C309:K309" si="97">1/C227</f>
        <v>0.25404978269458711</v>
      </c>
      <c r="D309" s="141">
        <f t="shared" si="97"/>
        <v>0.35479688850475366</v>
      </c>
      <c r="E309" s="141">
        <f t="shared" si="97"/>
        <v>0.34491833030852992</v>
      </c>
      <c r="F309" s="141">
        <f t="shared" si="97"/>
        <v>0.32931145431145431</v>
      </c>
      <c r="G309" s="141">
        <f t="shared" si="97"/>
        <v>0.28910133843212232</v>
      </c>
      <c r="H309" s="141">
        <f t="shared" si="97"/>
        <v>0.25373638029119661</v>
      </c>
      <c r="I309" s="141">
        <f t="shared" si="97"/>
        <v>0.26406666093978182</v>
      </c>
      <c r="J309" s="141">
        <f t="shared" si="97"/>
        <v>0.25586922079792596</v>
      </c>
      <c r="K309" s="141">
        <f t="shared" si="97"/>
        <v>0.29022582921665491</v>
      </c>
      <c r="L309" s="141"/>
      <c r="M309" s="136">
        <f t="shared" si="67"/>
        <v>0.23820261028024192</v>
      </c>
      <c r="N309" s="32">
        <f t="shared" si="68"/>
        <v>0.31824040799158471</v>
      </c>
      <c r="O309" s="32">
        <f t="shared" si="69"/>
        <v>0.27005390365145421</v>
      </c>
    </row>
    <row r="310" spans="1:15" s="18" customFormat="1" hidden="1">
      <c r="A310" s="151" t="s">
        <v>118</v>
      </c>
      <c r="B310" s="46"/>
      <c r="C310" s="69"/>
      <c r="D310" s="46"/>
      <c r="E310" s="46"/>
      <c r="F310" s="46"/>
      <c r="G310" s="46"/>
      <c r="H310" s="46"/>
      <c r="I310" s="46"/>
      <c r="J310" s="46"/>
      <c r="K310" s="141">
        <f>SUM(B309:K309)/10</f>
        <v>0.29822550686327115</v>
      </c>
      <c r="L310" s="141"/>
      <c r="M310" s="136">
        <f t="shared" si="67"/>
        <v>2.9822550686327116E-2</v>
      </c>
      <c r="N310" s="32">
        <f t="shared" si="68"/>
        <v>6.5609611509919646E-2</v>
      </c>
      <c r="O310" s="32">
        <f t="shared" si="69"/>
        <v>9.940850228775705E-2</v>
      </c>
    </row>
    <row r="311" spans="1:15" s="18" customFormat="1" hidden="1">
      <c r="A311" s="151" t="s">
        <v>119</v>
      </c>
      <c r="B311" s="46"/>
      <c r="C311" s="69"/>
      <c r="D311" s="141"/>
      <c r="E311" s="141"/>
      <c r="F311" s="141"/>
      <c r="G311" s="141"/>
      <c r="H311" s="141">
        <f>SUM(B309:H309)/7</f>
        <v>0.31029905109690697</v>
      </c>
      <c r="I311" s="141">
        <f>SUM(C309:I309)/7</f>
        <v>0.29856869078320364</v>
      </c>
      <c r="J311" s="141">
        <f>SUM(D309:J309)/7</f>
        <v>0.29882861051225207</v>
      </c>
      <c r="K311" s="141">
        <f>SUM(E309:K309)/7</f>
        <v>0.28960417347109507</v>
      </c>
      <c r="L311" s="141"/>
      <c r="M311" s="136">
        <f t="shared" si="67"/>
        <v>0.11973005258634577</v>
      </c>
      <c r="N311" s="32">
        <f t="shared" si="68"/>
        <v>0.2634061156899607</v>
      </c>
      <c r="O311" s="32">
        <f t="shared" si="69"/>
        <v>0.29566715825551687</v>
      </c>
    </row>
    <row r="312" spans="1:15" s="18" customFormat="1" hidden="1">
      <c r="A312" s="151" t="s">
        <v>120</v>
      </c>
      <c r="B312" s="46"/>
      <c r="C312" s="69"/>
      <c r="D312" s="141"/>
      <c r="E312" s="141"/>
      <c r="F312" s="141">
        <f t="shared" ref="F312:K312" si="98">SUM(B309:F309)/5</f>
        <v>0.325851127791006</v>
      </c>
      <c r="G312" s="141">
        <f t="shared" si="98"/>
        <v>0.31443555885028951</v>
      </c>
      <c r="H312" s="141">
        <f t="shared" si="98"/>
        <v>0.31437287836961136</v>
      </c>
      <c r="I312" s="141">
        <f t="shared" si="98"/>
        <v>0.296226832856617</v>
      </c>
      <c r="J312" s="141">
        <f t="shared" si="98"/>
        <v>0.27841701095449622</v>
      </c>
      <c r="K312" s="141">
        <f t="shared" si="98"/>
        <v>0.2705998859355363</v>
      </c>
      <c r="L312" s="141"/>
      <c r="M312" s="136">
        <f t="shared" si="67"/>
        <v>0.17999032947575561</v>
      </c>
      <c r="N312" s="32">
        <f t="shared" si="68"/>
        <v>0.33080849928846118</v>
      </c>
      <c r="O312" s="32">
        <f t="shared" si="69"/>
        <v>0.28174790991554982</v>
      </c>
    </row>
    <row r="313" spans="1:15" s="18" customFormat="1" hidden="1">
      <c r="A313" s="151" t="s">
        <v>121</v>
      </c>
      <c r="B313" s="46"/>
      <c r="C313" s="69"/>
      <c r="D313" s="141">
        <f t="shared" ref="D313:K313" si="99">SUM(B309:D309)/3</f>
        <v>0.3183419514450152</v>
      </c>
      <c r="E313" s="141">
        <f t="shared" si="99"/>
        <v>0.31792166716929021</v>
      </c>
      <c r="F313" s="141">
        <f t="shared" si="99"/>
        <v>0.34300889104157933</v>
      </c>
      <c r="G313" s="141">
        <f t="shared" si="99"/>
        <v>0.32111037435070222</v>
      </c>
      <c r="H313" s="141">
        <f t="shared" si="99"/>
        <v>0.29071639101159108</v>
      </c>
      <c r="I313" s="141">
        <f t="shared" si="99"/>
        <v>0.26896812655436692</v>
      </c>
      <c r="J313" s="141">
        <f t="shared" si="99"/>
        <v>0.25789075400963479</v>
      </c>
      <c r="K313" s="141">
        <f t="shared" si="99"/>
        <v>0.27005390365145421</v>
      </c>
      <c r="L313" s="141"/>
      <c r="M313" s="136">
        <f t="shared" si="67"/>
        <v>0.23880120592336337</v>
      </c>
      <c r="N313" s="32">
        <f t="shared" si="68"/>
        <v>0.32950815110022247</v>
      </c>
      <c r="O313" s="32">
        <f t="shared" si="69"/>
        <v>0.26563759473848531</v>
      </c>
    </row>
    <row r="314" spans="1:15" s="18" customFormat="1" hidden="1">
      <c r="A314" s="151" t="s">
        <v>122</v>
      </c>
      <c r="B314" s="46"/>
      <c r="C314" s="69">
        <f>('Data Sheet'!C17-'Data Sheet'!B17)</f>
        <v>20.259999999999998</v>
      </c>
      <c r="D314" s="69">
        <f>('Data Sheet'!D17-'Data Sheet'!C17)</f>
        <v>-4.3399999999999963</v>
      </c>
      <c r="E314" s="69">
        <f>('Data Sheet'!E17-'Data Sheet'!D17)</f>
        <v>8.82</v>
      </c>
      <c r="F314" s="69">
        <f>('Data Sheet'!F17-'Data Sheet'!E17)</f>
        <v>7.0599999999999952</v>
      </c>
      <c r="G314" s="69">
        <f>('Data Sheet'!G17-'Data Sheet'!F17)</f>
        <v>16.290000000000006</v>
      </c>
      <c r="H314" s="69">
        <f>('Data Sheet'!H17-'Data Sheet'!G17)</f>
        <v>25.259999999999991</v>
      </c>
      <c r="I314" s="69">
        <f>('Data Sheet'!I17-'Data Sheet'!H17)</f>
        <v>12.700000000000003</v>
      </c>
      <c r="J314" s="69">
        <f>('Data Sheet'!J17-'Data Sheet'!I17)</f>
        <v>22.450000000000017</v>
      </c>
      <c r="K314" s="69">
        <f>('Data Sheet'!K17-'Data Sheet'!J17)</f>
        <v>2.839999999999975</v>
      </c>
      <c r="L314" s="69"/>
      <c r="M314" s="136">
        <f t="shared" si="67"/>
        <v>9.1079999999999988</v>
      </c>
      <c r="N314" s="32">
        <f t="shared" si="68"/>
        <v>17.729599999999998</v>
      </c>
      <c r="O314" s="32">
        <f t="shared" si="69"/>
        <v>12.663333333333332</v>
      </c>
    </row>
    <row r="315" spans="1:15" s="18" customFormat="1" hidden="1">
      <c r="A315" s="151" t="s">
        <v>123</v>
      </c>
      <c r="B315" s="46"/>
      <c r="C315" s="69">
        <f>('Data Sheet'!C62-'Data Sheet'!B62)+('Data Sheet'!C63-'Data Sheet'!B63)+'Data Sheet'!C26</f>
        <v>6.5900000000000016</v>
      </c>
      <c r="D315" s="69">
        <f>('Data Sheet'!D62-'Data Sheet'!C62)+('Data Sheet'!D63-'Data Sheet'!C63)+'Data Sheet'!D26</f>
        <v>5.259999999999998</v>
      </c>
      <c r="E315" s="69">
        <f>('Data Sheet'!E62-'Data Sheet'!D62)+('Data Sheet'!E63-'Data Sheet'!D63)+'Data Sheet'!E26</f>
        <v>5.35</v>
      </c>
      <c r="F315" s="69">
        <f>('Data Sheet'!F62-'Data Sheet'!E62)+('Data Sheet'!F63-'Data Sheet'!E63)+'Data Sheet'!F26</f>
        <v>3.4299999999999997</v>
      </c>
      <c r="G315" s="69">
        <f>('Data Sheet'!G62-'Data Sheet'!F62)+('Data Sheet'!G63-'Data Sheet'!F63)+'Data Sheet'!G26</f>
        <v>7.6900000000000022</v>
      </c>
      <c r="H315" s="69">
        <f>('Data Sheet'!H62-'Data Sheet'!G62)+('Data Sheet'!H63-'Data Sheet'!G63)+'Data Sheet'!H26</f>
        <v>7.9899999999999975</v>
      </c>
      <c r="I315" s="69">
        <f>('Data Sheet'!I62-'Data Sheet'!H62)+('Data Sheet'!I63-'Data Sheet'!H63)+'Data Sheet'!I26</f>
        <v>10.870000000000001</v>
      </c>
      <c r="J315" s="69">
        <f>('Data Sheet'!J62-'Data Sheet'!I62)+('Data Sheet'!J63-'Data Sheet'!I63)+'Data Sheet'!J26</f>
        <v>7.8299999999999983</v>
      </c>
      <c r="K315" s="69">
        <f>('Data Sheet'!K62-'Data Sheet'!J62)+('Data Sheet'!K63-'Data Sheet'!J63)+'Data Sheet'!K26</f>
        <v>12.680000000000007</v>
      </c>
      <c r="L315" s="69"/>
      <c r="M315" s="136">
        <f t="shared" si="67"/>
        <v>6.1100000000000012</v>
      </c>
      <c r="N315" s="32">
        <f t="shared" si="68"/>
        <v>10.634</v>
      </c>
      <c r="O315" s="32">
        <f t="shared" si="69"/>
        <v>10.460000000000003</v>
      </c>
    </row>
    <row r="316" spans="1:15" s="18" customFormat="1" hidden="1">
      <c r="A316" s="151" t="s">
        <v>538</v>
      </c>
      <c r="B316" s="46"/>
      <c r="C316" s="69"/>
      <c r="D316" s="69"/>
      <c r="E316" s="152">
        <f>SUM(C315:E315)/3</f>
        <v>5.7333333333333334</v>
      </c>
      <c r="F316" s="152">
        <f t="shared" ref="F316:K316" si="100">SUM(D315:F315)/3</f>
        <v>4.6799999999999988</v>
      </c>
      <c r="G316" s="152">
        <f t="shared" si="100"/>
        <v>5.4900000000000011</v>
      </c>
      <c r="H316" s="152">
        <f t="shared" si="100"/>
        <v>6.37</v>
      </c>
      <c r="I316" s="152">
        <f t="shared" si="100"/>
        <v>8.85</v>
      </c>
      <c r="J316" s="152">
        <f t="shared" si="100"/>
        <v>8.8966666666666665</v>
      </c>
      <c r="K316" s="152">
        <f t="shared" si="100"/>
        <v>10.460000000000003</v>
      </c>
      <c r="L316" s="152"/>
      <c r="M316" s="136">
        <f t="shared" si="67"/>
        <v>5.048</v>
      </c>
      <c r="N316" s="32">
        <f t="shared" si="68"/>
        <v>9.0229333333333344</v>
      </c>
      <c r="O316" s="32">
        <f t="shared" si="69"/>
        <v>9.4022222222222229</v>
      </c>
    </row>
    <row r="317" spans="1:15" s="18" customFormat="1" hidden="1">
      <c r="A317" s="151" t="s">
        <v>124</v>
      </c>
      <c r="B317" s="141"/>
      <c r="C317" s="152"/>
      <c r="D317" s="141"/>
      <c r="E317" s="141"/>
      <c r="F317" s="141">
        <f>F312*F314</f>
        <v>2.3005089622045007</v>
      </c>
      <c r="G317" s="141">
        <f t="shared" ref="G317:K317" si="101">G312*G314</f>
        <v>5.1221552536712185</v>
      </c>
      <c r="H317" s="141">
        <f t="shared" si="101"/>
        <v>7.9410589076163802</v>
      </c>
      <c r="I317" s="141">
        <f t="shared" si="101"/>
        <v>3.7620807772790368</v>
      </c>
      <c r="J317" s="141">
        <f t="shared" si="101"/>
        <v>6.2504618959284448</v>
      </c>
      <c r="K317" s="141">
        <f t="shared" si="101"/>
        <v>0.76850367605691627</v>
      </c>
      <c r="L317" s="141"/>
      <c r="M317" s="136">
        <f t="shared" si="67"/>
        <v>2.6144769472756502</v>
      </c>
      <c r="N317" s="32">
        <f t="shared" si="68"/>
        <v>5.2917474915655296</v>
      </c>
      <c r="O317" s="32">
        <f t="shared" si="69"/>
        <v>3.5936821164214656</v>
      </c>
    </row>
    <row r="318" spans="1:15" s="18" customFormat="1" hidden="1">
      <c r="A318" s="151" t="s">
        <v>125</v>
      </c>
      <c r="B318" s="141"/>
      <c r="C318" s="152"/>
      <c r="D318" s="141"/>
      <c r="E318" s="141"/>
      <c r="F318" s="141">
        <f>F315-F317</f>
        <v>1.129491037795499</v>
      </c>
      <c r="G318" s="141">
        <f t="shared" ref="G318:K318" si="102">G315-G317</f>
        <v>2.5678447463287837</v>
      </c>
      <c r="H318" s="141">
        <f t="shared" si="102"/>
        <v>4.8941092383617324E-2</v>
      </c>
      <c r="I318" s="141">
        <f t="shared" si="102"/>
        <v>7.1079192227209642</v>
      </c>
      <c r="J318" s="141">
        <f t="shared" si="102"/>
        <v>1.5795381040715535</v>
      </c>
      <c r="K318" s="46">
        <f t="shared" si="102"/>
        <v>11.911496323943091</v>
      </c>
      <c r="L318" s="46"/>
      <c r="M318" s="136">
        <f t="shared" si="67"/>
        <v>2.4345230527243507</v>
      </c>
      <c r="N318" s="32">
        <f t="shared" si="68"/>
        <v>5.1300525084344724</v>
      </c>
      <c r="O318" s="32">
        <f t="shared" si="69"/>
        <v>6.8663178835785361</v>
      </c>
    </row>
    <row r="319" spans="1:15" s="18" customFormat="1" hidden="1">
      <c r="A319" s="151"/>
      <c r="B319" s="46"/>
      <c r="C319" s="69"/>
      <c r="D319" s="46"/>
      <c r="E319" s="46"/>
      <c r="F319" s="46"/>
      <c r="G319" s="46"/>
      <c r="H319" s="46"/>
      <c r="I319" s="46"/>
      <c r="J319" s="46"/>
      <c r="K319" s="46"/>
      <c r="L319" s="46"/>
      <c r="M319" s="136">
        <f t="shared" si="67"/>
        <v>0</v>
      </c>
      <c r="N319" s="32">
        <f t="shared" si="68"/>
        <v>0</v>
      </c>
      <c r="O319" s="32">
        <f t="shared" si="69"/>
        <v>0</v>
      </c>
    </row>
    <row r="320" spans="1:15" s="18" customFormat="1" hidden="1">
      <c r="A320" s="151" t="s">
        <v>126</v>
      </c>
      <c r="B320" s="46"/>
      <c r="C320" s="69"/>
      <c r="D320" s="141">
        <f>D313*D314</f>
        <v>-1.3816040692713647</v>
      </c>
      <c r="E320" s="141">
        <f t="shared" ref="E320:K320" si="103">E313*E314</f>
        <v>2.8040691044331396</v>
      </c>
      <c r="F320" s="141">
        <f t="shared" si="103"/>
        <v>2.4216427707535484</v>
      </c>
      <c r="G320" s="141">
        <f t="shared" si="103"/>
        <v>5.2308879981729408</v>
      </c>
      <c r="H320" s="141">
        <f t="shared" si="103"/>
        <v>7.3434960369527884</v>
      </c>
      <c r="I320" s="141">
        <f t="shared" si="103"/>
        <v>3.4158952072404607</v>
      </c>
      <c r="J320" s="141">
        <f t="shared" si="103"/>
        <v>5.7896474275163055</v>
      </c>
      <c r="K320" s="141">
        <f t="shared" si="103"/>
        <v>0.76695308637012316</v>
      </c>
      <c r="L320" s="141"/>
      <c r="M320" s="136">
        <f t="shared" si="67"/>
        <v>2.6390987562167942</v>
      </c>
      <c r="N320" s="32">
        <f t="shared" si="68"/>
        <v>5.0371957024938814</v>
      </c>
      <c r="O320" s="32">
        <f t="shared" si="69"/>
        <v>3.3241652403756294</v>
      </c>
    </row>
    <row r="321" spans="1:15" s="18" customFormat="1" hidden="1">
      <c r="A321" s="151" t="s">
        <v>127</v>
      </c>
      <c r="B321" s="46"/>
      <c r="C321" s="69"/>
      <c r="D321" s="141">
        <f>D315-D320</f>
        <v>6.6416040692713629</v>
      </c>
      <c r="E321" s="141">
        <f t="shared" ref="E321:K321" si="104">E315-E320</f>
        <v>2.54593089556686</v>
      </c>
      <c r="F321" s="141">
        <f t="shared" si="104"/>
        <v>1.0083572292464513</v>
      </c>
      <c r="G321" s="141">
        <f t="shared" si="104"/>
        <v>2.4591120018270614</v>
      </c>
      <c r="H321" s="141">
        <f t="shared" si="104"/>
        <v>0.64650396304720914</v>
      </c>
      <c r="I321" s="141">
        <f t="shared" si="104"/>
        <v>7.4541047927595407</v>
      </c>
      <c r="J321" s="141">
        <f t="shared" si="104"/>
        <v>2.0403525724836928</v>
      </c>
      <c r="K321" s="141">
        <f t="shared" si="104"/>
        <v>11.913046913629884</v>
      </c>
      <c r="L321" s="141"/>
      <c r="M321" s="136">
        <f t="shared" si="67"/>
        <v>3.4709012437832065</v>
      </c>
      <c r="N321" s="32">
        <f t="shared" si="68"/>
        <v>5.596804297506119</v>
      </c>
      <c r="O321" s="32">
        <f t="shared" si="69"/>
        <v>7.1358347596243732</v>
      </c>
    </row>
    <row r="322" spans="1:15" s="18" customFormat="1" hidden="1">
      <c r="A322" s="57"/>
      <c r="B322" s="46"/>
      <c r="C322" s="69"/>
      <c r="D322" s="46"/>
      <c r="E322" s="46"/>
      <c r="F322" s="46"/>
      <c r="G322" s="46"/>
      <c r="H322" s="46"/>
      <c r="I322" s="46"/>
      <c r="J322" s="46"/>
      <c r="K322" s="46"/>
      <c r="L322" s="46"/>
      <c r="M322" s="136">
        <f t="shared" si="67"/>
        <v>0</v>
      </c>
      <c r="N322" s="32">
        <f t="shared" si="68"/>
        <v>0</v>
      </c>
      <c r="O322" s="32">
        <f t="shared" si="69"/>
        <v>0</v>
      </c>
    </row>
    <row r="323" spans="1:15" s="18" customFormat="1" hidden="1">
      <c r="A323" s="57" t="s">
        <v>582</v>
      </c>
      <c r="B323" s="46"/>
      <c r="C323" s="152"/>
      <c r="D323" s="141"/>
      <c r="E323" s="141"/>
      <c r="F323" s="141">
        <f>'Data Sheet'!F30+'Data Sheet'!F26-Customization!F318</f>
        <v>6.1305089622045008</v>
      </c>
      <c r="G323" s="141">
        <f>'Data Sheet'!G30+'Data Sheet'!G26-Customization!G318</f>
        <v>6.7221552536712155</v>
      </c>
      <c r="H323" s="141">
        <f>'Data Sheet'!H30+'Data Sheet'!H26-Customization!H318</f>
        <v>12.131058907616382</v>
      </c>
      <c r="I323" s="141">
        <f>'Data Sheet'!I30+'Data Sheet'!I26-Customization!I318</f>
        <v>5.9620807772790361</v>
      </c>
      <c r="J323" s="141">
        <f>'Data Sheet'!J30+'Data Sheet'!J26-Customization!J318</f>
        <v>10.060461895928448</v>
      </c>
      <c r="K323" s="141">
        <f>'Data Sheet'!K30+'Data Sheet'!K26-Customization!K318</f>
        <v>1.2385036760569097</v>
      </c>
      <c r="L323" s="141"/>
      <c r="M323" s="136">
        <f t="shared" si="67"/>
        <v>4.2244769472756492</v>
      </c>
      <c r="N323" s="32">
        <f t="shared" si="68"/>
        <v>8.0677474915655267</v>
      </c>
      <c r="O323" s="32">
        <f t="shared" si="69"/>
        <v>5.7536821164214631</v>
      </c>
    </row>
    <row r="324" spans="1:15" s="18" customFormat="1" hidden="1">
      <c r="A324" s="57" t="s">
        <v>580</v>
      </c>
      <c r="B324" s="46"/>
      <c r="C324" s="152"/>
      <c r="D324" s="45">
        <f>('Data Sheet'!D30+'Data Sheet'!D26-Customization!D321)/'Profit &amp; Loss'!D4</f>
        <v>4.1451943187740654E-2</v>
      </c>
      <c r="E324" s="45">
        <f>('Data Sheet'!E30+'Data Sheet'!E26-Customization!E321)/'Profit &amp; Loss'!E4</f>
        <v>0.1155003467229245</v>
      </c>
      <c r="F324" s="45">
        <f>('Data Sheet'!F30+'Data Sheet'!F26-Customization!F321)/'Profit &amp; Loss'!F4</f>
        <v>0.10057340364790136</v>
      </c>
      <c r="G324" s="45">
        <f>('Data Sheet'!G30+'Data Sheet'!G26-Customization!G321)/'Profit &amp; Loss'!G4</f>
        <v>8.7073142105454915E-2</v>
      </c>
      <c r="H324" s="45">
        <f>('Data Sheet'!H30+'Data Sheet'!H26-Customization!H321)/'Profit &amp; Loss'!H4</f>
        <v>0.1112091026608118</v>
      </c>
      <c r="I324" s="45">
        <f>('Data Sheet'!I30+'Data Sheet'!I26-Customization!I321)/'Profit &amp; Loss'!I4</f>
        <v>4.8242377864792199E-2</v>
      </c>
      <c r="J324" s="45">
        <f>('Data Sheet'!J30+'Data Sheet'!J26-Customization!J321)/'Profit &amp; Loss'!J4</f>
        <v>6.9131840901024824E-2</v>
      </c>
      <c r="K324" s="45">
        <f>('Data Sheet'!K30+'Data Sheet'!K26-Customization!K321)/'Profit &amp; Loss'!K4</f>
        <v>8.729379579182189E-3</v>
      </c>
      <c r="L324" s="45"/>
      <c r="M324" s="136">
        <f t="shared" si="67"/>
        <v>5.8191153666983256E-2</v>
      </c>
      <c r="N324" s="32">
        <f t="shared" si="68"/>
        <v>7.6515399355649827E-2</v>
      </c>
      <c r="O324" s="32">
        <f t="shared" si="69"/>
        <v>4.2034532781666405E-2</v>
      </c>
    </row>
    <row r="325" spans="1:15" s="18" customFormat="1" hidden="1">
      <c r="A325" s="57" t="s">
        <v>581</v>
      </c>
      <c r="B325" s="46"/>
      <c r="C325" s="153"/>
      <c r="D325" s="153"/>
      <c r="E325" s="136">
        <f>(E326+'Data Sheet'!E26-Customization!E316)/'Profit &amp; Loss'!E4</f>
        <v>5.7652752571082877E-2</v>
      </c>
      <c r="F325" s="136">
        <f>(F326+'Data Sheet'!F26-Customization!F316)/'Profit &amp; Loss'!F4</f>
        <v>4.1505791505791527E-2</v>
      </c>
      <c r="G325" s="136">
        <f>(G326+'Data Sheet'!G26-Customization!G316)/'Profit &amp; Loss'!G4</f>
        <v>4.8438495857233879E-2</v>
      </c>
      <c r="H325" s="136">
        <f>(H326+'Data Sheet'!H26-Customization!H316)/'Profit &amp; Loss'!H4</f>
        <v>5.6021598688651045E-2</v>
      </c>
      <c r="I325" s="136">
        <f>(I326+'Data Sheet'!I26-Customization!I316)/'Profit &amp; Loss'!I4</f>
        <v>3.6251181170002582E-2</v>
      </c>
      <c r="J325" s="136">
        <f>(J326+'Data Sheet'!J26-Customization!J316)/'Profit &amp; Loss'!J4</f>
        <v>1.9756109270728316E-2</v>
      </c>
      <c r="K325" s="136">
        <f>(K326+'Data Sheet'!K26-Customization!K316)/'Profit &amp; Loss'!K4</f>
        <v>1.8983768525052916E-2</v>
      </c>
      <c r="L325" s="136"/>
      <c r="M325" s="136">
        <f t="shared" si="67"/>
        <v>2.7860969758854309E-2</v>
      </c>
      <c r="N325" s="32">
        <f t="shared" si="68"/>
        <v>4.1462424654104608E-2</v>
      </c>
      <c r="O325" s="32">
        <f t="shared" si="69"/>
        <v>2.4997019655261271E-2</v>
      </c>
    </row>
    <row r="326" spans="1:15" s="18" customFormat="1" hidden="1">
      <c r="A326" s="57" t="str">
        <f>'Data Sheet'!A30</f>
        <v>Net profit</v>
      </c>
      <c r="B326" s="57">
        <f>'Data Sheet'!B30</f>
        <v>3.64</v>
      </c>
      <c r="C326" s="57">
        <f>'Data Sheet'!C30</f>
        <v>7.38</v>
      </c>
      <c r="D326" s="57">
        <f>'Data Sheet'!D30</f>
        <v>5.91</v>
      </c>
      <c r="E326" s="57">
        <f>'Data Sheet'!E30</f>
        <v>6.05</v>
      </c>
      <c r="F326" s="57">
        <f>'Data Sheet'!F30</f>
        <v>3.94</v>
      </c>
      <c r="G326" s="57">
        <f>'Data Sheet'!G30</f>
        <v>5.5</v>
      </c>
      <c r="H326" s="57">
        <f>'Data Sheet'!H30</f>
        <v>7.98</v>
      </c>
      <c r="I326" s="57">
        <f>'Data Sheet'!I30</f>
        <v>9.48</v>
      </c>
      <c r="J326" s="57">
        <f>'Data Sheet'!J30</f>
        <v>7.05</v>
      </c>
      <c r="K326" s="57">
        <f>'Data Sheet'!K30</f>
        <v>8.32</v>
      </c>
      <c r="L326" s="57"/>
      <c r="M326" s="136">
        <f t="shared" si="67"/>
        <v>5.423</v>
      </c>
      <c r="N326" s="32">
        <f t="shared" si="68"/>
        <v>8.7506000000000004</v>
      </c>
      <c r="O326" s="32">
        <f t="shared" si="69"/>
        <v>8.2833333333333332</v>
      </c>
    </row>
    <row r="327" spans="1:15" s="18" customFormat="1" hidden="1">
      <c r="A327" s="57" t="s">
        <v>544</v>
      </c>
      <c r="B327" s="57"/>
      <c r="C327" s="57"/>
      <c r="D327" s="57">
        <f>SUM(B326:D326)/3</f>
        <v>5.6433333333333335</v>
      </c>
      <c r="E327" s="57">
        <f t="shared" ref="E327:K327" si="105">SUM(C326:E326)/3</f>
        <v>6.4466666666666663</v>
      </c>
      <c r="F327" s="57">
        <f t="shared" si="105"/>
        <v>5.3</v>
      </c>
      <c r="G327" s="57">
        <f t="shared" si="105"/>
        <v>5.1633333333333331</v>
      </c>
      <c r="H327" s="57">
        <f t="shared" si="105"/>
        <v>5.8066666666666675</v>
      </c>
      <c r="I327" s="57">
        <f t="shared" si="105"/>
        <v>7.6533333333333333</v>
      </c>
      <c r="J327" s="57">
        <f t="shared" si="105"/>
        <v>8.17</v>
      </c>
      <c r="K327" s="57">
        <f t="shared" si="105"/>
        <v>8.2833333333333332</v>
      </c>
      <c r="L327" s="57"/>
      <c r="M327" s="136">
        <f t="shared" si="67"/>
        <v>5.246666666666667</v>
      </c>
      <c r="N327" s="32">
        <f t="shared" si="68"/>
        <v>8.0646666666666675</v>
      </c>
      <c r="O327" s="32">
        <f t="shared" si="69"/>
        <v>8.0355555555555558</v>
      </c>
    </row>
    <row r="328" spans="1:15" s="18" customFormat="1" hidden="1">
      <c r="A328" s="57" t="s">
        <v>545</v>
      </c>
      <c r="B328" s="57"/>
      <c r="C328" s="57"/>
      <c r="D328" s="57">
        <f>SUM('Data Sheet'!B26:D26)/3</f>
        <v>2.0333333333333332</v>
      </c>
      <c r="E328" s="57">
        <f>SUM('Data Sheet'!C26:E26)/3</f>
        <v>2.5366666666666666</v>
      </c>
      <c r="F328" s="57">
        <f>SUM('Data Sheet'!D26:F26)/3</f>
        <v>2.9433333333333334</v>
      </c>
      <c r="G328" s="57">
        <f>SUM('Data Sheet'!E26:G26)/3</f>
        <v>3.3233333333333328</v>
      </c>
      <c r="H328" s="57">
        <f>SUM('Data Sheet'!F26:H26)/3</f>
        <v>3.7699999999999996</v>
      </c>
      <c r="I328" s="57">
        <f>SUM('Data Sheet'!G26:I26)/3</f>
        <v>3.86</v>
      </c>
      <c r="J328" s="57">
        <f>SUM('Data Sheet'!H26:J26)/3</f>
        <v>4.126666666666666</v>
      </c>
      <c r="K328" s="57">
        <f>SUM('Data Sheet'!I26:K26)/3</f>
        <v>4.3366666666666669</v>
      </c>
      <c r="L328" s="57"/>
      <c r="M328" s="136">
        <f t="shared" ref="M328:M391" si="106">SUM(D328:K328)/10</f>
        <v>2.6929999999999996</v>
      </c>
      <c r="N328" s="32">
        <f t="shared" ref="N328:N391" si="107">SUM(G328:M328)/5</f>
        <v>4.4219333333333326</v>
      </c>
      <c r="O328" s="32">
        <f t="shared" ref="O328:O391" si="108">SUM(I328:K328)/3</f>
        <v>4.1077777777777778</v>
      </c>
    </row>
    <row r="329" spans="1:15" s="18" customFormat="1" hidden="1">
      <c r="A329" s="57" t="s">
        <v>579</v>
      </c>
      <c r="B329" s="46"/>
      <c r="C329" s="69"/>
      <c r="D329" s="143"/>
      <c r="E329" s="45">
        <f>(E327+E328-E316)/'Profit &amp; Loss'!E4</f>
        <v>5.8983666061705971E-2</v>
      </c>
      <c r="F329" s="45">
        <f>(F327+F328-F316)/'Profit &amp; Loss'!F4</f>
        <v>5.7325182325182328E-2</v>
      </c>
      <c r="G329" s="45">
        <f>(G327+G328-G316)/'Profit &amp; Loss'!G4</f>
        <v>3.8198427873380056E-2</v>
      </c>
      <c r="H329" s="45">
        <f>(H327+H328-H316)/'Profit &amp; Loss'!H4</f>
        <v>3.0919551312956012E-2</v>
      </c>
      <c r="I329" s="45">
        <f>(I327+I328-I316)/'Profit &amp; Loss'!I4</f>
        <v>2.2878905019614586E-2</v>
      </c>
      <c r="J329" s="45">
        <f>(J327+J328-J316)/'Profit &amp; Loss'!J4</f>
        <v>2.448509289932306E-2</v>
      </c>
      <c r="K329" s="45">
        <f>(K327+K328-K316)/'Profit &amp; Loss'!K4</f>
        <v>1.524347212420606E-2</v>
      </c>
      <c r="L329" s="45"/>
      <c r="M329" s="136">
        <f t="shared" si="106"/>
        <v>2.4803429761636808E-2</v>
      </c>
      <c r="N329" s="32">
        <f t="shared" si="107"/>
        <v>3.1305775798223315E-2</v>
      </c>
      <c r="O329" s="32">
        <f t="shared" si="108"/>
        <v>2.0869156681047902E-2</v>
      </c>
    </row>
    <row r="330" spans="1:15" s="18" customFormat="1" hidden="1">
      <c r="A330" s="57" t="s">
        <v>128</v>
      </c>
      <c r="B330" s="45"/>
      <c r="C330" s="136"/>
      <c r="D330" s="45"/>
      <c r="E330" s="45"/>
      <c r="F330" s="45">
        <f>F323/'Data Sheet'!F17</f>
        <v>9.8624661554126469E-2</v>
      </c>
      <c r="G330" s="45">
        <f>G323/'Data Sheet'!G17</f>
        <v>8.5687128791220077E-2</v>
      </c>
      <c r="H330" s="45">
        <f>H323/'Data Sheet'!H17</f>
        <v>0.1169709662290655</v>
      </c>
      <c r="I330" s="45">
        <f>I323/'Data Sheet'!I17</f>
        <v>5.1216225215007613E-2</v>
      </c>
      <c r="J330" s="45">
        <f>J323/'Data Sheet'!J17</f>
        <v>7.2450395332914058E-2</v>
      </c>
      <c r="K330" s="45">
        <f>K323/'Data Sheet'!K17</f>
        <v>8.7403223433797448E-3</v>
      </c>
      <c r="L330" s="45"/>
      <c r="M330" s="136">
        <f t="shared" si="106"/>
        <v>4.3368969946571342E-2</v>
      </c>
      <c r="N330" s="32">
        <f t="shared" si="107"/>
        <v>7.5686801571631684E-2</v>
      </c>
      <c r="O330" s="32">
        <f t="shared" si="108"/>
        <v>4.4135647630433809E-2</v>
      </c>
    </row>
    <row r="331" spans="1:15" s="18" customFormat="1" hidden="1">
      <c r="A331" s="57" t="s">
        <v>129</v>
      </c>
      <c r="B331" s="45"/>
      <c r="C331" s="136"/>
      <c r="D331" s="45">
        <f>D324/'Data Sheet'!D17</f>
        <v>8.9567725124763728E-4</v>
      </c>
      <c r="E331" s="45">
        <f>E324/'Data Sheet'!E17</f>
        <v>2.0961950403434572E-3</v>
      </c>
      <c r="F331" s="45">
        <f>F324/'Data Sheet'!F17</f>
        <v>1.6179762491618625E-3</v>
      </c>
      <c r="G331" s="45">
        <f>G324/'Data Sheet'!G17</f>
        <v>1.1099189560924781E-3</v>
      </c>
      <c r="H331" s="45">
        <f>H324/'Data Sheet'!H17</f>
        <v>1.0723083855058509E-3</v>
      </c>
      <c r="I331" s="45">
        <f>I324/'Data Sheet'!I17</f>
        <v>4.1441781517732325E-4</v>
      </c>
      <c r="J331" s="45">
        <f>J324/'Data Sheet'!J17</f>
        <v>4.9785280787141594E-4</v>
      </c>
      <c r="K331" s="45">
        <f>K324/'Data Sheet'!K17</f>
        <v>6.1604654757813616E-5</v>
      </c>
      <c r="L331" s="45"/>
      <c r="M331" s="136">
        <f t="shared" si="106"/>
        <v>7.7659511601578383E-4</v>
      </c>
      <c r="N331" s="32">
        <f t="shared" si="107"/>
        <v>7.8653954708413315E-4</v>
      </c>
      <c r="O331" s="32">
        <f t="shared" si="108"/>
        <v>3.2462509260218427E-4</v>
      </c>
    </row>
    <row r="332" spans="1:15" s="18" customFormat="1" hidden="1">
      <c r="A332" s="57" t="s">
        <v>133</v>
      </c>
      <c r="B332" s="46"/>
      <c r="C332" s="136">
        <f>C325/'Data Sheet'!C17</f>
        <v>0</v>
      </c>
      <c r="D332" s="136">
        <f>D325/'Data Sheet'!D17</f>
        <v>0</v>
      </c>
      <c r="E332" s="136">
        <f>E325/'Data Sheet'!E17</f>
        <v>1.0463294477510504E-3</v>
      </c>
      <c r="F332" s="136">
        <f>F325/'Data Sheet'!F17</f>
        <v>6.677250885745098E-4</v>
      </c>
      <c r="G332" s="136">
        <f>G325/'Data Sheet'!G17</f>
        <v>6.1744417918717495E-4</v>
      </c>
      <c r="H332" s="136">
        <f>H325/'Data Sheet'!H17</f>
        <v>5.4017547670090688E-4</v>
      </c>
      <c r="I332" s="136">
        <f>I325/'Data Sheet'!I17</f>
        <v>3.1140951095268946E-4</v>
      </c>
      <c r="J332" s="136">
        <f>J325/'Data Sheet'!J17</f>
        <v>1.4227357965381185E-4</v>
      </c>
      <c r="K332" s="136">
        <f>K325/'Data Sheet'!K17</f>
        <v>1.3397154922408552E-4</v>
      </c>
      <c r="L332" s="136"/>
      <c r="M332" s="136">
        <f t="shared" si="106"/>
        <v>3.4593288320442287E-4</v>
      </c>
      <c r="N332" s="32">
        <f t="shared" si="107"/>
        <v>4.1824143578461832E-4</v>
      </c>
      <c r="O332" s="32">
        <f t="shared" si="108"/>
        <v>1.9588487994352897E-4</v>
      </c>
    </row>
    <row r="333" spans="1:15" s="18" customFormat="1" hidden="1">
      <c r="A333" s="57" t="s">
        <v>134</v>
      </c>
      <c r="B333" s="78">
        <f>B64</f>
        <v>0.11989459815546773</v>
      </c>
      <c r="C333" s="78">
        <f t="shared" ref="C333:K333" si="109">C64</f>
        <v>0.1457921770051363</v>
      </c>
      <c r="D333" s="78">
        <f t="shared" si="109"/>
        <v>0.12770095073465859</v>
      </c>
      <c r="E333" s="78">
        <f t="shared" si="109"/>
        <v>0.10980036297640652</v>
      </c>
      <c r="F333" s="78">
        <f t="shared" si="109"/>
        <v>6.3384813384813388E-2</v>
      </c>
      <c r="G333" s="78">
        <f t="shared" si="109"/>
        <v>7.0108349267049078E-2</v>
      </c>
      <c r="H333" s="78">
        <f t="shared" si="109"/>
        <v>7.6945328319352052E-2</v>
      </c>
      <c r="I333" s="78">
        <f t="shared" si="109"/>
        <v>8.1436302723133763E-2</v>
      </c>
      <c r="J333" s="78">
        <f t="shared" si="109"/>
        <v>5.0770560276537514E-2</v>
      </c>
      <c r="K333" s="78">
        <f t="shared" si="109"/>
        <v>5.8715596330275233E-2</v>
      </c>
      <c r="L333" s="78"/>
      <c r="M333" s="136">
        <f t="shared" si="106"/>
        <v>6.3886226401222601E-2</v>
      </c>
      <c r="N333" s="32">
        <f t="shared" si="107"/>
        <v>8.037247266351405E-2</v>
      </c>
      <c r="O333" s="32">
        <f t="shared" si="108"/>
        <v>6.364081977664883E-2</v>
      </c>
    </row>
    <row r="334" spans="1:15" s="18" customFormat="1" hidden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136">
        <f t="shared" si="106"/>
        <v>0</v>
      </c>
      <c r="N334" s="32">
        <f t="shared" si="107"/>
        <v>0</v>
      </c>
      <c r="O334" s="32">
        <f t="shared" si="108"/>
        <v>0</v>
      </c>
    </row>
    <row r="335" spans="1:15" s="18" customFormat="1" hidden="1">
      <c r="A335" s="57" t="s">
        <v>132</v>
      </c>
      <c r="B335" s="46"/>
      <c r="C335" s="152">
        <f>C315/'Data Sheet'!C26</f>
        <v>3.1380952380952389</v>
      </c>
      <c r="D335" s="152">
        <f>D315/'Data Sheet'!D26</f>
        <v>1.9849056603773578</v>
      </c>
      <c r="E335" s="152">
        <f>E315/'Data Sheet'!E26</f>
        <v>1.8706293706293706</v>
      </c>
      <c r="F335" s="152">
        <f>F315/'Data Sheet'!F26</f>
        <v>1.0331325301204819</v>
      </c>
      <c r="G335" s="152">
        <f>G315/'Data Sheet'!G26</f>
        <v>2.0290237467018475</v>
      </c>
      <c r="H335" s="152">
        <f>H315/'Data Sheet'!H26</f>
        <v>1.9023809523809516</v>
      </c>
      <c r="I335" s="152">
        <f>I315/'Data Sheet'!I26</f>
        <v>3.0278551532033431</v>
      </c>
      <c r="J335" s="152">
        <f>J315/'Data Sheet'!J26</f>
        <v>1.7058823529411762</v>
      </c>
      <c r="K335" s="152">
        <f>K315/'Data Sheet'!K26</f>
        <v>2.6252587991718439</v>
      </c>
      <c r="L335" s="152"/>
      <c r="M335" s="136">
        <f t="shared" si="106"/>
        <v>1.6179068565526371</v>
      </c>
      <c r="N335" s="32">
        <f t="shared" si="107"/>
        <v>2.58166157219036</v>
      </c>
      <c r="O335" s="32">
        <f t="shared" si="108"/>
        <v>2.4529987684387877</v>
      </c>
    </row>
    <row r="336" spans="1:15" s="18" customFormat="1" hidden="1">
      <c r="A336" s="57"/>
      <c r="B336" s="46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136">
        <f t="shared" si="106"/>
        <v>0</v>
      </c>
      <c r="N336" s="32">
        <f t="shared" si="107"/>
        <v>0</v>
      </c>
      <c r="O336" s="32">
        <f t="shared" si="108"/>
        <v>0</v>
      </c>
    </row>
    <row r="337" spans="1:15" s="18" customFormat="1" hidden="1">
      <c r="A337" s="57" t="s">
        <v>142</v>
      </c>
      <c r="B337" s="46">
        <f>'Data Sheet'!B30</f>
        <v>3.64</v>
      </c>
      <c r="C337" s="46">
        <f>'Data Sheet'!C30</f>
        <v>7.38</v>
      </c>
      <c r="D337" s="46">
        <f>'Data Sheet'!D30</f>
        <v>5.91</v>
      </c>
      <c r="E337" s="46">
        <f>'Data Sheet'!E30</f>
        <v>6.05</v>
      </c>
      <c r="F337" s="46">
        <f>'Data Sheet'!F30</f>
        <v>3.94</v>
      </c>
      <c r="G337" s="46">
        <f>'Data Sheet'!G30</f>
        <v>5.5</v>
      </c>
      <c r="H337" s="46">
        <f>'Data Sheet'!H30</f>
        <v>7.98</v>
      </c>
      <c r="I337" s="46">
        <f>'Data Sheet'!I30</f>
        <v>9.48</v>
      </c>
      <c r="J337" s="46">
        <f>'Data Sheet'!J30</f>
        <v>7.05</v>
      </c>
      <c r="K337" s="46">
        <f>'Data Sheet'!K30</f>
        <v>8.32</v>
      </c>
      <c r="L337" s="46"/>
      <c r="M337" s="136">
        <f t="shared" si="106"/>
        <v>5.423</v>
      </c>
      <c r="N337" s="32">
        <f t="shared" si="107"/>
        <v>8.7506000000000004</v>
      </c>
      <c r="O337" s="32">
        <f t="shared" si="108"/>
        <v>8.2833333333333332</v>
      </c>
    </row>
    <row r="338" spans="1:15" s="18" customFormat="1" hidden="1">
      <c r="A338" s="57" t="s">
        <v>148</v>
      </c>
      <c r="B338" s="46"/>
      <c r="C338" s="69">
        <f>C82-B82</f>
        <v>7.1499999999999986</v>
      </c>
      <c r="D338" s="69">
        <f t="shared" ref="D338:K338" si="110">D82-C82</f>
        <v>1</v>
      </c>
      <c r="E338" s="69">
        <f t="shared" si="110"/>
        <v>12.459999999999994</v>
      </c>
      <c r="F338" s="69">
        <f t="shared" si="110"/>
        <v>4.0200000000000102</v>
      </c>
      <c r="G338" s="69">
        <f t="shared" si="110"/>
        <v>12.199999999999996</v>
      </c>
      <c r="H338" s="69">
        <f t="shared" si="110"/>
        <v>16.259999999999998</v>
      </c>
      <c r="I338" s="69">
        <f t="shared" si="110"/>
        <v>25.409999999999997</v>
      </c>
      <c r="J338" s="69">
        <f t="shared" si="110"/>
        <v>27.530000000000015</v>
      </c>
      <c r="K338" s="69">
        <f t="shared" si="110"/>
        <v>22.629999999999995</v>
      </c>
      <c r="L338" s="69"/>
      <c r="M338" s="136">
        <f t="shared" si="106"/>
        <v>12.151</v>
      </c>
      <c r="N338" s="32">
        <f t="shared" si="107"/>
        <v>23.2362</v>
      </c>
      <c r="O338" s="32">
        <f t="shared" si="108"/>
        <v>25.19</v>
      </c>
    </row>
    <row r="339" spans="1:15" s="18" customFormat="1" hidden="1">
      <c r="A339" s="57" t="s">
        <v>149</v>
      </c>
      <c r="B339" s="46"/>
      <c r="C339" s="69">
        <f>C83-B83</f>
        <v>7.1900000000000013</v>
      </c>
      <c r="D339" s="69">
        <f t="shared" ref="D339:K339" si="111">D83-C83</f>
        <v>0.84999999999999787</v>
      </c>
      <c r="E339" s="69">
        <f t="shared" si="111"/>
        <v>12.399999999999991</v>
      </c>
      <c r="F339" s="69">
        <f t="shared" si="111"/>
        <v>3.6300000000000168</v>
      </c>
      <c r="G339" s="69">
        <f t="shared" si="111"/>
        <v>11.819999999999993</v>
      </c>
      <c r="H339" s="69">
        <f t="shared" si="111"/>
        <v>16.079999999999991</v>
      </c>
      <c r="I339" s="69">
        <f t="shared" si="111"/>
        <v>22.340000000000003</v>
      </c>
      <c r="J339" s="69">
        <f t="shared" si="111"/>
        <v>7.4800000000000182</v>
      </c>
      <c r="K339" s="69">
        <f t="shared" si="111"/>
        <v>27.929999999999978</v>
      </c>
      <c r="L339" s="69"/>
      <c r="M339" s="136">
        <f t="shared" si="106"/>
        <v>10.252999999999998</v>
      </c>
      <c r="N339" s="32">
        <f t="shared" si="107"/>
        <v>19.180599999999995</v>
      </c>
      <c r="O339" s="32">
        <f t="shared" si="108"/>
        <v>19.25</v>
      </c>
    </row>
    <row r="340" spans="1:15" s="18" customFormat="1" hidden="1">
      <c r="A340" s="57" t="s">
        <v>150</v>
      </c>
      <c r="B340" s="46"/>
      <c r="C340" s="153">
        <f>C84-B84</f>
        <v>7.1499999999999986</v>
      </c>
      <c r="D340" s="153">
        <f t="shared" ref="D340:K340" si="112">D84-C84</f>
        <v>1</v>
      </c>
      <c r="E340" s="153">
        <f t="shared" si="112"/>
        <v>12.14</v>
      </c>
      <c r="F340" s="153">
        <f t="shared" si="112"/>
        <v>3.25</v>
      </c>
      <c r="G340" s="153">
        <f t="shared" si="112"/>
        <v>8.1000000000000014</v>
      </c>
      <c r="H340" s="153">
        <f t="shared" si="112"/>
        <v>14.050000000000004</v>
      </c>
      <c r="I340" s="153">
        <f t="shared" si="112"/>
        <v>20.090000000000003</v>
      </c>
      <c r="J340" s="153">
        <f t="shared" si="112"/>
        <v>26.309999999999974</v>
      </c>
      <c r="K340" s="153">
        <f t="shared" si="112"/>
        <v>22.490000000000009</v>
      </c>
      <c r="L340" s="153"/>
      <c r="M340" s="136">
        <f t="shared" si="106"/>
        <v>10.742999999999999</v>
      </c>
      <c r="N340" s="32">
        <f t="shared" si="107"/>
        <v>20.356599999999997</v>
      </c>
      <c r="O340" s="32">
        <f t="shared" si="108"/>
        <v>22.963333333333328</v>
      </c>
    </row>
    <row r="341" spans="1:15" s="18" customFormat="1" hidden="1">
      <c r="A341" s="57" t="s">
        <v>151</v>
      </c>
      <c r="B341" s="46"/>
      <c r="C341" s="153">
        <f>C85-B85</f>
        <v>7.1900000000000013</v>
      </c>
      <c r="D341" s="153">
        <f t="shared" ref="D341:K341" si="113">D85-C85</f>
        <v>0.85000000000000142</v>
      </c>
      <c r="E341" s="153">
        <f t="shared" si="113"/>
        <v>12.079999999999995</v>
      </c>
      <c r="F341" s="153">
        <f t="shared" si="113"/>
        <v>2.8599999999999994</v>
      </c>
      <c r="G341" s="153">
        <f t="shared" si="113"/>
        <v>7.720000000000006</v>
      </c>
      <c r="H341" s="153">
        <f t="shared" si="113"/>
        <v>13.869999999999997</v>
      </c>
      <c r="I341" s="153">
        <f t="shared" si="113"/>
        <v>17.019999999999996</v>
      </c>
      <c r="J341" s="153">
        <f t="shared" si="113"/>
        <v>6.2599999999999909</v>
      </c>
      <c r="K341" s="153">
        <f t="shared" si="113"/>
        <v>27.79000000000002</v>
      </c>
      <c r="L341" s="153"/>
      <c r="M341" s="136">
        <f t="shared" si="106"/>
        <v>8.8450000000000006</v>
      </c>
      <c r="N341" s="32">
        <f t="shared" si="107"/>
        <v>16.301000000000002</v>
      </c>
      <c r="O341" s="32">
        <f t="shared" si="108"/>
        <v>17.023333333333337</v>
      </c>
    </row>
    <row r="342" spans="1:15" s="18" customFormat="1" hidden="1">
      <c r="A342" s="57"/>
      <c r="B342" s="46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136">
        <f t="shared" si="106"/>
        <v>0</v>
      </c>
      <c r="N342" s="32">
        <f t="shared" si="107"/>
        <v>0</v>
      </c>
      <c r="O342" s="32">
        <f t="shared" si="108"/>
        <v>0</v>
      </c>
    </row>
    <row r="343" spans="1:15" s="18" customFormat="1" hidden="1">
      <c r="A343" s="57" t="s">
        <v>131</v>
      </c>
      <c r="B343" s="46"/>
      <c r="C343" s="69">
        <f>C337-C338</f>
        <v>0.23000000000000131</v>
      </c>
      <c r="D343" s="69">
        <f t="shared" ref="D343:K343" si="114">D337-D338</f>
        <v>4.91</v>
      </c>
      <c r="E343" s="69">
        <f t="shared" si="114"/>
        <v>-6.4099999999999939</v>
      </c>
      <c r="F343" s="69">
        <f t="shared" si="114"/>
        <v>-8.0000000000010285E-2</v>
      </c>
      <c r="G343" s="69">
        <f t="shared" si="114"/>
        <v>-6.6999999999999957</v>
      </c>
      <c r="H343" s="69">
        <f t="shared" si="114"/>
        <v>-8.2799999999999976</v>
      </c>
      <c r="I343" s="69">
        <f t="shared" si="114"/>
        <v>-15.929999999999996</v>
      </c>
      <c r="J343" s="69">
        <f t="shared" si="114"/>
        <v>-20.480000000000015</v>
      </c>
      <c r="K343" s="69">
        <f t="shared" si="114"/>
        <v>-14.309999999999995</v>
      </c>
      <c r="L343" s="69"/>
      <c r="M343" s="136">
        <f t="shared" si="106"/>
        <v>-6.7279999999999998</v>
      </c>
      <c r="N343" s="32">
        <f t="shared" si="107"/>
        <v>-14.485599999999996</v>
      </c>
      <c r="O343" s="32">
        <f t="shared" si="108"/>
        <v>-16.90666666666667</v>
      </c>
    </row>
    <row r="344" spans="1:15" s="18" customFormat="1" hidden="1">
      <c r="A344" s="57" t="s">
        <v>130</v>
      </c>
      <c r="B344" s="46"/>
      <c r="C344" s="69">
        <f>C337-C339</f>
        <v>0.18999999999999861</v>
      </c>
      <c r="D344" s="69">
        <f t="shared" ref="D344:K344" si="115">D337-D339</f>
        <v>5.0600000000000023</v>
      </c>
      <c r="E344" s="69">
        <f t="shared" si="115"/>
        <v>-6.3499999999999917</v>
      </c>
      <c r="F344" s="69">
        <f t="shared" si="115"/>
        <v>0.30999999999998318</v>
      </c>
      <c r="G344" s="69">
        <f t="shared" si="115"/>
        <v>-6.3199999999999932</v>
      </c>
      <c r="H344" s="69">
        <f t="shared" si="115"/>
        <v>-8.0999999999999908</v>
      </c>
      <c r="I344" s="69">
        <f t="shared" si="115"/>
        <v>-12.860000000000003</v>
      </c>
      <c r="J344" s="69">
        <f t="shared" si="115"/>
        <v>-0.43000000000001837</v>
      </c>
      <c r="K344" s="69">
        <f t="shared" si="115"/>
        <v>-19.609999999999978</v>
      </c>
      <c r="L344" s="69"/>
      <c r="M344" s="136">
        <f t="shared" si="106"/>
        <v>-4.8299999999999983</v>
      </c>
      <c r="N344" s="32">
        <f t="shared" si="107"/>
        <v>-10.429999999999996</v>
      </c>
      <c r="O344" s="32">
        <f t="shared" si="108"/>
        <v>-10.966666666666667</v>
      </c>
    </row>
    <row r="345" spans="1:15" s="2" customFormat="1" hidden="1">
      <c r="A345" s="138" t="s">
        <v>583</v>
      </c>
      <c r="B345" s="145"/>
      <c r="C345" s="195">
        <f>(C337-C340)/'Profit &amp; Loss'!C4</f>
        <v>4.543658632951429E-3</v>
      </c>
      <c r="D345" s="195">
        <f>(D337-D340)/'Profit &amp; Loss'!D4</f>
        <v>0.1060933448573898</v>
      </c>
      <c r="E345" s="195">
        <f>(E337-E340)/'Profit &amp; Loss'!E4</f>
        <v>-0.11052631578947369</v>
      </c>
      <c r="F345" s="195">
        <f>(F337-F340)/'Profit &amp; Loss'!F4</f>
        <v>1.1100386100386101E-2</v>
      </c>
      <c r="G345" s="195">
        <f>(G337-G340)/'Profit &amp; Loss'!G4</f>
        <v>-3.3142128744423217E-2</v>
      </c>
      <c r="H345" s="195">
        <f>(H337-H340)/'Profit &amp; Loss'!H4</f>
        <v>-5.8528589335647516E-2</v>
      </c>
      <c r="I345" s="195">
        <f>(I337-I340)/'Profit &amp; Loss'!I4</f>
        <v>-9.1143372562494662E-2</v>
      </c>
      <c r="J345" s="195">
        <f>(J337-J340)/'Profit &amp; Loss'!J4</f>
        <v>-0.13870084977675337</v>
      </c>
      <c r="K345" s="195">
        <f>(K337-K340)/'Profit &amp; Loss'!K4</f>
        <v>-0.10000000000000007</v>
      </c>
      <c r="L345" s="195"/>
      <c r="M345" s="136">
        <f t="shared" si="106"/>
        <v>-4.1484752525101663E-2</v>
      </c>
      <c r="N345" s="32">
        <f t="shared" si="107"/>
        <v>-9.2599938588884101E-2</v>
      </c>
      <c r="O345" s="32">
        <f t="shared" si="108"/>
        <v>-0.1099480741130827</v>
      </c>
    </row>
    <row r="346" spans="1:15" s="18" customFormat="1" hidden="1">
      <c r="A346" s="57" t="s">
        <v>152</v>
      </c>
      <c r="B346" s="46"/>
      <c r="C346" s="153">
        <f>C337-C341</f>
        <v>0.18999999999999861</v>
      </c>
      <c r="D346" s="153">
        <f t="shared" ref="D346:K346" si="116">D337-D341</f>
        <v>5.0599999999999987</v>
      </c>
      <c r="E346" s="153">
        <f t="shared" si="116"/>
        <v>-6.0299999999999949</v>
      </c>
      <c r="F346" s="153">
        <f t="shared" si="116"/>
        <v>1.0800000000000005</v>
      </c>
      <c r="G346" s="153">
        <f t="shared" si="116"/>
        <v>-2.220000000000006</v>
      </c>
      <c r="H346" s="153">
        <f t="shared" si="116"/>
        <v>-5.889999999999997</v>
      </c>
      <c r="I346" s="153">
        <f t="shared" si="116"/>
        <v>-7.5399999999999956</v>
      </c>
      <c r="J346" s="153">
        <f t="shared" si="116"/>
        <v>0.79000000000000892</v>
      </c>
      <c r="K346" s="153">
        <f t="shared" si="116"/>
        <v>-19.47000000000002</v>
      </c>
      <c r="L346" s="153"/>
      <c r="M346" s="136">
        <f t="shared" si="106"/>
        <v>-3.4220000000000006</v>
      </c>
      <c r="N346" s="32">
        <f t="shared" si="107"/>
        <v>-7.5504000000000016</v>
      </c>
      <c r="O346" s="32">
        <f t="shared" si="108"/>
        <v>-8.740000000000002</v>
      </c>
    </row>
    <row r="347" spans="1:15" s="18" customFormat="1" ht="18.75" hidden="1">
      <c r="A347" s="137" t="s">
        <v>320</v>
      </c>
      <c r="B347" s="46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136">
        <f t="shared" si="106"/>
        <v>0</v>
      </c>
      <c r="N347" s="32">
        <f t="shared" si="107"/>
        <v>0</v>
      </c>
      <c r="O347" s="32">
        <f t="shared" si="108"/>
        <v>0</v>
      </c>
    </row>
    <row r="348" spans="1:15" s="18" customFormat="1" hidden="1">
      <c r="A348" s="57" t="s">
        <v>197</v>
      </c>
      <c r="B348" s="46"/>
      <c r="C348" s="154">
        <f>C4</f>
        <v>0.66732542819499341</v>
      </c>
      <c r="D348" s="154">
        <f t="shared" ref="D348:K348" si="117">D4</f>
        <v>-8.5736862900039443E-2</v>
      </c>
      <c r="E348" s="154">
        <f t="shared" si="117"/>
        <v>0.19057908383751079</v>
      </c>
      <c r="F348" s="154">
        <f t="shared" si="117"/>
        <v>0.12813067150635199</v>
      </c>
      <c r="G348" s="154">
        <f t="shared" si="117"/>
        <v>0.26206563706563718</v>
      </c>
      <c r="H348" s="154">
        <f t="shared" si="117"/>
        <v>0.32198852772466524</v>
      </c>
      <c r="I348" s="154">
        <f t="shared" si="117"/>
        <v>0.12245685083405654</v>
      </c>
      <c r="J348" s="154">
        <f t="shared" si="117"/>
        <v>0.19285284769349728</v>
      </c>
      <c r="K348" s="154">
        <f t="shared" si="117"/>
        <v>2.0452254068846137E-2</v>
      </c>
      <c r="L348" s="154"/>
      <c r="M348" s="136">
        <f t="shared" si="106"/>
        <v>0.11527890098305257</v>
      </c>
      <c r="N348" s="32">
        <f t="shared" si="107"/>
        <v>0.20701900367395099</v>
      </c>
      <c r="O348" s="32">
        <f t="shared" si="108"/>
        <v>0.11192065086546665</v>
      </c>
    </row>
    <row r="349" spans="1:15" s="32" customFormat="1" hidden="1">
      <c r="A349" s="45" t="s">
        <v>198</v>
      </c>
      <c r="B349" s="45"/>
      <c r="C349" s="136">
        <f>(C88-B88)/B88</f>
        <v>1.1223709369024861</v>
      </c>
      <c r="D349" s="136">
        <f t="shared" ref="D349:K350" si="118">(D88-C88)/C88</f>
        <v>-0.26846846846846845</v>
      </c>
      <c r="E349" s="136">
        <f t="shared" si="118"/>
        <v>8.1280788177339913E-2</v>
      </c>
      <c r="F349" s="136">
        <f t="shared" si="118"/>
        <v>-0.22209567198177685</v>
      </c>
      <c r="G349" s="136">
        <f t="shared" si="118"/>
        <v>0.40849194729136151</v>
      </c>
      <c r="H349" s="136">
        <f t="shared" si="118"/>
        <v>0.44802494802494813</v>
      </c>
      <c r="I349" s="136">
        <f t="shared" si="118"/>
        <v>0.2591529073941134</v>
      </c>
      <c r="J349" s="136">
        <f t="shared" si="118"/>
        <v>-0.16248574686431003</v>
      </c>
      <c r="K349" s="136">
        <f t="shared" si="118"/>
        <v>0.11027910142954372</v>
      </c>
      <c r="L349" s="136"/>
      <c r="M349" s="136">
        <f t="shared" si="106"/>
        <v>6.5417980500275141E-2</v>
      </c>
      <c r="N349" s="32">
        <f t="shared" si="107"/>
        <v>0.22577622755518637</v>
      </c>
      <c r="O349" s="32">
        <f t="shared" si="108"/>
        <v>6.8982087319782365E-2</v>
      </c>
    </row>
    <row r="350" spans="1:15" s="32" customFormat="1" hidden="1">
      <c r="A350" s="45" t="s">
        <v>290</v>
      </c>
      <c r="B350" s="45"/>
      <c r="C350" s="136">
        <f>(C89-B89)/B89</f>
        <v>1.0060790273556233</v>
      </c>
      <c r="D350" s="136">
        <f t="shared" ref="D350:K350" si="119">(D89-C89)/C89</f>
        <v>-0.18409090909090906</v>
      </c>
      <c r="E350" s="136">
        <f t="shared" si="118"/>
        <v>8.0779944289693512E-2</v>
      </c>
      <c r="F350" s="136">
        <f t="shared" si="119"/>
        <v>-0.12800687285223369</v>
      </c>
      <c r="G350" s="136">
        <f t="shared" si="119"/>
        <v>0.32118226600985217</v>
      </c>
      <c r="H350" s="136">
        <f t="shared" si="119"/>
        <v>0.35197613721103643</v>
      </c>
      <c r="I350" s="136">
        <f t="shared" si="119"/>
        <v>0.16547159404302261</v>
      </c>
      <c r="J350" s="136">
        <f t="shared" si="119"/>
        <v>-8.7553241836251683E-2</v>
      </c>
      <c r="K350" s="136">
        <f t="shared" si="119"/>
        <v>9.6473029045643116E-2</v>
      </c>
      <c r="L350" s="136"/>
      <c r="M350" s="136">
        <f t="shared" si="106"/>
        <v>6.1623194681985335E-2</v>
      </c>
      <c r="N350" s="32">
        <f t="shared" si="107"/>
        <v>0.1818345958310576</v>
      </c>
      <c r="O350" s="32">
        <f t="shared" si="108"/>
        <v>5.8130460417471351E-2</v>
      </c>
    </row>
    <row r="351" spans="1:15" s="32" customFormat="1" hidden="1">
      <c r="A351" s="45" t="s">
        <v>207</v>
      </c>
      <c r="B351" s="45"/>
      <c r="C351" s="136">
        <f>(C166-B166)/B166</f>
        <v>1.1419407562930246</v>
      </c>
      <c r="D351" s="136">
        <f t="shared" ref="D351:K351" si="120">(D166-C166)/C166</f>
        <v>-0.29670276772141913</v>
      </c>
      <c r="E351" s="136">
        <f t="shared" si="120"/>
        <v>9.5181711299504521E-2</v>
      </c>
      <c r="F351" s="136">
        <f t="shared" si="120"/>
        <v>-0.27873591146964249</v>
      </c>
      <c r="G351" s="136">
        <f t="shared" si="120"/>
        <v>0.45876424764229773</v>
      </c>
      <c r="H351" s="136">
        <f t="shared" si="120"/>
        <v>0.42932421937928711</v>
      </c>
      <c r="I351" s="136">
        <f t="shared" si="120"/>
        <v>0.19485136334811931</v>
      </c>
      <c r="J351" s="136">
        <f t="shared" si="120"/>
        <v>-0.25939408457577801</v>
      </c>
      <c r="K351" s="136">
        <f t="shared" si="120"/>
        <v>9.9421000024378578E-2</v>
      </c>
      <c r="L351" s="136"/>
      <c r="M351" s="136">
        <f t="shared" si="106"/>
        <v>4.4270977792674762E-2</v>
      </c>
      <c r="N351" s="32">
        <f t="shared" si="107"/>
        <v>0.19344754472219589</v>
      </c>
      <c r="O351" s="32">
        <f t="shared" si="108"/>
        <v>1.1626092932239962E-2</v>
      </c>
    </row>
    <row r="352" spans="1:15" s="32" customFormat="1" hidden="1">
      <c r="A352" s="45" t="s">
        <v>240</v>
      </c>
      <c r="B352" s="45"/>
      <c r="C352" s="136">
        <f>(C82-B82)/B82</f>
        <v>0.3255919854280509</v>
      </c>
      <c r="D352" s="136">
        <f t="shared" ref="D352:K352" si="121">(D82-C82)/C82</f>
        <v>3.4352456200618345E-2</v>
      </c>
      <c r="E352" s="136">
        <f t="shared" si="121"/>
        <v>0.41381600797077361</v>
      </c>
      <c r="F352" s="136">
        <f t="shared" si="121"/>
        <v>9.4432699083862134E-2</v>
      </c>
      <c r="G352" s="136">
        <f t="shared" si="121"/>
        <v>0.26185876797596042</v>
      </c>
      <c r="H352" s="136">
        <f t="shared" si="121"/>
        <v>0.27657764926007822</v>
      </c>
      <c r="I352" s="136">
        <f t="shared" si="121"/>
        <v>0.3385742838107928</v>
      </c>
      <c r="J352" s="136">
        <f t="shared" si="121"/>
        <v>0.27403941867409931</v>
      </c>
      <c r="K352" s="136">
        <f t="shared" si="121"/>
        <v>0.17681068833502614</v>
      </c>
      <c r="L352" s="136"/>
      <c r="M352" s="136">
        <f t="shared" si="106"/>
        <v>0.18704619713112108</v>
      </c>
      <c r="N352" s="32">
        <f t="shared" si="107"/>
        <v>0.30298140103741555</v>
      </c>
      <c r="O352" s="32">
        <f t="shared" si="108"/>
        <v>0.26314146360663943</v>
      </c>
    </row>
    <row r="353" spans="1:15" s="32" customFormat="1" hidden="1">
      <c r="A353" s="45" t="s">
        <v>241</v>
      </c>
      <c r="B353" s="45"/>
      <c r="C353" s="136">
        <f>(C83-B83)/B83</f>
        <v>0.34173003802281376</v>
      </c>
      <c r="D353" s="136">
        <f>D382</f>
        <v>3.4352456200618345E-2</v>
      </c>
      <c r="E353" s="136">
        <f t="shared" ref="E353:K353" si="122">(E83-D83)/D83</f>
        <v>0.42640990371389242</v>
      </c>
      <c r="F353" s="136">
        <f t="shared" si="122"/>
        <v>8.751205400192906E-2</v>
      </c>
      <c r="G353" s="136">
        <f t="shared" si="122"/>
        <v>0.26202615827976039</v>
      </c>
      <c r="H353" s="136">
        <f t="shared" si="122"/>
        <v>0.28245213419989446</v>
      </c>
      <c r="I353" s="136">
        <f t="shared" si="122"/>
        <v>0.3059854814408986</v>
      </c>
      <c r="J353" s="136">
        <f t="shared" si="122"/>
        <v>7.8447823807026945E-2</v>
      </c>
      <c r="K353" s="136">
        <f t="shared" si="122"/>
        <v>0.27161334240980234</v>
      </c>
      <c r="L353" s="136"/>
      <c r="M353" s="136">
        <f t="shared" si="106"/>
        <v>0.17487993540538227</v>
      </c>
      <c r="N353" s="32">
        <f t="shared" si="107"/>
        <v>0.27508097510855301</v>
      </c>
      <c r="O353" s="32">
        <f t="shared" si="108"/>
        <v>0.21868221588590928</v>
      </c>
    </row>
    <row r="354" spans="1:15" s="32" customFormat="1" hidden="1">
      <c r="A354" s="45" t="s">
        <v>242</v>
      </c>
      <c r="B354" s="45"/>
      <c r="C354" s="136">
        <f>(C84-B84)/B84</f>
        <v>0.3255919854280509</v>
      </c>
      <c r="D354" s="136">
        <f t="shared" ref="D354:K354" si="123">(D84-C84)/C84</f>
        <v>3.4352456200618345E-2</v>
      </c>
      <c r="E354" s="136">
        <f t="shared" si="123"/>
        <v>0.40318830953171708</v>
      </c>
      <c r="F354" s="136">
        <f t="shared" si="123"/>
        <v>7.6923076923076927E-2</v>
      </c>
      <c r="G354" s="136">
        <f t="shared" si="123"/>
        <v>0.17802197802197806</v>
      </c>
      <c r="H354" s="136">
        <f t="shared" si="123"/>
        <v>0.26212686567164184</v>
      </c>
      <c r="I354" s="136">
        <f t="shared" si="123"/>
        <v>0.29696969696969699</v>
      </c>
      <c r="J354" s="136">
        <f t="shared" si="123"/>
        <v>0.29986323227718226</v>
      </c>
      <c r="K354" s="136">
        <f t="shared" si="123"/>
        <v>0.19719421306444554</v>
      </c>
      <c r="L354" s="136"/>
      <c r="M354" s="136">
        <f t="shared" si="106"/>
        <v>0.17486398286603569</v>
      </c>
      <c r="N354" s="32">
        <f t="shared" si="107"/>
        <v>0.28180799377419607</v>
      </c>
      <c r="O354" s="32">
        <f t="shared" si="108"/>
        <v>0.26467571410377494</v>
      </c>
    </row>
    <row r="355" spans="1:15" s="32" customFormat="1" hidden="1">
      <c r="A355" s="45" t="s">
        <v>243</v>
      </c>
      <c r="B355" s="45"/>
      <c r="C355" s="136">
        <f>(C85-B85)/B85</f>
        <v>0.34173003802281376</v>
      </c>
      <c r="D355" s="136">
        <f t="shared" ref="D355:K355" si="124">(D85-C85)/C85</f>
        <v>3.0109812256464804E-2</v>
      </c>
      <c r="E355" s="136">
        <f t="shared" si="124"/>
        <v>0.41540577716643723</v>
      </c>
      <c r="F355" s="136">
        <f t="shared" si="124"/>
        <v>6.9484936831875593E-2</v>
      </c>
      <c r="G355" s="136">
        <f t="shared" si="124"/>
        <v>0.17537482962289883</v>
      </c>
      <c r="H355" s="136">
        <f t="shared" si="124"/>
        <v>0.26807112485504442</v>
      </c>
      <c r="I355" s="136">
        <f t="shared" si="124"/>
        <v>0.25941167504953505</v>
      </c>
      <c r="J355" s="136">
        <f t="shared" si="124"/>
        <v>7.5759409415466425E-2</v>
      </c>
      <c r="K355" s="136">
        <f t="shared" si="124"/>
        <v>0.31263359208009928</v>
      </c>
      <c r="L355" s="136"/>
      <c r="M355" s="136">
        <f t="shared" si="106"/>
        <v>0.16062511572778215</v>
      </c>
      <c r="N355" s="32">
        <f t="shared" si="107"/>
        <v>0.25037514935016525</v>
      </c>
      <c r="O355" s="32">
        <f t="shared" si="108"/>
        <v>0.21593489218170026</v>
      </c>
    </row>
    <row r="356" spans="1:15" s="32" customFormat="1" hidden="1">
      <c r="A356" s="45" t="s">
        <v>244</v>
      </c>
      <c r="B356" s="45"/>
      <c r="C356" s="136">
        <f>(C86-B86)/B86</f>
        <v>0.2485981308411217</v>
      </c>
      <c r="D356" s="136">
        <f t="shared" ref="D356:K356" si="125">(D86-C86)/C86</f>
        <v>-0.12050898203592809</v>
      </c>
      <c r="E356" s="136">
        <f t="shared" si="125"/>
        <v>0.82127659574468048</v>
      </c>
      <c r="F356" s="136">
        <f t="shared" si="125"/>
        <v>0.14672897196261686</v>
      </c>
      <c r="G356" s="136">
        <f t="shared" si="125"/>
        <v>0.17114914425427885</v>
      </c>
      <c r="H356" s="136">
        <f t="shared" si="125"/>
        <v>0.35699373695198322</v>
      </c>
      <c r="I356" s="136">
        <f t="shared" si="125"/>
        <v>0.32846153846153853</v>
      </c>
      <c r="J356" s="136">
        <f t="shared" si="125"/>
        <v>0.44528083381586553</v>
      </c>
      <c r="K356" s="136">
        <f t="shared" si="125"/>
        <v>0.19551282051282054</v>
      </c>
      <c r="L356" s="136"/>
      <c r="M356" s="136">
        <f t="shared" si="106"/>
        <v>0.2344894659667856</v>
      </c>
      <c r="N356" s="32">
        <f t="shared" si="107"/>
        <v>0.34637750799265443</v>
      </c>
      <c r="O356" s="32">
        <f t="shared" si="108"/>
        <v>0.32308506426340822</v>
      </c>
    </row>
    <row r="357" spans="1:15" s="32" customFormat="1" hidden="1">
      <c r="A357" s="45" t="s">
        <v>247</v>
      </c>
      <c r="B357" s="45"/>
      <c r="C357" s="136">
        <f>('Data Sheet'!C62-'Data Sheet'!B62)/'Data Sheet'!B62</f>
        <v>0.44719314938154148</v>
      </c>
      <c r="D357" s="136">
        <f>('Data Sheet'!D62-'Data Sheet'!C62)/'Data Sheet'!C62</f>
        <v>0.15910585141354358</v>
      </c>
      <c r="E357" s="136">
        <f>('Data Sheet'!E62-'Data Sheet'!D62)/'Data Sheet'!D62</f>
        <v>0.15598411798071471</v>
      </c>
      <c r="F357" s="136">
        <f>('Data Sheet'!F62-'Data Sheet'!E62)/'Data Sheet'!E62</f>
        <v>8.8321884200196141E-3</v>
      </c>
      <c r="G357" s="136">
        <f>('Data Sheet'!G62-'Data Sheet'!F62)/'Data Sheet'!F62</f>
        <v>0.20622568093385224</v>
      </c>
      <c r="H357" s="136">
        <f>('Data Sheet'!H62-'Data Sheet'!G62)/'Data Sheet'!G62</f>
        <v>0.12217741935483861</v>
      </c>
      <c r="I357" s="136">
        <f>('Data Sheet'!I62-'Data Sheet'!H62)/'Data Sheet'!H62</f>
        <v>0.20912684153790875</v>
      </c>
      <c r="J357" s="136">
        <f>('Data Sheet'!J62-'Data Sheet'!I62)/'Data Sheet'!I62</f>
        <v>0.11173848439821689</v>
      </c>
      <c r="K357" s="136">
        <f>('Data Sheet'!K62-'Data Sheet'!J62)/'Data Sheet'!J62</f>
        <v>0.19860999732691814</v>
      </c>
      <c r="L357" s="136"/>
      <c r="M357" s="136">
        <f t="shared" si="106"/>
        <v>0.11718005813660123</v>
      </c>
      <c r="N357" s="32">
        <f t="shared" si="107"/>
        <v>0.19301169633766718</v>
      </c>
      <c r="O357" s="32">
        <f t="shared" si="108"/>
        <v>0.17315844108768128</v>
      </c>
    </row>
    <row r="358" spans="1:15" s="32" customFormat="1" hidden="1">
      <c r="A358" s="45" t="s">
        <v>248</v>
      </c>
      <c r="B358" s="45"/>
      <c r="C358" s="136">
        <f>Customization!C24</f>
        <v>4.5525902668759818E-2</v>
      </c>
      <c r="D358" s="136">
        <f>Customization!D24</f>
        <v>-0.30405405405405411</v>
      </c>
      <c r="E358" s="136">
        <f>Customization!E24</f>
        <v>0.84034519956850051</v>
      </c>
      <c r="F358" s="136">
        <f>Customization!F24</f>
        <v>8.5580304806565116E-2</v>
      </c>
      <c r="G358" s="136">
        <f>Customization!G24</f>
        <v>0.45410367170626353</v>
      </c>
      <c r="H358" s="136">
        <f>Customization!H24</f>
        <v>0.36724842183438544</v>
      </c>
      <c r="I358" s="136">
        <f>Customization!I24</f>
        <v>0.45681694731124389</v>
      </c>
      <c r="J358" s="136">
        <f>Customization!J24</f>
        <v>-0.12621178225205076</v>
      </c>
      <c r="K358" s="136">
        <f>Customization!K24</f>
        <v>0.3053125666737786</v>
      </c>
      <c r="L358" s="136"/>
      <c r="M358" s="136">
        <f t="shared" si="106"/>
        <v>0.20791412755946323</v>
      </c>
      <c r="N358" s="32">
        <f t="shared" si="107"/>
        <v>0.33303679056661678</v>
      </c>
      <c r="O358" s="32">
        <f t="shared" si="108"/>
        <v>0.21197257724432392</v>
      </c>
    </row>
    <row r="359" spans="1:15" s="32" customFormat="1" hidden="1">
      <c r="A359" s="45" t="s">
        <v>199</v>
      </c>
      <c r="B359" s="45"/>
      <c r="C359" s="136">
        <f>('Profit &amp; Loss'!C13-'Profit &amp; Loss'!B13)/'Profit &amp; Loss'!B13</f>
        <v>0.96453962993226372</v>
      </c>
      <c r="D359" s="136">
        <f>('Profit &amp; Loss'!D13-'Profit &amp; Loss'!C13)/'Profit &amp; Loss'!C13</f>
        <v>-0.22451553250391182</v>
      </c>
      <c r="E359" s="136">
        <f>('Profit &amp; Loss'!E13-'Profit &amp; Loss'!D13)/'Profit &amp; Loss'!D13</f>
        <v>2.3688663282571871E-2</v>
      </c>
      <c r="F359" s="136">
        <f>('Profit &amp; Loss'!F13-'Profit &amp; Loss'!E13)/'Profit &amp; Loss'!E13</f>
        <v>-0.3487603305785123</v>
      </c>
      <c r="G359" s="136">
        <f>('Profit &amp; Loss'!G13-'Profit &amp; Loss'!F13)/'Profit &amp; Loss'!F13</f>
        <v>0.3959390862944161</v>
      </c>
      <c r="H359" s="136">
        <f>('Profit &amp; Loss'!H13-'Profit &amp; Loss'!G13)/'Profit &amp; Loss'!G13</f>
        <v>0.43481648785996618</v>
      </c>
      <c r="I359" s="136">
        <f>('Profit &amp; Loss'!I13-'Profit &amp; Loss'!H13)/'Profit &amp; Loss'!H13</f>
        <v>0.14971413075410722</v>
      </c>
      <c r="J359" s="136">
        <f>('Profit &amp; Loss'!J13-'Profit &amp; Loss'!I13)/'Profit &amp; Loss'!I13</f>
        <v>-0.33242724820045955</v>
      </c>
      <c r="K359" s="136">
        <f>('Profit &amp; Loss'!K13-'Profit &amp; Loss'!J13)/'Profit &amp; Loss'!J13</f>
        <v>0.18014184397163122</v>
      </c>
      <c r="L359" s="136"/>
      <c r="M359" s="136">
        <f t="shared" si="106"/>
        <v>2.7859710087980893E-2</v>
      </c>
      <c r="N359" s="32">
        <f t="shared" si="107"/>
        <v>0.17120880215352843</v>
      </c>
      <c r="O359" s="32">
        <f t="shared" si="108"/>
        <v>-8.5709115824036952E-4</v>
      </c>
    </row>
    <row r="360" spans="1:15" s="32" customFormat="1" hidden="1">
      <c r="A360" s="45" t="s">
        <v>201</v>
      </c>
      <c r="B360" s="45"/>
      <c r="C360" s="136">
        <f t="shared" ref="C360:K360" si="126">C423</f>
        <v>1.0274725274725274</v>
      </c>
      <c r="D360" s="136">
        <f t="shared" si="126"/>
        <v>-0.19918699186991867</v>
      </c>
      <c r="E360" s="136">
        <f t="shared" si="126"/>
        <v>2.3688663282571857E-2</v>
      </c>
      <c r="F360" s="136">
        <f t="shared" si="126"/>
        <v>-0.34876033057851241</v>
      </c>
      <c r="G360" s="136">
        <f t="shared" si="126"/>
        <v>0.39593908629441626</v>
      </c>
      <c r="H360" s="136">
        <f t="shared" si="126"/>
        <v>0.45090909090909098</v>
      </c>
      <c r="I360" s="136">
        <f t="shared" si="126"/>
        <v>0.18796992481203006</v>
      </c>
      <c r="J360" s="136">
        <f t="shared" si="126"/>
        <v>-0.25632911392405067</v>
      </c>
      <c r="K360" s="136">
        <f t="shared" si="126"/>
        <v>0.18014184397163127</v>
      </c>
      <c r="L360" s="136"/>
      <c r="M360" s="136">
        <f t="shared" si="106"/>
        <v>4.3437217289725862E-2</v>
      </c>
      <c r="N360" s="32">
        <f t="shared" si="107"/>
        <v>0.20041360987056875</v>
      </c>
      <c r="O360" s="32">
        <f t="shared" si="108"/>
        <v>3.7260884953203559E-2</v>
      </c>
    </row>
    <row r="361" spans="1:15" s="32" customFormat="1" hidden="1">
      <c r="A361" s="45" t="s">
        <v>209</v>
      </c>
      <c r="B361" s="45"/>
      <c r="C361" s="136">
        <f>('Data Sheet'!C31-'Data Sheet'!B31)/'Data Sheet'!B31</f>
        <v>0.42307692307692313</v>
      </c>
      <c r="D361" s="136">
        <f>('Data Sheet'!D31-'Data Sheet'!C31)/'Data Sheet'!C31</f>
        <v>6.3063063063062919E-2</v>
      </c>
      <c r="E361" s="136">
        <f>('Data Sheet'!E31-'Data Sheet'!D31)/'Data Sheet'!D31</f>
        <v>8.4745762711864493E-3</v>
      </c>
      <c r="F361" s="136">
        <f>('Data Sheet'!F31-'Data Sheet'!E31)/'Data Sheet'!E31</f>
        <v>0</v>
      </c>
      <c r="G361" s="136">
        <f>('Data Sheet'!G31-'Data Sheet'!F31)/'Data Sheet'!F31</f>
        <v>0.23529411764705885</v>
      </c>
      <c r="H361" s="136">
        <f>('Data Sheet'!H31-'Data Sheet'!G31)/'Data Sheet'!G31</f>
        <v>0.2244897959183674</v>
      </c>
      <c r="I361" s="136">
        <f>('Data Sheet'!I31-'Data Sheet'!H31)/'Data Sheet'!H31</f>
        <v>3.3333333333333361E-2</v>
      </c>
      <c r="J361" s="136">
        <f>('Data Sheet'!J31-'Data Sheet'!I31)/'Data Sheet'!I31</f>
        <v>0.39247311827956977</v>
      </c>
      <c r="K361" s="136">
        <f>('Data Sheet'!K31-'Data Sheet'!J31)/'Data Sheet'!J31</f>
        <v>-1</v>
      </c>
      <c r="L361" s="136"/>
      <c r="M361" s="136">
        <f t="shared" si="106"/>
        <v>-4.2871995487421266E-3</v>
      </c>
      <c r="N361" s="32">
        <f t="shared" si="107"/>
        <v>-2.3739366874082533E-2</v>
      </c>
      <c r="O361" s="32">
        <f t="shared" si="108"/>
        <v>-0.1913978494623656</v>
      </c>
    </row>
    <row r="362" spans="1:15" s="32" customFormat="1" hidden="1">
      <c r="A362" s="45" t="s">
        <v>210</v>
      </c>
      <c r="B362" s="45"/>
      <c r="C362" s="136">
        <f t="shared" ref="C362:K362" si="127">(C470-B470)/B470</f>
        <v>1.1923076923076918</v>
      </c>
      <c r="D362" s="136">
        <f t="shared" si="127"/>
        <v>-0.24561403508771917</v>
      </c>
      <c r="E362" s="136">
        <f t="shared" si="127"/>
        <v>2.7484143763213318E-2</v>
      </c>
      <c r="F362" s="136">
        <f t="shared" si="127"/>
        <v>-0.43415637860082296</v>
      </c>
      <c r="G362" s="136">
        <f t="shared" si="127"/>
        <v>0.46545454545454557</v>
      </c>
      <c r="H362" s="136">
        <f t="shared" si="127"/>
        <v>0.53349875930521096</v>
      </c>
      <c r="I362" s="136">
        <f t="shared" si="127"/>
        <v>0.23300970873786397</v>
      </c>
      <c r="J362" s="136">
        <f t="shared" si="127"/>
        <v>-0.41469816272965881</v>
      </c>
      <c r="K362" s="136">
        <f t="shared" si="127"/>
        <v>0.86547085201793728</v>
      </c>
      <c r="L362" s="136"/>
      <c r="M362" s="136">
        <f t="shared" si="106"/>
        <v>0.10304494328605703</v>
      </c>
      <c r="N362" s="32">
        <f t="shared" si="107"/>
        <v>0.35715612921439116</v>
      </c>
      <c r="O362" s="32">
        <f t="shared" si="108"/>
        <v>0.22792746600871414</v>
      </c>
    </row>
    <row r="363" spans="1:15" s="18" customFormat="1" hidden="1">
      <c r="A363" s="57" t="s">
        <v>246</v>
      </c>
      <c r="B363" s="46"/>
      <c r="C363" s="154">
        <f t="shared" ref="C363:K363" si="128">C428</f>
        <v>0.71258134490238645</v>
      </c>
      <c r="D363" s="154">
        <f t="shared" si="128"/>
        <v>0.31982267257758068</v>
      </c>
      <c r="E363" s="154">
        <f t="shared" si="128"/>
        <v>0.22408829174664099</v>
      </c>
      <c r="F363" s="154">
        <f t="shared" si="128"/>
        <v>0.10035280282242268</v>
      </c>
      <c r="G363" s="154">
        <f t="shared" si="128"/>
        <v>0.13501959387246168</v>
      </c>
      <c r="H363" s="154">
        <f t="shared" si="128"/>
        <v>0.1999372253609541</v>
      </c>
      <c r="I363" s="154">
        <f t="shared" si="128"/>
        <v>0.22469264975150396</v>
      </c>
      <c r="J363" s="154">
        <f t="shared" si="128"/>
        <v>0.73259290901324259</v>
      </c>
      <c r="K363" s="154">
        <f t="shared" si="128"/>
        <v>0.10256410256410248</v>
      </c>
      <c r="L363" s="154"/>
      <c r="M363" s="136">
        <f t="shared" si="106"/>
        <v>0.2039070247708909</v>
      </c>
      <c r="N363" s="32">
        <f t="shared" si="107"/>
        <v>0.31974270106663116</v>
      </c>
      <c r="O363" s="32">
        <f t="shared" si="108"/>
        <v>0.35328322044294969</v>
      </c>
    </row>
    <row r="364" spans="1:15" s="18" customFormat="1" hidden="1">
      <c r="A364" s="57" t="s">
        <v>202</v>
      </c>
      <c r="B364" s="46"/>
      <c r="C364" s="154"/>
      <c r="D364" s="154">
        <f t="shared" ref="D364:K364" si="129">D441</f>
        <v>-0.14418927537669562</v>
      </c>
      <c r="E364" s="154">
        <f t="shared" si="129"/>
        <v>-1.3943461044332459E-2</v>
      </c>
      <c r="F364" s="154">
        <f t="shared" si="129"/>
        <v>-0.63978088297665614</v>
      </c>
      <c r="G364" s="154">
        <f t="shared" si="129"/>
        <v>0.9799856373917325</v>
      </c>
      <c r="H364" s="154">
        <f t="shared" si="129"/>
        <v>0.69926652551787094</v>
      </c>
      <c r="I364" s="154">
        <f t="shared" si="129"/>
        <v>0.13086726897501047</v>
      </c>
      <c r="J364" s="154">
        <f t="shared" si="129"/>
        <v>-1.1564569471356054</v>
      </c>
      <c r="K364" s="154">
        <f t="shared" si="129"/>
        <v>-7.6678906982300954E-2</v>
      </c>
      <c r="L364" s="154"/>
      <c r="M364" s="136">
        <f t="shared" si="106"/>
        <v>-2.2093004163097663E-2</v>
      </c>
      <c r="N364" s="32">
        <f t="shared" si="107"/>
        <v>0.11097811472072201</v>
      </c>
      <c r="O364" s="32">
        <f t="shared" si="108"/>
        <v>-0.36742286171429867</v>
      </c>
    </row>
    <row r="365" spans="1:15" s="18" customFormat="1" hidden="1">
      <c r="A365" s="57" t="s">
        <v>203</v>
      </c>
      <c r="B365" s="46"/>
      <c r="C365" s="154"/>
      <c r="D365" s="154"/>
      <c r="E365" s="154"/>
      <c r="F365" s="154"/>
      <c r="G365" s="154">
        <f>(G323-F323)/F323</f>
        <v>9.6508510975891568E-2</v>
      </c>
      <c r="H365" s="154">
        <f t="shared" ref="H365:K365" si="130">(H323-G323)/G323</f>
        <v>0.80463831164731958</v>
      </c>
      <c r="I365" s="154">
        <f t="shared" si="130"/>
        <v>-0.50852758834302625</v>
      </c>
      <c r="J365" s="154">
        <f t="shared" si="130"/>
        <v>0.68740784832503121</v>
      </c>
      <c r="K365" s="154">
        <f t="shared" si="130"/>
        <v>-0.87689395488311106</v>
      </c>
      <c r="L365" s="154"/>
      <c r="M365" s="136">
        <f t="shared" si="106"/>
        <v>2.03133127722105E-2</v>
      </c>
      <c r="N365" s="32">
        <f t="shared" si="107"/>
        <v>4.4689288098863099E-2</v>
      </c>
      <c r="O365" s="32">
        <f t="shared" si="108"/>
        <v>-0.23267123163370204</v>
      </c>
    </row>
    <row r="366" spans="1:15" s="18" customFormat="1" hidden="1">
      <c r="A366" s="57" t="s">
        <v>204</v>
      </c>
      <c r="B366" s="46"/>
      <c r="C366" s="154"/>
      <c r="D366" s="154"/>
      <c r="E366" s="154">
        <f>(E324-D324)/D324</f>
        <v>1.7863674858331744</v>
      </c>
      <c r="F366" s="154">
        <f t="shared" ref="F366:K366" si="131">(F324-E324)/E324</f>
        <v>-0.12923721442007099</v>
      </c>
      <c r="G366" s="154">
        <f t="shared" si="131"/>
        <v>-0.13423291897040371</v>
      </c>
      <c r="H366" s="154">
        <f t="shared" si="131"/>
        <v>0.27719179498685881</v>
      </c>
      <c r="I366" s="154">
        <f t="shared" si="131"/>
        <v>-0.56620117678737469</v>
      </c>
      <c r="J366" s="154">
        <f t="shared" si="131"/>
        <v>0.4330106425263498</v>
      </c>
      <c r="K366" s="154">
        <f t="shared" si="131"/>
        <v>-0.87372852414446867</v>
      </c>
      <c r="L366" s="154"/>
      <c r="M366" s="136">
        <f t="shared" si="106"/>
        <v>7.9317008902406477E-2</v>
      </c>
      <c r="N366" s="32">
        <f t="shared" si="107"/>
        <v>-0.1569286346973264</v>
      </c>
      <c r="O366" s="32">
        <f t="shared" si="108"/>
        <v>-0.33563968613516454</v>
      </c>
    </row>
    <row r="367" spans="1:15" s="18" customFormat="1" hidden="1">
      <c r="A367" s="57" t="s">
        <v>205</v>
      </c>
      <c r="B367" s="46"/>
      <c r="C367" s="154"/>
      <c r="D367" s="154" t="e">
        <f>(D325-C325)/C325</f>
        <v>#DIV/0!</v>
      </c>
      <c r="E367" s="154" t="e">
        <f t="shared" ref="E367:K367" si="132">(E325-D325)/D325</f>
        <v>#DIV/0!</v>
      </c>
      <c r="F367" s="154">
        <f t="shared" si="132"/>
        <v>-0.28007268248611333</v>
      </c>
      <c r="G367" s="154">
        <f t="shared" si="132"/>
        <v>0.16702980716498311</v>
      </c>
      <c r="H367" s="154">
        <f t="shared" si="132"/>
        <v>0.15655116240123079</v>
      </c>
      <c r="I367" s="154">
        <f t="shared" si="132"/>
        <v>-0.35290705694647712</v>
      </c>
      <c r="J367" s="154">
        <f t="shared" si="132"/>
        <v>-0.45502163976173393</v>
      </c>
      <c r="K367" s="154">
        <f t="shared" si="132"/>
        <v>-3.9093767658986388E-2</v>
      </c>
      <c r="L367" s="154"/>
      <c r="M367" s="136" t="e">
        <f t="shared" si="106"/>
        <v>#DIV/0!</v>
      </c>
      <c r="N367" s="32" t="e">
        <f t="shared" si="107"/>
        <v>#DIV/0!</v>
      </c>
      <c r="O367" s="32">
        <f t="shared" si="108"/>
        <v>-0.28234082145573253</v>
      </c>
    </row>
    <row r="368" spans="1:15" s="18" customFormat="1" hidden="1">
      <c r="A368" s="57" t="s">
        <v>206</v>
      </c>
      <c r="B368" s="46"/>
      <c r="C368" s="154">
        <f>(C130-B130)/B130</f>
        <v>2.4668572324528868</v>
      </c>
      <c r="D368" s="154">
        <f t="shared" ref="D368:K368" si="133">(D130-C130)/C130</f>
        <v>-0.50214376523773452</v>
      </c>
      <c r="E368" s="154">
        <f t="shared" si="133"/>
        <v>-0.31563092106470891</v>
      </c>
      <c r="F368" s="154">
        <f t="shared" si="133"/>
        <v>-1.2726729867959499</v>
      </c>
      <c r="G368" s="154">
        <f t="shared" si="133"/>
        <v>-1.646266929342487</v>
      </c>
      <c r="H368" s="154">
        <f t="shared" si="133"/>
        <v>3.6177111049560793</v>
      </c>
      <c r="I368" s="154">
        <f t="shared" si="133"/>
        <v>-0.63451431321151575</v>
      </c>
      <c r="J368" s="154">
        <f t="shared" si="133"/>
        <v>-11.53324836080232</v>
      </c>
      <c r="K368" s="154">
        <f t="shared" si="133"/>
        <v>0.29725264692177378</v>
      </c>
      <c r="L368" s="154"/>
      <c r="M368" s="136">
        <f t="shared" si="106"/>
        <v>-1.1989513524576865</v>
      </c>
      <c r="N368" s="32">
        <f t="shared" si="107"/>
        <v>-2.2196034407872314</v>
      </c>
      <c r="O368" s="32">
        <f t="shared" si="108"/>
        <v>-3.9568366756973545</v>
      </c>
    </row>
    <row r="369" spans="1:15" s="18" customFormat="1" hidden="1">
      <c r="A369" s="57" t="s">
        <v>208</v>
      </c>
      <c r="B369" s="46"/>
      <c r="C369" s="154"/>
      <c r="D369" s="154">
        <f>(D343-C343)/C343</f>
        <v>20.347826086956399</v>
      </c>
      <c r="E369" s="154">
        <f t="shared" ref="E369:K369" si="134">(E343-D343)/D343</f>
        <v>-2.3054989816700595</v>
      </c>
      <c r="F369" s="154">
        <f t="shared" si="134"/>
        <v>-0.9875195007800297</v>
      </c>
      <c r="G369" s="154">
        <f t="shared" si="134"/>
        <v>82.749999999989171</v>
      </c>
      <c r="H369" s="154">
        <f t="shared" si="134"/>
        <v>0.2358208955223885</v>
      </c>
      <c r="I369" s="154">
        <f t="shared" si="134"/>
        <v>0.92391304347826098</v>
      </c>
      <c r="J369" s="154">
        <f t="shared" si="134"/>
        <v>0.28562460765850717</v>
      </c>
      <c r="K369" s="154">
        <f t="shared" si="134"/>
        <v>-0.30126953125000072</v>
      </c>
      <c r="L369" s="154"/>
      <c r="M369" s="136">
        <f t="shared" si="106"/>
        <v>10.094889661990464</v>
      </c>
      <c r="N369" s="32">
        <f t="shared" si="107"/>
        <v>18.797795735477759</v>
      </c>
      <c r="O369" s="32">
        <f t="shared" si="108"/>
        <v>0.30275603996225581</v>
      </c>
    </row>
    <row r="370" spans="1:15" s="18" customFormat="1" hidden="1">
      <c r="A370" s="57"/>
      <c r="B370" s="46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36">
        <f t="shared" si="106"/>
        <v>0</v>
      </c>
      <c r="N370" s="32">
        <f t="shared" si="107"/>
        <v>0</v>
      </c>
      <c r="O370" s="32">
        <f t="shared" si="108"/>
        <v>0</v>
      </c>
    </row>
    <row r="371" spans="1:15" s="18" customFormat="1" hidden="1">
      <c r="C371" s="112"/>
      <c r="M371" s="136">
        <f t="shared" si="106"/>
        <v>0</v>
      </c>
      <c r="N371" s="32">
        <f t="shared" si="107"/>
        <v>0</v>
      </c>
      <c r="O371" s="32">
        <f t="shared" si="108"/>
        <v>0</v>
      </c>
    </row>
    <row r="372" spans="1:15" s="18" customFormat="1" hidden="1">
      <c r="A372" s="18" t="s">
        <v>279</v>
      </c>
      <c r="C372" s="112"/>
      <c r="D372" s="32">
        <f>('Profit &amp; Loss'!D13-'Profit &amp; Loss'!C13)/'Profit &amp; Loss'!C13</f>
        <v>-0.22451553250391182</v>
      </c>
      <c r="E372" s="32">
        <f>('Profit &amp; Loss'!E13-'Profit &amp; Loss'!D13)/'Profit &amp; Loss'!D13</f>
        <v>2.3688663282571871E-2</v>
      </c>
      <c r="F372" s="32">
        <f>('Profit &amp; Loss'!F13-'Profit &amp; Loss'!E13)/'Profit &amp; Loss'!E13</f>
        <v>-0.3487603305785123</v>
      </c>
      <c r="G372" s="32">
        <f>('Profit &amp; Loss'!G13-'Profit &amp; Loss'!F13)/'Profit &amp; Loss'!F13</f>
        <v>0.3959390862944161</v>
      </c>
      <c r="H372" s="32">
        <f>('Profit &amp; Loss'!H13-'Profit &amp; Loss'!G13)/'Profit &amp; Loss'!G13</f>
        <v>0.43481648785996618</v>
      </c>
      <c r="I372" s="32">
        <f>('Profit &amp; Loss'!I13-'Profit &amp; Loss'!H13)/'Profit &amp; Loss'!H13</f>
        <v>0.14971413075410722</v>
      </c>
      <c r="J372" s="32">
        <f>('Profit &amp; Loss'!J13-'Profit &amp; Loss'!I13)/'Profit &amp; Loss'!I13</f>
        <v>-0.33242724820045955</v>
      </c>
      <c r="K372" s="32">
        <f>('Profit &amp; Loss'!K13-'Profit &amp; Loss'!J13)/'Profit &amp; Loss'!J13</f>
        <v>0.18014184397163122</v>
      </c>
      <c r="L372" s="32"/>
      <c r="M372" s="136">
        <f t="shared" si="106"/>
        <v>2.7859710087980893E-2</v>
      </c>
      <c r="N372" s="32">
        <f t="shared" si="107"/>
        <v>0.17120880215352843</v>
      </c>
      <c r="O372" s="32">
        <f t="shared" si="108"/>
        <v>-8.5709115824036952E-4</v>
      </c>
    </row>
    <row r="373" spans="1:15" s="18" customFormat="1" hidden="1">
      <c r="A373" s="18" t="s">
        <v>280</v>
      </c>
      <c r="C373" s="112"/>
      <c r="D373" s="32">
        <f>('Profit &amp; Loss'!D14-'Profit &amp; Loss'!C14)/'Profit &amp; Loss'!C14</f>
        <v>1.4952981215896455</v>
      </c>
      <c r="E373" s="32">
        <f>('Profit &amp; Loss'!E14-'Profit &amp; Loss'!D14)/'Profit &amp; Loss'!D14</f>
        <v>-0.11778679803750515</v>
      </c>
      <c r="F373" s="32">
        <f>('Profit &amp; Loss'!F14-'Profit &amp; Loss'!E14)/'Profit &amp; Loss'!E14</f>
        <v>0.40295556163695795</v>
      </c>
      <c r="G373" s="32">
        <f>('Profit &amp; Loss'!G14-'Profit &amp; Loss'!F14)/'Profit &amp; Loss'!F14</f>
        <v>-8.6482751203248054E-2</v>
      </c>
      <c r="H373" s="32">
        <f>('Profit &amp; Loss'!H14-'Profit &amp; Loss'!G14)/'Profit &amp; Loss'!G14</f>
        <v>0.7445249602073295</v>
      </c>
      <c r="I373" s="32">
        <f>('Profit &amp; Loss'!I14-'Profit &amp; Loss'!H14)/'Profit &amp; Loss'!H14</f>
        <v>1.05863853318037</v>
      </c>
      <c r="J373" s="32">
        <f>('Profit &amp; Loss'!J14-'Profit &amp; Loss'!I14)/'Profit &amp; Loss'!I14</f>
        <v>0.54672722507648008</v>
      </c>
      <c r="K373" s="32">
        <f>('Profit &amp; Loss'!K14-'Profit &amp; Loss'!J14)/'Profit &amp; Loss'!J14</f>
        <v>-0.17702926285879286</v>
      </c>
      <c r="L373" s="32"/>
      <c r="M373" s="136">
        <f t="shared" si="106"/>
        <v>0.38668455895912363</v>
      </c>
      <c r="N373" s="32">
        <f t="shared" si="107"/>
        <v>0.49461265267225246</v>
      </c>
      <c r="O373" s="32">
        <f t="shared" si="108"/>
        <v>0.47611216513268578</v>
      </c>
    </row>
    <row r="374" spans="1:15" s="18" customFormat="1" hidden="1">
      <c r="A374" s="155" t="s">
        <v>281</v>
      </c>
      <c r="C374" s="112"/>
      <c r="D374" s="32">
        <f>('Profit &amp; Loss'!D15-'Profit &amp; Loss'!C15)/'Profit &amp; Loss'!C15</f>
        <v>0.93506493506493504</v>
      </c>
      <c r="E374" s="32">
        <f>('Profit &amp; Loss'!E15-'Profit &amp; Loss'!D15)/'Profit &amp; Loss'!D15</f>
        <v>-9.6888346552776047E-2</v>
      </c>
      <c r="F374" s="32">
        <f>('Profit &amp; Loss'!F15-'Profit &amp; Loss'!E15)/'Profit &amp; Loss'!E15</f>
        <v>-8.633968382650993E-2</v>
      </c>
      <c r="G374" s="32">
        <f>('Profit &amp; Loss'!G15-'Profit &amp; Loss'!F15)/'Profit &amp; Loss'!F15</f>
        <v>0.27521443359952674</v>
      </c>
      <c r="H374" s="32">
        <f>('Profit &amp; Loss'!H15-'Profit &amp; Loss'!G15)/'Profit &amp; Loss'!G15</f>
        <v>1.5030731763887279</v>
      </c>
      <c r="I374" s="32">
        <f>('Profit &amp; Loss'!I15-'Profit &amp; Loss'!H15)/'Profit &amp; Loss'!H15</f>
        <v>1.3668458117123794</v>
      </c>
      <c r="J374" s="32">
        <f>('Profit &amp; Loss'!J15-'Profit &amp; Loss'!I15)/'Profit &amp; Loss'!I15</f>
        <v>3.2552949927573099E-2</v>
      </c>
      <c r="K374" s="32">
        <f>('Profit &amp; Loss'!K15-'Profit &amp; Loss'!J15)/'Profit &amp; Loss'!J15</f>
        <v>-2.8777796735483259E-2</v>
      </c>
      <c r="L374" s="32"/>
      <c r="M374" s="136">
        <f t="shared" si="106"/>
        <v>0.39007454795783725</v>
      </c>
      <c r="N374" s="32">
        <f t="shared" si="107"/>
        <v>0.70779662457011217</v>
      </c>
      <c r="O374" s="32">
        <f t="shared" si="108"/>
        <v>0.45687365496815646</v>
      </c>
    </row>
    <row r="375" spans="1:15" s="18" customFormat="1" hidden="1">
      <c r="A375" s="155"/>
      <c r="C375" s="112"/>
      <c r="M375" s="136">
        <f t="shared" si="106"/>
        <v>0</v>
      </c>
      <c r="N375" s="32">
        <f t="shared" si="107"/>
        <v>0</v>
      </c>
      <c r="O375" s="32">
        <f t="shared" si="108"/>
        <v>0</v>
      </c>
    </row>
    <row r="376" spans="1:15" s="18" customFormat="1" hidden="1">
      <c r="A376" s="155" t="s">
        <v>282</v>
      </c>
      <c r="C376" s="112"/>
      <c r="D376" s="139">
        <f>D372</f>
        <v>-0.22451553250391182</v>
      </c>
      <c r="E376" s="139">
        <f>SUM(D372,E372)</f>
        <v>-0.20082686922133994</v>
      </c>
      <c r="F376" s="139">
        <f>SUM(D372:F372)</f>
        <v>-0.54958719979985227</v>
      </c>
      <c r="G376" s="139">
        <f>SUM(D372:G372)</f>
        <v>-0.15364811350543617</v>
      </c>
      <c r="H376" s="139">
        <f>SUM(D372:H372)</f>
        <v>0.28116837435453002</v>
      </c>
      <c r="I376" s="139">
        <f>SUM(D372:I372)</f>
        <v>0.43088250510863724</v>
      </c>
      <c r="J376" s="139">
        <f>SUM(D372:J372)</f>
        <v>9.8455256908177691E-2</v>
      </c>
      <c r="K376" s="139">
        <f>SUM(D372:K372)</f>
        <v>0.27859710087980893</v>
      </c>
      <c r="L376" s="139"/>
      <c r="M376" s="136">
        <f t="shared" si="106"/>
        <v>-3.9474477779386178E-3</v>
      </c>
      <c r="N376" s="32">
        <f t="shared" si="107"/>
        <v>0.1863015351935558</v>
      </c>
      <c r="O376" s="32">
        <f t="shared" si="108"/>
        <v>0.26931162096554129</v>
      </c>
    </row>
    <row r="377" spans="1:15" s="18" customFormat="1" hidden="1">
      <c r="A377" s="155" t="s">
        <v>283</v>
      </c>
      <c r="C377" s="112"/>
      <c r="D377" s="139">
        <f t="shared" ref="D377:D378" si="135">D373</f>
        <v>1.4952981215896455</v>
      </c>
      <c r="E377" s="139">
        <f t="shared" ref="E377:E378" si="136">SUM(D373,E373)</f>
        <v>1.3775113235521403</v>
      </c>
      <c r="F377" s="139">
        <f t="shared" ref="F377:F378" si="137">SUM(D373:F373)</f>
        <v>1.7804668851890983</v>
      </c>
      <c r="G377" s="139">
        <f t="shared" ref="G377:G378" si="138">SUM(D373:G373)</f>
        <v>1.6939841339858503</v>
      </c>
      <c r="H377" s="139">
        <f t="shared" ref="H377:H378" si="139">SUM(D373:H373)</f>
        <v>2.4385090941931797</v>
      </c>
      <c r="I377" s="139">
        <f t="shared" ref="I377:I378" si="140">SUM(D373:I373)</f>
        <v>3.4971476273735496</v>
      </c>
      <c r="J377" s="139">
        <f t="shared" ref="J377:J378" si="141">SUM(D373:J373)</f>
        <v>4.0438748524500294</v>
      </c>
      <c r="K377" s="139">
        <f t="shared" ref="K377:K378" si="142">SUM(D373:K373)</f>
        <v>3.8668455895912364</v>
      </c>
      <c r="L377" s="139"/>
      <c r="M377" s="136">
        <f t="shared" si="106"/>
        <v>2.019363762792473</v>
      </c>
      <c r="N377" s="32">
        <f t="shared" si="107"/>
        <v>3.5119450120772635</v>
      </c>
      <c r="O377" s="32">
        <f t="shared" si="108"/>
        <v>3.8026226898049384</v>
      </c>
    </row>
    <row r="378" spans="1:15" s="18" customFormat="1" hidden="1">
      <c r="A378" s="155" t="s">
        <v>284</v>
      </c>
      <c r="C378" s="112"/>
      <c r="D378" s="139">
        <f t="shared" si="135"/>
        <v>0.93506493506493504</v>
      </c>
      <c r="E378" s="139">
        <f t="shared" si="136"/>
        <v>0.83817658851215904</v>
      </c>
      <c r="F378" s="139">
        <f t="shared" si="137"/>
        <v>0.75183690468564912</v>
      </c>
      <c r="G378" s="139">
        <f t="shared" si="138"/>
        <v>1.0270513382851758</v>
      </c>
      <c r="H378" s="139">
        <f t="shared" si="139"/>
        <v>2.5301245146739038</v>
      </c>
      <c r="I378" s="139">
        <f t="shared" si="140"/>
        <v>3.8969703263862829</v>
      </c>
      <c r="J378" s="139">
        <f t="shared" si="141"/>
        <v>3.9295232763138559</v>
      </c>
      <c r="K378" s="139">
        <f t="shared" si="142"/>
        <v>3.9007454795783727</v>
      </c>
      <c r="L378" s="139"/>
      <c r="M378" s="136">
        <f t="shared" si="106"/>
        <v>1.7809493363500333</v>
      </c>
      <c r="N378" s="32">
        <f t="shared" si="107"/>
        <v>3.4130728543175244</v>
      </c>
      <c r="O378" s="32">
        <f t="shared" si="108"/>
        <v>3.9090796940928372</v>
      </c>
    </row>
    <row r="379" spans="1:15" s="18" customFormat="1" hidden="1">
      <c r="A379" s="155" t="s">
        <v>285</v>
      </c>
      <c r="C379" s="112"/>
      <c r="D379" s="32">
        <f>D4</f>
        <v>-8.5736862900039443E-2</v>
      </c>
      <c r="E379" s="139">
        <f>SUM(D4:E4)</f>
        <v>0.10484222093747135</v>
      </c>
      <c r="F379" s="139">
        <f>SUM(D4:F4)</f>
        <v>0.23297289244382335</v>
      </c>
      <c r="G379" s="139">
        <f>SUM(D4:G4)</f>
        <v>0.49503852950946053</v>
      </c>
      <c r="H379" s="139">
        <f>SUM(D4:H4)</f>
        <v>0.81702705723412583</v>
      </c>
      <c r="I379" s="139">
        <f>SUM(D4:I4)</f>
        <v>0.93948390806818238</v>
      </c>
      <c r="J379" s="139">
        <f>SUM(D4:J4)</f>
        <v>1.1323367557616797</v>
      </c>
      <c r="K379" s="139">
        <f>SUM(D4:K4)</f>
        <v>1.1527890098305258</v>
      </c>
      <c r="L379" s="139"/>
      <c r="M379" s="136">
        <f t="shared" si="106"/>
        <v>0.47887535108852297</v>
      </c>
      <c r="N379" s="32">
        <f t="shared" si="107"/>
        <v>1.0031101222984995</v>
      </c>
      <c r="O379" s="32">
        <f t="shared" si="108"/>
        <v>1.0748698912201293</v>
      </c>
    </row>
    <row r="380" spans="1:15" s="18" customFormat="1" hidden="1">
      <c r="A380" s="155" t="s">
        <v>286</v>
      </c>
      <c r="C380" s="112"/>
      <c r="D380" s="139">
        <f>D17</f>
        <v>-0.19918699186991867</v>
      </c>
      <c r="E380" s="139">
        <f>SUM(D17:E17)</f>
        <v>-0.17549832858734682</v>
      </c>
      <c r="F380" s="139">
        <f>SUM(D17:F17)</f>
        <v>-0.52425865916585923</v>
      </c>
      <c r="G380" s="139">
        <f>SUM(D17:G17)</f>
        <v>-0.12831957287144297</v>
      </c>
      <c r="H380" s="139">
        <f>SUM(D17:H17)</f>
        <v>0.32258951803764802</v>
      </c>
      <c r="I380" s="139">
        <f>SUM(D17:I17)</f>
        <v>0.51055944284967802</v>
      </c>
      <c r="J380" s="139">
        <f>SUM(D17:J17)</f>
        <v>0.25423032892562736</v>
      </c>
      <c r="K380" s="139">
        <f>SUM(D17:K17)</f>
        <v>0.4343721728972586</v>
      </c>
      <c r="L380" s="139"/>
      <c r="M380" s="136">
        <f t="shared" si="106"/>
        <v>4.944879102156443E-2</v>
      </c>
      <c r="N380" s="32">
        <f t="shared" si="107"/>
        <v>0.28857613617206668</v>
      </c>
      <c r="O380" s="32">
        <f t="shared" si="108"/>
        <v>0.39972064822418796</v>
      </c>
    </row>
    <row r="381" spans="1:15" s="18" customFormat="1" hidden="1">
      <c r="A381" s="155" t="s">
        <v>287</v>
      </c>
      <c r="C381" s="112"/>
      <c r="D381" s="139">
        <f>D41</f>
        <v>0.50319488817891378</v>
      </c>
      <c r="E381" s="139">
        <f>SUM(D41:E41)</f>
        <v>-0.18118343275626148</v>
      </c>
      <c r="F381" s="139">
        <f>SUM(D41:F41)</f>
        <v>1.2935640419912127</v>
      </c>
      <c r="G381" s="139">
        <f>SUM(D41:G41)</f>
        <v>0.69356404199121258</v>
      </c>
      <c r="H381" s="139">
        <f>SUM(D41:H41)</f>
        <v>2.0166932936918931</v>
      </c>
      <c r="I381" s="139">
        <f>SUM(D41:I41)</f>
        <v>2.8658880228280572</v>
      </c>
      <c r="J381" s="139">
        <f>SUM(D41:J41)</f>
        <v>1.9751516807853018</v>
      </c>
      <c r="K381" s="139">
        <f>SUM(D41:K41)</f>
        <v>3.2794995068722583</v>
      </c>
      <c r="L381" s="139"/>
      <c r="M381" s="136">
        <f t="shared" si="106"/>
        <v>1.2446372043582588</v>
      </c>
      <c r="N381" s="32">
        <f t="shared" si="107"/>
        <v>2.4150867501053965</v>
      </c>
      <c r="O381" s="32">
        <f t="shared" si="108"/>
        <v>2.7068464034952058</v>
      </c>
    </row>
    <row r="382" spans="1:15" s="18" customFormat="1" hidden="1">
      <c r="A382" s="155" t="s">
        <v>288</v>
      </c>
      <c r="C382" s="112"/>
      <c r="D382" s="139">
        <f>D352</f>
        <v>3.4352456200618345E-2</v>
      </c>
      <c r="E382" s="139">
        <f>SUM(D352:E352)</f>
        <v>0.44816846417139194</v>
      </c>
      <c r="F382" s="139">
        <f>SUM(D352:F352)</f>
        <v>0.54260116325525409</v>
      </c>
      <c r="G382" s="139">
        <f>SUM(D352:G352)</f>
        <v>0.80445993123121451</v>
      </c>
      <c r="H382" s="139">
        <f>SUM(D352:H352)</f>
        <v>1.0810375804912926</v>
      </c>
      <c r="I382" s="139">
        <f>SUM(D352:I352)</f>
        <v>1.4196118643020854</v>
      </c>
      <c r="J382" s="139">
        <f>SUM(D352:J352)</f>
        <v>1.6936512829761847</v>
      </c>
      <c r="K382" s="139">
        <f>SUM(D352:K352)</f>
        <v>1.8704619713112109</v>
      </c>
      <c r="L382" s="139"/>
      <c r="M382" s="136">
        <f t="shared" si="106"/>
        <v>0.7894344713939252</v>
      </c>
      <c r="N382" s="32">
        <f t="shared" si="107"/>
        <v>1.5317314203411825</v>
      </c>
      <c r="O382" s="32">
        <f t="shared" si="108"/>
        <v>1.6612417061964937</v>
      </c>
    </row>
    <row r="383" spans="1:15" s="18" customFormat="1" hidden="1">
      <c r="A383" s="155" t="s">
        <v>289</v>
      </c>
      <c r="C383" s="112"/>
      <c r="D383" s="139">
        <f>D363</f>
        <v>0.31982267257758068</v>
      </c>
      <c r="E383" s="139">
        <f>SUM(D363:E363)</f>
        <v>0.5439109643242217</v>
      </c>
      <c r="F383" s="139">
        <f>SUM(D363:F363)</f>
        <v>0.64426376714664435</v>
      </c>
      <c r="G383" s="139">
        <f>SUM(D363:G363)</f>
        <v>0.779283361019106</v>
      </c>
      <c r="H383" s="139">
        <f>SUM(D363:H363)</f>
        <v>0.97922058638006004</v>
      </c>
      <c r="I383" s="139">
        <f>SUM(D363:I363)</f>
        <v>1.2039132361315641</v>
      </c>
      <c r="J383" s="139">
        <f>SUM(D363:J363)</f>
        <v>1.9365061451448067</v>
      </c>
      <c r="K383" s="139">
        <f>SUM(D363:K363)</f>
        <v>2.0390702477089091</v>
      </c>
      <c r="L383" s="139"/>
      <c r="M383" s="136">
        <f t="shared" si="106"/>
        <v>0.84459909804328925</v>
      </c>
      <c r="N383" s="32">
        <f t="shared" si="107"/>
        <v>1.556518534885547</v>
      </c>
      <c r="O383" s="32">
        <f t="shared" si="108"/>
        <v>1.7264965429950934</v>
      </c>
    </row>
    <row r="384" spans="1:15" s="18" customFormat="1" hidden="1">
      <c r="A384" s="155" t="s">
        <v>291</v>
      </c>
      <c r="C384" s="112"/>
      <c r="D384" s="139">
        <f>D349</f>
        <v>-0.26846846846846845</v>
      </c>
      <c r="E384" s="139">
        <f>SUM(D349:E349)</f>
        <v>-0.18718768029112853</v>
      </c>
      <c r="F384" s="139">
        <f>SUM(D349:F349)</f>
        <v>-0.40928335227290535</v>
      </c>
      <c r="G384" s="139">
        <f>SUM(D349:G349)</f>
        <v>-7.9140498154384176E-4</v>
      </c>
      <c r="H384" s="139">
        <f>SUM(D349:H349)</f>
        <v>0.44723354304340429</v>
      </c>
      <c r="I384" s="139">
        <f>SUM(D349:I349)</f>
        <v>0.70638645043751769</v>
      </c>
      <c r="J384" s="139">
        <f>SUM(D349:J349)</f>
        <v>0.54390070357320763</v>
      </c>
      <c r="K384" s="139">
        <f>SUM(D349:K349)</f>
        <v>0.65417980500275141</v>
      </c>
      <c r="L384" s="139"/>
      <c r="M384" s="136">
        <f t="shared" si="106"/>
        <v>0.14859695960428349</v>
      </c>
      <c r="N384" s="32">
        <f t="shared" si="107"/>
        <v>0.49990121133592408</v>
      </c>
      <c r="O384" s="32">
        <f t="shared" si="108"/>
        <v>0.63482231967115887</v>
      </c>
    </row>
    <row r="385" spans="1:15" s="18" customFormat="1" hidden="1">
      <c r="A385" s="155" t="s">
        <v>292</v>
      </c>
      <c r="C385" s="112"/>
      <c r="D385" s="139">
        <f>D350</f>
        <v>-0.18409090909090906</v>
      </c>
      <c r="E385" s="139">
        <f>SUM(D350:E350)</f>
        <v>-0.10331096480121554</v>
      </c>
      <c r="F385" s="139">
        <f>SUM(D350:F350)</f>
        <v>-0.23131783765344924</v>
      </c>
      <c r="G385" s="139">
        <f>SUM(D350:G350)</f>
        <v>8.9864428356402931E-2</v>
      </c>
      <c r="H385" s="139">
        <f>SUM(D350:H350)</f>
        <v>0.44184056556743934</v>
      </c>
      <c r="I385" s="139">
        <f>SUM(D350:I350)</f>
        <v>0.60731215961046192</v>
      </c>
      <c r="J385" s="139">
        <f>SUM(D350:J350)</f>
        <v>0.51975891777421024</v>
      </c>
      <c r="K385" s="139">
        <f>SUM(D350:K350)</f>
        <v>0.61623194681985338</v>
      </c>
      <c r="L385" s="139"/>
      <c r="M385" s="136">
        <f t="shared" si="106"/>
        <v>0.17562883065827942</v>
      </c>
      <c r="N385" s="32">
        <f t="shared" si="107"/>
        <v>0.49012736975732951</v>
      </c>
      <c r="O385" s="32">
        <f t="shared" si="108"/>
        <v>0.58110100806817522</v>
      </c>
    </row>
    <row r="386" spans="1:15" s="18" customFormat="1" hidden="1">
      <c r="A386" s="155"/>
      <c r="C386" s="112"/>
      <c r="M386" s="136">
        <f t="shared" si="106"/>
        <v>0</v>
      </c>
      <c r="N386" s="32">
        <f t="shared" si="107"/>
        <v>0</v>
      </c>
      <c r="O386" s="32">
        <f t="shared" si="108"/>
        <v>0</v>
      </c>
    </row>
    <row r="387" spans="1:15" s="18" customFormat="1" hidden="1">
      <c r="A387" s="155"/>
      <c r="C387" s="112"/>
      <c r="M387" s="136">
        <f t="shared" si="106"/>
        <v>0</v>
      </c>
      <c r="N387" s="32">
        <f t="shared" si="107"/>
        <v>0</v>
      </c>
      <c r="O387" s="32">
        <f t="shared" si="108"/>
        <v>0</v>
      </c>
    </row>
    <row r="388" spans="1:15" s="18" customFormat="1" hidden="1">
      <c r="A388" s="155" t="s">
        <v>301</v>
      </c>
      <c r="C388" s="62">
        <f>'Profit &amp; Loss'!C9/'Balance Sheet'!C6</f>
        <v>0.18468468468468469</v>
      </c>
      <c r="D388" s="62">
        <f>'Profit &amp; Loss'!D9/'Balance Sheet'!D6</f>
        <v>0.13052858683926646</v>
      </c>
      <c r="E388" s="62">
        <f>'Profit &amp; Loss'!E9/'Balance Sheet'!E6</f>
        <v>9.320046893317703E-2</v>
      </c>
      <c r="F388" s="62">
        <f>'Profit &amp; Loss'!F9/'Balance Sheet'!F6</f>
        <v>0.13012958963282939</v>
      </c>
      <c r="G388" s="62">
        <f>'Profit &amp; Loss'!G9/'Balance Sheet'!G6</f>
        <v>0.12105458596360935</v>
      </c>
      <c r="H388" s="62">
        <f>'Profit &amp; Loss'!H9/'Balance Sheet'!H6</f>
        <v>0.11352525801195001</v>
      </c>
      <c r="I388" s="62">
        <f>'Profit &amp; Loss'!I9/'Balance Sheet'!I6</f>
        <v>0.10234899328859061</v>
      </c>
      <c r="J388" s="62">
        <f>'Profit &amp; Loss'!J9/'Balance Sheet'!J6</f>
        <v>0.12545338169404738</v>
      </c>
      <c r="K388" s="62">
        <f>'Profit &amp; Loss'!K9/'Balance Sheet'!K6</f>
        <v>9.3984962406015032E-2</v>
      </c>
      <c r="L388" s="62"/>
      <c r="M388" s="136">
        <f t="shared" si="106"/>
        <v>9.1022582676948544E-2</v>
      </c>
      <c r="N388" s="32">
        <f t="shared" si="107"/>
        <v>0.12947795280823218</v>
      </c>
      <c r="O388" s="32">
        <f t="shared" si="108"/>
        <v>0.10726244579621769</v>
      </c>
    </row>
    <row r="389" spans="1:15" s="18" customFormat="1" hidden="1">
      <c r="A389" s="155" t="s">
        <v>302</v>
      </c>
      <c r="C389" s="156">
        <f>(C88/C388)+'Data Sheet'!C69</f>
        <v>60.982439024390253</v>
      </c>
      <c r="D389" s="156">
        <f>(D88/D388)+'Data Sheet'!D69</f>
        <v>63.23859504132232</v>
      </c>
      <c r="E389" s="156">
        <f>(E88/E388)+'Data Sheet'!E69</f>
        <v>95.295534591194979</v>
      </c>
      <c r="F389" s="156">
        <f>(F88/F388)+'Data Sheet'!F69</f>
        <v>53.966141078838163</v>
      </c>
      <c r="G389" s="156">
        <f>(G88/G388)+'Data Sheet'!G69</f>
        <v>81.328282208588959</v>
      </c>
      <c r="H389" s="156">
        <f>(H88/H388)+'Data Sheet'!H69</f>
        <v>124.74397129186605</v>
      </c>
      <c r="I389" s="156">
        <f>(I88/I388)+'Data Sheet'!I69</f>
        <v>176.48442622950819</v>
      </c>
      <c r="J389" s="156">
        <f>(J88/J388)+'Data Sheet'!J69</f>
        <v>142.25528911564626</v>
      </c>
      <c r="K389" s="156">
        <f>(K88/K388)+'Data Sheet'!K69</f>
        <v>193.39839999999998</v>
      </c>
      <c r="L389" s="156"/>
      <c r="M389" s="136">
        <f t="shared" si="106"/>
        <v>93.071063955696488</v>
      </c>
      <c r="N389" s="32">
        <f t="shared" si="107"/>
        <v>162.2562865602612</v>
      </c>
      <c r="O389" s="32">
        <f t="shared" si="108"/>
        <v>170.71270511505145</v>
      </c>
    </row>
    <row r="390" spans="1:15" s="18" customFormat="1" hidden="1">
      <c r="A390" s="155" t="s">
        <v>70</v>
      </c>
      <c r="C390" s="157">
        <f>'Profit &amp; Loss'!C15*'Data Sheet'!C70/10000000</f>
        <v>11.989285000000001</v>
      </c>
      <c r="D390" s="157">
        <f>'Profit &amp; Loss'!D15*'Data Sheet'!D70/10000000</f>
        <v>24.355540000000001</v>
      </c>
      <c r="E390" s="157">
        <f>'Profit &amp; Loss'!E15*'Data Sheet'!E70/10000000</f>
        <v>21.995772000000002</v>
      </c>
      <c r="F390" s="157">
        <f>'Profit &amp; Loss'!F15*'Data Sheet'!F70/10000000</f>
        <v>20.096664000000001</v>
      </c>
      <c r="G390" s="157">
        <f>'Profit &amp; Loss'!G15*'Data Sheet'!G70/10000000</f>
        <v>38.441333999999998</v>
      </c>
      <c r="H390" s="157">
        <f>'Profit &amp; Loss'!H15*'Data Sheet'!H70/10000000</f>
        <v>97.300672000000006</v>
      </c>
      <c r="I390" s="157">
        <f>'Profit &amp; Loss'!I15*'Data Sheet'!I70/10000000</f>
        <v>237.95858799999999</v>
      </c>
      <c r="J390" s="157">
        <f>'Profit &amp; Loss'!J15*'Data Sheet'!J70/10000000</f>
        <v>273.71329502400005</v>
      </c>
      <c r="K390" s="157">
        <f>'Profit &amp; Loss'!K15*'Data Sheet'!K70/10000000</f>
        <v>265.83642945600002</v>
      </c>
      <c r="L390" s="157"/>
      <c r="M390" s="136">
        <f t="shared" si="106"/>
        <v>97.969829448000013</v>
      </c>
      <c r="N390" s="32">
        <f t="shared" si="107"/>
        <v>202.24402958560003</v>
      </c>
      <c r="O390" s="32">
        <f t="shared" si="108"/>
        <v>259.16943749333336</v>
      </c>
    </row>
    <row r="391" spans="1:15" s="18" customFormat="1" hidden="1">
      <c r="A391" s="155" t="s">
        <v>303</v>
      </c>
      <c r="C391" s="62">
        <f>C389/C390</f>
        <v>5.0864116604443259</v>
      </c>
      <c r="D391" s="62">
        <f t="shared" ref="D391:K391" si="143">D389/D390</f>
        <v>2.5964768197018961</v>
      </c>
      <c r="E391" s="62">
        <f t="shared" si="143"/>
        <v>4.3324478263911343</v>
      </c>
      <c r="F391" s="62">
        <f t="shared" si="143"/>
        <v>2.6853283250811262</v>
      </c>
      <c r="G391" s="62">
        <f t="shared" si="143"/>
        <v>2.115646720495937</v>
      </c>
      <c r="H391" s="62">
        <f t="shared" si="143"/>
        <v>1.2820463489899232</v>
      </c>
      <c r="I391" s="62">
        <f t="shared" si="143"/>
        <v>0.74166025152875836</v>
      </c>
      <c r="J391" s="62">
        <f t="shared" si="143"/>
        <v>0.51972370981531191</v>
      </c>
      <c r="K391" s="62">
        <f t="shared" si="143"/>
        <v>0.72750901896991649</v>
      </c>
      <c r="L391" s="62"/>
      <c r="M391" s="136">
        <f t="shared" si="106"/>
        <v>1.5000839020974002</v>
      </c>
      <c r="N391" s="32">
        <f t="shared" si="107"/>
        <v>1.3773339903794495</v>
      </c>
      <c r="O391" s="32">
        <f t="shared" si="108"/>
        <v>0.66296432677132888</v>
      </c>
    </row>
    <row r="392" spans="1:15" s="18" customFormat="1" hidden="1">
      <c r="A392" s="155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36">
        <f t="shared" ref="M392:M455" si="144">SUM(D392:K392)/10</f>
        <v>0</v>
      </c>
      <c r="N392" s="32">
        <f t="shared" ref="N392:N455" si="145">SUM(G392:M392)/5</f>
        <v>0</v>
      </c>
      <c r="O392" s="32">
        <f t="shared" ref="O392:O455" si="146">SUM(I392:K392)/3</f>
        <v>0</v>
      </c>
    </row>
    <row r="393" spans="1:15" s="18" customFormat="1" hidden="1">
      <c r="A393" s="155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36">
        <f t="shared" si="144"/>
        <v>0</v>
      </c>
      <c r="N393" s="32">
        <f t="shared" si="145"/>
        <v>0</v>
      </c>
      <c r="O393" s="32">
        <f t="shared" si="146"/>
        <v>0</v>
      </c>
    </row>
    <row r="394" spans="1:15" s="18" customFormat="1" hidden="1">
      <c r="A394" s="155" t="s">
        <v>304</v>
      </c>
      <c r="B394" s="32">
        <f>'Data Sheet'!B62/'Data Sheet'!B61</f>
        <v>0.33892292808771363</v>
      </c>
      <c r="C394" s="32">
        <f>'Data Sheet'!C62/'Data Sheet'!C61</f>
        <v>0.38900255754475704</v>
      </c>
      <c r="D394" s="32">
        <f>'Data Sheet'!D62/'Data Sheet'!D61</f>
        <v>0.40715935334872977</v>
      </c>
      <c r="E394" s="32">
        <f>'Data Sheet'!E62/'Data Sheet'!E61</f>
        <v>0.36753832281334531</v>
      </c>
      <c r="F394" s="32">
        <f>'Data Sheet'!F62/'Data Sheet'!F61</f>
        <v>0.35387263339070563</v>
      </c>
      <c r="G394" s="32">
        <f>'Data Sheet'!G62/'Data Sheet'!G61</f>
        <v>0.32507537029754879</v>
      </c>
      <c r="H394" s="32">
        <f>'Data Sheet'!H62/'Data Sheet'!H61</f>
        <v>0.28735157459989674</v>
      </c>
      <c r="I394" s="32">
        <f>'Data Sheet'!I62/'Data Sheet'!I61</f>
        <v>0.27280097284150789</v>
      </c>
      <c r="J394" s="32">
        <f>'Data Sheet'!J62/'Data Sheet'!J61</f>
        <v>0.22518509600914946</v>
      </c>
      <c r="K394" s="32">
        <f>'Data Sheet'!K62/'Data Sheet'!K61</f>
        <v>0.24774849439195537</v>
      </c>
      <c r="L394" s="32"/>
      <c r="M394" s="136">
        <f t="shared" si="144"/>
        <v>0.24867318176928385</v>
      </c>
      <c r="N394" s="32">
        <f t="shared" si="145"/>
        <v>0.32136693798186844</v>
      </c>
      <c r="O394" s="32">
        <f t="shared" si="146"/>
        <v>0.24857818774753757</v>
      </c>
    </row>
    <row r="395" spans="1:15" s="18" customFormat="1" hidden="1">
      <c r="A395" s="155" t="s">
        <v>305</v>
      </c>
      <c r="B395" s="32">
        <f>'Balance Sheet'!B16/'Balance Sheet'!B8</f>
        <v>0.34504998387616892</v>
      </c>
      <c r="C395" s="32">
        <f>'Balance Sheet'!C16/'Balance Sheet'!C8</f>
        <v>0.34168797953964197</v>
      </c>
      <c r="D395" s="32">
        <f>'Balance Sheet'!D16/'Balance Sheet'!D8</f>
        <v>0.27136258660508089</v>
      </c>
      <c r="E395" s="32">
        <f>'Balance Sheet'!E16/'Balance Sheet'!E8</f>
        <v>0.3859332732191163</v>
      </c>
      <c r="F395" s="32">
        <f>'Balance Sheet'!F16/'Balance Sheet'!F8</f>
        <v>0.42237521514629944</v>
      </c>
      <c r="G395" s="32">
        <f>'Balance Sheet'!G16/'Balance Sheet'!G8</f>
        <v>0.37672040896578846</v>
      </c>
      <c r="H395" s="32">
        <f>'Balance Sheet'!H16/'Balance Sheet'!H8</f>
        <v>0.40268456375838929</v>
      </c>
      <c r="I395" s="32">
        <f>'Balance Sheet'!I16/'Balance Sheet'!I8</f>
        <v>0.42002432103769766</v>
      </c>
      <c r="J395" s="32">
        <f>'Balance Sheet'!J16/'Balance Sheet'!J8</f>
        <v>0.45073135496298078</v>
      </c>
      <c r="K395" s="32">
        <f>'Balance Sheet'!K16/'Balance Sheet'!K8</f>
        <v>0.4946129620421017</v>
      </c>
      <c r="L395" s="32"/>
      <c r="M395" s="136">
        <f t="shared" si="144"/>
        <v>0.32244446857374542</v>
      </c>
      <c r="N395" s="32">
        <f t="shared" si="145"/>
        <v>0.49344361586814067</v>
      </c>
      <c r="O395" s="32">
        <f t="shared" si="146"/>
        <v>0.45512287934759338</v>
      </c>
    </row>
    <row r="396" spans="1:15" s="18" customFormat="1" hidden="1">
      <c r="A396" s="155"/>
      <c r="C396" s="112"/>
      <c r="M396" s="136">
        <f t="shared" si="144"/>
        <v>0</v>
      </c>
      <c r="N396" s="32">
        <f t="shared" si="145"/>
        <v>0</v>
      </c>
      <c r="O396" s="32">
        <f t="shared" si="146"/>
        <v>0</v>
      </c>
    </row>
    <row r="397" spans="1:15" s="18" customFormat="1" hidden="1">
      <c r="A397" s="155" t="s">
        <v>6</v>
      </c>
      <c r="B397" s="18">
        <f>'Data Sheet'!B17</f>
        <v>30.36</v>
      </c>
      <c r="C397" s="18">
        <f>'Data Sheet'!C17</f>
        <v>50.62</v>
      </c>
      <c r="D397" s="18">
        <f>'Data Sheet'!D17</f>
        <v>46.28</v>
      </c>
      <c r="E397" s="18">
        <f>'Data Sheet'!E17</f>
        <v>55.1</v>
      </c>
      <c r="F397" s="18">
        <f>'Data Sheet'!F17</f>
        <v>62.16</v>
      </c>
      <c r="G397" s="18">
        <f>'Data Sheet'!G17</f>
        <v>78.45</v>
      </c>
      <c r="H397" s="18">
        <f>'Data Sheet'!H17</f>
        <v>103.71</v>
      </c>
      <c r="I397" s="18">
        <f>'Data Sheet'!I17</f>
        <v>116.41</v>
      </c>
      <c r="J397" s="18">
        <f>'Data Sheet'!J17</f>
        <v>138.86000000000001</v>
      </c>
      <c r="K397" s="18">
        <f>'Data Sheet'!K17</f>
        <v>141.69999999999999</v>
      </c>
      <c r="M397" s="136">
        <f t="shared" si="144"/>
        <v>74.26700000000001</v>
      </c>
      <c r="N397" s="32">
        <f t="shared" si="145"/>
        <v>130.67940000000002</v>
      </c>
      <c r="O397" s="32">
        <f t="shared" si="146"/>
        <v>132.32333333333335</v>
      </c>
    </row>
    <row r="398" spans="1:15" s="18" customFormat="1" hidden="1">
      <c r="A398" s="155" t="s">
        <v>85</v>
      </c>
      <c r="B398" s="49">
        <f>B88</f>
        <v>5.2299999999999995</v>
      </c>
      <c r="C398" s="49">
        <f t="shared" ref="C398:K398" si="147">C88</f>
        <v>11.100000000000001</v>
      </c>
      <c r="D398" s="49">
        <f t="shared" si="147"/>
        <v>8.120000000000001</v>
      </c>
      <c r="E398" s="49">
        <f t="shared" si="147"/>
        <v>8.7800000000000011</v>
      </c>
      <c r="F398" s="49">
        <f t="shared" si="147"/>
        <v>6.83</v>
      </c>
      <c r="G398" s="49">
        <f t="shared" si="147"/>
        <v>9.6199999999999992</v>
      </c>
      <c r="H398" s="49">
        <f t="shared" si="147"/>
        <v>13.93</v>
      </c>
      <c r="I398" s="49">
        <f t="shared" si="147"/>
        <v>17.54</v>
      </c>
      <c r="J398" s="49">
        <f t="shared" si="147"/>
        <v>14.690000000000001</v>
      </c>
      <c r="K398" s="49">
        <f t="shared" si="147"/>
        <v>16.309999999999999</v>
      </c>
      <c r="L398" s="49"/>
      <c r="M398" s="136">
        <f t="shared" si="144"/>
        <v>9.581999999999999</v>
      </c>
      <c r="N398" s="32">
        <f t="shared" si="145"/>
        <v>16.334399999999999</v>
      </c>
      <c r="O398" s="32">
        <f t="shared" si="146"/>
        <v>16.180000000000003</v>
      </c>
    </row>
    <row r="399" spans="1:15" s="18" customFormat="1" hidden="1">
      <c r="A399" s="155" t="s">
        <v>264</v>
      </c>
      <c r="B399" s="49">
        <f>B89</f>
        <v>6.58</v>
      </c>
      <c r="C399" s="49">
        <f t="shared" ref="C399:K399" si="148">C89</f>
        <v>13.200000000000001</v>
      </c>
      <c r="D399" s="49">
        <f t="shared" si="148"/>
        <v>10.770000000000001</v>
      </c>
      <c r="E399" s="49">
        <f t="shared" si="148"/>
        <v>11.64</v>
      </c>
      <c r="F399" s="49">
        <f t="shared" si="148"/>
        <v>10.15</v>
      </c>
      <c r="G399" s="49">
        <f t="shared" si="148"/>
        <v>13.41</v>
      </c>
      <c r="H399" s="49">
        <f t="shared" si="148"/>
        <v>18.13</v>
      </c>
      <c r="I399" s="49">
        <f t="shared" si="148"/>
        <v>21.13</v>
      </c>
      <c r="J399" s="49">
        <f t="shared" si="148"/>
        <v>19.28</v>
      </c>
      <c r="K399" s="49">
        <f t="shared" si="148"/>
        <v>21.14</v>
      </c>
      <c r="L399" s="49"/>
      <c r="M399" s="136">
        <f t="shared" si="144"/>
        <v>12.565</v>
      </c>
      <c r="N399" s="32">
        <f t="shared" si="145"/>
        <v>21.131</v>
      </c>
      <c r="O399" s="32">
        <f t="shared" si="146"/>
        <v>20.516666666666666</v>
      </c>
    </row>
    <row r="400" spans="1:15" s="18" customFormat="1" hidden="1">
      <c r="A400" s="155" t="s">
        <v>96</v>
      </c>
      <c r="B400" s="49">
        <f>B166</f>
        <v>4.2588814317673371</v>
      </c>
      <c r="C400" s="49">
        <f t="shared" ref="C400:K400" si="149">C166</f>
        <v>9.12227171492205</v>
      </c>
      <c r="D400" s="49">
        <f t="shared" si="149"/>
        <v>6.4156684491978613</v>
      </c>
      <c r="E400" s="49">
        <f t="shared" si="149"/>
        <v>7.026322751322752</v>
      </c>
      <c r="F400" s="49">
        <f t="shared" si="149"/>
        <v>5.0678342749529186</v>
      </c>
      <c r="G400" s="49">
        <f t="shared" si="149"/>
        <v>7.3927754532775438</v>
      </c>
      <c r="H400" s="49">
        <f t="shared" si="149"/>
        <v>10.566673003802281</v>
      </c>
      <c r="I400" s="49">
        <f t="shared" si="149"/>
        <v>12.625603644646922</v>
      </c>
      <c r="J400" s="49">
        <f t="shared" si="149"/>
        <v>9.3505967450271275</v>
      </c>
      <c r="K400" s="49">
        <f t="shared" si="149"/>
        <v>10.280242424242424</v>
      </c>
      <c r="L400" s="49"/>
      <c r="M400" s="136">
        <f t="shared" si="144"/>
        <v>6.8725716746469825</v>
      </c>
      <c r="N400" s="32">
        <f t="shared" si="145"/>
        <v>11.417692589128656</v>
      </c>
      <c r="O400" s="32">
        <f t="shared" si="146"/>
        <v>10.752147604638823</v>
      </c>
    </row>
    <row r="401" spans="1:15" s="18" customFormat="1" hidden="1">
      <c r="A401" s="155" t="s">
        <v>307</v>
      </c>
      <c r="B401" s="18">
        <f>'Data Sheet'!B18+'Data Sheet'!B19+'Data Sheet'!B20+'Data Sheet'!B21+'Data Sheet'!B29</f>
        <v>16.899999999999999</v>
      </c>
      <c r="C401" s="18">
        <f>'Data Sheet'!C18+'Data Sheet'!C19+'Data Sheet'!C20+'Data Sheet'!C21+'Data Sheet'!C29</f>
        <v>27.450000000000003</v>
      </c>
      <c r="D401" s="18">
        <f>'Data Sheet'!D18+'Data Sheet'!D19+'Data Sheet'!D20+'Data Sheet'!D21+'Data Sheet'!D29</f>
        <v>27.45</v>
      </c>
      <c r="E401" s="18">
        <f>'Data Sheet'!E18+'Data Sheet'!E19+'Data Sheet'!E20+'Data Sheet'!E21+'Data Sheet'!E29</f>
        <v>30.060000000000002</v>
      </c>
      <c r="F401" s="18">
        <f>'Data Sheet'!F18+'Data Sheet'!F19+'Data Sheet'!F20+'Data Sheet'!F21+'Data Sheet'!F29</f>
        <v>38.75</v>
      </c>
      <c r="G401" s="18">
        <f>'Data Sheet'!G18+'Data Sheet'!G19+'Data Sheet'!G20+'Data Sheet'!G21+'Data Sheet'!G29</f>
        <v>54.29999999999999</v>
      </c>
      <c r="H401" s="18">
        <f>'Data Sheet'!H18+'Data Sheet'!H19+'Data Sheet'!H20+'Data Sheet'!H21+'Data Sheet'!H29</f>
        <v>74.660000000000011</v>
      </c>
      <c r="I401" s="18">
        <f>'Data Sheet'!I18+'Data Sheet'!I19+'Data Sheet'!I20+'Data Sheet'!I21+'Data Sheet'!I29</f>
        <v>67.5</v>
      </c>
      <c r="J401" s="18">
        <f>'Data Sheet'!J18+'Data Sheet'!J19+'Data Sheet'!J20+'Data Sheet'!J21+'Data Sheet'!J29</f>
        <v>81.499999999999986</v>
      </c>
      <c r="K401" s="18">
        <f>'Data Sheet'!K18+'Data Sheet'!K19+'Data Sheet'!K20+'Data Sheet'!K21+'Data Sheet'!K29</f>
        <v>83.139999999999986</v>
      </c>
      <c r="M401" s="136">
        <f t="shared" si="144"/>
        <v>45.736000000000004</v>
      </c>
      <c r="N401" s="32">
        <f t="shared" si="145"/>
        <v>81.367199999999997</v>
      </c>
      <c r="O401" s="32">
        <f t="shared" si="146"/>
        <v>77.38</v>
      </c>
    </row>
    <row r="402" spans="1:15" s="18" customFormat="1" hidden="1">
      <c r="A402" s="155" t="s">
        <v>306</v>
      </c>
      <c r="B402" s="18">
        <f>'Data Sheet'!B22+'Data Sheet'!B23+'Data Sheet'!B24+'Data Sheet'!B26+'Data Sheet'!B27</f>
        <v>11.36</v>
      </c>
      <c r="C402" s="18">
        <f>'Data Sheet'!C22+'Data Sheet'!C23+'Data Sheet'!C24+'Data Sheet'!C26+'Data Sheet'!C27</f>
        <v>17.209999999999997</v>
      </c>
      <c r="D402" s="18">
        <f>'Data Sheet'!D22+'Data Sheet'!D23+'Data Sheet'!D24+'Data Sheet'!D26+'Data Sheet'!D27</f>
        <v>17.29</v>
      </c>
      <c r="E402" s="18">
        <f>'Data Sheet'!E22+'Data Sheet'!E23+'Data Sheet'!E24+'Data Sheet'!E26+'Data Sheet'!E27</f>
        <v>20.420000000000002</v>
      </c>
      <c r="F402" s="18">
        <f>'Data Sheet'!F22+'Data Sheet'!F23+'Data Sheet'!F24+'Data Sheet'!F26+'Data Sheet'!F27</f>
        <v>22.6</v>
      </c>
      <c r="G402" s="18">
        <f>'Data Sheet'!G22+'Data Sheet'!G23+'Data Sheet'!G24+'Data Sheet'!G26+'Data Sheet'!G27</f>
        <v>24.68</v>
      </c>
      <c r="H402" s="18">
        <f>'Data Sheet'!H22+'Data Sheet'!H23+'Data Sheet'!H24+'Data Sheet'!H26+'Data Sheet'!H27</f>
        <v>32.480000000000004</v>
      </c>
      <c r="I402" s="18">
        <f>'Data Sheet'!I22+'Data Sheet'!I23+'Data Sheet'!I24+'Data Sheet'!I26+'Data Sheet'!I27</f>
        <v>41.21</v>
      </c>
      <c r="J402" s="18">
        <f>'Data Sheet'!J22+'Data Sheet'!J23+'Data Sheet'!J24+'Data Sheet'!J26+'Data Sheet'!J27</f>
        <v>57.660000000000004</v>
      </c>
      <c r="K402" s="18">
        <f>'Data Sheet'!K22+'Data Sheet'!K23+'Data Sheet'!K24+'Data Sheet'!K26+'Data Sheet'!K27</f>
        <v>59.249999999999993</v>
      </c>
      <c r="M402" s="136">
        <f t="shared" si="144"/>
        <v>27.558999999999997</v>
      </c>
      <c r="N402" s="32">
        <f t="shared" si="145"/>
        <v>48.567799999999998</v>
      </c>
      <c r="O402" s="32">
        <f t="shared" si="146"/>
        <v>52.706666666666671</v>
      </c>
    </row>
    <row r="403" spans="1:15" s="18" customFormat="1" hidden="1">
      <c r="A403" s="155" t="s">
        <v>310</v>
      </c>
      <c r="B403" s="18">
        <f>'Data Sheet'!B30</f>
        <v>3.64</v>
      </c>
      <c r="C403" s="18">
        <f>'Data Sheet'!C30</f>
        <v>7.38</v>
      </c>
      <c r="D403" s="18">
        <f>'Data Sheet'!D30</f>
        <v>5.91</v>
      </c>
      <c r="E403" s="18">
        <f>'Data Sheet'!E30</f>
        <v>6.05</v>
      </c>
      <c r="F403" s="18">
        <f>'Data Sheet'!F30</f>
        <v>3.94</v>
      </c>
      <c r="G403" s="18">
        <f>'Data Sheet'!G30</f>
        <v>5.5</v>
      </c>
      <c r="H403" s="18">
        <f>'Data Sheet'!H30</f>
        <v>7.98</v>
      </c>
      <c r="I403" s="18">
        <f>'Data Sheet'!I30</f>
        <v>9.48</v>
      </c>
      <c r="J403" s="18">
        <f>'Data Sheet'!J30</f>
        <v>7.05</v>
      </c>
      <c r="K403" s="18">
        <f>'Data Sheet'!K30</f>
        <v>8.32</v>
      </c>
      <c r="M403" s="136">
        <f t="shared" si="144"/>
        <v>5.423</v>
      </c>
      <c r="N403" s="32">
        <f t="shared" si="145"/>
        <v>8.7506000000000004</v>
      </c>
      <c r="O403" s="32">
        <f t="shared" si="146"/>
        <v>8.2833333333333332</v>
      </c>
    </row>
    <row r="404" spans="1:15" s="18" customFormat="1">
      <c r="A404" s="57" t="s">
        <v>571</v>
      </c>
      <c r="B404" s="143">
        <f>B745-'Profit &amp; Loss'!B8</f>
        <v>-1.35</v>
      </c>
      <c r="C404" s="143">
        <f>C745-'Profit &amp; Loss'!C8</f>
        <v>4.490000000000002</v>
      </c>
      <c r="D404" s="143">
        <f>D745-'Profit &amp; Loss'!D8</f>
        <v>2.6099999999999981</v>
      </c>
      <c r="E404" s="143">
        <f>E745-'Profit &amp; Loss'!E8</f>
        <v>2.4899999999999998</v>
      </c>
      <c r="F404" s="143">
        <f>F745-'Profit &amp; Loss'!F8</f>
        <v>0.10999999999999988</v>
      </c>
      <c r="G404" s="143">
        <f>G745-'Profit &amp; Loss'!G8</f>
        <v>3.9000000000000021</v>
      </c>
      <c r="H404" s="143">
        <f>H745-'Profit &amp; Loss'!H8</f>
        <v>3.7899999999999974</v>
      </c>
      <c r="I404" s="143">
        <f>I745-'Profit &amp; Loss'!I8</f>
        <v>7.2800000000000011</v>
      </c>
      <c r="J404" s="143">
        <f>J745-'Profit &amp; Loss'!J8</f>
        <v>3.2399999999999984</v>
      </c>
      <c r="K404" s="143">
        <f>K745-'Profit &amp; Loss'!K8</f>
        <v>7.8500000000000068</v>
      </c>
      <c r="L404" s="143"/>
      <c r="M404" s="136">
        <f t="shared" si="144"/>
        <v>3.1270000000000002</v>
      </c>
      <c r="N404" s="32">
        <f t="shared" si="145"/>
        <v>5.8374000000000015</v>
      </c>
      <c r="O404" s="32">
        <f t="shared" si="146"/>
        <v>6.1233333333333348</v>
      </c>
    </row>
    <row r="405" spans="1:15" s="18" customFormat="1">
      <c r="A405" s="57" t="s">
        <v>568</v>
      </c>
      <c r="B405" s="46"/>
      <c r="C405" s="143">
        <f>('Balance Sheet'!C16-'Balance Sheet'!B16)</f>
        <v>2.6600000000000019</v>
      </c>
      <c r="D405" s="143">
        <f>('Balance Sheet'!D16-'Balance Sheet'!C16)</f>
        <v>-1.6099999999999994</v>
      </c>
      <c r="E405" s="143">
        <f>('Balance Sheet'!E16-'Balance Sheet'!D16)</f>
        <v>9.6499999999999968</v>
      </c>
      <c r="F405" s="143">
        <f>('Balance Sheet'!F16-'Balance Sheet'!E16)</f>
        <v>3.1400000000000006</v>
      </c>
      <c r="G405" s="143">
        <f>('Balance Sheet'!G16-'Balance Sheet'!F16)</f>
        <v>4.2000000000000028</v>
      </c>
      <c r="H405" s="143">
        <f>('Balance Sheet'!H16-'Balance Sheet'!G16)</f>
        <v>10.259999999999998</v>
      </c>
      <c r="I405" s="143">
        <f>('Balance Sheet'!I16-'Balance Sheet'!H16)</f>
        <v>12.810000000000002</v>
      </c>
      <c r="J405" s="143">
        <f>('Balance Sheet'!J16-'Balance Sheet'!I16)</f>
        <v>23.069999999999993</v>
      </c>
      <c r="K405" s="143">
        <f>('Balance Sheet'!K16-'Balance Sheet'!J16)</f>
        <v>14.64</v>
      </c>
      <c r="L405" s="143"/>
      <c r="M405" s="136">
        <f t="shared" si="144"/>
        <v>7.6159999999999997</v>
      </c>
      <c r="N405" s="32">
        <f t="shared" si="145"/>
        <v>14.519199999999998</v>
      </c>
      <c r="O405" s="32">
        <f t="shared" si="146"/>
        <v>16.84</v>
      </c>
    </row>
    <row r="406" spans="1:15" s="18" customFormat="1">
      <c r="A406" s="57" t="s">
        <v>569</v>
      </c>
      <c r="B406" s="46"/>
      <c r="C406" s="143">
        <f>('Profit &amp; Loss'!C4-'Profit &amp; Loss'!B4)</f>
        <v>20.259999999999998</v>
      </c>
      <c r="D406" s="143">
        <f>('Profit &amp; Loss'!D4-'Profit &amp; Loss'!C4)</f>
        <v>-4.3399999999999963</v>
      </c>
      <c r="E406" s="143">
        <f>('Profit &amp; Loss'!E4-'Profit &amp; Loss'!D4)</f>
        <v>8.82</v>
      </c>
      <c r="F406" s="143">
        <f>('Profit &amp; Loss'!F4-'Profit &amp; Loss'!E4)</f>
        <v>7.0599999999999952</v>
      </c>
      <c r="G406" s="143">
        <f>('Profit &amp; Loss'!G4-'Profit &amp; Loss'!F4)</f>
        <v>16.290000000000006</v>
      </c>
      <c r="H406" s="143">
        <f>('Profit &amp; Loss'!H4-'Profit &amp; Loss'!G4)</f>
        <v>25.259999999999991</v>
      </c>
      <c r="I406" s="143">
        <f>('Profit &amp; Loss'!I4-'Profit &amp; Loss'!H4)</f>
        <v>12.700000000000003</v>
      </c>
      <c r="J406" s="143">
        <f>('Profit &amp; Loss'!J4-'Profit &amp; Loss'!I4)</f>
        <v>22.450000000000017</v>
      </c>
      <c r="K406" s="143">
        <f>('Profit &amp; Loss'!K4-'Profit &amp; Loss'!J4)</f>
        <v>2.839999999999975</v>
      </c>
      <c r="L406" s="143">
        <f>('Profit &amp; Loss'!L4-'Profit &amp; Loss'!K4)</f>
        <v>-2.5099999999999909</v>
      </c>
      <c r="M406" s="136">
        <f t="shared" si="144"/>
        <v>9.1079999999999988</v>
      </c>
      <c r="N406" s="32">
        <f t="shared" si="145"/>
        <v>17.227600000000002</v>
      </c>
      <c r="O406" s="32">
        <f t="shared" si="146"/>
        <v>12.663333333333332</v>
      </c>
    </row>
    <row r="407" spans="1:15" s="2" customFormat="1">
      <c r="A407" s="138" t="s">
        <v>570</v>
      </c>
      <c r="B407" s="145"/>
      <c r="C407" s="169">
        <f>C404/C406</f>
        <v>0.22161895360315906</v>
      </c>
      <c r="D407" s="169">
        <f t="shared" ref="D407:F407" si="150">D404/D406</f>
        <v>-0.60138248847926279</v>
      </c>
      <c r="E407" s="169">
        <f t="shared" si="150"/>
        <v>0.28231292517006801</v>
      </c>
      <c r="F407" s="169">
        <f t="shared" si="150"/>
        <v>1.5580736543909341E-2</v>
      </c>
      <c r="G407" s="169">
        <f t="shared" ref="G407:K407" si="151">G404/G406</f>
        <v>0.2394106813996317</v>
      </c>
      <c r="H407" s="169">
        <f t="shared" si="151"/>
        <v>0.15003958828186853</v>
      </c>
      <c r="I407" s="169">
        <f t="shared" si="151"/>
        <v>0.57322834645669285</v>
      </c>
      <c r="J407" s="169">
        <f t="shared" si="151"/>
        <v>0.14432071269487734</v>
      </c>
      <c r="K407" s="169">
        <f t="shared" si="151"/>
        <v>2.7640845070422801</v>
      </c>
      <c r="L407" s="169"/>
      <c r="M407" s="136">
        <f t="shared" si="144"/>
        <v>0.3567595009110065</v>
      </c>
      <c r="N407" s="32">
        <f t="shared" si="145"/>
        <v>0.84556866735727143</v>
      </c>
      <c r="O407" s="32">
        <f t="shared" si="146"/>
        <v>1.1605445220646169</v>
      </c>
    </row>
    <row r="408" spans="1:15" s="2" customFormat="1">
      <c r="A408" s="138" t="s">
        <v>572</v>
      </c>
      <c r="B408" s="145"/>
      <c r="C408" s="169">
        <f>C405/C406</f>
        <v>0.13129318854886488</v>
      </c>
      <c r="D408" s="169">
        <f t="shared" ref="D408:E408" si="152">D405/D406</f>
        <v>0.37096774193548404</v>
      </c>
      <c r="E408" s="169">
        <f t="shared" si="152"/>
        <v>1.0941043083900224</v>
      </c>
      <c r="F408" s="169">
        <f t="shared" ref="F408:K408" si="153">F405/F406</f>
        <v>0.44475920679886727</v>
      </c>
      <c r="G408" s="169">
        <f t="shared" si="153"/>
        <v>0.25782688766114187</v>
      </c>
      <c r="H408" s="169">
        <f t="shared" si="153"/>
        <v>0.40617577197149651</v>
      </c>
      <c r="I408" s="169">
        <f t="shared" si="153"/>
        <v>1.0086614173228345</v>
      </c>
      <c r="J408" s="169">
        <f t="shared" si="153"/>
        <v>1.0276169265033397</v>
      </c>
      <c r="K408" s="169">
        <f t="shared" si="153"/>
        <v>5.1549295774648343</v>
      </c>
      <c r="L408" s="169"/>
      <c r="M408" s="136">
        <f t="shared" si="144"/>
        <v>0.97650418380480208</v>
      </c>
      <c r="N408" s="32">
        <f t="shared" si="145"/>
        <v>1.7663429529456898</v>
      </c>
      <c r="O408" s="32">
        <f t="shared" si="146"/>
        <v>2.3970693070970026</v>
      </c>
    </row>
    <row r="409" spans="1:15" s="18" customFormat="1" hidden="1">
      <c r="A409" s="155"/>
      <c r="M409" s="136">
        <f t="shared" si="144"/>
        <v>0</v>
      </c>
      <c r="N409" s="32">
        <f t="shared" si="145"/>
        <v>0</v>
      </c>
      <c r="O409" s="32">
        <f t="shared" si="146"/>
        <v>0</v>
      </c>
    </row>
    <row r="410" spans="1:15" s="18" customFormat="1">
      <c r="A410" s="138" t="s">
        <v>308</v>
      </c>
      <c r="B410" s="45">
        <f>B401/'Data Sheet'!B17</f>
        <v>0.5566534914361001</v>
      </c>
      <c r="C410" s="45">
        <f>C401/'Data Sheet'!C17</f>
        <v>0.54227578032398271</v>
      </c>
      <c r="D410" s="45">
        <f>D401/'Data Sheet'!D17</f>
        <v>0.59312878133102853</v>
      </c>
      <c r="E410" s="45">
        <f>E401/'Data Sheet'!E17</f>
        <v>0.54555353901996373</v>
      </c>
      <c r="F410" s="45">
        <f>F401/'Data Sheet'!F17</f>
        <v>0.62339124839124838</v>
      </c>
      <c r="G410" s="45">
        <f>G401/'Data Sheet'!G17</f>
        <v>0.69216061185468436</v>
      </c>
      <c r="H410" s="45">
        <f>H401/'Data Sheet'!H17</f>
        <v>0.7198920065567449</v>
      </c>
      <c r="I410" s="45">
        <f>I401/'Data Sheet'!I17</f>
        <v>0.57984709217421182</v>
      </c>
      <c r="J410" s="45">
        <f>J401/'Data Sheet'!J17</f>
        <v>0.5869220797925967</v>
      </c>
      <c r="K410" s="45">
        <f>K401/'Data Sheet'!K17</f>
        <v>0.58673253352152432</v>
      </c>
      <c r="L410" s="45"/>
      <c r="M410" s="136">
        <f t="shared" si="144"/>
        <v>0.49276278926420025</v>
      </c>
      <c r="N410" s="32">
        <f t="shared" si="145"/>
        <v>0.73166342263279249</v>
      </c>
      <c r="O410" s="32">
        <f t="shared" si="146"/>
        <v>0.58450056849611098</v>
      </c>
    </row>
    <row r="411" spans="1:15" s="18" customFormat="1">
      <c r="A411" s="138" t="s">
        <v>309</v>
      </c>
      <c r="B411" s="45">
        <f>B402/'Data Sheet'!B17</f>
        <v>0.37417654808959155</v>
      </c>
      <c r="C411" s="45">
        <f>C402/'Data Sheet'!C17</f>
        <v>0.33998419596997231</v>
      </c>
      <c r="D411" s="45">
        <f>D402/'Data Sheet'!D17</f>
        <v>0.3735955056179775</v>
      </c>
      <c r="E411" s="45">
        <f>E402/'Data Sheet'!E17</f>
        <v>0.37059891107078041</v>
      </c>
      <c r="F411" s="45">
        <f>F402/'Data Sheet'!F17</f>
        <v>0.36357786357786365</v>
      </c>
      <c r="G411" s="45">
        <f>G402/'Data Sheet'!G17</f>
        <v>0.31459528362014022</v>
      </c>
      <c r="H411" s="45">
        <f>H402/'Data Sheet'!H17</f>
        <v>0.31318098544016976</v>
      </c>
      <c r="I411" s="45">
        <f>I402/'Data Sheet'!I17</f>
        <v>0.35400738768147066</v>
      </c>
      <c r="J411" s="45">
        <f>J402/'Data Sheet'!J17</f>
        <v>0.41523836958087279</v>
      </c>
      <c r="K411" s="45">
        <f>K402/'Data Sheet'!K17</f>
        <v>0.41813690896259703</v>
      </c>
      <c r="L411" s="45"/>
      <c r="M411" s="136">
        <f t="shared" si="144"/>
        <v>0.29229312155518727</v>
      </c>
      <c r="N411" s="32">
        <f t="shared" si="145"/>
        <v>0.42149041136808751</v>
      </c>
      <c r="O411" s="32">
        <f t="shared" si="146"/>
        <v>0.39579422207498016</v>
      </c>
    </row>
    <row r="412" spans="1:15" s="60" customFormat="1">
      <c r="A412" s="59" t="s">
        <v>106</v>
      </c>
      <c r="B412" s="59"/>
      <c r="C412" s="59">
        <f>(('Profit &amp; Loss'!C13-'Profit &amp; Loss'!B13)/'Profit &amp; Loss'!B13)/((Customization!C88-Customization!B88)/Customization!B88)</f>
        <v>0.85937687641324312</v>
      </c>
      <c r="D412" s="59">
        <f>(('Profit &amp; Loss'!D13-'Profit &amp; Loss'!C13)/'Profit &amp; Loss'!C13)/((Customization!D88-Customization!C88)/Customization!C88)</f>
        <v>0.83628268818571183</v>
      </c>
      <c r="E412" s="59">
        <f>(('Profit &amp; Loss'!E13-'Profit &amp; Loss'!D13)/'Profit &amp; Loss'!D13)/((Customization!E88-Customization!D88)/Customization!D88)</f>
        <v>0.29144234220376297</v>
      </c>
      <c r="F412" s="59">
        <f>(('Profit &amp; Loss'!F13-'Profit &amp; Loss'!E13)/'Profit &amp; Loss'!E13)/((Customization!F88-Customization!E88)/Customization!E88)</f>
        <v>1.5703157448611984</v>
      </c>
      <c r="G412" s="59">
        <f>(('Profit &amp; Loss'!G13-'Profit &amp; Loss'!F13)/'Profit &amp; Loss'!F13)/((Customization!G88-Customization!F88)/Customization!F88)</f>
        <v>0.969270236340811</v>
      </c>
      <c r="H412" s="59">
        <f>(('Profit &amp; Loss'!H13-'Profit &amp; Loss'!G13)/'Profit &amp; Loss'!G13)/((Customization!H88-Customization!G88)/Customization!G88)</f>
        <v>0.97051847174312611</v>
      </c>
      <c r="I412" s="59">
        <f>(('Profit &amp; Loss'!I13-'Profit &amp; Loss'!H13)/'Profit &amp; Loss'!H13)/((Customization!I88-Customization!H88)/Customization!H88)</f>
        <v>0.57770577324230299</v>
      </c>
      <c r="J412" s="59">
        <f>(('Profit &amp; Loss'!J13-'Profit &amp; Loss'!I13)/'Profit &amp; Loss'!I13)/((Customization!J88-Customization!I88)/Customization!I88)</f>
        <v>2.0458855906793212</v>
      </c>
      <c r="K412" s="59">
        <f>(('Profit &amp; Loss'!K13-'Profit &amp; Loss'!J13)/'Profit &amp; Loss'!J13)/((Customization!K88-Customization!J88)/Customization!J88)</f>
        <v>1.6335084493476957</v>
      </c>
      <c r="L412" s="59"/>
      <c r="M412" s="136">
        <f t="shared" si="144"/>
        <v>0.88949292966039306</v>
      </c>
      <c r="N412" s="32">
        <f t="shared" si="145"/>
        <v>1.41727629020273</v>
      </c>
      <c r="O412" s="32">
        <f t="shared" si="146"/>
        <v>1.4190332710897733</v>
      </c>
    </row>
    <row r="413" spans="1:15" s="60" customFormat="1">
      <c r="A413" s="59" t="s">
        <v>196</v>
      </c>
      <c r="B413" s="59"/>
      <c r="C413" s="59">
        <f>((Customization!C88-Customization!B88)/B88)/(('Data Sheet'!C17-'Data Sheet'!B17)/'Data Sheet'!B17)</f>
        <v>1.681894454311919</v>
      </c>
      <c r="D413" s="59">
        <f>((Customization!D88-Customization!C88)/C88)/(('Data Sheet'!D17-'Data Sheet'!C17)/'Data Sheet'!C17)</f>
        <v>3.1313073442105721</v>
      </c>
      <c r="E413" s="59">
        <f>((Customization!E88-Customization!D88)/D88)/(('Data Sheet'!E17-'Data Sheet'!D17)/'Data Sheet'!D17)</f>
        <v>0.42649375020944347</v>
      </c>
      <c r="F413" s="59">
        <f>((Customization!F88-Customization!E88)/E88)/(('Data Sheet'!F17-'Data Sheet'!E17)/'Data Sheet'!E17)</f>
        <v>-1.7333529073931888</v>
      </c>
      <c r="G413" s="59">
        <f>((Customization!G88-Customization!F88)/F88)/(('Data Sheet'!G17-'Data Sheet'!F17)/'Data Sheet'!F17)</f>
        <v>1.5587390695906089</v>
      </c>
      <c r="H413" s="59">
        <f>((Customization!H88-Customization!G88)/G88)/(('Data Sheet'!H17-'Data Sheet'!G17)/'Data Sheet'!G17)</f>
        <v>1.3914314003387647</v>
      </c>
      <c r="I413" s="59">
        <f>((Customization!I88-Customization!H88)/H88)/(('Data Sheet'!I17-'Data Sheet'!H17)/'Data Sheet'!H17)</f>
        <v>2.1162793721136608</v>
      </c>
      <c r="J413" s="59">
        <f>((Customization!J88-Customization!I88)/I88)/(('Data Sheet'!J17-'Data Sheet'!I17)/'Data Sheet'!I17)</f>
        <v>-0.84253745178059303</v>
      </c>
      <c r="K413" s="59">
        <f>((Customization!K88-Customization!J88)/J88)/(('Data Sheet'!K17-'Data Sheet'!J17)/'Data Sheet'!J17)</f>
        <v>5.3920267691924577</v>
      </c>
      <c r="L413" s="59"/>
      <c r="M413" s="136">
        <f t="shared" si="144"/>
        <v>1.1440387346481724</v>
      </c>
      <c r="N413" s="32">
        <f t="shared" si="145"/>
        <v>2.1519955788206144</v>
      </c>
      <c r="O413" s="32">
        <f t="shared" si="146"/>
        <v>2.2219228965085085</v>
      </c>
    </row>
    <row r="414" spans="1:15" s="60" customFormat="1" ht="18.75" hidden="1">
      <c r="A414" s="158" t="s">
        <v>200</v>
      </c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136">
        <f t="shared" si="144"/>
        <v>0</v>
      </c>
      <c r="N414" s="32">
        <f t="shared" si="145"/>
        <v>0</v>
      </c>
      <c r="O414" s="32">
        <f t="shared" si="146"/>
        <v>0</v>
      </c>
    </row>
    <row r="415" spans="1:15" s="62" customFormat="1" hidden="1">
      <c r="A415" s="61" t="s">
        <v>254</v>
      </c>
      <c r="B415" s="61"/>
      <c r="C415" s="61">
        <f t="shared" ref="C415:K415" si="154">C363/C362</f>
        <v>0.59764886991813082</v>
      </c>
      <c r="D415" s="61">
        <f t="shared" si="154"/>
        <v>-1.3021351669230077</v>
      </c>
      <c r="E415" s="61">
        <f t="shared" si="154"/>
        <v>8.1533663073970786</v>
      </c>
      <c r="F415" s="61">
        <f t="shared" si="154"/>
        <v>-0.23114437048197833</v>
      </c>
      <c r="G415" s="61">
        <f t="shared" si="154"/>
        <v>0.29008115871036683</v>
      </c>
      <c r="H415" s="61">
        <f t="shared" si="154"/>
        <v>0.37476605497890464</v>
      </c>
      <c r="I415" s="61">
        <f t="shared" si="154"/>
        <v>0.96430595518353823</v>
      </c>
      <c r="J415" s="61">
        <f t="shared" si="154"/>
        <v>-1.7665689767977557</v>
      </c>
      <c r="K415" s="61">
        <f t="shared" si="154"/>
        <v>0.11850670918028421</v>
      </c>
      <c r="L415" s="61"/>
      <c r="M415" s="136">
        <f t="shared" si="144"/>
        <v>0.66011776712474302</v>
      </c>
      <c r="N415" s="32">
        <f t="shared" si="145"/>
        <v>0.12824173367601621</v>
      </c>
      <c r="O415" s="32">
        <f t="shared" si="146"/>
        <v>-0.22791877081131109</v>
      </c>
    </row>
    <row r="416" spans="1:15" s="62" customFormat="1" hidden="1">
      <c r="A416" s="61" t="s">
        <v>255</v>
      </c>
      <c r="B416" s="61"/>
      <c r="C416" s="61">
        <f>1/C415</f>
        <v>1.6732232759630006</v>
      </c>
      <c r="D416" s="61">
        <f t="shared" ref="D416:K416" si="155">1/D415</f>
        <v>-0.76796942852179939</v>
      </c>
      <c r="E416" s="61">
        <f t="shared" si="155"/>
        <v>0.12264872720029243</v>
      </c>
      <c r="F416" s="61">
        <f t="shared" si="155"/>
        <v>-4.3263004758230403</v>
      </c>
      <c r="G416" s="61">
        <f t="shared" si="155"/>
        <v>3.4473111057807642</v>
      </c>
      <c r="H416" s="61">
        <f t="shared" si="155"/>
        <v>2.6683313142015743</v>
      </c>
      <c r="I416" s="61">
        <f t="shared" si="155"/>
        <v>1.0370152695050692</v>
      </c>
      <c r="J416" s="61">
        <f t="shared" si="155"/>
        <v>-0.56606903728870606</v>
      </c>
      <c r="K416" s="61">
        <f t="shared" si="155"/>
        <v>8.438340807174896</v>
      </c>
      <c r="L416" s="61"/>
      <c r="M416" s="136">
        <f t="shared" si="144"/>
        <v>1.005330828222905</v>
      </c>
      <c r="N416" s="32">
        <f t="shared" si="145"/>
        <v>3.2060520575193001</v>
      </c>
      <c r="O416" s="32">
        <f t="shared" si="146"/>
        <v>2.969762346463753</v>
      </c>
    </row>
    <row r="417" spans="1:15" s="62" customFormat="1" hidden="1">
      <c r="A417" s="61" t="s">
        <v>256</v>
      </c>
      <c r="B417" s="61"/>
      <c r="C417" s="61">
        <f t="shared" ref="C417:K417" si="156">C363/C359</f>
        <v>0.73877871140704565</v>
      </c>
      <c r="D417" s="61">
        <f t="shared" si="156"/>
        <v>-1.4245013207360533</v>
      </c>
      <c r="E417" s="61">
        <f t="shared" si="156"/>
        <v>9.4597271730189334</v>
      </c>
      <c r="F417" s="61">
        <f t="shared" si="156"/>
        <v>-0.28774144885102243</v>
      </c>
      <c r="G417" s="61">
        <f t="shared" si="156"/>
        <v>0.34101102554967899</v>
      </c>
      <c r="H417" s="61">
        <f t="shared" si="156"/>
        <v>0.45981978821682679</v>
      </c>
      <c r="I417" s="61">
        <f t="shared" si="156"/>
        <v>1.5008112368534043</v>
      </c>
      <c r="J417" s="61">
        <f t="shared" si="156"/>
        <v>-2.2037691343865893</v>
      </c>
      <c r="K417" s="61">
        <f t="shared" si="156"/>
        <v>0.56935190793458457</v>
      </c>
      <c r="L417" s="61"/>
      <c r="M417" s="136">
        <f t="shared" si="144"/>
        <v>0.84147092275997637</v>
      </c>
      <c r="N417" s="32">
        <f t="shared" si="145"/>
        <v>0.30173914938557639</v>
      </c>
      <c r="O417" s="32">
        <f t="shared" si="146"/>
        <v>-4.4535329866200124E-2</v>
      </c>
    </row>
    <row r="418" spans="1:15" s="62" customFormat="1" hidden="1">
      <c r="A418" s="61" t="s">
        <v>257</v>
      </c>
      <c r="B418" s="61"/>
      <c r="C418" s="61">
        <f>1/C417</f>
        <v>1.3535852949734348</v>
      </c>
      <c r="D418" s="61">
        <f t="shared" ref="D418:K418" si="157">1/D417</f>
        <v>-0.70200005113599373</v>
      </c>
      <c r="E418" s="61">
        <f t="shared" si="157"/>
        <v>0.10571129396334003</v>
      </c>
      <c r="F418" s="61">
        <f t="shared" si="157"/>
        <v>-3.4753422004132188</v>
      </c>
      <c r="G418" s="61">
        <f t="shared" si="157"/>
        <v>2.9324565045604913</v>
      </c>
      <c r="H418" s="61">
        <f t="shared" si="157"/>
        <v>2.1747650397517315</v>
      </c>
      <c r="I418" s="61">
        <f t="shared" si="157"/>
        <v>0.66630631184278477</v>
      </c>
      <c r="J418" s="61">
        <f t="shared" si="157"/>
        <v>-0.45376803967188067</v>
      </c>
      <c r="K418" s="61">
        <f t="shared" si="157"/>
        <v>1.756382978723406</v>
      </c>
      <c r="L418" s="61"/>
      <c r="M418" s="136">
        <f t="shared" si="144"/>
        <v>0.30045118376206603</v>
      </c>
      <c r="N418" s="32">
        <f t="shared" si="145"/>
        <v>1.4753187957937197</v>
      </c>
      <c r="O418" s="32">
        <f t="shared" si="146"/>
        <v>0.65630708363143675</v>
      </c>
    </row>
    <row r="419" spans="1:15" s="60" customFormat="1" hidden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136">
        <f t="shared" si="144"/>
        <v>0</v>
      </c>
      <c r="N419" s="32">
        <f t="shared" si="145"/>
        <v>0</v>
      </c>
      <c r="O419" s="32">
        <f t="shared" si="146"/>
        <v>0</v>
      </c>
    </row>
    <row r="420" spans="1:15" s="18" customFormat="1" hidden="1">
      <c r="A420" s="46"/>
      <c r="B420" s="143"/>
      <c r="C420" s="143"/>
      <c r="D420" s="78"/>
      <c r="E420" s="78"/>
      <c r="F420" s="78"/>
      <c r="G420" s="78"/>
      <c r="H420" s="78"/>
      <c r="I420" s="78"/>
      <c r="J420" s="78"/>
      <c r="K420" s="78"/>
      <c r="L420" s="78"/>
      <c r="M420" s="136">
        <f t="shared" si="144"/>
        <v>0</v>
      </c>
      <c r="N420" s="32">
        <f t="shared" si="145"/>
        <v>0</v>
      </c>
      <c r="O420" s="32">
        <f t="shared" si="146"/>
        <v>0</v>
      </c>
    </row>
    <row r="421" spans="1:15" s="18" customFormat="1" hidden="1">
      <c r="A421" s="138" t="s">
        <v>159</v>
      </c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36">
        <f t="shared" si="144"/>
        <v>0</v>
      </c>
      <c r="N421" s="32">
        <f t="shared" si="145"/>
        <v>0</v>
      </c>
      <c r="O421" s="32">
        <f t="shared" si="146"/>
        <v>0</v>
      </c>
    </row>
    <row r="422" spans="1:15" s="49" customFormat="1" hidden="1">
      <c r="A422" s="159" t="s">
        <v>154</v>
      </c>
      <c r="B422" s="143">
        <f>'Data Sheet'!B30</f>
        <v>3.64</v>
      </c>
      <c r="C422" s="143">
        <f>'Data Sheet'!C30</f>
        <v>7.38</v>
      </c>
      <c r="D422" s="143">
        <f>'Data Sheet'!D30</f>
        <v>5.91</v>
      </c>
      <c r="E422" s="143">
        <f>'Data Sheet'!E30</f>
        <v>6.05</v>
      </c>
      <c r="F422" s="143">
        <f>'Data Sheet'!F30</f>
        <v>3.94</v>
      </c>
      <c r="G422" s="143">
        <f>'Data Sheet'!G30</f>
        <v>5.5</v>
      </c>
      <c r="H422" s="143">
        <f>'Data Sheet'!H30</f>
        <v>7.98</v>
      </c>
      <c r="I422" s="143">
        <f>'Data Sheet'!I30</f>
        <v>9.48</v>
      </c>
      <c r="J422" s="143">
        <f>'Data Sheet'!J30</f>
        <v>7.05</v>
      </c>
      <c r="K422" s="143">
        <f>'Data Sheet'!K30</f>
        <v>8.32</v>
      </c>
      <c r="L422" s="143"/>
      <c r="M422" s="136">
        <f t="shared" si="144"/>
        <v>5.423</v>
      </c>
      <c r="N422" s="32">
        <f t="shared" si="145"/>
        <v>8.7506000000000004</v>
      </c>
      <c r="O422" s="32">
        <f t="shared" si="146"/>
        <v>8.2833333333333332</v>
      </c>
    </row>
    <row r="423" spans="1:15" s="32" customFormat="1" hidden="1">
      <c r="A423" s="45" t="s">
        <v>174</v>
      </c>
      <c r="B423" s="45"/>
      <c r="C423" s="45">
        <f>(C422-B422)/B422</f>
        <v>1.0274725274725274</v>
      </c>
      <c r="D423" s="45">
        <f t="shared" ref="D423:K423" si="158">(D422-C422)/C422</f>
        <v>-0.19918699186991867</v>
      </c>
      <c r="E423" s="45">
        <f t="shared" si="158"/>
        <v>2.3688663282571857E-2</v>
      </c>
      <c r="F423" s="45">
        <f t="shared" si="158"/>
        <v>-0.34876033057851241</v>
      </c>
      <c r="G423" s="45">
        <f t="shared" si="158"/>
        <v>0.39593908629441626</v>
      </c>
      <c r="H423" s="45">
        <f t="shared" si="158"/>
        <v>0.45090909090909098</v>
      </c>
      <c r="I423" s="45">
        <f t="shared" si="158"/>
        <v>0.18796992481203006</v>
      </c>
      <c r="J423" s="45">
        <f t="shared" si="158"/>
        <v>-0.25632911392405067</v>
      </c>
      <c r="K423" s="45">
        <f t="shared" si="158"/>
        <v>0.18014184397163127</v>
      </c>
      <c r="L423" s="45"/>
      <c r="M423" s="136">
        <f t="shared" si="144"/>
        <v>4.3437217289725862E-2</v>
      </c>
      <c r="N423" s="32">
        <f t="shared" si="145"/>
        <v>0.20041360987056875</v>
      </c>
      <c r="O423" s="32">
        <f t="shared" si="146"/>
        <v>3.7260884953203559E-2</v>
      </c>
    </row>
    <row r="424" spans="1:15" s="32" customFormat="1" hidden="1">
      <c r="A424" s="45" t="s">
        <v>175</v>
      </c>
      <c r="B424" s="45"/>
      <c r="C424" s="45"/>
      <c r="D424" s="45"/>
      <c r="E424" s="45">
        <f>SUM(C423:E423)/3</f>
        <v>0.28399139962839354</v>
      </c>
      <c r="F424" s="45">
        <f t="shared" ref="F424:K424" si="159">SUM(D423:F423)/3</f>
        <v>-0.17475288638861974</v>
      </c>
      <c r="G424" s="45">
        <f t="shared" si="159"/>
        <v>2.3622472999491901E-2</v>
      </c>
      <c r="H424" s="45">
        <f t="shared" si="159"/>
        <v>0.1660292822083316</v>
      </c>
      <c r="I424" s="45">
        <f t="shared" si="159"/>
        <v>0.34493936733851244</v>
      </c>
      <c r="J424" s="45">
        <f t="shared" si="159"/>
        <v>0.12751663393235679</v>
      </c>
      <c r="K424" s="45">
        <f t="shared" si="159"/>
        <v>3.7260884953203559E-2</v>
      </c>
      <c r="L424" s="45"/>
      <c r="M424" s="136">
        <f t="shared" si="144"/>
        <v>8.0860715467167013E-2</v>
      </c>
      <c r="N424" s="32">
        <f t="shared" si="145"/>
        <v>0.15604587137981268</v>
      </c>
      <c r="O424" s="32">
        <f t="shared" si="146"/>
        <v>0.16990562874135759</v>
      </c>
    </row>
    <row r="425" spans="1:15" s="32" customFormat="1" hidden="1">
      <c r="A425" s="45" t="s">
        <v>176</v>
      </c>
      <c r="B425" s="45"/>
      <c r="C425" s="45"/>
      <c r="D425" s="45"/>
      <c r="E425" s="45"/>
      <c r="F425" s="45"/>
      <c r="G425" s="45">
        <f>SUM(C423:G423)/5</f>
        <v>0.17983059092021686</v>
      </c>
      <c r="H425" s="45">
        <f t="shared" ref="H425:K425" si="160">SUM(D423:H423)/5</f>
        <v>6.4517903607529598E-2</v>
      </c>
      <c r="I425" s="45">
        <f t="shared" si="160"/>
        <v>0.14194928694391934</v>
      </c>
      <c r="J425" s="45">
        <f t="shared" si="160"/>
        <v>8.5945731502594838E-2</v>
      </c>
      <c r="K425" s="45">
        <f t="shared" si="160"/>
        <v>0.19172616641262358</v>
      </c>
      <c r="L425" s="45"/>
      <c r="M425" s="136">
        <f t="shared" si="144"/>
        <v>6.639696793868842E-2</v>
      </c>
      <c r="N425" s="32">
        <f t="shared" si="145"/>
        <v>0.14607332946511453</v>
      </c>
      <c r="O425" s="32">
        <f t="shared" si="146"/>
        <v>0.13987372828637926</v>
      </c>
    </row>
    <row r="426" spans="1:15" s="32" customFormat="1" hidden="1">
      <c r="A426" s="45" t="s">
        <v>177</v>
      </c>
      <c r="B426" s="45"/>
      <c r="C426" s="45"/>
      <c r="D426" s="45"/>
      <c r="E426" s="45"/>
      <c r="F426" s="45"/>
      <c r="G426" s="45"/>
      <c r="H426" s="45"/>
      <c r="I426" s="45"/>
      <c r="J426" s="45"/>
      <c r="K426" s="45">
        <f>SUM(C423:K423)/9</f>
        <v>0.16242718892997624</v>
      </c>
      <c r="L426" s="45"/>
      <c r="M426" s="136">
        <f t="shared" si="144"/>
        <v>1.6242718892997624E-2</v>
      </c>
      <c r="N426" s="32">
        <f t="shared" si="145"/>
        <v>3.5733981564594772E-2</v>
      </c>
      <c r="O426" s="32">
        <f t="shared" si="146"/>
        <v>5.4142396309992076E-2</v>
      </c>
    </row>
    <row r="427" spans="1:15" s="49" customFormat="1" hidden="1">
      <c r="A427" s="159" t="s">
        <v>245</v>
      </c>
      <c r="B427" s="143">
        <f>('Data Sheet'!B57+'Data Sheet'!B58)</f>
        <v>9.2199999999999989</v>
      </c>
      <c r="C427" s="143">
        <f>('Data Sheet'!C57+'Data Sheet'!C58)</f>
        <v>15.790000000000001</v>
      </c>
      <c r="D427" s="143">
        <f>('Data Sheet'!D57+'Data Sheet'!D58)</f>
        <v>20.84</v>
      </c>
      <c r="E427" s="143">
        <f>('Data Sheet'!E57+'Data Sheet'!E58)</f>
        <v>25.509999999999998</v>
      </c>
      <c r="F427" s="143">
        <f>('Data Sheet'!F57+'Data Sheet'!F58)</f>
        <v>28.07</v>
      </c>
      <c r="G427" s="143">
        <f>('Data Sheet'!G57+'Data Sheet'!G58)</f>
        <v>31.86</v>
      </c>
      <c r="H427" s="143">
        <f>('Data Sheet'!H57+'Data Sheet'!H58)</f>
        <v>38.229999999999997</v>
      </c>
      <c r="I427" s="143">
        <f>('Data Sheet'!I57+'Data Sheet'!I58)</f>
        <v>46.819999999999993</v>
      </c>
      <c r="J427" s="143">
        <f>('Data Sheet'!J57+'Data Sheet'!J58)</f>
        <v>81.12</v>
      </c>
      <c r="K427" s="143">
        <f>('Data Sheet'!K57+'Data Sheet'!K58)</f>
        <v>89.44</v>
      </c>
      <c r="L427" s="143"/>
      <c r="M427" s="136">
        <f t="shared" si="144"/>
        <v>36.189</v>
      </c>
      <c r="N427" s="32">
        <f t="shared" si="145"/>
        <v>64.731800000000007</v>
      </c>
      <c r="O427" s="32">
        <f t="shared" si="146"/>
        <v>72.459999999999994</v>
      </c>
    </row>
    <row r="428" spans="1:15" s="32" customFormat="1" hidden="1">
      <c r="A428" s="45" t="s">
        <v>160</v>
      </c>
      <c r="B428" s="45"/>
      <c r="C428" s="45">
        <f>(C427-B427)/B427</f>
        <v>0.71258134490238645</v>
      </c>
      <c r="D428" s="45">
        <f t="shared" ref="D428:K428" si="161">(D427-C427)/C427</f>
        <v>0.31982267257758068</v>
      </c>
      <c r="E428" s="45">
        <f t="shared" si="161"/>
        <v>0.22408829174664099</v>
      </c>
      <c r="F428" s="45">
        <f t="shared" si="161"/>
        <v>0.10035280282242268</v>
      </c>
      <c r="G428" s="45">
        <f t="shared" si="161"/>
        <v>0.13501959387246168</v>
      </c>
      <c r="H428" s="45">
        <f t="shared" si="161"/>
        <v>0.1999372253609541</v>
      </c>
      <c r="I428" s="45">
        <f t="shared" si="161"/>
        <v>0.22469264975150396</v>
      </c>
      <c r="J428" s="45">
        <f t="shared" si="161"/>
        <v>0.73259290901324259</v>
      </c>
      <c r="K428" s="45">
        <f t="shared" si="161"/>
        <v>0.10256410256410248</v>
      </c>
      <c r="L428" s="45"/>
      <c r="M428" s="136">
        <f t="shared" si="144"/>
        <v>0.2039070247708909</v>
      </c>
      <c r="N428" s="32">
        <f t="shared" si="145"/>
        <v>0.31974270106663116</v>
      </c>
      <c r="O428" s="32">
        <f t="shared" si="146"/>
        <v>0.35328322044294969</v>
      </c>
    </row>
    <row r="429" spans="1:15" s="32" customFormat="1" hidden="1">
      <c r="A429" s="45" t="s">
        <v>170</v>
      </c>
      <c r="B429" s="45"/>
      <c r="C429" s="45"/>
      <c r="D429" s="45"/>
      <c r="E429" s="45">
        <f>SUM(C428:E428)/3</f>
        <v>0.41883076974220268</v>
      </c>
      <c r="F429" s="45">
        <f t="shared" ref="F429:K429" si="162">SUM(D428:F428)/3</f>
        <v>0.21475458904888145</v>
      </c>
      <c r="G429" s="45">
        <f t="shared" si="162"/>
        <v>0.15315356281384176</v>
      </c>
      <c r="H429" s="45">
        <f t="shared" si="162"/>
        <v>0.14510320735194615</v>
      </c>
      <c r="I429" s="45">
        <f t="shared" si="162"/>
        <v>0.18654982299497325</v>
      </c>
      <c r="J429" s="45">
        <f t="shared" si="162"/>
        <v>0.38574092804190024</v>
      </c>
      <c r="K429" s="45">
        <f t="shared" si="162"/>
        <v>0.35328322044294969</v>
      </c>
      <c r="L429" s="45"/>
      <c r="M429" s="136">
        <f t="shared" si="144"/>
        <v>0.18574161004366951</v>
      </c>
      <c r="N429" s="32">
        <f t="shared" si="145"/>
        <v>0.2819144703378561</v>
      </c>
      <c r="O429" s="32">
        <f t="shared" si="146"/>
        <v>0.3085246571599411</v>
      </c>
    </row>
    <row r="430" spans="1:15" s="32" customFormat="1" hidden="1">
      <c r="A430" s="45" t="s">
        <v>171</v>
      </c>
      <c r="B430" s="45"/>
      <c r="C430" s="45"/>
      <c r="D430" s="45"/>
      <c r="E430" s="45"/>
      <c r="F430" s="45"/>
      <c r="G430" s="45">
        <f>SUM(C428:G428)/5</f>
        <v>0.29837294118429847</v>
      </c>
      <c r="H430" s="45">
        <f t="shared" ref="H430:K430" si="163">SUM(D428:H428)/5</f>
        <v>0.195844117276012</v>
      </c>
      <c r="I430" s="45">
        <f t="shared" si="163"/>
        <v>0.17681811271079667</v>
      </c>
      <c r="J430" s="45">
        <f t="shared" si="163"/>
        <v>0.278519036164117</v>
      </c>
      <c r="K430" s="45">
        <f t="shared" si="163"/>
        <v>0.27896129611245296</v>
      </c>
      <c r="L430" s="45"/>
      <c r="M430" s="136">
        <f t="shared" si="144"/>
        <v>0.12285155034476772</v>
      </c>
      <c r="N430" s="32">
        <f t="shared" si="145"/>
        <v>0.27027341075848899</v>
      </c>
      <c r="O430" s="32">
        <f t="shared" si="146"/>
        <v>0.24476614832912222</v>
      </c>
    </row>
    <row r="431" spans="1:15" s="32" customFormat="1" hidden="1">
      <c r="A431" s="45" t="s">
        <v>172</v>
      </c>
      <c r="B431" s="45"/>
      <c r="C431" s="45"/>
      <c r="D431" s="45"/>
      <c r="E431" s="45"/>
      <c r="F431" s="45"/>
      <c r="G431" s="45"/>
      <c r="H431" s="45"/>
      <c r="I431" s="45"/>
      <c r="J431" s="45"/>
      <c r="K431" s="45">
        <f>SUM(C428:K428)/9</f>
        <v>0.30573906584569954</v>
      </c>
      <c r="L431" s="45"/>
      <c r="M431" s="136">
        <f t="shared" si="144"/>
        <v>3.0573906584569953E-2</v>
      </c>
      <c r="N431" s="32">
        <f t="shared" si="145"/>
        <v>6.72625944860539E-2</v>
      </c>
      <c r="O431" s="32">
        <f t="shared" si="146"/>
        <v>0.10191302194856651</v>
      </c>
    </row>
    <row r="432" spans="1:15" s="18" customFormat="1" hidden="1">
      <c r="A432" s="57" t="s">
        <v>162</v>
      </c>
      <c r="B432" s="143"/>
      <c r="C432" s="143">
        <f>'Data Sheet'!C30-(0.1*B427)</f>
        <v>6.4580000000000002</v>
      </c>
      <c r="D432" s="143">
        <f>'Data Sheet'!D30-(0.1*C427)</f>
        <v>4.3309999999999995</v>
      </c>
      <c r="E432" s="143">
        <f>'Data Sheet'!E30-(0.1*D427)</f>
        <v>3.9659999999999997</v>
      </c>
      <c r="F432" s="143">
        <f>'Data Sheet'!F30-(0.1*E427)</f>
        <v>1.3889999999999998</v>
      </c>
      <c r="G432" s="143">
        <f>'Data Sheet'!G30-(0.1*F427)</f>
        <v>2.6929999999999996</v>
      </c>
      <c r="H432" s="143">
        <f>'Data Sheet'!H30-(0.1*G427)</f>
        <v>4.7940000000000005</v>
      </c>
      <c r="I432" s="143">
        <f>'Data Sheet'!I30-(0.1*H427)</f>
        <v>5.657</v>
      </c>
      <c r="J432" s="143">
        <f>'Data Sheet'!J30-(0.1*I427)</f>
        <v>2.3680000000000003</v>
      </c>
      <c r="K432" s="143">
        <f>'Data Sheet'!K30-(0.1*J427)</f>
        <v>0.20800000000000018</v>
      </c>
      <c r="L432" s="143"/>
      <c r="M432" s="136">
        <f t="shared" si="144"/>
        <v>2.5406</v>
      </c>
      <c r="N432" s="32">
        <f t="shared" si="145"/>
        <v>3.65212</v>
      </c>
      <c r="O432" s="32">
        <f t="shared" si="146"/>
        <v>2.7443333333333335</v>
      </c>
    </row>
    <row r="433" spans="1:17" s="18" customFormat="1" hidden="1">
      <c r="A433" s="45" t="s">
        <v>179</v>
      </c>
      <c r="B433" s="143"/>
      <c r="C433" s="143"/>
      <c r="D433" s="45">
        <f>(D432-C432)/C432</f>
        <v>-0.32935893465469196</v>
      </c>
      <c r="E433" s="45">
        <f t="shared" ref="E433:K433" si="164">(E432-D432)/D432</f>
        <v>-8.4276148695451358E-2</v>
      </c>
      <c r="F433" s="45">
        <f t="shared" si="164"/>
        <v>-0.64977307110438731</v>
      </c>
      <c r="G433" s="45">
        <f t="shared" si="164"/>
        <v>0.93880489560835134</v>
      </c>
      <c r="H433" s="45">
        <f t="shared" si="164"/>
        <v>0.78017081321945825</v>
      </c>
      <c r="I433" s="45">
        <f t="shared" si="164"/>
        <v>0.18001668752607414</v>
      </c>
      <c r="J433" s="45">
        <f t="shared" si="164"/>
        <v>-0.58140357079724225</v>
      </c>
      <c r="K433" s="45">
        <f t="shared" si="164"/>
        <v>-0.91216216216216206</v>
      </c>
      <c r="L433" s="45"/>
      <c r="M433" s="136">
        <f t="shared" si="144"/>
        <v>-6.5798149106005122E-2</v>
      </c>
      <c r="N433" s="32">
        <f t="shared" si="145"/>
        <v>6.7925702857694864E-2</v>
      </c>
      <c r="O433" s="32">
        <f t="shared" si="146"/>
        <v>-0.43784968181111</v>
      </c>
    </row>
    <row r="434" spans="1:17" s="18" customFormat="1" hidden="1">
      <c r="A434" s="45" t="s">
        <v>180</v>
      </c>
      <c r="B434" s="143"/>
      <c r="C434" s="143"/>
      <c r="D434" s="143"/>
      <c r="E434" s="143"/>
      <c r="F434" s="45">
        <f>SUM(D433:F433)/3</f>
        <v>-0.35446938481817686</v>
      </c>
      <c r="G434" s="45">
        <f t="shared" ref="G434:K434" si="165">SUM(E433:G433)/3</f>
        <v>6.8251891936170872E-2</v>
      </c>
      <c r="H434" s="45">
        <f t="shared" si="165"/>
        <v>0.35640087924114078</v>
      </c>
      <c r="I434" s="45">
        <f t="shared" si="165"/>
        <v>0.63299746545129454</v>
      </c>
      <c r="J434" s="45">
        <f t="shared" si="165"/>
        <v>0.12626130998276339</v>
      </c>
      <c r="K434" s="45">
        <f t="shared" si="165"/>
        <v>-0.43784968181111</v>
      </c>
      <c r="L434" s="45"/>
      <c r="M434" s="136">
        <f t="shared" si="144"/>
        <v>3.9159247998208274E-2</v>
      </c>
      <c r="N434" s="32">
        <f t="shared" si="145"/>
        <v>0.15704422255969358</v>
      </c>
      <c r="O434" s="32">
        <f t="shared" si="146"/>
        <v>0.10713636454098265</v>
      </c>
    </row>
    <row r="435" spans="1:17" s="18" customFormat="1" hidden="1">
      <c r="A435" s="45" t="s">
        <v>181</v>
      </c>
      <c r="B435" s="143"/>
      <c r="C435" s="143"/>
      <c r="D435" s="143"/>
      <c r="E435" s="143"/>
      <c r="F435" s="143"/>
      <c r="G435" s="78"/>
      <c r="H435" s="45">
        <f>SUM(D433:H433)/5</f>
        <v>0.13111351087465578</v>
      </c>
      <c r="I435" s="45">
        <f t="shared" ref="I435:K435" si="166">SUM(E433:I433)/5</f>
        <v>0.23298863531080899</v>
      </c>
      <c r="J435" s="45">
        <f t="shared" si="166"/>
        <v>0.13356315089045082</v>
      </c>
      <c r="K435" s="45">
        <f t="shared" si="166"/>
        <v>8.108533267889588E-2</v>
      </c>
      <c r="L435" s="45"/>
      <c r="M435" s="136">
        <f t="shared" si="144"/>
        <v>5.7875062975481138E-2</v>
      </c>
      <c r="N435" s="32">
        <f t="shared" si="145"/>
        <v>0.12732513854605851</v>
      </c>
      <c r="O435" s="32">
        <f t="shared" si="146"/>
        <v>0.14921237296005191</v>
      </c>
    </row>
    <row r="436" spans="1:17" s="18" customFormat="1" hidden="1">
      <c r="A436" s="45" t="s">
        <v>182</v>
      </c>
      <c r="B436" s="143"/>
      <c r="C436" s="143"/>
      <c r="D436" s="143"/>
      <c r="E436" s="143"/>
      <c r="F436" s="143"/>
      <c r="G436" s="143"/>
      <c r="H436" s="143"/>
      <c r="I436" s="143"/>
      <c r="J436" s="143"/>
      <c r="K436" s="45">
        <f>SUM(D433:K433)/8</f>
        <v>-8.2247686382506402E-2</v>
      </c>
      <c r="L436" s="45"/>
      <c r="M436" s="136">
        <f t="shared" si="144"/>
        <v>-8.2247686382506402E-3</v>
      </c>
      <c r="N436" s="32">
        <f t="shared" si="145"/>
        <v>-1.8094491004151409E-2</v>
      </c>
      <c r="O436" s="32">
        <f t="shared" si="146"/>
        <v>-2.7415895460835466E-2</v>
      </c>
    </row>
    <row r="437" spans="1:17" s="18" customFormat="1" hidden="1">
      <c r="A437" s="57" t="s">
        <v>173</v>
      </c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36">
        <f t="shared" si="144"/>
        <v>0</v>
      </c>
      <c r="N437" s="32">
        <f t="shared" si="145"/>
        <v>0</v>
      </c>
      <c r="O437" s="32">
        <f t="shared" si="146"/>
        <v>0</v>
      </c>
    </row>
    <row r="438" spans="1:17" s="18" customFormat="1" hidden="1">
      <c r="A438" s="57" t="s">
        <v>178</v>
      </c>
      <c r="B438" s="143"/>
      <c r="C438" s="143"/>
      <c r="D438" s="143"/>
      <c r="E438" s="143"/>
      <c r="F438" s="143"/>
      <c r="G438" s="143"/>
      <c r="H438" s="143"/>
      <c r="I438" s="143"/>
      <c r="J438" s="143"/>
      <c r="K438" s="160">
        <f>K427+M437+N437</f>
        <v>89.44</v>
      </c>
      <c r="L438" s="160"/>
      <c r="M438" s="136">
        <f t="shared" si="144"/>
        <v>8.9439999999999991</v>
      </c>
      <c r="N438" s="32">
        <f t="shared" si="145"/>
        <v>19.6768</v>
      </c>
      <c r="O438" s="32">
        <f t="shared" si="146"/>
        <v>29.813333333333333</v>
      </c>
    </row>
    <row r="439" spans="1:17" s="18" customFormat="1" hidden="1">
      <c r="A439" s="57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36">
        <f t="shared" si="144"/>
        <v>0</v>
      </c>
      <c r="N439" s="32">
        <f t="shared" si="145"/>
        <v>0</v>
      </c>
      <c r="O439" s="32">
        <f t="shared" si="146"/>
        <v>0</v>
      </c>
    </row>
    <row r="440" spans="1:17" s="51" customFormat="1" hidden="1">
      <c r="A440" s="161" t="s">
        <v>169</v>
      </c>
      <c r="B440" s="161"/>
      <c r="C440" s="58">
        <f t="shared" ref="C440:K440" si="167">(C152-0.1)*B427</f>
        <v>3.3872843571880926</v>
      </c>
      <c r="D440" s="58">
        <f t="shared" si="167"/>
        <v>2.8988742802303253</v>
      </c>
      <c r="E440" s="58">
        <f t="shared" si="167"/>
        <v>2.8584539396315165</v>
      </c>
      <c r="F440" s="58">
        <f t="shared" si="167"/>
        <v>1.0296697541859636</v>
      </c>
      <c r="G440" s="58">
        <f t="shared" si="167"/>
        <v>2.0387313245448837</v>
      </c>
      <c r="H440" s="58">
        <f t="shared" si="167"/>
        <v>3.4643478943238315</v>
      </c>
      <c r="I440" s="58">
        <f t="shared" si="167"/>
        <v>3.9177176420333195</v>
      </c>
      <c r="J440" s="58">
        <f t="shared" si="167"/>
        <v>-0.61295414201183518</v>
      </c>
      <c r="K440" s="58">
        <f t="shared" si="167"/>
        <v>-0.56595348837209358</v>
      </c>
      <c r="L440" s="58"/>
      <c r="M440" s="136">
        <f t="shared" si="144"/>
        <v>1.5028887204565913</v>
      </c>
      <c r="N440" s="32">
        <f t="shared" si="145"/>
        <v>1.9489555901949391</v>
      </c>
      <c r="O440" s="32">
        <f t="shared" si="146"/>
        <v>0.91293667054979688</v>
      </c>
      <c r="P440" s="50"/>
      <c r="Q440" s="50"/>
    </row>
    <row r="441" spans="1:17" s="52" customFormat="1" hidden="1">
      <c r="A441" s="162" t="s">
        <v>161</v>
      </c>
      <c r="B441" s="162"/>
      <c r="C441" s="162"/>
      <c r="D441" s="162">
        <f>(D440-C440)/C440</f>
        <v>-0.14418927537669562</v>
      </c>
      <c r="E441" s="162">
        <f t="shared" ref="E441:K441" si="168">(E440-D440)/D440</f>
        <v>-1.3943461044332459E-2</v>
      </c>
      <c r="F441" s="162">
        <f t="shared" si="168"/>
        <v>-0.63978088297665614</v>
      </c>
      <c r="G441" s="162">
        <f t="shared" si="168"/>
        <v>0.9799856373917325</v>
      </c>
      <c r="H441" s="162">
        <f t="shared" si="168"/>
        <v>0.69926652551787094</v>
      </c>
      <c r="I441" s="162">
        <f t="shared" si="168"/>
        <v>0.13086726897501047</v>
      </c>
      <c r="J441" s="162">
        <f t="shared" si="168"/>
        <v>-1.1564569471356054</v>
      </c>
      <c r="K441" s="162">
        <f t="shared" si="168"/>
        <v>-7.6678906982300954E-2</v>
      </c>
      <c r="L441" s="162"/>
      <c r="M441" s="136">
        <f t="shared" si="144"/>
        <v>-2.2093004163097663E-2</v>
      </c>
      <c r="N441" s="32">
        <f t="shared" si="145"/>
        <v>0.11097811472072201</v>
      </c>
      <c r="O441" s="32">
        <f t="shared" si="146"/>
        <v>-0.36742286171429867</v>
      </c>
    </row>
    <row r="442" spans="1:17" s="52" customFormat="1" hidden="1">
      <c r="A442" s="45" t="s">
        <v>180</v>
      </c>
      <c r="B442" s="162"/>
      <c r="C442" s="162"/>
      <c r="D442" s="162"/>
      <c r="E442" s="162"/>
      <c r="F442" s="162">
        <f>SUM(D441:F441)/3</f>
        <v>-0.26597120646589473</v>
      </c>
      <c r="G442" s="162">
        <f t="shared" ref="G442:K442" si="169">SUM(E441:G441)/3</f>
        <v>0.10875376445691465</v>
      </c>
      <c r="H442" s="162">
        <f t="shared" si="169"/>
        <v>0.34649042664431579</v>
      </c>
      <c r="I442" s="162">
        <f t="shared" si="169"/>
        <v>0.60337314396153807</v>
      </c>
      <c r="J442" s="162">
        <f t="shared" si="169"/>
        <v>-0.10877438421424135</v>
      </c>
      <c r="K442" s="162">
        <f t="shared" si="169"/>
        <v>-0.36742286171429867</v>
      </c>
      <c r="L442" s="162"/>
      <c r="M442" s="136">
        <f t="shared" si="144"/>
        <v>3.1644888266833378E-2</v>
      </c>
      <c r="N442" s="32">
        <f t="shared" si="145"/>
        <v>0.12281299548021241</v>
      </c>
      <c r="O442" s="32">
        <f t="shared" si="146"/>
        <v>4.239196601099935E-2</v>
      </c>
    </row>
    <row r="443" spans="1:17" s="52" customFormat="1" hidden="1">
      <c r="A443" s="45" t="s">
        <v>181</v>
      </c>
      <c r="B443" s="162"/>
      <c r="C443" s="162"/>
      <c r="D443" s="162"/>
      <c r="E443" s="162"/>
      <c r="F443" s="162"/>
      <c r="G443" s="162"/>
      <c r="H443" s="162">
        <f>SUM(D441:H441)/5</f>
        <v>0.17626770870238384</v>
      </c>
      <c r="I443" s="162">
        <f t="shared" ref="I443:K443" si="170">SUM(E441:I441)/5</f>
        <v>0.23127901757272512</v>
      </c>
      <c r="J443" s="162">
        <f t="shared" si="170"/>
        <v>2.7763203544704852E-3</v>
      </c>
      <c r="K443" s="162">
        <f t="shared" si="170"/>
        <v>0.11539671555334155</v>
      </c>
      <c r="L443" s="162"/>
      <c r="M443" s="136">
        <f t="shared" si="144"/>
        <v>5.2571976218292106E-2</v>
      </c>
      <c r="N443" s="32">
        <f t="shared" si="145"/>
        <v>0.11565834768024263</v>
      </c>
      <c r="O443" s="32">
        <f t="shared" si="146"/>
        <v>0.11648401782684571</v>
      </c>
    </row>
    <row r="444" spans="1:17" s="52" customFormat="1" hidden="1">
      <c r="A444" s="45" t="s">
        <v>182</v>
      </c>
      <c r="B444" s="162"/>
      <c r="C444" s="162"/>
      <c r="D444" s="162"/>
      <c r="E444" s="162"/>
      <c r="F444" s="162"/>
      <c r="G444" s="162"/>
      <c r="H444" s="162"/>
      <c r="I444" s="162"/>
      <c r="J444" s="162"/>
      <c r="K444" s="162">
        <f>SUM(D441:K441)/8</f>
        <v>-2.7616255203872078E-2</v>
      </c>
      <c r="L444" s="162"/>
      <c r="M444" s="136">
        <f t="shared" si="144"/>
        <v>-2.7616255203872079E-3</v>
      </c>
      <c r="N444" s="32">
        <f t="shared" si="145"/>
        <v>-6.0755761448518571E-3</v>
      </c>
      <c r="O444" s="32">
        <f t="shared" si="146"/>
        <v>-9.2054184012906933E-3</v>
      </c>
    </row>
    <row r="445" spans="1:17" s="52" customFormat="1" hidden="1">
      <c r="A445" s="57" t="s">
        <v>173</v>
      </c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36">
        <f t="shared" si="144"/>
        <v>0</v>
      </c>
      <c r="N445" s="32">
        <f t="shared" si="145"/>
        <v>0</v>
      </c>
      <c r="O445" s="32">
        <f t="shared" si="146"/>
        <v>0</v>
      </c>
    </row>
    <row r="446" spans="1:17" s="52" customFormat="1" hidden="1">
      <c r="A446" s="57" t="s">
        <v>183</v>
      </c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36">
        <f t="shared" si="144"/>
        <v>0</v>
      </c>
      <c r="N446" s="32">
        <f t="shared" si="145"/>
        <v>0</v>
      </c>
      <c r="O446" s="32">
        <f t="shared" si="146"/>
        <v>0</v>
      </c>
    </row>
    <row r="447" spans="1:17" s="52" customFormat="1" hidden="1">
      <c r="A447" s="57" t="s">
        <v>178</v>
      </c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36">
        <f t="shared" si="144"/>
        <v>0</v>
      </c>
      <c r="N447" s="32">
        <f t="shared" si="145"/>
        <v>0</v>
      </c>
      <c r="O447" s="32">
        <f t="shared" si="146"/>
        <v>0</v>
      </c>
    </row>
    <row r="448" spans="1:17" s="52" customFormat="1" hidden="1">
      <c r="A448" s="57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36">
        <f t="shared" si="144"/>
        <v>0</v>
      </c>
      <c r="N448" s="32">
        <f t="shared" si="145"/>
        <v>0</v>
      </c>
      <c r="O448" s="32">
        <f t="shared" si="146"/>
        <v>0</v>
      </c>
    </row>
    <row r="449" spans="1:15" s="18" customFormat="1" hidden="1">
      <c r="A449" s="57" t="s">
        <v>163</v>
      </c>
      <c r="B449" s="45">
        <f t="shared" ref="B449:K449" si="171">B241/B427</f>
        <v>0.39479392624728854</v>
      </c>
      <c r="C449" s="45">
        <f t="shared" si="171"/>
        <v>0.467384420519316</v>
      </c>
      <c r="D449" s="45">
        <f t="shared" si="171"/>
        <v>0.28358925143953934</v>
      </c>
      <c r="E449" s="45">
        <f t="shared" si="171"/>
        <v>0.23716189729517836</v>
      </c>
      <c r="F449" s="45">
        <f t="shared" si="171"/>
        <v>0.14036337727110795</v>
      </c>
      <c r="G449" s="45">
        <f t="shared" si="171"/>
        <v>0.17263025737602009</v>
      </c>
      <c r="H449" s="45">
        <f t="shared" si="171"/>
        <v>0.20873659429767202</v>
      </c>
      <c r="I449" s="45">
        <f t="shared" si="171"/>
        <v>0.20247757368645883</v>
      </c>
      <c r="J449" s="45">
        <f t="shared" si="171"/>
        <v>8.6908284023668639E-2</v>
      </c>
      <c r="K449" s="45">
        <f t="shared" si="171"/>
        <v>9.3023255813953487E-2</v>
      </c>
      <c r="L449" s="45"/>
      <c r="M449" s="136">
        <f t="shared" si="144"/>
        <v>0.14248904912035987</v>
      </c>
      <c r="N449" s="32">
        <f t="shared" si="145"/>
        <v>0.18125300286362661</v>
      </c>
      <c r="O449" s="32">
        <f t="shared" si="146"/>
        <v>0.127469704508027</v>
      </c>
    </row>
    <row r="450" spans="1:15" s="18" customFormat="1" hidden="1">
      <c r="A450" s="57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136">
        <f t="shared" si="144"/>
        <v>0</v>
      </c>
      <c r="N450" s="32">
        <f t="shared" si="145"/>
        <v>0</v>
      </c>
      <c r="O450" s="32">
        <f t="shared" si="146"/>
        <v>0</v>
      </c>
    </row>
    <row r="451" spans="1:15" s="18" customFormat="1" hidden="1">
      <c r="A451" s="57" t="s">
        <v>184</v>
      </c>
      <c r="B451" s="45">
        <f t="shared" ref="B451:K451" si="172">B64</f>
        <v>0.11989459815546773</v>
      </c>
      <c r="C451" s="45">
        <f t="shared" si="172"/>
        <v>0.1457921770051363</v>
      </c>
      <c r="D451" s="45">
        <f t="shared" si="172"/>
        <v>0.12770095073465859</v>
      </c>
      <c r="E451" s="45">
        <f t="shared" si="172"/>
        <v>0.10980036297640652</v>
      </c>
      <c r="F451" s="45">
        <f t="shared" si="172"/>
        <v>6.3384813384813388E-2</v>
      </c>
      <c r="G451" s="45">
        <f t="shared" si="172"/>
        <v>7.0108349267049078E-2</v>
      </c>
      <c r="H451" s="45">
        <f t="shared" si="172"/>
        <v>7.6945328319352052E-2</v>
      </c>
      <c r="I451" s="45">
        <f t="shared" si="172"/>
        <v>8.1436302723133763E-2</v>
      </c>
      <c r="J451" s="45">
        <f t="shared" si="172"/>
        <v>5.0770560276537514E-2</v>
      </c>
      <c r="K451" s="45">
        <f t="shared" si="172"/>
        <v>5.8715596330275233E-2</v>
      </c>
      <c r="L451" s="45"/>
      <c r="M451" s="136">
        <f t="shared" si="144"/>
        <v>6.3886226401222601E-2</v>
      </c>
      <c r="N451" s="32">
        <f t="shared" si="145"/>
        <v>8.037247266351405E-2</v>
      </c>
      <c r="O451" s="32">
        <f t="shared" si="146"/>
        <v>6.364081977664883E-2</v>
      </c>
    </row>
    <row r="452" spans="1:15" s="18" customFormat="1" hidden="1">
      <c r="A452" s="57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136">
        <f t="shared" si="144"/>
        <v>0</v>
      </c>
      <c r="N452" s="32">
        <f t="shared" si="145"/>
        <v>0</v>
      </c>
      <c r="O452" s="32">
        <f t="shared" si="146"/>
        <v>0</v>
      </c>
    </row>
    <row r="453" spans="1:15" s="18" customFormat="1" hidden="1">
      <c r="A453" s="57" t="s">
        <v>185</v>
      </c>
      <c r="B453" s="45"/>
      <c r="C453" s="45">
        <f>(C467-B467)/B467</f>
        <v>1.006079027355623</v>
      </c>
      <c r="D453" s="45">
        <f t="shared" ref="D453:K453" si="173">(D467-C467)/C467</f>
        <v>-0.18409090909090858</v>
      </c>
      <c r="E453" s="45">
        <f t="shared" si="173"/>
        <v>8.0779944289693997E-2</v>
      </c>
      <c r="F453" s="45">
        <f t="shared" si="173"/>
        <v>-0.12800687285223497</v>
      </c>
      <c r="G453" s="45">
        <f t="shared" si="173"/>
        <v>0.32019704433497703</v>
      </c>
      <c r="H453" s="45">
        <f t="shared" si="173"/>
        <v>0.35298507462686368</v>
      </c>
      <c r="I453" s="45">
        <f t="shared" si="173"/>
        <v>0.16547159404302356</v>
      </c>
      <c r="J453" s="45">
        <f t="shared" si="173"/>
        <v>-8.7079981069568171E-2</v>
      </c>
      <c r="K453" s="45">
        <f t="shared" si="173"/>
        <v>9.6423017107307149E-2</v>
      </c>
      <c r="L453" s="45"/>
      <c r="M453" s="136">
        <f t="shared" si="144"/>
        <v>6.1667891138915375E-2</v>
      </c>
      <c r="N453" s="32">
        <f t="shared" si="145"/>
        <v>0.18193292803630373</v>
      </c>
      <c r="O453" s="32">
        <f t="shared" si="146"/>
        <v>5.8271543360254176E-2</v>
      </c>
    </row>
    <row r="454" spans="1:15" s="53" customFormat="1" hidden="1">
      <c r="A454" s="56" t="s">
        <v>187</v>
      </c>
      <c r="B454" s="58"/>
      <c r="C454" s="58">
        <f>'Data Sheet'!B27/'Data Sheet'!B30</f>
        <v>0.30769230769230771</v>
      </c>
      <c r="D454" s="58">
        <f>'Data Sheet'!C27/'Data Sheet'!C30</f>
        <v>0.33333333333333331</v>
      </c>
      <c r="E454" s="58">
        <f>'Data Sheet'!D27/'Data Sheet'!D30</f>
        <v>0.20473773265651438</v>
      </c>
      <c r="F454" s="58">
        <f>'Data Sheet'!E27/'Data Sheet'!E30</f>
        <v>0.2628099173553719</v>
      </c>
      <c r="G454" s="58">
        <f>'Data Sheet'!F27/'Data Sheet'!F30</f>
        <v>0.6116751269035533</v>
      </c>
      <c r="H454" s="58">
        <f>'Data Sheet'!G27/'Data Sheet'!G30</f>
        <v>0.59272727272727266</v>
      </c>
      <c r="I454" s="58">
        <f>'Data Sheet'!H27/'Data Sheet'!H30</f>
        <v>0.52380952380952372</v>
      </c>
      <c r="J454" s="58">
        <f>'Data Sheet'!I27/'Data Sheet'!I30</f>
        <v>0.57911392405063289</v>
      </c>
      <c r="K454" s="58">
        <f>'Data Sheet'!J27/'Data Sheet'!J30</f>
        <v>0.83404255319148934</v>
      </c>
      <c r="L454" s="58"/>
      <c r="M454" s="136">
        <f t="shared" si="144"/>
        <v>0.39422493840276912</v>
      </c>
      <c r="N454" s="32">
        <f t="shared" si="145"/>
        <v>0.70711866781704824</v>
      </c>
      <c r="O454" s="32">
        <f t="shared" si="146"/>
        <v>0.64565533368388195</v>
      </c>
    </row>
    <row r="455" spans="1:15" s="18" customFormat="1" hidden="1">
      <c r="A455" s="57" t="s">
        <v>189</v>
      </c>
      <c r="B455" s="45"/>
      <c r="C455" s="45">
        <f>(C466-B466)/B466</f>
        <v>1.1964285714285712</v>
      </c>
      <c r="D455" s="45">
        <f t="shared" ref="D455:K455" si="174">(D466-C466)/C466</f>
        <v>-0.50813008130081305</v>
      </c>
      <c r="E455" s="45">
        <f t="shared" si="174"/>
        <v>0.31404958677685962</v>
      </c>
      <c r="F455" s="45">
        <f t="shared" si="174"/>
        <v>0.51572327044025157</v>
      </c>
      <c r="G455" s="45">
        <f t="shared" si="174"/>
        <v>0.3526970954356845</v>
      </c>
      <c r="H455" s="45">
        <f t="shared" si="174"/>
        <v>0.2822085889570552</v>
      </c>
      <c r="I455" s="45">
        <f t="shared" si="174"/>
        <v>0.31339712918660301</v>
      </c>
      <c r="J455" s="45">
        <f t="shared" si="174"/>
        <v>7.1038251366120159E-2</v>
      </c>
      <c r="K455" s="45">
        <f t="shared" si="174"/>
        <v>-2.2108843537414949E-2</v>
      </c>
      <c r="L455" s="45"/>
      <c r="M455" s="136">
        <f t="shared" si="144"/>
        <v>0.13188749973243458</v>
      </c>
      <c r="N455" s="32">
        <f t="shared" si="145"/>
        <v>0.22582394422809648</v>
      </c>
      <c r="O455" s="32">
        <f t="shared" si="146"/>
        <v>0.12077551233843609</v>
      </c>
    </row>
    <row r="456" spans="1:15" s="18" customFormat="1" hidden="1">
      <c r="A456" s="57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136">
        <f t="shared" ref="M456:M519" si="175">SUM(D456:K456)/10</f>
        <v>0</v>
      </c>
      <c r="N456" s="32">
        <f t="shared" ref="N456:N519" si="176">SUM(G456:M456)/5</f>
        <v>0</v>
      </c>
      <c r="O456" s="32">
        <f t="shared" ref="O456:O519" si="177">SUM(I456:K456)/3</f>
        <v>0</v>
      </c>
    </row>
    <row r="457" spans="1:15" s="18" customFormat="1" hidden="1">
      <c r="A457" s="57"/>
      <c r="B457" s="45"/>
      <c r="C457" s="45">
        <f>C454*(C453-C455)</f>
        <v>-5.8569090483984045E-2</v>
      </c>
      <c r="D457" s="45">
        <f t="shared" ref="D457:K457" si="178">D454*(D453-D455)</f>
        <v>0.10801305740330149</v>
      </c>
      <c r="E457" s="45">
        <f t="shared" si="178"/>
        <v>-4.7759097700418009E-2</v>
      </c>
      <c r="F457" s="45">
        <f t="shared" si="178"/>
        <v>-0.16917866575786011</v>
      </c>
      <c r="G457" s="45">
        <f t="shared" si="178"/>
        <v>-1.9879472881397211E-2</v>
      </c>
      <c r="H457" s="45">
        <f t="shared" si="178"/>
        <v>4.1951153324286478E-2</v>
      </c>
      <c r="I457" s="45">
        <f t="shared" si="178"/>
        <v>-7.7484804122827322E-2</v>
      </c>
      <c r="J457" s="45">
        <f t="shared" si="178"/>
        <v>-9.1568470049781539E-2</v>
      </c>
      <c r="K457" s="45">
        <f t="shared" si="178"/>
        <v>9.8860615686661837E-2</v>
      </c>
      <c r="L457" s="45"/>
      <c r="M457" s="136">
        <f t="shared" si="175"/>
        <v>-1.5704568409803443E-2</v>
      </c>
      <c r="N457" s="32">
        <f t="shared" si="176"/>
        <v>-1.2765109290572238E-2</v>
      </c>
      <c r="O457" s="32">
        <f t="shared" si="177"/>
        <v>-2.3397552828649002E-2</v>
      </c>
    </row>
    <row r="458" spans="1:15" s="18" customFormat="1" hidden="1">
      <c r="A458" s="57" t="s">
        <v>194</v>
      </c>
      <c r="B458" s="45"/>
      <c r="C458" s="45">
        <f>C453+C457</f>
        <v>0.94750993687163898</v>
      </c>
      <c r="D458" s="45">
        <f t="shared" ref="D458:K458" si="179">D453+D457</f>
        <v>-7.6077851687607098E-2</v>
      </c>
      <c r="E458" s="45">
        <f t="shared" si="179"/>
        <v>3.3020846589275989E-2</v>
      </c>
      <c r="F458" s="45">
        <f t="shared" si="179"/>
        <v>-0.29718553861009511</v>
      </c>
      <c r="G458" s="45">
        <f t="shared" si="179"/>
        <v>0.30031757145357985</v>
      </c>
      <c r="H458" s="45">
        <f t="shared" si="179"/>
        <v>0.39493622795115013</v>
      </c>
      <c r="I458" s="45">
        <f t="shared" si="179"/>
        <v>8.7986789920196234E-2</v>
      </c>
      <c r="J458" s="45">
        <f t="shared" si="179"/>
        <v>-0.17864845111934971</v>
      </c>
      <c r="K458" s="45">
        <f t="shared" si="179"/>
        <v>0.19528363279396899</v>
      </c>
      <c r="L458" s="45"/>
      <c r="M458" s="136">
        <f t="shared" si="175"/>
        <v>4.5963322729111931E-2</v>
      </c>
      <c r="N458" s="32">
        <f t="shared" si="176"/>
        <v>0.1691678187457315</v>
      </c>
      <c r="O458" s="32">
        <f t="shared" si="177"/>
        <v>3.487399053160517E-2</v>
      </c>
    </row>
    <row r="459" spans="1:15" s="18" customFormat="1" hidden="1">
      <c r="A459" s="57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136">
        <f t="shared" si="175"/>
        <v>0</v>
      </c>
      <c r="N459" s="32">
        <f t="shared" si="176"/>
        <v>0</v>
      </c>
      <c r="O459" s="32">
        <f t="shared" si="177"/>
        <v>0</v>
      </c>
    </row>
    <row r="460" spans="1:15" s="18" customFormat="1" hidden="1">
      <c r="A460" s="57" t="s">
        <v>192</v>
      </c>
      <c r="B460" s="45"/>
      <c r="C460" s="45">
        <f>C467/B464</f>
        <v>0.60109289617486317</v>
      </c>
      <c r="D460" s="45">
        <f t="shared" ref="D460:K460" si="180">D467/C464</f>
        <v>0.36997595328065969</v>
      </c>
      <c r="E460" s="45">
        <f t="shared" si="180"/>
        <v>0.38658253072069104</v>
      </c>
      <c r="F460" s="45">
        <f t="shared" si="180"/>
        <v>0.23843081982616851</v>
      </c>
      <c r="G460" s="45">
        <f t="shared" si="180"/>
        <v>0.28761536810474359</v>
      </c>
      <c r="H460" s="45">
        <f t="shared" si="180"/>
        <v>0.30838577989453958</v>
      </c>
      <c r="I460" s="45">
        <f t="shared" si="180"/>
        <v>0.28154563624250495</v>
      </c>
      <c r="J460" s="45">
        <f t="shared" si="180"/>
        <v>0.19201672307386045</v>
      </c>
      <c r="K460" s="45">
        <f t="shared" si="180"/>
        <v>0.16524728494413607</v>
      </c>
      <c r="L460" s="45"/>
      <c r="M460" s="136">
        <f t="shared" si="175"/>
        <v>0.22298000960873038</v>
      </c>
      <c r="N460" s="32">
        <f t="shared" si="176"/>
        <v>0.29155816037370302</v>
      </c>
      <c r="O460" s="32">
        <f t="shared" si="177"/>
        <v>0.21293654808683382</v>
      </c>
    </row>
    <row r="461" spans="1:15" s="18" customFormat="1" hidden="1">
      <c r="A461" s="57" t="s">
        <v>195</v>
      </c>
      <c r="B461" s="45"/>
      <c r="C461" s="45">
        <f>'Data Sheet'!C27/'Data Sheet'!B59</f>
        <v>0.19309262166405022</v>
      </c>
      <c r="D461" s="45">
        <f>'Data Sheet'!D27/'Data Sheet'!C59</f>
        <v>9.0840840840840834E-2</v>
      </c>
      <c r="E461" s="45">
        <f>'Data Sheet'!E27/'Data Sheet'!D59</f>
        <v>0.17152103559870552</v>
      </c>
      <c r="F461" s="45">
        <f>'Data Sheet'!F27/'Data Sheet'!E59</f>
        <v>0.14126611957796015</v>
      </c>
      <c r="G461" s="45">
        <f>'Data Sheet'!G27/'Data Sheet'!F59</f>
        <v>0.17602591792656586</v>
      </c>
      <c r="H461" s="45">
        <f>'Data Sheet'!H27/'Data Sheet'!G59</f>
        <v>0.15521722985518008</v>
      </c>
      <c r="I461" s="45">
        <f>'Data Sheet'!I27/'Data Sheet'!H59</f>
        <v>0.14910374796306355</v>
      </c>
      <c r="J461" s="45">
        <f>'Data Sheet'!J27/'Data Sheet'!I59</f>
        <v>0.10961968680089486</v>
      </c>
      <c r="K461" s="45">
        <f>'Data Sheet'!K27/'Data Sheet'!J59</f>
        <v>0.12267975250693408</v>
      </c>
      <c r="L461" s="45"/>
      <c r="M461" s="136">
        <f t="shared" si="175"/>
        <v>0.11162743310701448</v>
      </c>
      <c r="N461" s="32">
        <f t="shared" si="176"/>
        <v>0.16485475363193058</v>
      </c>
      <c r="O461" s="32">
        <f t="shared" si="177"/>
        <v>0.12713439575696417</v>
      </c>
    </row>
    <row r="462" spans="1:15" s="18" customFormat="1" hidden="1">
      <c r="A462" s="57" t="s">
        <v>193</v>
      </c>
      <c r="B462" s="45"/>
      <c r="C462" s="45">
        <f t="shared" ref="C462:K462" si="181">C460+(C465*(C460-C461))</f>
        <v>0.94527045516688524</v>
      </c>
      <c r="D462" s="45">
        <f t="shared" si="181"/>
        <v>0.49414018035921636</v>
      </c>
      <c r="E462" s="45">
        <f t="shared" si="181"/>
        <v>0.53040648629815368</v>
      </c>
      <c r="F462" s="45">
        <f t="shared" si="181"/>
        <v>0.30253806060268507</v>
      </c>
      <c r="G462" s="45">
        <f t="shared" si="181"/>
        <v>0.38193752420324723</v>
      </c>
      <c r="H462" s="45">
        <f t="shared" si="181"/>
        <v>0.45590516290393579</v>
      </c>
      <c r="I462" s="45">
        <f t="shared" si="181"/>
        <v>0.43327957232343695</v>
      </c>
      <c r="J462" s="45">
        <f t="shared" si="181"/>
        <v>0.23962457674883453</v>
      </c>
      <c r="K462" s="45">
        <f t="shared" si="181"/>
        <v>0.19436492397038851</v>
      </c>
      <c r="L462" s="45"/>
      <c r="M462" s="136">
        <f t="shared" si="175"/>
        <v>0.30321964874098983</v>
      </c>
      <c r="N462" s="32">
        <f t="shared" si="176"/>
        <v>0.40166628177816655</v>
      </c>
      <c r="O462" s="32">
        <f t="shared" si="177"/>
        <v>0.28908969101422</v>
      </c>
    </row>
    <row r="463" spans="1:15" s="18" customFormat="1" hidden="1">
      <c r="A463" s="57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136">
        <f t="shared" si="175"/>
        <v>0</v>
      </c>
      <c r="N463" s="32">
        <f t="shared" si="176"/>
        <v>0</v>
      </c>
      <c r="O463" s="32">
        <f t="shared" si="177"/>
        <v>0</v>
      </c>
    </row>
    <row r="464" spans="1:15" s="53" customFormat="1" hidden="1">
      <c r="A464" s="56" t="s">
        <v>191</v>
      </c>
      <c r="B464" s="58">
        <f>'Data Sheet'!B57+'Data Sheet'!B58+'Data Sheet'!B59</f>
        <v>21.96</v>
      </c>
      <c r="C464" s="58">
        <f>'Data Sheet'!C57+'Data Sheet'!C58+'Data Sheet'!C59</f>
        <v>29.11</v>
      </c>
      <c r="D464" s="58">
        <f>'Data Sheet'!D57+'Data Sheet'!D58+'Data Sheet'!D59</f>
        <v>30.11</v>
      </c>
      <c r="E464" s="58">
        <f>'Data Sheet'!E57+'Data Sheet'!E58+'Data Sheet'!E59</f>
        <v>42.569999999999993</v>
      </c>
      <c r="F464" s="58">
        <f>'Data Sheet'!F57+'Data Sheet'!F58+'Data Sheet'!F59</f>
        <v>46.59</v>
      </c>
      <c r="G464" s="58">
        <f>'Data Sheet'!G57+'Data Sheet'!G58+'Data Sheet'!G59</f>
        <v>58.79</v>
      </c>
      <c r="H464" s="58">
        <f>'Data Sheet'!H57+'Data Sheet'!H58+'Data Sheet'!H59</f>
        <v>75.05</v>
      </c>
      <c r="I464" s="58">
        <f>'Data Sheet'!I57+'Data Sheet'!I58+'Data Sheet'!I59</f>
        <v>100.46</v>
      </c>
      <c r="J464" s="58">
        <f>'Data Sheet'!J57+'Data Sheet'!J58+'Data Sheet'!J59</f>
        <v>127.99000000000001</v>
      </c>
      <c r="K464" s="58">
        <f>'Data Sheet'!K57+'Data Sheet'!K58+'Data Sheet'!K59</f>
        <v>150.62</v>
      </c>
      <c r="L464" s="58"/>
      <c r="M464" s="136">
        <f t="shared" si="175"/>
        <v>63.218000000000004</v>
      </c>
      <c r="N464" s="32">
        <f t="shared" si="176"/>
        <v>115.22560000000001</v>
      </c>
      <c r="O464" s="32">
        <f t="shared" si="177"/>
        <v>126.35666666666667</v>
      </c>
    </row>
    <row r="465" spans="1:17" s="53" customFormat="1" hidden="1">
      <c r="A465" s="56" t="s">
        <v>190</v>
      </c>
      <c r="B465" s="58">
        <f t="shared" ref="B465:K465" si="182">B276</f>
        <v>1.3817787418655099</v>
      </c>
      <c r="C465" s="58">
        <f t="shared" si="182"/>
        <v>0.84357188093730207</v>
      </c>
      <c r="D465" s="58">
        <f t="shared" si="182"/>
        <v>0.44481765834932818</v>
      </c>
      <c r="E465" s="58">
        <f t="shared" si="182"/>
        <v>0.66875735005880044</v>
      </c>
      <c r="F465" s="58">
        <f t="shared" si="182"/>
        <v>0.65977912361952262</v>
      </c>
      <c r="G465" s="58">
        <f t="shared" si="182"/>
        <v>0.84526051475204023</v>
      </c>
      <c r="H465" s="58">
        <f t="shared" si="182"/>
        <v>0.96311797018048662</v>
      </c>
      <c r="I465" s="58">
        <f t="shared" si="182"/>
        <v>1.1456642460486972</v>
      </c>
      <c r="J465" s="58">
        <f t="shared" si="182"/>
        <v>0.57778599605522674</v>
      </c>
      <c r="K465" s="58">
        <f t="shared" si="182"/>
        <v>0.68403398926654746</v>
      </c>
      <c r="L465" s="58"/>
      <c r="M465" s="136">
        <f t="shared" si="175"/>
        <v>0.59892168483306496</v>
      </c>
      <c r="N465" s="32">
        <f t="shared" si="176"/>
        <v>0.96295688022721271</v>
      </c>
      <c r="O465" s="32">
        <f t="shared" si="177"/>
        <v>0.80249474379015717</v>
      </c>
    </row>
    <row r="466" spans="1:17" s="53" customFormat="1" hidden="1">
      <c r="A466" s="56" t="s">
        <v>188</v>
      </c>
      <c r="B466" s="58">
        <f>'Data Sheet'!B27</f>
        <v>1.1200000000000001</v>
      </c>
      <c r="C466" s="58">
        <f>'Data Sheet'!C27</f>
        <v>2.46</v>
      </c>
      <c r="D466" s="58">
        <f>'Data Sheet'!D27</f>
        <v>1.21</v>
      </c>
      <c r="E466" s="58">
        <f>'Data Sheet'!E27</f>
        <v>1.59</v>
      </c>
      <c r="F466" s="58">
        <f>'Data Sheet'!F27</f>
        <v>2.41</v>
      </c>
      <c r="G466" s="58">
        <f>'Data Sheet'!G27</f>
        <v>3.26</v>
      </c>
      <c r="H466" s="58">
        <f>'Data Sheet'!H27</f>
        <v>4.18</v>
      </c>
      <c r="I466" s="58">
        <f>'Data Sheet'!I27</f>
        <v>5.49</v>
      </c>
      <c r="J466" s="58">
        <f>'Data Sheet'!J27</f>
        <v>5.88</v>
      </c>
      <c r="K466" s="58">
        <f>'Data Sheet'!K27</f>
        <v>5.75</v>
      </c>
      <c r="L466" s="58"/>
      <c r="M466" s="136">
        <f t="shared" si="175"/>
        <v>2.9769999999999999</v>
      </c>
      <c r="N466" s="32">
        <f t="shared" si="176"/>
        <v>5.5073999999999996</v>
      </c>
      <c r="O466" s="32">
        <f t="shared" si="177"/>
        <v>5.706666666666667</v>
      </c>
    </row>
    <row r="467" spans="1:17" s="18" customFormat="1" hidden="1">
      <c r="A467" s="57" t="s">
        <v>186</v>
      </c>
      <c r="B467" s="149">
        <f>'Profit &amp; Loss'!B6</f>
        <v>6.5799999999999983</v>
      </c>
      <c r="C467" s="149">
        <f>'Profit &amp; Loss'!C6</f>
        <v>13.199999999999996</v>
      </c>
      <c r="D467" s="149">
        <f>'Profit &amp; Loss'!D6</f>
        <v>10.770000000000003</v>
      </c>
      <c r="E467" s="149">
        <f>'Profit &amp; Loss'!E6</f>
        <v>11.640000000000008</v>
      </c>
      <c r="F467" s="149">
        <f>'Profit &amp; Loss'!F6</f>
        <v>10.149999999999991</v>
      </c>
      <c r="G467" s="149">
        <f>'Profit &amp; Loss'!G6</f>
        <v>13.400000000000006</v>
      </c>
      <c r="H467" s="149">
        <f>'Profit &amp; Loss'!H6</f>
        <v>18.129999999999981</v>
      </c>
      <c r="I467" s="149">
        <f>'Profit &amp; Loss'!I6</f>
        <v>21.129999999999995</v>
      </c>
      <c r="J467" s="149">
        <f>'Profit &amp; Loss'!J6</f>
        <v>19.29000000000002</v>
      </c>
      <c r="K467" s="149">
        <f>'Profit &amp; Loss'!K6</f>
        <v>21.149999999999977</v>
      </c>
      <c r="L467" s="149"/>
      <c r="M467" s="136">
        <f t="shared" si="175"/>
        <v>12.565999999999999</v>
      </c>
      <c r="N467" s="32">
        <f t="shared" si="176"/>
        <v>21.133199999999995</v>
      </c>
      <c r="O467" s="32">
        <f t="shared" si="177"/>
        <v>20.52333333333333</v>
      </c>
    </row>
    <row r="468" spans="1:17" s="18" customFormat="1" hidden="1">
      <c r="A468" s="57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136">
        <f t="shared" si="175"/>
        <v>0</v>
      </c>
      <c r="N468" s="32">
        <f t="shared" si="176"/>
        <v>0</v>
      </c>
      <c r="O468" s="32">
        <f t="shared" si="177"/>
        <v>0</v>
      </c>
    </row>
    <row r="469" spans="1:17" s="49" customFormat="1" hidden="1">
      <c r="A469" s="159" t="s">
        <v>164</v>
      </c>
      <c r="B469" s="143"/>
      <c r="C469" s="143">
        <f>C427-B427</f>
        <v>6.5700000000000021</v>
      </c>
      <c r="D469" s="143">
        <f t="shared" ref="D469:K469" si="183">D427-C427</f>
        <v>5.0499999999999989</v>
      </c>
      <c r="E469" s="143">
        <f t="shared" si="183"/>
        <v>4.6699999999999982</v>
      </c>
      <c r="F469" s="143">
        <f t="shared" si="183"/>
        <v>2.5600000000000023</v>
      </c>
      <c r="G469" s="143">
        <f t="shared" si="183"/>
        <v>3.7899999999999991</v>
      </c>
      <c r="H469" s="143">
        <f t="shared" si="183"/>
        <v>6.3699999999999974</v>
      </c>
      <c r="I469" s="143">
        <f t="shared" si="183"/>
        <v>8.5899999999999963</v>
      </c>
      <c r="J469" s="143">
        <f t="shared" si="183"/>
        <v>34.300000000000011</v>
      </c>
      <c r="K469" s="143">
        <f t="shared" si="183"/>
        <v>8.3199999999999932</v>
      </c>
      <c r="L469" s="143"/>
      <c r="M469" s="136">
        <f t="shared" si="175"/>
        <v>7.3650000000000002</v>
      </c>
      <c r="N469" s="32">
        <f t="shared" si="176"/>
        <v>13.747</v>
      </c>
      <c r="O469" s="32">
        <f t="shared" si="177"/>
        <v>17.07</v>
      </c>
    </row>
    <row r="470" spans="1:17" s="49" customFormat="1" hidden="1">
      <c r="A470" s="159" t="s">
        <v>165</v>
      </c>
      <c r="B470" s="143">
        <f>'Data Sheet'!B30-'Data Sheet'!B31</f>
        <v>2.8600000000000003</v>
      </c>
      <c r="C470" s="143">
        <f>'Data Sheet'!C30-'Data Sheet'!C31</f>
        <v>6.27</v>
      </c>
      <c r="D470" s="143">
        <f>'Data Sheet'!D30-'Data Sheet'!D31</f>
        <v>4.7300000000000004</v>
      </c>
      <c r="E470" s="143">
        <f>'Data Sheet'!E30-'Data Sheet'!E31</f>
        <v>4.8599999999999994</v>
      </c>
      <c r="F470" s="143">
        <f>'Data Sheet'!F30-'Data Sheet'!F31</f>
        <v>2.75</v>
      </c>
      <c r="G470" s="143">
        <f>'Data Sheet'!G30-'Data Sheet'!G31</f>
        <v>4.03</v>
      </c>
      <c r="H470" s="143">
        <f>'Data Sheet'!H30-'Data Sheet'!H31</f>
        <v>6.1800000000000006</v>
      </c>
      <c r="I470" s="143">
        <f>'Data Sheet'!I30-'Data Sheet'!I31</f>
        <v>7.62</v>
      </c>
      <c r="J470" s="143">
        <f>'Data Sheet'!J30-'Data Sheet'!J31</f>
        <v>4.46</v>
      </c>
      <c r="K470" s="143">
        <f>'Data Sheet'!K30-'Data Sheet'!K31</f>
        <v>8.32</v>
      </c>
      <c r="L470" s="143"/>
      <c r="M470" s="136">
        <f t="shared" si="175"/>
        <v>4.2949999999999999</v>
      </c>
      <c r="N470" s="32">
        <f t="shared" si="176"/>
        <v>6.9809999999999999</v>
      </c>
      <c r="O470" s="32">
        <f t="shared" si="177"/>
        <v>6.8</v>
      </c>
    </row>
    <row r="471" spans="1:17" s="49" customFormat="1" hidden="1">
      <c r="A471" s="159" t="s">
        <v>211</v>
      </c>
      <c r="B471" s="143"/>
      <c r="C471" s="143">
        <f>'Data Sheet'!B30-'Data Sheet'!B31</f>
        <v>2.8600000000000003</v>
      </c>
      <c r="D471" s="143">
        <f>'Data Sheet'!C30-'Data Sheet'!C31</f>
        <v>6.27</v>
      </c>
      <c r="E471" s="143">
        <f>'Data Sheet'!D30-'Data Sheet'!D31</f>
        <v>4.7300000000000004</v>
      </c>
      <c r="F471" s="143">
        <f>'Data Sheet'!E30-'Data Sheet'!E31</f>
        <v>4.8599999999999994</v>
      </c>
      <c r="G471" s="143">
        <f>'Data Sheet'!F30-'Data Sheet'!F31</f>
        <v>2.75</v>
      </c>
      <c r="H471" s="143">
        <f>'Data Sheet'!G30-'Data Sheet'!G31</f>
        <v>4.03</v>
      </c>
      <c r="I471" s="143">
        <f>'Data Sheet'!H30-'Data Sheet'!H31</f>
        <v>6.1800000000000006</v>
      </c>
      <c r="J471" s="143">
        <f>'Data Sheet'!I30-'Data Sheet'!I31</f>
        <v>7.62</v>
      </c>
      <c r="K471" s="143">
        <f>'Data Sheet'!J30-'Data Sheet'!J31</f>
        <v>4.46</v>
      </c>
      <c r="L471" s="143"/>
      <c r="M471" s="136">
        <f t="shared" si="175"/>
        <v>4.09</v>
      </c>
      <c r="N471" s="32">
        <f t="shared" si="176"/>
        <v>5.8260000000000005</v>
      </c>
      <c r="O471" s="32">
        <f t="shared" si="177"/>
        <v>6.0866666666666669</v>
      </c>
    </row>
    <row r="472" spans="1:17" s="49" customFormat="1" hidden="1">
      <c r="A472" s="159" t="s">
        <v>166</v>
      </c>
      <c r="B472" s="143"/>
      <c r="C472" s="143">
        <f>C471-C469</f>
        <v>-3.7100000000000017</v>
      </c>
      <c r="D472" s="143">
        <f t="shared" ref="D472" si="184">D471-D469</f>
        <v>1.2200000000000006</v>
      </c>
      <c r="E472" s="143">
        <f t="shared" ref="E472" si="185">E471-E469</f>
        <v>6.0000000000002274E-2</v>
      </c>
      <c r="F472" s="143">
        <f t="shared" ref="F472" si="186">F471-F469</f>
        <v>2.2999999999999972</v>
      </c>
      <c r="G472" s="143">
        <f t="shared" ref="G472" si="187">G471-G469</f>
        <v>-1.0399999999999991</v>
      </c>
      <c r="H472" s="143">
        <f t="shared" ref="H472" si="188">H471-H469</f>
        <v>-2.3399999999999972</v>
      </c>
      <c r="I472" s="143">
        <f t="shared" ref="I472" si="189">I471-I469</f>
        <v>-2.4099999999999957</v>
      </c>
      <c r="J472" s="143">
        <f t="shared" ref="J472" si="190">J471-J469</f>
        <v>-26.68000000000001</v>
      </c>
      <c r="K472" s="143">
        <f t="shared" ref="K472" si="191">K471-K469</f>
        <v>-3.8599999999999932</v>
      </c>
      <c r="L472" s="143"/>
      <c r="M472" s="136">
        <f t="shared" si="175"/>
        <v>-3.2749999999999995</v>
      </c>
      <c r="N472" s="32">
        <f t="shared" si="176"/>
        <v>-7.9209999999999976</v>
      </c>
      <c r="O472" s="32">
        <f t="shared" si="177"/>
        <v>-10.983333333333334</v>
      </c>
    </row>
    <row r="473" spans="1:17" s="49" customFormat="1" hidden="1">
      <c r="A473" s="159" t="s">
        <v>167</v>
      </c>
      <c r="B473" s="143"/>
      <c r="C473" s="143">
        <f>C471/C469</f>
        <v>0.43531202435312016</v>
      </c>
      <c r="D473" s="143">
        <f t="shared" ref="D473:K473" si="192">D471/D469</f>
        <v>1.2415841584158418</v>
      </c>
      <c r="E473" s="143">
        <f t="shared" si="192"/>
        <v>1.0128479657387586</v>
      </c>
      <c r="F473" s="143">
        <f t="shared" si="192"/>
        <v>1.898437499999998</v>
      </c>
      <c r="G473" s="143">
        <f t="shared" si="192"/>
        <v>0.72559366754617427</v>
      </c>
      <c r="H473" s="143">
        <f t="shared" si="192"/>
        <v>0.63265306122449005</v>
      </c>
      <c r="I473" s="143">
        <f t="shared" si="192"/>
        <v>0.71944121071012845</v>
      </c>
      <c r="J473" s="143">
        <f t="shared" si="192"/>
        <v>0.22215743440233229</v>
      </c>
      <c r="K473" s="143">
        <f t="shared" si="192"/>
        <v>0.53605769230769273</v>
      </c>
      <c r="L473" s="143"/>
      <c r="M473" s="136">
        <f t="shared" si="175"/>
        <v>0.6988772690345415</v>
      </c>
      <c r="N473" s="32">
        <f t="shared" si="176"/>
        <v>0.70695606704507197</v>
      </c>
      <c r="O473" s="32">
        <f t="shared" si="177"/>
        <v>0.49255211247338448</v>
      </c>
    </row>
    <row r="474" spans="1:17" s="49" customFormat="1" hidden="1">
      <c r="A474" s="159" t="s">
        <v>168</v>
      </c>
      <c r="B474" s="143">
        <f>'Data Sheet'!B58/'Data Sheet'!B57</f>
        <v>2.4148148148148145</v>
      </c>
      <c r="C474" s="143">
        <f>'Data Sheet'!C58/'Data Sheet'!C57</f>
        <v>4.5795053003533575</v>
      </c>
      <c r="D474" s="143">
        <f>'Data Sheet'!D58/'Data Sheet'!D57</f>
        <v>6.0168350168350164</v>
      </c>
      <c r="E474" s="143">
        <f>'Data Sheet'!E58/'Data Sheet'!E57</f>
        <v>7.5892255892255882</v>
      </c>
      <c r="F474" s="143">
        <f>'Data Sheet'!F58/'Data Sheet'!F57</f>
        <v>8.4511784511784516</v>
      </c>
      <c r="G474" s="143">
        <f>'Data Sheet'!G58/'Data Sheet'!G57</f>
        <v>6.1434977578475332</v>
      </c>
      <c r="H474" s="143">
        <f>'Data Sheet'!H58/'Data Sheet'!H57</f>
        <v>7.4767184035476717</v>
      </c>
      <c r="I474" s="143">
        <f>'Data Sheet'!I58/'Data Sheet'!I57</f>
        <v>9.0472103004291835</v>
      </c>
      <c r="J474" s="143">
        <f>'Data Sheet'!J58/'Data Sheet'!J57</f>
        <v>14.630057803468208</v>
      </c>
      <c r="K474" s="143">
        <f>'Data Sheet'!K58/'Data Sheet'!K57</f>
        <v>16.23314065510597</v>
      </c>
      <c r="L474" s="143"/>
      <c r="M474" s="136">
        <f t="shared" si="175"/>
        <v>7.5587863977637628</v>
      </c>
      <c r="N474" s="32">
        <f t="shared" si="176"/>
        <v>12.217882263632465</v>
      </c>
      <c r="O474" s="32">
        <f t="shared" si="177"/>
        <v>13.303469586334453</v>
      </c>
    </row>
    <row r="475" spans="1:17" s="18" customFormat="1" hidden="1">
      <c r="A475" s="57"/>
      <c r="B475" s="46"/>
      <c r="C475" s="69"/>
      <c r="D475" s="69"/>
      <c r="E475" s="69"/>
      <c r="F475" s="69"/>
      <c r="G475" s="153">
        <f>1/G473</f>
        <v>1.378181818181818</v>
      </c>
      <c r="H475" s="153">
        <f t="shared" ref="H475:K475" si="193">1/H473</f>
        <v>1.5806451612903218</v>
      </c>
      <c r="I475" s="153">
        <f t="shared" si="193"/>
        <v>1.3899676375404524</v>
      </c>
      <c r="J475" s="153">
        <f t="shared" si="193"/>
        <v>4.5013123359580067</v>
      </c>
      <c r="K475" s="153">
        <f t="shared" si="193"/>
        <v>1.8654708520179357</v>
      </c>
      <c r="L475" s="153"/>
      <c r="M475" s="136">
        <f t="shared" si="175"/>
        <v>1.0715577804988534</v>
      </c>
      <c r="N475" s="32">
        <f t="shared" si="176"/>
        <v>2.3574271170974774</v>
      </c>
      <c r="O475" s="32">
        <f t="shared" si="177"/>
        <v>2.5855836085054649</v>
      </c>
    </row>
    <row r="476" spans="1:17" s="18" customFormat="1" hidden="1">
      <c r="A476" s="163" t="str">
        <f>'Data Sheet'!B1</f>
        <v>ACRYSIL LTD</v>
      </c>
      <c r="B476" s="164" t="s">
        <v>81</v>
      </c>
      <c r="C476" s="164" t="s">
        <v>82</v>
      </c>
      <c r="D476" s="138" t="s">
        <v>83</v>
      </c>
      <c r="E476" s="138" t="s">
        <v>84</v>
      </c>
      <c r="F476" s="47"/>
      <c r="G476" s="47"/>
      <c r="H476" s="47"/>
      <c r="I476" s="47"/>
      <c r="J476" s="47"/>
      <c r="K476" s="48"/>
      <c r="L476" s="48"/>
      <c r="M476" s="136">
        <f t="shared" si="175"/>
        <v>0</v>
      </c>
      <c r="N476" s="32">
        <f t="shared" si="176"/>
        <v>0</v>
      </c>
      <c r="O476" s="32">
        <f t="shared" si="177"/>
        <v>0</v>
      </c>
      <c r="P476" s="31"/>
      <c r="Q476" s="31"/>
    </row>
    <row r="477" spans="1:17" s="18" customFormat="1" hidden="1">
      <c r="A477" s="135" t="s">
        <v>6</v>
      </c>
      <c r="B477" s="45">
        <f>POWER('Data Sheet'!K17/'Data Sheet'!B17,1/9)-1</f>
        <v>0.18669987908432129</v>
      </c>
      <c r="C477" s="45">
        <f>POWER('Data Sheet'!K17/'Data Sheet'!G17,1/4)-1</f>
        <v>0.15929570153824768</v>
      </c>
      <c r="D477" s="45">
        <f>POWER('Data Sheet'!K17/'Data Sheet'!I17,1/2)-1</f>
        <v>0.10329025065993913</v>
      </c>
      <c r="E477" s="45">
        <f>('Data Sheet'!K17-'Data Sheet'!J17)/'Data Sheet'!K17</f>
        <v>2.0042342978122619E-2</v>
      </c>
      <c r="F477" s="46"/>
      <c r="G477" s="46"/>
      <c r="H477" s="46"/>
      <c r="I477" s="46"/>
      <c r="J477" s="46"/>
      <c r="K477" s="46"/>
      <c r="L477" s="46"/>
      <c r="M477" s="136">
        <f t="shared" si="175"/>
        <v>1.2333259363806175E-2</v>
      </c>
      <c r="N477" s="32">
        <f t="shared" si="176"/>
        <v>2.4666518727612351E-3</v>
      </c>
      <c r="O477" s="32">
        <f t="shared" si="177"/>
        <v>0</v>
      </c>
    </row>
    <row r="478" spans="1:17" s="18" customFormat="1" hidden="1">
      <c r="A478" s="57" t="s">
        <v>71</v>
      </c>
      <c r="B478" s="45">
        <f>POWER('Data Sheet'!K18/'Data Sheet'!B18,1/9)-1</f>
        <v>0.18753957457220083</v>
      </c>
      <c r="C478" s="45">
        <f>POWER('Data Sheet'!K18/'Data Sheet'!G18,1/4)-1</f>
        <v>0.10673470555913012</v>
      </c>
      <c r="D478" s="45">
        <f>POWER('Data Sheet'!K18/'Data Sheet'!I18,1/2)-1</f>
        <v>6.9715681562183995E-2</v>
      </c>
      <c r="E478" s="45">
        <f>('Data Sheet'!K18-'Data Sheet'!J18)/'Data Sheet'!K18</f>
        <v>-3.4338038916444047E-2</v>
      </c>
      <c r="F478" s="46"/>
      <c r="G478" s="46"/>
      <c r="H478" s="46"/>
      <c r="I478" s="46"/>
      <c r="J478" s="46"/>
      <c r="K478" s="46"/>
      <c r="L478" s="46"/>
      <c r="M478" s="136">
        <f t="shared" si="175"/>
        <v>3.5377642645739948E-3</v>
      </c>
      <c r="N478" s="32">
        <f t="shared" si="176"/>
        <v>7.0755285291479897E-4</v>
      </c>
      <c r="O478" s="32">
        <f t="shared" si="177"/>
        <v>0</v>
      </c>
    </row>
    <row r="479" spans="1:17" s="18" customFormat="1" hidden="1">
      <c r="A479" s="57" t="s">
        <v>72</v>
      </c>
      <c r="B479" s="45">
        <f>POWER('Data Sheet'!K19/'Data Sheet'!B19,1/9)-1</f>
        <v>0.20625084381768555</v>
      </c>
      <c r="C479" s="45">
        <f>POWER('Data Sheet'!K19/'Data Sheet'!G19,1/4)-1</f>
        <v>5.1447381843301443E-2</v>
      </c>
      <c r="D479" s="45">
        <f>POWER('Data Sheet'!K19/'Data Sheet'!I19,1/2)-1</f>
        <v>2.1091263510296048</v>
      </c>
      <c r="E479" s="45">
        <f>('Data Sheet'!K19-'Data Sheet'!J19)/'Data Sheet'!K19</f>
        <v>0.20062695924764895</v>
      </c>
      <c r="F479" s="46"/>
      <c r="G479" s="46"/>
      <c r="H479" s="46"/>
      <c r="I479" s="46"/>
      <c r="J479" s="46"/>
      <c r="K479" s="46"/>
      <c r="L479" s="46"/>
      <c r="M479" s="136">
        <f t="shared" si="175"/>
        <v>0.23097533102772538</v>
      </c>
      <c r="N479" s="32">
        <f t="shared" si="176"/>
        <v>4.6195066205545074E-2</v>
      </c>
      <c r="O479" s="32">
        <f t="shared" si="177"/>
        <v>0</v>
      </c>
    </row>
    <row r="480" spans="1:17" s="18" customFormat="1" hidden="1">
      <c r="A480" s="57" t="s">
        <v>73</v>
      </c>
      <c r="B480" s="45">
        <f>POWER('Data Sheet'!K20/'Data Sheet'!B20,1/9)-1</f>
        <v>0.14552414637484978</v>
      </c>
      <c r="C480" s="45">
        <f>POWER('Data Sheet'!K20/'Data Sheet'!G20,1/4)-1</f>
        <v>5.1744107534426265E-2</v>
      </c>
      <c r="D480" s="45">
        <f>POWER('Data Sheet'!K20/'Data Sheet'!I20,1/2)-1</f>
        <v>1.4258658642781308E-2</v>
      </c>
      <c r="E480" s="45">
        <f>('Data Sheet'!K20-'Data Sheet'!J20)/'Data Sheet'!K20</f>
        <v>4.0609137055837602E-2</v>
      </c>
      <c r="F480" s="46"/>
      <c r="G480" s="46"/>
      <c r="H480" s="46"/>
      <c r="I480" s="46"/>
      <c r="J480" s="46"/>
      <c r="K480" s="46"/>
      <c r="L480" s="46"/>
      <c r="M480" s="136">
        <f t="shared" si="175"/>
        <v>5.486779569861891E-3</v>
      </c>
      <c r="N480" s="32">
        <f t="shared" si="176"/>
        <v>1.0973559139723782E-3</v>
      </c>
      <c r="O480" s="32">
        <f t="shared" si="177"/>
        <v>0</v>
      </c>
    </row>
    <row r="481" spans="1:15" s="18" customFormat="1" hidden="1">
      <c r="A481" s="57" t="s">
        <v>74</v>
      </c>
      <c r="B481" s="45">
        <f>POWER('Data Sheet'!K21/'Data Sheet'!B21,1/9)-1</f>
        <v>0.21848656488481777</v>
      </c>
      <c r="C481" s="45">
        <f>POWER('Data Sheet'!K21/'Data Sheet'!G21,1/4)-1</f>
        <v>0.12048427799076133</v>
      </c>
      <c r="D481" s="45">
        <f>POWER('Data Sheet'!K21/'Data Sheet'!I21,1/2)-1</f>
        <v>0.16270314900956695</v>
      </c>
      <c r="E481" s="45">
        <f>('Data Sheet'!K21-'Data Sheet'!J21)/'Data Sheet'!K21</f>
        <v>9.5136290753607758E-2</v>
      </c>
      <c r="F481" s="46"/>
      <c r="G481" s="46"/>
      <c r="H481" s="46"/>
      <c r="I481" s="46"/>
      <c r="J481" s="46"/>
      <c r="K481" s="46"/>
      <c r="L481" s="46"/>
      <c r="M481" s="136">
        <f t="shared" si="175"/>
        <v>2.5783943976317468E-2</v>
      </c>
      <c r="N481" s="32">
        <f t="shared" si="176"/>
        <v>5.1567887952634938E-3</v>
      </c>
      <c r="O481" s="32">
        <f t="shared" si="177"/>
        <v>0</v>
      </c>
    </row>
    <row r="482" spans="1:15" s="18" customFormat="1" hidden="1">
      <c r="A482" s="57" t="s">
        <v>75</v>
      </c>
      <c r="B482" s="45">
        <f>POWER('Data Sheet'!K22/'Data Sheet'!B22,1/9)-1</f>
        <v>0.19558684470763055</v>
      </c>
      <c r="C482" s="45">
        <f>POWER('Data Sheet'!K22/'Data Sheet'!G22,1/4)-1</f>
        <v>0.30860780180861336</v>
      </c>
      <c r="D482" s="45">
        <f>POWER('Data Sheet'!K22/'Data Sheet'!I22,1/2)-1</f>
        <v>0.19895788082817978</v>
      </c>
      <c r="E482" s="45">
        <f>('Data Sheet'!K22-'Data Sheet'!J22)/'Data Sheet'!K22</f>
        <v>8.013640238704188E-2</v>
      </c>
      <c r="F482" s="46"/>
      <c r="G482" s="46"/>
      <c r="H482" s="46"/>
      <c r="I482" s="46"/>
      <c r="J482" s="46"/>
      <c r="K482" s="46"/>
      <c r="L482" s="46"/>
      <c r="M482" s="136">
        <f t="shared" si="175"/>
        <v>2.7909428321522167E-2</v>
      </c>
      <c r="N482" s="32">
        <f t="shared" si="176"/>
        <v>5.5818856643044335E-3</v>
      </c>
      <c r="O482" s="32">
        <f t="shared" si="177"/>
        <v>0</v>
      </c>
    </row>
    <row r="483" spans="1:15" s="18" customFormat="1" hidden="1">
      <c r="A483" s="57" t="s">
        <v>76</v>
      </c>
      <c r="B483" s="45">
        <f>POWER('Data Sheet'!K23/'Data Sheet'!B23,1/9)-1</f>
        <v>0.20072023577214582</v>
      </c>
      <c r="C483" s="45">
        <f>POWER('Data Sheet'!K23/'Data Sheet'!G23,1/4)-1</f>
        <v>0.23795939078681139</v>
      </c>
      <c r="D483" s="45">
        <f>POWER('Data Sheet'!K23/'Data Sheet'!I23,1/2)-1</f>
        <v>0.23907478966031537</v>
      </c>
      <c r="E483" s="45">
        <f>('Data Sheet'!K23-'Data Sheet'!J23)/'Data Sheet'!K23</f>
        <v>9.4690564761583072E-3</v>
      </c>
      <c r="F483" s="46"/>
      <c r="G483" s="46"/>
      <c r="H483" s="46"/>
      <c r="I483" s="46"/>
      <c r="J483" s="46"/>
      <c r="K483" s="46"/>
      <c r="L483" s="46"/>
      <c r="M483" s="136">
        <f t="shared" si="175"/>
        <v>2.4854384613647369E-2</v>
      </c>
      <c r="N483" s="32">
        <f t="shared" si="176"/>
        <v>4.9708769227294735E-3</v>
      </c>
      <c r="O483" s="32">
        <f t="shared" si="177"/>
        <v>0</v>
      </c>
    </row>
    <row r="484" spans="1:15" s="18" customFormat="1" hidden="1">
      <c r="A484" s="57" t="s">
        <v>77</v>
      </c>
      <c r="B484" s="45">
        <f>POWER('Data Sheet'!K24/'Data Sheet'!B24,1/9)-1</f>
        <v>0.27291290391911849</v>
      </c>
      <c r="C484" s="45">
        <f>POWER('Data Sheet'!K24/'Data Sheet'!G24,1/4)-1</f>
        <v>0.63158061638200325</v>
      </c>
      <c r="D484" s="45">
        <f>POWER('Data Sheet'!K24/'Data Sheet'!I24,1/2)-1</f>
        <v>0.250902010007654</v>
      </c>
      <c r="E484" s="45">
        <f>('Data Sheet'!K24-'Data Sheet'!J24)/'Data Sheet'!K24</f>
        <v>3.5278154681139727E-2</v>
      </c>
      <c r="F484" s="46"/>
      <c r="G484" s="46"/>
      <c r="H484" s="46"/>
      <c r="I484" s="46"/>
      <c r="J484" s="46"/>
      <c r="K484" s="46"/>
      <c r="L484" s="46"/>
      <c r="M484" s="136">
        <f t="shared" si="175"/>
        <v>2.8618016468879369E-2</v>
      </c>
      <c r="N484" s="32">
        <f t="shared" si="176"/>
        <v>5.7236032937758741E-3</v>
      </c>
      <c r="O484" s="32">
        <f t="shared" si="177"/>
        <v>0</v>
      </c>
    </row>
    <row r="485" spans="1:15" s="18" customFormat="1" hidden="1">
      <c r="A485" s="135" t="s">
        <v>9</v>
      </c>
      <c r="B485" s="45">
        <f>POWER('Data Sheet'!K25/'Data Sheet'!B25,1/9)-1</f>
        <v>0.24779891281164201</v>
      </c>
      <c r="C485" s="45">
        <f>POWER('Data Sheet'!K25/'Data Sheet'!G25,1/4)-1</f>
        <v>0.34363010821314965</v>
      </c>
      <c r="D485" s="45">
        <f>POWER('Data Sheet'!K25/'Data Sheet'!I25,1/2)-1</f>
        <v>0.53529894715747695</v>
      </c>
      <c r="E485" s="45">
        <f>('Data Sheet'!K25-'Data Sheet'!J25)/'Data Sheet'!K25</f>
        <v>0.14772727272727276</v>
      </c>
      <c r="F485" s="46"/>
      <c r="G485" s="46"/>
      <c r="H485" s="46"/>
      <c r="I485" s="46"/>
      <c r="J485" s="46"/>
      <c r="K485" s="46"/>
      <c r="L485" s="46"/>
      <c r="M485" s="136">
        <f t="shared" si="175"/>
        <v>6.8302621988474962E-2</v>
      </c>
      <c r="N485" s="32">
        <f t="shared" si="176"/>
        <v>1.3660524397694992E-2</v>
      </c>
      <c r="O485" s="32">
        <f t="shared" si="177"/>
        <v>0</v>
      </c>
    </row>
    <row r="486" spans="1:15" s="18" customFormat="1" hidden="1">
      <c r="A486" s="135" t="s">
        <v>10</v>
      </c>
      <c r="B486" s="45">
        <f>POWER('Data Sheet'!K26/'Data Sheet'!B26,1/9)-1</f>
        <v>0.15215947532544893</v>
      </c>
      <c r="C486" s="45">
        <f>POWER('Data Sheet'!K26/'Data Sheet'!G26,1/4)-1</f>
        <v>6.2495208482287179E-2</v>
      </c>
      <c r="D486" s="45">
        <f>POWER('Data Sheet'!K26/'Data Sheet'!I26,1/2)-1</f>
        <v>0.15991547093805436</v>
      </c>
      <c r="E486" s="45">
        <f>('Data Sheet'!K26-'Data Sheet'!J26)/'Data Sheet'!K26</f>
        <v>4.9689440993788865E-2</v>
      </c>
      <c r="F486" s="46"/>
      <c r="G486" s="46"/>
      <c r="H486" s="46"/>
      <c r="I486" s="46"/>
      <c r="J486" s="46"/>
      <c r="K486" s="46"/>
      <c r="L486" s="46"/>
      <c r="M486" s="136">
        <f t="shared" si="175"/>
        <v>2.096049119318432E-2</v>
      </c>
      <c r="N486" s="32">
        <f t="shared" si="176"/>
        <v>4.1920982386368637E-3</v>
      </c>
      <c r="O486" s="32">
        <f t="shared" si="177"/>
        <v>0</v>
      </c>
    </row>
    <row r="487" spans="1:15" s="18" customFormat="1" hidden="1">
      <c r="A487" s="135" t="s">
        <v>11</v>
      </c>
      <c r="B487" s="45">
        <f>POWER('Data Sheet'!K27/'Data Sheet'!B27,1/9)-1</f>
        <v>0.19933047462715114</v>
      </c>
      <c r="C487" s="45">
        <f>POWER('Data Sheet'!K27/'Data Sheet'!G27,1/4)-1</f>
        <v>0.15242470844623002</v>
      </c>
      <c r="D487" s="45">
        <f>POWER('Data Sheet'!K27/'Data Sheet'!I27,1/2)-1</f>
        <v>2.3405508214647153E-2</v>
      </c>
      <c r="E487" s="45">
        <f>('Data Sheet'!K27-'Data Sheet'!J27)/'Data Sheet'!K27</f>
        <v>-2.2608695652173893E-2</v>
      </c>
      <c r="F487" s="46"/>
      <c r="G487" s="46"/>
      <c r="H487" s="46"/>
      <c r="I487" s="46"/>
      <c r="J487" s="46"/>
      <c r="K487" s="46"/>
      <c r="L487" s="46"/>
      <c r="M487" s="136">
        <f t="shared" si="175"/>
        <v>7.9681256247325982E-5</v>
      </c>
      <c r="N487" s="32">
        <f t="shared" si="176"/>
        <v>1.5936251249465197E-5</v>
      </c>
      <c r="O487" s="32">
        <f t="shared" si="177"/>
        <v>0</v>
      </c>
    </row>
    <row r="488" spans="1:15" s="18" customFormat="1" hidden="1">
      <c r="A488" s="135" t="s">
        <v>12</v>
      </c>
      <c r="B488" s="45">
        <f>POWER('Data Sheet'!K28/'Data Sheet'!B28,1/9)-1</f>
        <v>0.1278512445677189</v>
      </c>
      <c r="C488" s="45">
        <f>POWER('Data Sheet'!K28/'Data Sheet'!G28,1/4)-1</f>
        <v>0.16483307529745761</v>
      </c>
      <c r="D488" s="45">
        <f>POWER('Data Sheet'!K28/'Data Sheet'!I28,1/2)-1</f>
        <v>1.1383042956742973E-3</v>
      </c>
      <c r="E488" s="45">
        <f>('Data Sheet'!K28-'Data Sheet'!J28)/'Data Sheet'!K28</f>
        <v>0.16212121212121203</v>
      </c>
      <c r="F488" s="46"/>
      <c r="G488" s="46"/>
      <c r="H488" s="46"/>
      <c r="I488" s="46"/>
      <c r="J488" s="46"/>
      <c r="K488" s="46"/>
      <c r="L488" s="46"/>
      <c r="M488" s="136">
        <f t="shared" si="175"/>
        <v>1.6325951641688631E-2</v>
      </c>
      <c r="N488" s="32">
        <f t="shared" si="176"/>
        <v>3.2651903283377262E-3</v>
      </c>
      <c r="O488" s="32">
        <f t="shared" si="177"/>
        <v>0</v>
      </c>
    </row>
    <row r="489" spans="1:15" s="18" customFormat="1" hidden="1">
      <c r="A489" s="135" t="s">
        <v>13</v>
      </c>
      <c r="B489" s="45">
        <f>POWER('Data Sheet'!K29/'Data Sheet'!B29,1/9)-1</f>
        <v>0.21753769090474107</v>
      </c>
      <c r="C489" s="45">
        <f>POWER('Data Sheet'!K29/'Data Sheet'!G29,1/4)-1</f>
        <v>0.30941687480390501</v>
      </c>
      <c r="D489" s="45">
        <f>POWER('Data Sheet'!K29/'Data Sheet'!I29,1/2)-1</f>
        <v>0.14999705431459676</v>
      </c>
      <c r="E489" s="45">
        <f>('Data Sheet'!K29-'Data Sheet'!J29)/'Data Sheet'!K29</f>
        <v>0.17622950819672137</v>
      </c>
      <c r="F489" s="46"/>
      <c r="G489" s="46"/>
      <c r="H489" s="46"/>
      <c r="I489" s="46"/>
      <c r="J489" s="46"/>
      <c r="K489" s="46"/>
      <c r="L489" s="46"/>
      <c r="M489" s="136">
        <f t="shared" si="175"/>
        <v>3.262265625113181E-2</v>
      </c>
      <c r="N489" s="32">
        <f t="shared" si="176"/>
        <v>6.5245312502263623E-3</v>
      </c>
      <c r="O489" s="32">
        <f t="shared" si="177"/>
        <v>0</v>
      </c>
    </row>
    <row r="490" spans="1:15" s="18" customFormat="1" hidden="1">
      <c r="A490" s="135" t="s">
        <v>14</v>
      </c>
      <c r="B490" s="45">
        <f>POWER('Data Sheet'!K30/'Data Sheet'!B30,1/9)-1</f>
        <v>9.6203859911590639E-2</v>
      </c>
      <c r="C490" s="45">
        <f>POWER('Data Sheet'!K30/'Data Sheet'!G30,1/4)-1</f>
        <v>0.10902199421710823</v>
      </c>
      <c r="D490" s="45">
        <f>POWER('Data Sheet'!K30/'Data Sheet'!I30,1/2)-1</f>
        <v>-6.3177108092630108E-2</v>
      </c>
      <c r="E490" s="45">
        <f>('Data Sheet'!K30-'Data Sheet'!J30)/'Data Sheet'!K30</f>
        <v>0.15264423076923081</v>
      </c>
      <c r="F490" s="46"/>
      <c r="G490" s="46"/>
      <c r="H490" s="46"/>
      <c r="I490" s="46"/>
      <c r="J490" s="46"/>
      <c r="K490" s="46"/>
      <c r="L490" s="46"/>
      <c r="M490" s="136">
        <f t="shared" si="175"/>
        <v>8.9467122676600702E-3</v>
      </c>
      <c r="N490" s="32">
        <f t="shared" si="176"/>
        <v>1.789342453532014E-3</v>
      </c>
      <c r="O490" s="32">
        <f t="shared" si="177"/>
        <v>0</v>
      </c>
    </row>
    <row r="491" spans="1:15" s="18" customFormat="1" hidden="1">
      <c r="A491" s="135" t="s">
        <v>61</v>
      </c>
      <c r="B491" s="45">
        <f>POWER('Data Sheet'!K31/'Data Sheet'!B31,1/9)-1</f>
        <v>-1</v>
      </c>
      <c r="C491" s="45">
        <f>POWER('Data Sheet'!K31/'Data Sheet'!G31,1/4)-1</f>
        <v>-1</v>
      </c>
      <c r="D491" s="45">
        <f>POWER('Data Sheet'!K31/'Data Sheet'!I31,1/2)-1</f>
        <v>-1</v>
      </c>
      <c r="E491" s="45" t="e">
        <f>('Data Sheet'!K31-'Data Sheet'!J31)/'Data Sheet'!K31</f>
        <v>#DIV/0!</v>
      </c>
      <c r="F491" s="46"/>
      <c r="G491" s="46"/>
      <c r="H491" s="46"/>
      <c r="I491" s="46"/>
      <c r="J491" s="46"/>
      <c r="K491" s="46"/>
      <c r="L491" s="46"/>
      <c r="M491" s="136" t="e">
        <f t="shared" si="175"/>
        <v>#DIV/0!</v>
      </c>
      <c r="N491" s="32" t="e">
        <f t="shared" si="176"/>
        <v>#DIV/0!</v>
      </c>
      <c r="O491" s="32">
        <f t="shared" si="177"/>
        <v>0</v>
      </c>
    </row>
    <row r="492" spans="1:15" s="18" customFormat="1" hidden="1">
      <c r="A492" s="57" t="s">
        <v>88</v>
      </c>
      <c r="B492" s="45">
        <f>POWER(K110/B110,1/9)-1</f>
        <v>-0.10955645739305353</v>
      </c>
      <c r="C492" s="45">
        <f>POWER(K110/G110,1/4)-1</f>
        <v>-0.14167025221934293</v>
      </c>
      <c r="D492" s="45">
        <f>POWER(K110/I110,1/2)-1</f>
        <v>-0.26306214208516931</v>
      </c>
      <c r="E492" s="45">
        <f>(K110-J110)/J110</f>
        <v>-6.5762224185896778E-2</v>
      </c>
      <c r="F492" s="46"/>
      <c r="G492" s="46"/>
      <c r="H492" s="46"/>
      <c r="I492" s="46"/>
      <c r="J492" s="46"/>
      <c r="K492" s="46"/>
      <c r="L492" s="46"/>
      <c r="M492" s="136">
        <f t="shared" si="175"/>
        <v>-3.2882436627106611E-2</v>
      </c>
      <c r="N492" s="32">
        <f t="shared" si="176"/>
        <v>-6.5764873254213225E-3</v>
      </c>
      <c r="O492" s="32">
        <f t="shared" si="177"/>
        <v>0</v>
      </c>
    </row>
    <row r="493" spans="1:15" s="18" customFormat="1" hidden="1">
      <c r="A493" s="57" t="s">
        <v>89</v>
      </c>
      <c r="B493" s="45">
        <f>POWER(K112/B112,1/9)-1</f>
        <v>-9.9793282629060398E-2</v>
      </c>
      <c r="C493" s="45">
        <f>POWER(K112/G112,1/4)-1</f>
        <v>-0.1404420072850312</v>
      </c>
      <c r="D493" s="45">
        <f>POWER(K112/I112,1/2)-1</f>
        <v>-0.27665669168751195</v>
      </c>
      <c r="E493" s="45">
        <f>(K112-J112)/J112</f>
        <v>-8.1668631516182866E-2</v>
      </c>
      <c r="F493" s="46"/>
      <c r="G493" s="46"/>
      <c r="H493" s="46"/>
      <c r="I493" s="46"/>
      <c r="J493" s="46"/>
      <c r="K493" s="46"/>
      <c r="L493" s="46"/>
      <c r="M493" s="136">
        <f t="shared" si="175"/>
        <v>-3.5832532320369481E-2</v>
      </c>
      <c r="N493" s="32">
        <f t="shared" si="176"/>
        <v>-7.1665064640738961E-3</v>
      </c>
      <c r="O493" s="32">
        <f t="shared" si="177"/>
        <v>0</v>
      </c>
    </row>
    <row r="494" spans="1:15" s="18" customFormat="1" hidden="1">
      <c r="A494" s="57" t="s">
        <v>90</v>
      </c>
      <c r="B494" s="45">
        <f>POWER(K130/B130,1/9)-1</f>
        <v>-2.1904097743645168</v>
      </c>
      <c r="C494" s="45" t="e">
        <f>POWER(K130/G130,1/4)-1</f>
        <v>#NUM!</v>
      </c>
      <c r="D494" s="45" t="e">
        <f>POWER(K130/I130,1/2)-1</f>
        <v>#NUM!</v>
      </c>
      <c r="E494" s="45">
        <f>(K130-J130)/J130</f>
        <v>0.29725264692177378</v>
      </c>
      <c r="F494" s="46"/>
      <c r="G494" s="46"/>
      <c r="H494" s="46"/>
      <c r="I494" s="46"/>
      <c r="J494" s="46"/>
      <c r="K494" s="46"/>
      <c r="L494" s="46"/>
      <c r="M494" s="136" t="e">
        <f t="shared" si="175"/>
        <v>#NUM!</v>
      </c>
      <c r="N494" s="32" t="e">
        <f t="shared" si="176"/>
        <v>#NUM!</v>
      </c>
      <c r="O494" s="32">
        <f t="shared" si="177"/>
        <v>0</v>
      </c>
    </row>
    <row r="495" spans="1:15" s="18" customFormat="1" hidden="1">
      <c r="A495" s="57" t="s">
        <v>91</v>
      </c>
      <c r="B495" s="45">
        <f>POWER(K132/B132,1/9)-1</f>
        <v>-2.1585263873222198</v>
      </c>
      <c r="C495" s="45" t="e">
        <f>POWER(K132/G132,1/4)-1</f>
        <v>#NUM!</v>
      </c>
      <c r="D495" s="45" t="e">
        <f>POWER(K132/I132,1/2)-1</f>
        <v>#NUM!</v>
      </c>
      <c r="E495" s="45">
        <f>(K132-J132)/J132</f>
        <v>0.40807145650301752</v>
      </c>
      <c r="F495" s="46"/>
      <c r="G495" s="46"/>
      <c r="H495" s="46"/>
      <c r="I495" s="46"/>
      <c r="J495" s="46"/>
      <c r="K495" s="46"/>
      <c r="L495" s="46"/>
      <c r="M495" s="136" t="e">
        <f t="shared" si="175"/>
        <v>#NUM!</v>
      </c>
      <c r="N495" s="32" t="e">
        <f t="shared" si="176"/>
        <v>#NUM!</v>
      </c>
      <c r="O495" s="32">
        <f t="shared" si="177"/>
        <v>0</v>
      </c>
    </row>
    <row r="496" spans="1:15" s="18" customFormat="1" hidden="1">
      <c r="A496" s="57" t="s">
        <v>92</v>
      </c>
      <c r="B496" s="45">
        <f>POWER(K134/B134,1/9)-1</f>
        <v>-2.0031262287504892</v>
      </c>
      <c r="C496" s="45" t="e">
        <f>POWER(K134/G134,1/4)-1</f>
        <v>#NUM!</v>
      </c>
      <c r="D496" s="45" t="e">
        <f>POWER(K134/I134,1/2)-1</f>
        <v>#NUM!</v>
      </c>
      <c r="E496" s="45">
        <f>(K134-J134)/J134</f>
        <v>0.27125266444289031</v>
      </c>
      <c r="F496" s="46"/>
      <c r="G496" s="46"/>
      <c r="H496" s="46"/>
      <c r="I496" s="46"/>
      <c r="J496" s="46"/>
      <c r="K496" s="46"/>
      <c r="L496" s="46"/>
      <c r="M496" s="136" t="e">
        <f t="shared" si="175"/>
        <v>#NUM!</v>
      </c>
      <c r="N496" s="32" t="e">
        <f t="shared" si="176"/>
        <v>#NUM!</v>
      </c>
      <c r="O496" s="32">
        <f t="shared" si="177"/>
        <v>0</v>
      </c>
    </row>
    <row r="497" spans="1:15" s="18" customFormat="1" hidden="1">
      <c r="A497" s="57" t="s">
        <v>93</v>
      </c>
      <c r="B497" s="45">
        <f>POWER(K136/B136,1/9)-1</f>
        <v>-1.9762589579230088</v>
      </c>
      <c r="C497" s="45" t="e">
        <f>POWER(K136/G136,1/4)-1</f>
        <v>#NUM!</v>
      </c>
      <c r="D497" s="45" t="e">
        <f>POWER(K136/I136,1/2)-1</f>
        <v>#NUM!</v>
      </c>
      <c r="E497" s="45">
        <f>(K136-J136)/J136</f>
        <v>0.37985040543407939</v>
      </c>
      <c r="F497" s="46"/>
      <c r="G497" s="46"/>
      <c r="H497" s="46"/>
      <c r="I497" s="46"/>
      <c r="J497" s="46"/>
      <c r="K497" s="46"/>
      <c r="L497" s="46"/>
      <c r="M497" s="136" t="e">
        <f t="shared" si="175"/>
        <v>#NUM!</v>
      </c>
      <c r="N497" s="32" t="e">
        <f t="shared" si="176"/>
        <v>#NUM!</v>
      </c>
      <c r="O497" s="32">
        <f t="shared" si="177"/>
        <v>0</v>
      </c>
    </row>
    <row r="498" spans="1:15" s="18" customFormat="1" hidden="1">
      <c r="A498" s="135" t="s">
        <v>94</v>
      </c>
      <c r="B498" s="45" t="e">
        <f>POWER(#REF!/#REF!,1/9)-1</f>
        <v>#REF!</v>
      </c>
      <c r="C498" s="45" t="e">
        <f>POWER(#REF!/#REF!,1/4)-1</f>
        <v>#REF!</v>
      </c>
      <c r="D498" s="45" t="e">
        <f>POWER(#REF!/#REF!,1/2)-1</f>
        <v>#REF!</v>
      </c>
      <c r="E498" s="45" t="e">
        <f>(#REF!-#REF!)/#REF!</f>
        <v>#REF!</v>
      </c>
      <c r="F498" s="46"/>
      <c r="G498" s="46"/>
      <c r="H498" s="46"/>
      <c r="I498" s="46"/>
      <c r="J498" s="46"/>
      <c r="K498" s="46"/>
      <c r="L498" s="46"/>
      <c r="M498" s="136" t="e">
        <f t="shared" si="175"/>
        <v>#REF!</v>
      </c>
      <c r="N498" s="32" t="e">
        <f t="shared" si="176"/>
        <v>#REF!</v>
      </c>
      <c r="O498" s="32">
        <f t="shared" si="177"/>
        <v>0</v>
      </c>
    </row>
    <row r="499" spans="1:15" s="18" customFormat="1" hidden="1">
      <c r="A499" s="135" t="s">
        <v>95</v>
      </c>
      <c r="B499" s="45">
        <f>POWER(K158/B158,1/9)-1</f>
        <v>-9.4210851459242462E-2</v>
      </c>
      <c r="C499" s="45">
        <f>POWER(K158/G158,1/4)-1</f>
        <v>-0.12980453255199886</v>
      </c>
      <c r="D499" s="45">
        <f>POWER(K158/I158,1/2)-1</f>
        <v>-0.27517265013562886</v>
      </c>
      <c r="E499" s="45">
        <f>(K158-J158)/J158</f>
        <v>-0.10478807563781713</v>
      </c>
      <c r="F499" s="46"/>
      <c r="G499" s="46"/>
      <c r="H499" s="46"/>
      <c r="I499" s="46"/>
      <c r="J499" s="46"/>
      <c r="K499" s="46"/>
      <c r="L499" s="46"/>
      <c r="M499" s="136">
        <f t="shared" si="175"/>
        <v>-3.7996072577344595E-2</v>
      </c>
      <c r="N499" s="32">
        <f t="shared" si="176"/>
        <v>-7.5992145154689193E-3</v>
      </c>
      <c r="O499" s="32">
        <f t="shared" si="177"/>
        <v>0</v>
      </c>
    </row>
    <row r="500" spans="1:15" s="18" customFormat="1" hidden="1">
      <c r="A500" s="135"/>
      <c r="B500" s="45"/>
      <c r="C500" s="45"/>
      <c r="D500" s="45"/>
      <c r="E500" s="45"/>
      <c r="F500" s="46"/>
      <c r="G500" s="46"/>
      <c r="H500" s="46"/>
      <c r="I500" s="46"/>
      <c r="J500" s="46"/>
      <c r="K500" s="46"/>
      <c r="L500" s="46"/>
      <c r="M500" s="136">
        <f t="shared" si="175"/>
        <v>0</v>
      </c>
      <c r="N500" s="32">
        <f t="shared" si="176"/>
        <v>0</v>
      </c>
      <c r="O500" s="32">
        <f t="shared" si="177"/>
        <v>0</v>
      </c>
    </row>
    <row r="501" spans="1:15" s="18" customFormat="1" hidden="1">
      <c r="A501" s="138" t="s">
        <v>40</v>
      </c>
      <c r="B501" s="164" t="s">
        <v>81</v>
      </c>
      <c r="C501" s="164" t="s">
        <v>82</v>
      </c>
      <c r="D501" s="138" t="s">
        <v>83</v>
      </c>
      <c r="E501" s="138" t="s">
        <v>84</v>
      </c>
      <c r="F501" s="46"/>
      <c r="G501" s="46"/>
      <c r="H501" s="46"/>
      <c r="I501" s="46"/>
      <c r="J501" s="46"/>
      <c r="K501" s="46"/>
      <c r="L501" s="46"/>
      <c r="M501" s="136">
        <f t="shared" si="175"/>
        <v>0</v>
      </c>
      <c r="N501" s="32">
        <f t="shared" si="176"/>
        <v>0</v>
      </c>
      <c r="O501" s="32">
        <f t="shared" si="177"/>
        <v>0</v>
      </c>
    </row>
    <row r="502" spans="1:15" s="18" customFormat="1" hidden="1">
      <c r="A502" s="163" t="s">
        <v>38</v>
      </c>
      <c r="B502" s="45">
        <f>POWER('Data Sheet'!K56/'Data Sheet'!B56,1/9)-1</f>
        <v>8.9127966937363468E-3</v>
      </c>
      <c r="C502" s="45">
        <f>POWER('Data Sheet'!K56/'Data Sheet'!G56,1/4)-1</f>
        <v>8.7155377745757878E-3</v>
      </c>
      <c r="D502" s="45">
        <f>POWER('Data Sheet'!K56/'Data Sheet'!I56,1/2)-1</f>
        <v>8.6455747074951628E-3</v>
      </c>
      <c r="E502" s="45">
        <f>('Data Sheet'!K56-'Data Sheet'!J56)/'Data Sheet'!K56</f>
        <v>8.5230589608873315E-3</v>
      </c>
      <c r="F502" s="46"/>
      <c r="G502" s="46"/>
      <c r="H502" s="46"/>
      <c r="I502" s="46"/>
      <c r="J502" s="46"/>
      <c r="K502" s="46"/>
      <c r="L502" s="46"/>
      <c r="M502" s="136">
        <f t="shared" si="175"/>
        <v>1.7168633668382493E-3</v>
      </c>
      <c r="N502" s="32">
        <f t="shared" si="176"/>
        <v>3.4337267336764988E-4</v>
      </c>
      <c r="O502" s="32">
        <f t="shared" si="177"/>
        <v>0</v>
      </c>
    </row>
    <row r="503" spans="1:15" s="18" customFormat="1" hidden="1">
      <c r="A503" s="135" t="s">
        <v>24</v>
      </c>
      <c r="B503" s="45">
        <f>POWER('Data Sheet'!K57/'Data Sheet'!B57,1/9)-1</f>
        <v>7.5310118911948054E-2</v>
      </c>
      <c r="C503" s="45">
        <f>POWER('Data Sheet'!K57/'Data Sheet'!G57,1/4)-1</f>
        <v>3.8623452224986643E-2</v>
      </c>
      <c r="D503" s="45">
        <f>POWER('Data Sheet'!K57/'Data Sheet'!I57,1/2)-1</f>
        <v>5.5335920728276422E-2</v>
      </c>
      <c r="E503" s="45">
        <f>('Data Sheet'!K57-'Data Sheet'!J57)/'Data Sheet'!K57</f>
        <v>0</v>
      </c>
      <c r="F503" s="46"/>
      <c r="G503" s="46"/>
      <c r="H503" s="46"/>
      <c r="I503" s="46"/>
      <c r="J503" s="46"/>
      <c r="K503" s="46"/>
      <c r="L503" s="46"/>
      <c r="M503" s="136">
        <f t="shared" si="175"/>
        <v>5.5335920728276419E-3</v>
      </c>
      <c r="N503" s="32">
        <f t="shared" si="176"/>
        <v>1.1067184145655284E-3</v>
      </c>
      <c r="O503" s="32">
        <f t="shared" si="177"/>
        <v>0</v>
      </c>
    </row>
    <row r="504" spans="1:15" s="18" customFormat="1" hidden="1">
      <c r="A504" s="135" t="s">
        <v>25</v>
      </c>
      <c r="B504" s="45">
        <f>POWER('Data Sheet'!K58/'Data Sheet'!B58,1/9)-1</f>
        <v>0.32886314599385735</v>
      </c>
      <c r="C504" s="45">
        <f>POWER('Data Sheet'!K58/'Data Sheet'!G58,1/4)-1</f>
        <v>0.32420382091973066</v>
      </c>
      <c r="D504" s="45">
        <f>POWER('Data Sheet'!K58/'Data Sheet'!I58,1/2)-1</f>
        <v>0.4136264211042544</v>
      </c>
      <c r="E504" s="45">
        <f>('Data Sheet'!K58-'Data Sheet'!J58)/'Data Sheet'!K58</f>
        <v>9.8753709198812975E-2</v>
      </c>
      <c r="F504" s="46"/>
      <c r="G504" s="46"/>
      <c r="H504" s="46"/>
      <c r="I504" s="46"/>
      <c r="J504" s="46"/>
      <c r="K504" s="46"/>
      <c r="L504" s="46"/>
      <c r="M504" s="136">
        <f t="shared" si="175"/>
        <v>5.1238013030306742E-2</v>
      </c>
      <c r="N504" s="32">
        <f t="shared" si="176"/>
        <v>1.0247602606061348E-2</v>
      </c>
      <c r="O504" s="32">
        <f t="shared" si="177"/>
        <v>0</v>
      </c>
    </row>
    <row r="505" spans="1:15" s="18" customFormat="1" hidden="1">
      <c r="A505" s="135" t="s">
        <v>62</v>
      </c>
      <c r="B505" s="45">
        <f>POWER('Data Sheet'!K59/'Data Sheet'!B59,1/9)-1</f>
        <v>0.19046206414145073</v>
      </c>
      <c r="C505" s="45">
        <f>POWER('Data Sheet'!K59/'Data Sheet'!G59,1/4)-1</f>
        <v>0.22770289463783211</v>
      </c>
      <c r="D505" s="45">
        <f>POWER('Data Sheet'!K59/'Data Sheet'!I59,1/2)-1</f>
        <v>6.7973193127000897E-2</v>
      </c>
      <c r="E505" s="45">
        <f>('Data Sheet'!K59-'Data Sheet'!J59)/'Data Sheet'!K59</f>
        <v>0.23389996730957832</v>
      </c>
      <c r="F505" s="46"/>
      <c r="G505" s="46"/>
      <c r="H505" s="46"/>
      <c r="I505" s="46"/>
      <c r="J505" s="46"/>
      <c r="K505" s="46"/>
      <c r="L505" s="46"/>
      <c r="M505" s="136">
        <f t="shared" si="175"/>
        <v>3.018731604365792E-2</v>
      </c>
      <c r="N505" s="32">
        <f t="shared" si="176"/>
        <v>6.037463208731584E-3</v>
      </c>
      <c r="O505" s="32">
        <f t="shared" si="177"/>
        <v>0</v>
      </c>
    </row>
    <row r="506" spans="1:15" s="18" customFormat="1" hidden="1">
      <c r="A506" s="135" t="s">
        <v>63</v>
      </c>
      <c r="B506" s="45">
        <f>POWER('Data Sheet'!K60/'Data Sheet'!B60,1/9)-1</f>
        <v>0.14398887589054143</v>
      </c>
      <c r="C506" s="45">
        <f>POWER('Data Sheet'!K60/'Data Sheet'!G60,1/4)-1</f>
        <v>0.14776158703645259</v>
      </c>
      <c r="D506" s="45">
        <f>POWER('Data Sheet'!K60/'Data Sheet'!I60,1/2)-1</f>
        <v>0.15185947640576281</v>
      </c>
      <c r="E506" s="45">
        <f>('Data Sheet'!K60-'Data Sheet'!J60)/'Data Sheet'!K60</f>
        <v>-0.25584458347053013</v>
      </c>
      <c r="F506" s="46"/>
      <c r="G506" s="46"/>
      <c r="H506" s="46"/>
      <c r="I506" s="46"/>
      <c r="J506" s="46"/>
      <c r="K506" s="46"/>
      <c r="L506" s="46"/>
      <c r="M506" s="136">
        <f t="shared" si="175"/>
        <v>-1.0398510706476733E-2</v>
      </c>
      <c r="N506" s="32">
        <f t="shared" si="176"/>
        <v>-2.0797021412953466E-3</v>
      </c>
      <c r="O506" s="32">
        <f t="shared" si="177"/>
        <v>0</v>
      </c>
    </row>
    <row r="507" spans="1:15" s="18" customFormat="1" hidden="1">
      <c r="A507" s="138" t="s">
        <v>26</v>
      </c>
      <c r="B507" s="45">
        <f>POWER('Data Sheet'!K61/'Data Sheet'!B61,1/9)-1</f>
        <v>0.21654475434914988</v>
      </c>
      <c r="C507" s="45">
        <f>POWER('Data Sheet'!K61/'Data Sheet'!G61,1/4)-1</f>
        <v>0.24107132484152038</v>
      </c>
      <c r="D507" s="45">
        <f>POWER('Data Sheet'!K61/'Data Sheet'!I61,1/2)-1</f>
        <v>0.21131672336210938</v>
      </c>
      <c r="E507" s="45">
        <f>('Data Sheet'!K61-'Data Sheet'!J61)/'Data Sheet'!K61</f>
        <v>8.2103983645505349E-2</v>
      </c>
      <c r="F507" s="46"/>
      <c r="G507" s="46"/>
      <c r="H507" s="46"/>
      <c r="I507" s="46"/>
      <c r="J507" s="46"/>
      <c r="K507" s="46"/>
      <c r="L507" s="46"/>
      <c r="M507" s="136">
        <f t="shared" si="175"/>
        <v>2.9342070700761474E-2</v>
      </c>
      <c r="N507" s="32">
        <f t="shared" si="176"/>
        <v>5.8684141401522949E-3</v>
      </c>
      <c r="O507" s="32">
        <f t="shared" si="177"/>
        <v>0</v>
      </c>
    </row>
    <row r="508" spans="1:15" s="18" customFormat="1" hidden="1">
      <c r="A508" s="135" t="s">
        <v>27</v>
      </c>
      <c r="B508" s="45">
        <f>POWER('Data Sheet'!K62/'Data Sheet'!B62,1/9)-1</f>
        <v>0.17491645850514392</v>
      </c>
      <c r="C508" s="45">
        <f>POWER('Data Sheet'!K62/'Data Sheet'!G62,1/4)-1</f>
        <v>0.15958738152513385</v>
      </c>
      <c r="D508" s="45">
        <f>POWER('Data Sheet'!K62/'Data Sheet'!I62,1/2)-1</f>
        <v>0.15435733714165778</v>
      </c>
      <c r="E508" s="45">
        <f>('Data Sheet'!K62-'Data Sheet'!J62)/'Data Sheet'!K62</f>
        <v>0.16570026761819817</v>
      </c>
      <c r="F508" s="46"/>
      <c r="G508" s="46"/>
      <c r="H508" s="46"/>
      <c r="I508" s="46"/>
      <c r="J508" s="46"/>
      <c r="K508" s="46"/>
      <c r="L508" s="46"/>
      <c r="M508" s="136">
        <f t="shared" si="175"/>
        <v>3.2005760475985592E-2</v>
      </c>
      <c r="N508" s="32">
        <f t="shared" si="176"/>
        <v>6.4011520951971186E-3</v>
      </c>
      <c r="O508" s="32">
        <f t="shared" si="177"/>
        <v>0</v>
      </c>
    </row>
    <row r="509" spans="1:15" s="18" customFormat="1" hidden="1">
      <c r="A509" s="135" t="s">
        <v>28</v>
      </c>
      <c r="B509" s="45">
        <f>POWER('Data Sheet'!K63/'Data Sheet'!B63,1/9)-1</f>
        <v>0.12587028999395966</v>
      </c>
      <c r="C509" s="45">
        <f>POWER('Data Sheet'!K63/'Data Sheet'!G63,1/4)-1</f>
        <v>1.4551402756954048</v>
      </c>
      <c r="D509" s="45">
        <f>POWER('Data Sheet'!K63/'Data Sheet'!I63,1/2)-1</f>
        <v>-2.2175705519036915E-2</v>
      </c>
      <c r="E509" s="45">
        <f>('Data Sheet'!K63-'Data Sheet'!J63)/'Data Sheet'!K63</f>
        <v>0.19266055045871566</v>
      </c>
      <c r="F509" s="46"/>
      <c r="G509" s="46"/>
      <c r="H509" s="46"/>
      <c r="I509" s="46"/>
      <c r="J509" s="46"/>
      <c r="K509" s="46"/>
      <c r="L509" s="46"/>
      <c r="M509" s="136">
        <f t="shared" si="175"/>
        <v>1.7048484493967876E-2</v>
      </c>
      <c r="N509" s="32">
        <f t="shared" si="176"/>
        <v>3.4096968987935754E-3</v>
      </c>
      <c r="O509" s="32">
        <f t="shared" si="177"/>
        <v>0</v>
      </c>
    </row>
    <row r="510" spans="1:15" s="18" customFormat="1" hidden="1">
      <c r="A510" s="135" t="s">
        <v>29</v>
      </c>
      <c r="B510" s="45" t="e">
        <f>POWER('Data Sheet'!K64/'Data Sheet'!B64,1/9)-1</f>
        <v>#DIV/0!</v>
      </c>
      <c r="C510" s="45">
        <f>POWER('Data Sheet'!K64/'Data Sheet'!G64,1/4)-1</f>
        <v>0.28339051192785125</v>
      </c>
      <c r="D510" s="45">
        <f>POWER('Data Sheet'!K64/'Data Sheet'!I64,1/2)-1</f>
        <v>5.2101819689382767E-2</v>
      </c>
      <c r="E510" s="45">
        <f>('Data Sheet'!K64-'Data Sheet'!J64)/'Data Sheet'!K64</f>
        <v>9.9431818181818579E-3</v>
      </c>
      <c r="F510" s="46"/>
      <c r="G510" s="46"/>
      <c r="H510" s="46"/>
      <c r="I510" s="46"/>
      <c r="J510" s="46"/>
      <c r="K510" s="46"/>
      <c r="L510" s="46"/>
      <c r="M510" s="136">
        <f t="shared" si="175"/>
        <v>6.2045001507564628E-3</v>
      </c>
      <c r="N510" s="32">
        <f t="shared" si="176"/>
        <v>1.2409000301512926E-3</v>
      </c>
      <c r="O510" s="32">
        <f t="shared" si="177"/>
        <v>0</v>
      </c>
    </row>
    <row r="511" spans="1:15" s="18" customFormat="1" hidden="1">
      <c r="A511" s="135" t="s">
        <v>64</v>
      </c>
      <c r="B511" s="45">
        <f>POWER('Data Sheet'!K65/'Data Sheet'!B65,1/9)-1</f>
        <v>0.2218671374834229</v>
      </c>
      <c r="C511" s="45">
        <f>POWER('Data Sheet'!K65/'Data Sheet'!G65,1/4)-1</f>
        <v>0.26894057298780827</v>
      </c>
      <c r="D511" s="45">
        <f>POWER('Data Sheet'!K65/'Data Sheet'!I65,1/2)-1</f>
        <v>0.26686745396548939</v>
      </c>
      <c r="E511" s="45">
        <f>('Data Sheet'!K65-'Data Sheet'!J65)/'Data Sheet'!K65</f>
        <v>5.7302527316707021E-2</v>
      </c>
      <c r="F511" s="46"/>
      <c r="G511" s="46"/>
      <c r="H511" s="46"/>
      <c r="I511" s="46"/>
      <c r="J511" s="46"/>
      <c r="K511" s="46"/>
      <c r="L511" s="46"/>
      <c r="M511" s="136">
        <f t="shared" si="175"/>
        <v>3.2416998128219646E-2</v>
      </c>
      <c r="N511" s="32">
        <f t="shared" si="176"/>
        <v>6.483399625643929E-3</v>
      </c>
      <c r="O511" s="32">
        <f t="shared" si="177"/>
        <v>0</v>
      </c>
    </row>
    <row r="512" spans="1:15" s="18" customFormat="1" hidden="1">
      <c r="A512" s="138" t="s">
        <v>26</v>
      </c>
      <c r="B512" s="45">
        <f>POWER('Data Sheet'!K66/'Data Sheet'!B66,1/9)-1</f>
        <v>0.21654475434914988</v>
      </c>
      <c r="C512" s="45">
        <f>POWER('Data Sheet'!K66/'Data Sheet'!G66,1/4)-1</f>
        <v>0.24107132484152038</v>
      </c>
      <c r="D512" s="45">
        <f>POWER('Data Sheet'!K66/'Data Sheet'!I66,1/2)-1</f>
        <v>0.21131672336210938</v>
      </c>
      <c r="E512" s="45">
        <f>('Data Sheet'!K66-'Data Sheet'!J66)/'Data Sheet'!K66</f>
        <v>8.2103983645505349E-2</v>
      </c>
      <c r="F512" s="46"/>
      <c r="G512" s="46"/>
      <c r="H512" s="46"/>
      <c r="I512" s="46"/>
      <c r="J512" s="46"/>
      <c r="K512" s="46"/>
      <c r="L512" s="46"/>
      <c r="M512" s="136">
        <f t="shared" si="175"/>
        <v>2.9342070700761474E-2</v>
      </c>
      <c r="N512" s="32">
        <f t="shared" si="176"/>
        <v>5.8684141401522949E-3</v>
      </c>
      <c r="O512" s="32">
        <f t="shared" si="177"/>
        <v>0</v>
      </c>
    </row>
    <row r="513" spans="1:15" s="18" customFormat="1" hidden="1">
      <c r="A513" s="135" t="s">
        <v>69</v>
      </c>
      <c r="B513" s="45">
        <f>POWER('Data Sheet'!K67/'Data Sheet'!B67,1/9)-1</f>
        <v>0.12986633191636732</v>
      </c>
      <c r="C513" s="45">
        <f>POWER('Data Sheet'!K67/'Data Sheet'!G67,1/4)-1</f>
        <v>0.15338515155583377</v>
      </c>
      <c r="D513" s="45">
        <f>POWER('Data Sheet'!K67/'Data Sheet'!I67,1/2)-1</f>
        <v>0.13494435712023845</v>
      </c>
      <c r="E513" s="45">
        <f>('Data Sheet'!K67-'Data Sheet'!J67)/'Data Sheet'!K67</f>
        <v>3.4084507042253548E-2</v>
      </c>
      <c r="F513" s="46"/>
      <c r="G513" s="46"/>
      <c r="H513" s="46"/>
      <c r="I513" s="46"/>
      <c r="J513" s="46"/>
      <c r="K513" s="46"/>
      <c r="L513" s="46"/>
      <c r="M513" s="136">
        <f t="shared" si="175"/>
        <v>1.6902886416249201E-2</v>
      </c>
      <c r="N513" s="32">
        <f t="shared" si="176"/>
        <v>3.3805772832498403E-3</v>
      </c>
      <c r="O513" s="32">
        <f t="shared" si="177"/>
        <v>0</v>
      </c>
    </row>
    <row r="514" spans="1:15" s="18" customFormat="1" hidden="1">
      <c r="A514" s="135" t="s">
        <v>45</v>
      </c>
      <c r="B514" s="45">
        <f>POWER('Data Sheet'!K68/'Data Sheet'!B68,1/9)-1</f>
        <v>0.20816661401456749</v>
      </c>
      <c r="C514" s="45">
        <f>POWER('Data Sheet'!K68/'Data Sheet'!G68,1/4)-1</f>
        <v>0.14953161563639017</v>
      </c>
      <c r="D514" s="45">
        <f>POWER('Data Sheet'!K68/'Data Sheet'!I68,1/2)-1</f>
        <v>0.10398832366570754</v>
      </c>
      <c r="E514" s="45">
        <f>('Data Sheet'!K68-'Data Sheet'!J68)/'Data Sheet'!K68</f>
        <v>0.14290742696233716</v>
      </c>
      <c r="F514" s="46"/>
      <c r="G514" s="46"/>
      <c r="H514" s="46"/>
      <c r="I514" s="46"/>
      <c r="J514" s="46"/>
      <c r="K514" s="46"/>
      <c r="L514" s="46"/>
      <c r="M514" s="136">
        <f t="shared" si="175"/>
        <v>2.4689575062804468E-2</v>
      </c>
      <c r="N514" s="32">
        <f t="shared" si="176"/>
        <v>4.9379150125608935E-3</v>
      </c>
      <c r="O514" s="32">
        <f t="shared" si="177"/>
        <v>0</v>
      </c>
    </row>
    <row r="515" spans="1:15" s="18" customFormat="1" hidden="1">
      <c r="A515" s="57" t="s">
        <v>78</v>
      </c>
      <c r="B515" s="45">
        <f>POWER('Data Sheet'!K69/'Data Sheet'!B69,1/9)-1</f>
        <v>0.40683605721452043</v>
      </c>
      <c r="C515" s="45">
        <f>POWER('Data Sheet'!K69/'Data Sheet'!G69,1/4)-1</f>
        <v>0.80765927971007057</v>
      </c>
      <c r="D515" s="45">
        <f>POWER('Data Sheet'!K69/'Data Sheet'!I69,1/2)-1</f>
        <v>0.97142006294428684</v>
      </c>
      <c r="E515" s="45">
        <f>('Data Sheet'!K69-'Data Sheet'!J69)/'Data Sheet'!K69</f>
        <v>-0.26686807653575029</v>
      </c>
      <c r="F515" s="46"/>
      <c r="G515" s="46"/>
      <c r="H515" s="46"/>
      <c r="I515" s="46"/>
      <c r="J515" s="46"/>
      <c r="K515" s="46"/>
      <c r="L515" s="46"/>
      <c r="M515" s="136">
        <f t="shared" si="175"/>
        <v>7.0455198640853658E-2</v>
      </c>
      <c r="N515" s="32">
        <f t="shared" si="176"/>
        <v>1.4091039728170732E-2</v>
      </c>
      <c r="O515" s="32">
        <f t="shared" si="177"/>
        <v>0</v>
      </c>
    </row>
    <row r="516" spans="1:15" s="18" customFormat="1" hidden="1">
      <c r="A516" s="57" t="s">
        <v>65</v>
      </c>
      <c r="B516" s="45">
        <f>POWER('Data Sheet'!K70/'Data Sheet'!B70,1/9)-1</f>
        <v>7.5419376792432713E-2</v>
      </c>
      <c r="C516" s="45">
        <f>POWER('Data Sheet'!K70/'Data Sheet'!G70,1/4)-1</f>
        <v>3.8688682188092072E-2</v>
      </c>
      <c r="D516" s="45">
        <f>POWER('Data Sheet'!K70/'Data Sheet'!I70,1/2)-1</f>
        <v>5.5458322891576373E-2</v>
      </c>
      <c r="E516" s="45">
        <f>('Data Sheet'!K70-'Data Sheet'!J70)/'Data Sheet'!K70</f>
        <v>0</v>
      </c>
      <c r="F516" s="46"/>
      <c r="G516" s="46"/>
      <c r="H516" s="46"/>
      <c r="I516" s="46"/>
      <c r="J516" s="46"/>
      <c r="K516" s="46"/>
      <c r="L516" s="46"/>
      <c r="M516" s="136">
        <f t="shared" si="175"/>
        <v>5.5458322891576376E-3</v>
      </c>
      <c r="N516" s="32">
        <f t="shared" si="176"/>
        <v>1.1091664578315274E-3</v>
      </c>
      <c r="O516" s="32">
        <f t="shared" si="177"/>
        <v>0</v>
      </c>
    </row>
    <row r="517" spans="1:15" s="18" customFormat="1" hidden="1">
      <c r="A517" s="57" t="s">
        <v>66</v>
      </c>
      <c r="B517" s="45" t="e">
        <f>POWER('Data Sheet'!K71/'Data Sheet'!B71,1/9)-1</f>
        <v>#DIV/0!</v>
      </c>
      <c r="C517" s="45">
        <f>POWER('Data Sheet'!K71/'Data Sheet'!G71,1/4)-1</f>
        <v>-1</v>
      </c>
      <c r="D517" s="45" t="e">
        <f>POWER('Data Sheet'!K71/'Data Sheet'!I71,1/2)-1</f>
        <v>#DIV/0!</v>
      </c>
      <c r="E517" s="45" t="e">
        <f>('Data Sheet'!K71-'Data Sheet'!J71)/'Data Sheet'!K71</f>
        <v>#DIV/0!</v>
      </c>
      <c r="F517" s="46"/>
      <c r="G517" s="46"/>
      <c r="H517" s="46"/>
      <c r="I517" s="46"/>
      <c r="J517" s="46"/>
      <c r="K517" s="46"/>
      <c r="L517" s="46"/>
      <c r="M517" s="136" t="e">
        <f t="shared" si="175"/>
        <v>#DIV/0!</v>
      </c>
      <c r="N517" s="32" t="e">
        <f t="shared" si="176"/>
        <v>#DIV/0!</v>
      </c>
      <c r="O517" s="32">
        <f t="shared" si="177"/>
        <v>0</v>
      </c>
    </row>
    <row r="518" spans="1:15" s="18" customFormat="1" hidden="1">
      <c r="A518" s="57" t="s">
        <v>79</v>
      </c>
      <c r="B518" s="45">
        <f>POWER('Data Sheet'!K72/'Data Sheet'!B72,1/9)-1</f>
        <v>0</v>
      </c>
      <c r="C518" s="45">
        <f>POWER('Data Sheet'!K72/'Data Sheet'!G72,1/4)-1</f>
        <v>0</v>
      </c>
      <c r="D518" s="45">
        <f>POWER('Data Sheet'!K72/'Data Sheet'!I72,1/2)-1</f>
        <v>0</v>
      </c>
      <c r="E518" s="45">
        <f>('Data Sheet'!K72-'Data Sheet'!J72)/'Data Sheet'!K72</f>
        <v>0</v>
      </c>
      <c r="F518" s="46"/>
      <c r="G518" s="46"/>
      <c r="H518" s="46"/>
      <c r="I518" s="46"/>
      <c r="J518" s="46"/>
      <c r="K518" s="46"/>
      <c r="L518" s="46"/>
      <c r="M518" s="136">
        <f t="shared" si="175"/>
        <v>0</v>
      </c>
      <c r="N518" s="32">
        <f t="shared" si="176"/>
        <v>0</v>
      </c>
      <c r="O518" s="32">
        <f t="shared" si="177"/>
        <v>0</v>
      </c>
    </row>
    <row r="519" spans="1:15" s="18" customFormat="1" hidden="1">
      <c r="A519" s="57"/>
      <c r="B519" s="46"/>
      <c r="C519" s="45"/>
      <c r="D519" s="45"/>
      <c r="E519" s="45"/>
      <c r="F519" s="46"/>
      <c r="G519" s="46"/>
      <c r="H519" s="46"/>
      <c r="I519" s="46"/>
      <c r="J519" s="46"/>
      <c r="K519" s="46"/>
      <c r="L519" s="46"/>
      <c r="M519" s="136">
        <f t="shared" si="175"/>
        <v>0</v>
      </c>
      <c r="N519" s="32">
        <f t="shared" si="176"/>
        <v>0</v>
      </c>
      <c r="O519" s="32">
        <f t="shared" si="177"/>
        <v>0</v>
      </c>
    </row>
    <row r="520" spans="1:15" s="18" customFormat="1" hidden="1">
      <c r="A520" s="138" t="s">
        <v>41</v>
      </c>
      <c r="B520" s="164" t="s">
        <v>81</v>
      </c>
      <c r="C520" s="164" t="s">
        <v>82</v>
      </c>
      <c r="D520" s="138" t="s">
        <v>83</v>
      </c>
      <c r="E520" s="138" t="s">
        <v>84</v>
      </c>
      <c r="F520" s="46"/>
      <c r="G520" s="46"/>
      <c r="H520" s="46"/>
      <c r="I520" s="46"/>
      <c r="J520" s="46"/>
      <c r="K520" s="46"/>
      <c r="L520" s="46"/>
      <c r="M520" s="136">
        <f t="shared" ref="M520:M583" si="194">SUM(D520:K520)/10</f>
        <v>0</v>
      </c>
      <c r="N520" s="32">
        <f t="shared" ref="N520:N583" si="195">SUM(G520:M520)/5</f>
        <v>0</v>
      </c>
      <c r="O520" s="32">
        <f t="shared" ref="O520:O583" si="196">SUM(I520:K520)/3</f>
        <v>0</v>
      </c>
    </row>
    <row r="521" spans="1:15" s="18" customFormat="1" hidden="1">
      <c r="A521" s="163" t="s">
        <v>38</v>
      </c>
      <c r="B521" s="46"/>
      <c r="C521" s="45">
        <f>POWER('Data Sheet'!K81/'Data Sheet'!G81,1/4)-1</f>
        <v>8.7155377745757878E-3</v>
      </c>
      <c r="D521" s="45">
        <f>POWER('Data Sheet'!K81/'Data Sheet'!I81,1/2)-1</f>
        <v>8.6455747074951628E-3</v>
      </c>
      <c r="E521" s="45">
        <f>('Data Sheet'!K81-'Data Sheet'!J81)/'Data Sheet'!K81</f>
        <v>8.5230589608873315E-3</v>
      </c>
      <c r="F521" s="46"/>
      <c r="G521" s="46"/>
      <c r="H521" s="46"/>
      <c r="I521" s="46"/>
      <c r="J521" s="46"/>
      <c r="K521" s="46"/>
      <c r="L521" s="46"/>
      <c r="M521" s="136">
        <f t="shared" si="194"/>
        <v>1.7168633668382493E-3</v>
      </c>
      <c r="N521" s="32">
        <f t="shared" si="195"/>
        <v>3.4337267336764988E-4</v>
      </c>
      <c r="O521" s="32">
        <f t="shared" si="196"/>
        <v>0</v>
      </c>
    </row>
    <row r="522" spans="1:15" s="18" customFormat="1" hidden="1">
      <c r="A522" s="135" t="s">
        <v>32</v>
      </c>
      <c r="B522" s="46"/>
      <c r="C522" s="45">
        <f>POWER('Data Sheet'!K82/'Data Sheet'!G82,1/4)-1</f>
        <v>1.9811599497007837E-2</v>
      </c>
      <c r="D522" s="45">
        <f>POWER('Data Sheet'!K82/'Data Sheet'!I82,1/2)-1</f>
        <v>-0.4982216897034254</v>
      </c>
      <c r="E522" s="45">
        <f>('Data Sheet'!K82-'Data Sheet'!J82)/'Data Sheet'!K82</f>
        <v>0.5660377358490567</v>
      </c>
      <c r="F522" s="46"/>
      <c r="G522" s="46"/>
      <c r="H522" s="46"/>
      <c r="I522" s="46"/>
      <c r="J522" s="46"/>
      <c r="K522" s="46"/>
      <c r="L522" s="46"/>
      <c r="M522" s="136">
        <f t="shared" si="194"/>
        <v>6.7816046145631305E-3</v>
      </c>
      <c r="N522" s="32">
        <f t="shared" si="195"/>
        <v>1.3563209229126261E-3</v>
      </c>
      <c r="O522" s="32">
        <f t="shared" si="196"/>
        <v>0</v>
      </c>
    </row>
    <row r="523" spans="1:15" s="18" customFormat="1" hidden="1">
      <c r="A523" s="135" t="s">
        <v>33</v>
      </c>
      <c r="B523" s="46"/>
      <c r="C523" s="45">
        <f>POWER('Data Sheet'!K83/'Data Sheet'!G83,1/4)-1</f>
        <v>5.6499423144196204E-3</v>
      </c>
      <c r="D523" s="45">
        <f>POWER('Data Sheet'!K83/'Data Sheet'!I83,1/2)-1</f>
        <v>-0.1722835607426938</v>
      </c>
      <c r="E523" s="45">
        <f>('Data Sheet'!K83-'Data Sheet'!J83)/'Data Sheet'!K83</f>
        <v>0.31569173630454966</v>
      </c>
      <c r="F523" s="46"/>
      <c r="G523" s="46"/>
      <c r="H523" s="46"/>
      <c r="I523" s="46"/>
      <c r="J523" s="46"/>
      <c r="K523" s="46"/>
      <c r="L523" s="46"/>
      <c r="M523" s="136">
        <f t="shared" si="194"/>
        <v>1.4340817556185586E-2</v>
      </c>
      <c r="N523" s="32">
        <f t="shared" si="195"/>
        <v>2.8681635112371173E-3</v>
      </c>
      <c r="O523" s="32">
        <f t="shared" si="196"/>
        <v>0</v>
      </c>
    </row>
    <row r="524" spans="1:15" s="18" customFormat="1" hidden="1">
      <c r="A524" s="135" t="s">
        <v>34</v>
      </c>
      <c r="B524" s="46"/>
      <c r="C524" s="45">
        <f>POWER('Data Sheet'!K84/'Data Sheet'!G84,1/4)-1</f>
        <v>-6.2983745187002338E-2</v>
      </c>
      <c r="D524" s="45">
        <f>POWER('Data Sheet'!K84/'Data Sheet'!I84,1/2)-1</f>
        <v>-3.081671426312993E-3</v>
      </c>
      <c r="E524" s="45">
        <f>('Data Sheet'!K84-'Data Sheet'!J84)/'Data Sheet'!K84</f>
        <v>-2.2275541795665634</v>
      </c>
      <c r="F524" s="46"/>
      <c r="G524" s="46"/>
      <c r="H524" s="46"/>
      <c r="I524" s="46"/>
      <c r="J524" s="46"/>
      <c r="K524" s="46"/>
      <c r="L524" s="46"/>
      <c r="M524" s="136">
        <f t="shared" si="194"/>
        <v>-0.22306358509928764</v>
      </c>
      <c r="N524" s="32">
        <f t="shared" si="195"/>
        <v>-4.4612717019857528E-2</v>
      </c>
      <c r="O524" s="32">
        <f t="shared" si="196"/>
        <v>0</v>
      </c>
    </row>
    <row r="525" spans="1:15" s="18" customFormat="1" hidden="1">
      <c r="A525" s="135" t="s">
        <v>35</v>
      </c>
      <c r="B525" s="46"/>
      <c r="C525" s="45" t="e">
        <f>POWER('Data Sheet'!K85/'Data Sheet'!G85,1/4)-1</f>
        <v>#NUM!</v>
      </c>
      <c r="D525" s="45" t="e">
        <f>POWER('Data Sheet'!K85/'Data Sheet'!I85,1/2)-1</f>
        <v>#NUM!</v>
      </c>
      <c r="E525" s="45">
        <f>('Data Sheet'!K85-'Data Sheet'!J85)/'Data Sheet'!K85</f>
        <v>14.141592920353984</v>
      </c>
      <c r="F525" s="46"/>
      <c r="G525" s="46"/>
      <c r="H525" s="46"/>
      <c r="I525" s="46"/>
      <c r="J525" s="46"/>
      <c r="K525" s="46"/>
      <c r="L525" s="46"/>
      <c r="M525" s="136" t="e">
        <f t="shared" si="194"/>
        <v>#NUM!</v>
      </c>
      <c r="N525" s="32" t="e">
        <f t="shared" si="195"/>
        <v>#NUM!</v>
      </c>
      <c r="O525" s="32">
        <f t="shared" si="196"/>
        <v>0</v>
      </c>
    </row>
    <row r="526" spans="1:15" s="18" customFormat="1" hidden="1">
      <c r="A526" s="135"/>
      <c r="B526" s="46"/>
      <c r="C526" s="45"/>
      <c r="D526" s="45"/>
      <c r="E526" s="45"/>
      <c r="F526" s="46"/>
      <c r="G526" s="46"/>
      <c r="H526" s="46"/>
      <c r="I526" s="46"/>
      <c r="J526" s="46"/>
      <c r="K526" s="46"/>
      <c r="L526" s="46"/>
      <c r="M526" s="136">
        <f t="shared" si="194"/>
        <v>0</v>
      </c>
      <c r="N526" s="32">
        <f t="shared" si="195"/>
        <v>0</v>
      </c>
      <c r="O526" s="32">
        <f t="shared" si="196"/>
        <v>0</v>
      </c>
    </row>
    <row r="527" spans="1:15" s="32" customFormat="1" hidden="1">
      <c r="A527" s="45" t="s">
        <v>212</v>
      </c>
      <c r="B527" s="45">
        <f>'Data Sheet'!B26/'Data Sheet'!B62</f>
        <v>0.12844909609895339</v>
      </c>
      <c r="C527" s="45">
        <f>'Data Sheet'!C26*2/('Data Sheet'!C62+'Data Sheet'!B62)</f>
        <v>0.16329704510108867</v>
      </c>
      <c r="D527" s="45">
        <f>'Data Sheet'!D26*2/('Data Sheet'!D62+'Data Sheet'!C62)</f>
        <v>0.16138855054811205</v>
      </c>
      <c r="E527" s="45">
        <f>'Data Sheet'!E26*2/('Data Sheet'!E62+'Data Sheet'!D62)</f>
        <v>0.15048671402262562</v>
      </c>
      <c r="F527" s="45">
        <f>'Data Sheet'!F26*2/('Data Sheet'!F62+'Data Sheet'!E62)</f>
        <v>0.1621885686370298</v>
      </c>
      <c r="G527" s="45">
        <f>'Data Sheet'!G26*2/('Data Sheet'!G62+'Data Sheet'!F62)</f>
        <v>0.16710758377425045</v>
      </c>
      <c r="H527" s="45">
        <f>'Data Sheet'!H26*2/('Data Sheet'!H62+'Data Sheet'!G62)</f>
        <v>0.15960478814364432</v>
      </c>
      <c r="I527" s="45">
        <f>'Data Sheet'!I26*2/('Data Sheet'!I62+'Data Sheet'!H62)</f>
        <v>0.11678594664931685</v>
      </c>
      <c r="J527" s="45">
        <f>'Data Sheet'!J26*2/('Data Sheet'!J62+'Data Sheet'!I62)</f>
        <v>0.12918660287081338</v>
      </c>
      <c r="K527" s="45">
        <f>'Data Sheet'!K26*2/('Data Sheet'!K62+'Data Sheet'!J62)</f>
        <v>0.1174468085106383</v>
      </c>
      <c r="L527" s="45"/>
      <c r="M527" s="136">
        <f t="shared" si="194"/>
        <v>0.11641955631564309</v>
      </c>
      <c r="N527" s="32">
        <f t="shared" si="195"/>
        <v>0.16131025725286124</v>
      </c>
      <c r="O527" s="32">
        <f t="shared" si="196"/>
        <v>0.12113978601025617</v>
      </c>
    </row>
    <row r="528" spans="1:15" s="50" customFormat="1" hidden="1">
      <c r="A528" s="58" t="s">
        <v>239</v>
      </c>
      <c r="B528" s="58">
        <f t="shared" ref="B528:K528" si="197">B227</f>
        <v>2.8886774500475738</v>
      </c>
      <c r="C528" s="58">
        <f t="shared" si="197"/>
        <v>3.9362363919129084</v>
      </c>
      <c r="D528" s="58">
        <f t="shared" si="197"/>
        <v>2.8185140073081607</v>
      </c>
      <c r="E528" s="58">
        <f t="shared" si="197"/>
        <v>2.8992370428834517</v>
      </c>
      <c r="F528" s="58">
        <f t="shared" si="197"/>
        <v>3.0366389838788472</v>
      </c>
      <c r="G528" s="58">
        <f t="shared" si="197"/>
        <v>3.4589947089947093</v>
      </c>
      <c r="H528" s="58">
        <f t="shared" si="197"/>
        <v>3.9410982329469886</v>
      </c>
      <c r="I528" s="58">
        <f t="shared" si="197"/>
        <v>3.7869225764476253</v>
      </c>
      <c r="J528" s="58">
        <f t="shared" si="197"/>
        <v>3.908246552209401</v>
      </c>
      <c r="K528" s="58">
        <f t="shared" si="197"/>
        <v>3.4455927051671731</v>
      </c>
      <c r="L528" s="58"/>
      <c r="M528" s="136">
        <f t="shared" si="194"/>
        <v>2.7295244809836356</v>
      </c>
      <c r="N528" s="32">
        <f t="shared" si="195"/>
        <v>4.2540758513499064</v>
      </c>
      <c r="O528" s="32">
        <f t="shared" si="196"/>
        <v>3.7135872779414001</v>
      </c>
    </row>
    <row r="529" spans="1:15" s="32" customFormat="1" hidden="1">
      <c r="A529" s="45" t="s">
        <v>134</v>
      </c>
      <c r="B529" s="45">
        <f t="shared" ref="B529:K529" si="198">B333</f>
        <v>0.11989459815546773</v>
      </c>
      <c r="C529" s="45">
        <f t="shared" si="198"/>
        <v>0.1457921770051363</v>
      </c>
      <c r="D529" s="45">
        <f t="shared" si="198"/>
        <v>0.12770095073465859</v>
      </c>
      <c r="E529" s="45">
        <f t="shared" si="198"/>
        <v>0.10980036297640652</v>
      </c>
      <c r="F529" s="45">
        <f t="shared" si="198"/>
        <v>6.3384813384813388E-2</v>
      </c>
      <c r="G529" s="45">
        <f t="shared" si="198"/>
        <v>7.0108349267049078E-2</v>
      </c>
      <c r="H529" s="45">
        <f t="shared" si="198"/>
        <v>7.6945328319352052E-2</v>
      </c>
      <c r="I529" s="45">
        <f t="shared" si="198"/>
        <v>8.1436302723133763E-2</v>
      </c>
      <c r="J529" s="45">
        <f t="shared" si="198"/>
        <v>5.0770560276537514E-2</v>
      </c>
      <c r="K529" s="45">
        <f t="shared" si="198"/>
        <v>5.8715596330275233E-2</v>
      </c>
      <c r="L529" s="45"/>
      <c r="M529" s="136">
        <f t="shared" si="194"/>
        <v>6.3886226401222601E-2</v>
      </c>
      <c r="N529" s="32">
        <f t="shared" si="195"/>
        <v>8.037247266351405E-2</v>
      </c>
      <c r="O529" s="32">
        <f t="shared" si="196"/>
        <v>6.364081977664883E-2</v>
      </c>
    </row>
    <row r="530" spans="1:15" s="32" customFormat="1" hidden="1">
      <c r="A530" s="45" t="s">
        <v>213</v>
      </c>
      <c r="B530" s="45">
        <f>'Data Sheet'!B31/'Data Sheet'!B30</f>
        <v>0.21428571428571427</v>
      </c>
      <c r="C530" s="45">
        <f>'Data Sheet'!C31/'Data Sheet'!C30</f>
        <v>0.15040650406504066</v>
      </c>
      <c r="D530" s="45">
        <f>'Data Sheet'!D31/'Data Sheet'!D30</f>
        <v>0.19966159052453467</v>
      </c>
      <c r="E530" s="45">
        <f>'Data Sheet'!E31/'Data Sheet'!E30</f>
        <v>0.19669421487603306</v>
      </c>
      <c r="F530" s="45">
        <f>'Data Sheet'!F31/'Data Sheet'!F30</f>
        <v>0.3020304568527919</v>
      </c>
      <c r="G530" s="45">
        <f>'Data Sheet'!G31/'Data Sheet'!G30</f>
        <v>0.26727272727272727</v>
      </c>
      <c r="H530" s="45">
        <f>'Data Sheet'!H31/'Data Sheet'!H30</f>
        <v>0.22556390977443608</v>
      </c>
      <c r="I530" s="45">
        <f>'Data Sheet'!I31/'Data Sheet'!I30</f>
        <v>0.19620253164556961</v>
      </c>
      <c r="J530" s="45">
        <f>'Data Sheet'!J31/'Data Sheet'!J30</f>
        <v>0.36737588652482267</v>
      </c>
      <c r="K530" s="45">
        <f>'Data Sheet'!K31/'Data Sheet'!K30</f>
        <v>0</v>
      </c>
      <c r="L530" s="45"/>
      <c r="M530" s="136">
        <f t="shared" si="194"/>
        <v>0.17548013174709154</v>
      </c>
      <c r="N530" s="32">
        <f t="shared" si="195"/>
        <v>0.24637903739292946</v>
      </c>
      <c r="O530" s="32">
        <f t="shared" si="196"/>
        <v>0.18785947272346407</v>
      </c>
    </row>
    <row r="531" spans="1:15" s="32" customFormat="1" hidden="1">
      <c r="A531" s="45" t="s">
        <v>214</v>
      </c>
      <c r="B531" s="45"/>
      <c r="C531" s="136"/>
      <c r="D531" s="45">
        <f>SUM(B527:D527)/3</f>
        <v>0.15104489724938472</v>
      </c>
      <c r="E531" s="45">
        <f t="shared" ref="E531:K531" si="199">SUM(C527:E527)/3</f>
        <v>0.15839076989060877</v>
      </c>
      <c r="F531" s="45">
        <f t="shared" si="199"/>
        <v>0.15802127773592248</v>
      </c>
      <c r="G531" s="45">
        <f t="shared" si="199"/>
        <v>0.15992762214463527</v>
      </c>
      <c r="H531" s="45">
        <f t="shared" si="199"/>
        <v>0.16296698018497485</v>
      </c>
      <c r="I531" s="45">
        <f t="shared" si="199"/>
        <v>0.1478327728557372</v>
      </c>
      <c r="J531" s="45">
        <f t="shared" si="199"/>
        <v>0.13519244588792487</v>
      </c>
      <c r="K531" s="45">
        <f t="shared" si="199"/>
        <v>0.12113978601025617</v>
      </c>
      <c r="L531" s="45"/>
      <c r="M531" s="136">
        <f t="shared" si="194"/>
        <v>0.1194516551959444</v>
      </c>
      <c r="N531" s="32">
        <f t="shared" si="195"/>
        <v>0.16930225245589453</v>
      </c>
      <c r="O531" s="32">
        <f t="shared" si="196"/>
        <v>0.13472166825130608</v>
      </c>
    </row>
    <row r="532" spans="1:15" s="32" customFormat="1" hidden="1">
      <c r="A532" s="45" t="s">
        <v>215</v>
      </c>
      <c r="B532" s="45"/>
      <c r="C532" s="136"/>
      <c r="D532" s="45">
        <f>SUM(B528:D528)/3</f>
        <v>3.2144759497562148</v>
      </c>
      <c r="E532" s="45">
        <f t="shared" ref="E532:K532" si="200">SUM(C528:E528)/3</f>
        <v>3.2179958140348401</v>
      </c>
      <c r="F532" s="45">
        <f t="shared" si="200"/>
        <v>2.9181300113568196</v>
      </c>
      <c r="G532" s="45">
        <f t="shared" si="200"/>
        <v>3.1316235785856694</v>
      </c>
      <c r="H532" s="45">
        <f t="shared" si="200"/>
        <v>3.4789106419401818</v>
      </c>
      <c r="I532" s="45">
        <f t="shared" si="200"/>
        <v>3.7290051727964411</v>
      </c>
      <c r="J532" s="45">
        <f t="shared" si="200"/>
        <v>3.8787557872013387</v>
      </c>
      <c r="K532" s="45">
        <f t="shared" si="200"/>
        <v>3.7135872779414001</v>
      </c>
      <c r="L532" s="45"/>
      <c r="M532" s="136">
        <f t="shared" si="194"/>
        <v>2.7282484233612907</v>
      </c>
      <c r="N532" s="32">
        <f t="shared" si="195"/>
        <v>4.1320261763652644</v>
      </c>
      <c r="O532" s="32">
        <f t="shared" si="196"/>
        <v>3.7737827459797266</v>
      </c>
    </row>
    <row r="533" spans="1:15" s="32" customFormat="1" hidden="1">
      <c r="A533" s="45" t="s">
        <v>216</v>
      </c>
      <c r="B533" s="45"/>
      <c r="C533" s="136"/>
      <c r="D533" s="45">
        <f>SUM(B529:D529)/3</f>
        <v>0.13112924196508755</v>
      </c>
      <c r="E533" s="45">
        <f t="shared" ref="E533:K533" si="201">SUM(C529:E529)/3</f>
        <v>0.12776449690540048</v>
      </c>
      <c r="F533" s="45">
        <f t="shared" si="201"/>
        <v>0.10029537569862616</v>
      </c>
      <c r="G533" s="45">
        <f t="shared" si="201"/>
        <v>8.1097841876089663E-2</v>
      </c>
      <c r="H533" s="45">
        <f t="shared" si="201"/>
        <v>7.0146163657071506E-2</v>
      </c>
      <c r="I533" s="45">
        <f t="shared" si="201"/>
        <v>7.6163326769844969E-2</v>
      </c>
      <c r="J533" s="45">
        <f t="shared" si="201"/>
        <v>6.9717397106341103E-2</v>
      </c>
      <c r="K533" s="45">
        <f t="shared" si="201"/>
        <v>6.364081977664883E-2</v>
      </c>
      <c r="L533" s="45"/>
      <c r="M533" s="136">
        <f t="shared" si="194"/>
        <v>7.1995466375511019E-2</v>
      </c>
      <c r="N533" s="32">
        <f t="shared" si="195"/>
        <v>8.6552203112301412E-2</v>
      </c>
      <c r="O533" s="32">
        <f t="shared" si="196"/>
        <v>6.9840514550944963E-2</v>
      </c>
    </row>
    <row r="534" spans="1:15" s="32" customFormat="1" hidden="1">
      <c r="A534" s="45" t="s">
        <v>217</v>
      </c>
      <c r="B534" s="45"/>
      <c r="C534" s="136"/>
      <c r="D534" s="45">
        <f>SUM(B530:D530)/3</f>
        <v>0.18811793629176321</v>
      </c>
      <c r="E534" s="45">
        <f t="shared" ref="E534:K534" si="202">SUM(C530:E530)/3</f>
        <v>0.18225410315520282</v>
      </c>
      <c r="F534" s="45">
        <f t="shared" si="202"/>
        <v>0.23279542075111989</v>
      </c>
      <c r="G534" s="45">
        <f t="shared" si="202"/>
        <v>0.25533246633385076</v>
      </c>
      <c r="H534" s="45">
        <f t="shared" si="202"/>
        <v>0.26495569796665175</v>
      </c>
      <c r="I534" s="45">
        <f t="shared" si="202"/>
        <v>0.22967972289757765</v>
      </c>
      <c r="J534" s="45">
        <f t="shared" si="202"/>
        <v>0.26304744264827612</v>
      </c>
      <c r="K534" s="45">
        <f t="shared" si="202"/>
        <v>0.18785947272346407</v>
      </c>
      <c r="L534" s="45"/>
      <c r="M534" s="136">
        <f t="shared" si="194"/>
        <v>0.18040422627679062</v>
      </c>
      <c r="N534" s="32">
        <f t="shared" si="195"/>
        <v>0.27625580576932218</v>
      </c>
      <c r="O534" s="32">
        <f t="shared" si="196"/>
        <v>0.22686221275643928</v>
      </c>
    </row>
    <row r="535" spans="1:15" s="18" customFormat="1" hidden="1">
      <c r="A535" s="46"/>
      <c r="B535" s="46"/>
      <c r="C535" s="69"/>
      <c r="D535" s="46"/>
      <c r="E535" s="46"/>
      <c r="F535" s="46"/>
      <c r="G535" s="46"/>
      <c r="H535" s="46"/>
      <c r="I535" s="46"/>
      <c r="J535" s="46"/>
      <c r="K535" s="46"/>
      <c r="L535" s="46"/>
      <c r="M535" s="136">
        <f t="shared" si="194"/>
        <v>0</v>
      </c>
      <c r="N535" s="32">
        <f t="shared" si="195"/>
        <v>0</v>
      </c>
      <c r="O535" s="32">
        <f t="shared" si="196"/>
        <v>0</v>
      </c>
    </row>
    <row r="536" spans="1:15" s="32" customFormat="1">
      <c r="A536" s="140" t="s">
        <v>200</v>
      </c>
      <c r="B536" s="45"/>
      <c r="C536" s="136"/>
      <c r="D536" s="45">
        <f>((1-D527)+D528*D529*(1-D530))-1</f>
        <v>0.12667478684531064</v>
      </c>
      <c r="E536" s="45">
        <f t="shared" ref="E536:K536" si="203">((1-E527)+E528*E529*(1-E530))-1</f>
        <v>0.10523546435148656</v>
      </c>
      <c r="F536" s="45">
        <f t="shared" si="203"/>
        <v>-2.7845627747923762E-2</v>
      </c>
      <c r="G536" s="45">
        <f t="shared" si="203"/>
        <v>1.0582010582010692E-2</v>
      </c>
      <c r="H536" s="45">
        <f t="shared" si="203"/>
        <v>7.5242257267718049E-2</v>
      </c>
      <c r="I536" s="45">
        <f t="shared" si="203"/>
        <v>0.13109954456733908</v>
      </c>
      <c r="J536" s="45">
        <f t="shared" si="203"/>
        <v>-3.6588798198705641E-3</v>
      </c>
      <c r="K536" s="45">
        <f t="shared" si="203"/>
        <v>8.4863221884498463E-2</v>
      </c>
      <c r="L536" s="45"/>
      <c r="M536" s="136">
        <f t="shared" si="194"/>
        <v>5.0219277793056918E-2</v>
      </c>
      <c r="N536" s="32">
        <f t="shared" si="195"/>
        <v>6.9669486454950524E-2</v>
      </c>
      <c r="O536" s="32">
        <f t="shared" si="196"/>
        <v>7.0767962210655663E-2</v>
      </c>
    </row>
    <row r="537" spans="1:15" s="18" customFormat="1">
      <c r="A537" s="46" t="s">
        <v>218</v>
      </c>
      <c r="B537" s="46"/>
      <c r="C537" s="69"/>
      <c r="D537" s="45">
        <f>((1-D531)+D532*D533*(1-D534))-1</f>
        <v>0.19117296843313314</v>
      </c>
      <c r="E537" s="45">
        <f t="shared" ref="E537:K537" si="204">((1-E531)+E532*E533*(1-E534))-1</f>
        <v>0.17782187078216705</v>
      </c>
      <c r="F537" s="45">
        <f t="shared" si="204"/>
        <v>6.6520280933562104E-2</v>
      </c>
      <c r="G537" s="45">
        <f t="shared" si="204"/>
        <v>2.9194037848873755E-2</v>
      </c>
      <c r="H537" s="45">
        <f t="shared" si="204"/>
        <v>1.6407523839078397E-2</v>
      </c>
      <c r="I537" s="45">
        <f t="shared" si="204"/>
        <v>7.0948538562361385E-2</v>
      </c>
      <c r="J537" s="45">
        <f t="shared" si="204"/>
        <v>6.4091875098654327E-2</v>
      </c>
      <c r="K537" s="45">
        <f t="shared" si="204"/>
        <v>7.0798045415872091E-2</v>
      </c>
      <c r="L537" s="45"/>
      <c r="M537" s="136">
        <f t="shared" si="194"/>
        <v>6.869551409137023E-2</v>
      </c>
      <c r="N537" s="32">
        <f t="shared" si="195"/>
        <v>6.4027106971242032E-2</v>
      </c>
      <c r="O537" s="32">
        <f t="shared" si="196"/>
        <v>6.8612819692295934E-2</v>
      </c>
    </row>
    <row r="538" spans="1:15" s="32" customFormat="1">
      <c r="A538" s="46" t="s">
        <v>236</v>
      </c>
      <c r="B538" s="45"/>
      <c r="C538" s="136"/>
      <c r="D538" s="45"/>
      <c r="E538" s="45"/>
      <c r="F538" s="45">
        <f>SUM(D536:F536)/3</f>
        <v>6.8021541149624484E-2</v>
      </c>
      <c r="G538" s="45">
        <f t="shared" ref="G538:K538" si="205">SUM(E536:G536)/3</f>
        <v>2.932394906185783E-2</v>
      </c>
      <c r="H538" s="45">
        <f t="shared" si="205"/>
        <v>1.9326213367268325E-2</v>
      </c>
      <c r="I538" s="45">
        <f t="shared" si="205"/>
        <v>7.2307937472355935E-2</v>
      </c>
      <c r="J538" s="45">
        <f t="shared" si="205"/>
        <v>6.7560974005062183E-2</v>
      </c>
      <c r="K538" s="45">
        <f t="shared" si="205"/>
        <v>7.0767962210655663E-2</v>
      </c>
      <c r="L538" s="45"/>
      <c r="M538" s="136">
        <f t="shared" si="194"/>
        <v>3.2730857726682445E-2</v>
      </c>
      <c r="N538" s="32">
        <f t="shared" si="195"/>
        <v>5.8403578768776478E-2</v>
      </c>
      <c r="O538" s="32">
        <f t="shared" si="196"/>
        <v>7.0212291229357918E-2</v>
      </c>
    </row>
    <row r="539" spans="1:15" s="18" customFormat="1" ht="18.75" hidden="1">
      <c r="A539" s="177" t="s">
        <v>319</v>
      </c>
      <c r="C539" s="112"/>
      <c r="M539" s="136">
        <f t="shared" si="194"/>
        <v>0</v>
      </c>
      <c r="N539" s="32">
        <f t="shared" si="195"/>
        <v>0</v>
      </c>
      <c r="O539" s="32">
        <f t="shared" si="196"/>
        <v>0</v>
      </c>
    </row>
    <row r="540" spans="1:15" s="18" customFormat="1" hidden="1">
      <c r="A540" s="155" t="s">
        <v>197</v>
      </c>
      <c r="C540" s="178">
        <f>(C397-B397)/B397</f>
        <v>0.66732542819499341</v>
      </c>
      <c r="D540" s="178">
        <f t="shared" ref="D540:K540" si="206">(D397-C397)/C397</f>
        <v>-8.5736862900039443E-2</v>
      </c>
      <c r="E540" s="178">
        <f t="shared" si="206"/>
        <v>0.19057908383751079</v>
      </c>
      <c r="F540" s="178">
        <f t="shared" si="206"/>
        <v>0.12813067150635199</v>
      </c>
      <c r="G540" s="178">
        <f t="shared" si="206"/>
        <v>0.26206563706563718</v>
      </c>
      <c r="H540" s="178">
        <f t="shared" si="206"/>
        <v>0.32198852772466524</v>
      </c>
      <c r="I540" s="178">
        <f t="shared" si="206"/>
        <v>0.12245685083405654</v>
      </c>
      <c r="J540" s="178">
        <f t="shared" si="206"/>
        <v>0.19285284769349728</v>
      </c>
      <c r="K540" s="178">
        <f t="shared" si="206"/>
        <v>2.0452254068846137E-2</v>
      </c>
      <c r="L540" s="178"/>
      <c r="M540" s="136">
        <f t="shared" si="194"/>
        <v>0.11527890098305257</v>
      </c>
      <c r="N540" s="32">
        <f t="shared" si="195"/>
        <v>0.20701900367395099</v>
      </c>
      <c r="O540" s="32">
        <f t="shared" si="196"/>
        <v>0.11192065086546665</v>
      </c>
    </row>
    <row r="541" spans="1:15" s="18" customFormat="1" hidden="1">
      <c r="A541" s="155" t="s">
        <v>315</v>
      </c>
      <c r="C541" s="178">
        <f>C32</f>
        <v>-0.14708368554522402</v>
      </c>
      <c r="D541" s="178">
        <f t="shared" ref="D541:K541" si="207">D32</f>
        <v>7.532210109018829E-2</v>
      </c>
      <c r="E541" s="178">
        <f t="shared" si="207"/>
        <v>0.49585253456221207</v>
      </c>
      <c r="F541" s="178">
        <f t="shared" si="207"/>
        <v>-8.441158348736913E-2</v>
      </c>
      <c r="G541" s="178">
        <f t="shared" si="207"/>
        <v>0.34993270524899056</v>
      </c>
      <c r="H541" s="178">
        <f t="shared" si="207"/>
        <v>0.21585244267198414</v>
      </c>
      <c r="I541" s="178">
        <f t="shared" si="207"/>
        <v>0.12997129971299706</v>
      </c>
      <c r="J541" s="178">
        <f t="shared" si="207"/>
        <v>0.24419448476052252</v>
      </c>
      <c r="K541" s="178">
        <f t="shared" si="207"/>
        <v>3.5287255759696733E-2</v>
      </c>
      <c r="L541" s="178"/>
      <c r="M541" s="136">
        <f t="shared" si="194"/>
        <v>0.14620012403192226</v>
      </c>
      <c r="N541" s="32">
        <f t="shared" si="195"/>
        <v>0.22428766243722262</v>
      </c>
      <c r="O541" s="32">
        <f t="shared" si="196"/>
        <v>0.13648434674440543</v>
      </c>
    </row>
    <row r="542" spans="1:15" s="18" customFormat="1" hidden="1">
      <c r="A542" s="155" t="s">
        <v>316</v>
      </c>
      <c r="C542" s="178">
        <f>C33</f>
        <v>0.64671814671814665</v>
      </c>
      <c r="D542" s="178">
        <f t="shared" ref="D542:K542" si="208">D33</f>
        <v>0.13716295427901523</v>
      </c>
      <c r="E542" s="178">
        <f t="shared" si="208"/>
        <v>1.1340206185567135E-2</v>
      </c>
      <c r="F542" s="178">
        <f t="shared" si="208"/>
        <v>6.5239551478083468E-2</v>
      </c>
      <c r="G542" s="178">
        <f t="shared" si="208"/>
        <v>0.55693779904306229</v>
      </c>
      <c r="H542" s="178">
        <f t="shared" si="208"/>
        <v>0.30854333128457284</v>
      </c>
      <c r="I542" s="178">
        <f t="shared" si="208"/>
        <v>9.4880225457961473E-2</v>
      </c>
      <c r="J542" s="178">
        <f t="shared" si="208"/>
        <v>4.4616044616044737E-2</v>
      </c>
      <c r="K542" s="178">
        <f t="shared" si="208"/>
        <v>0.16673511293634491</v>
      </c>
      <c r="L542" s="178"/>
      <c r="M542" s="136">
        <f t="shared" si="194"/>
        <v>0.13854552252806518</v>
      </c>
      <c r="N542" s="32">
        <f t="shared" si="195"/>
        <v>0.2620516071732103</v>
      </c>
      <c r="O542" s="32">
        <f t="shared" si="196"/>
        <v>0.10207712767011705</v>
      </c>
    </row>
    <row r="543" spans="1:15" s="18" customFormat="1" hidden="1">
      <c r="A543" s="155" t="s">
        <v>198</v>
      </c>
      <c r="C543" s="178">
        <f t="shared" ref="C543:K548" si="209">(C398-B398)/B398</f>
        <v>1.1223709369024861</v>
      </c>
      <c r="D543" s="178">
        <f t="shared" si="209"/>
        <v>-0.26846846846846845</v>
      </c>
      <c r="E543" s="178">
        <f t="shared" si="209"/>
        <v>8.1280788177339913E-2</v>
      </c>
      <c r="F543" s="178">
        <f t="shared" si="209"/>
        <v>-0.22209567198177685</v>
      </c>
      <c r="G543" s="178">
        <f t="shared" si="209"/>
        <v>0.40849194729136151</v>
      </c>
      <c r="H543" s="178">
        <f t="shared" si="209"/>
        <v>0.44802494802494813</v>
      </c>
      <c r="I543" s="178">
        <f t="shared" si="209"/>
        <v>0.2591529073941134</v>
      </c>
      <c r="J543" s="178">
        <f t="shared" si="209"/>
        <v>-0.16248574686431003</v>
      </c>
      <c r="K543" s="178">
        <f t="shared" si="209"/>
        <v>0.11027910142954372</v>
      </c>
      <c r="L543" s="178"/>
      <c r="M543" s="136">
        <f t="shared" si="194"/>
        <v>6.5417980500275141E-2</v>
      </c>
      <c r="N543" s="32">
        <f t="shared" si="195"/>
        <v>0.22577622755518637</v>
      </c>
      <c r="O543" s="32">
        <f t="shared" si="196"/>
        <v>6.8982087319782365E-2</v>
      </c>
    </row>
    <row r="544" spans="1:15" s="18" customFormat="1" hidden="1">
      <c r="A544" s="155" t="s">
        <v>314</v>
      </c>
      <c r="C544" s="178">
        <f t="shared" si="209"/>
        <v>1.0060790273556233</v>
      </c>
      <c r="D544" s="178">
        <f t="shared" si="209"/>
        <v>-0.18409090909090906</v>
      </c>
      <c r="E544" s="178">
        <f t="shared" si="209"/>
        <v>8.0779944289693512E-2</v>
      </c>
      <c r="F544" s="178">
        <f t="shared" si="209"/>
        <v>-0.12800687285223369</v>
      </c>
      <c r="G544" s="178">
        <f t="shared" si="209"/>
        <v>0.32118226600985217</v>
      </c>
      <c r="H544" s="178">
        <f t="shared" si="209"/>
        <v>0.35197613721103643</v>
      </c>
      <c r="I544" s="178">
        <f t="shared" si="209"/>
        <v>0.16547159404302261</v>
      </c>
      <c r="J544" s="178">
        <f t="shared" si="209"/>
        <v>-8.7553241836251683E-2</v>
      </c>
      <c r="K544" s="178">
        <f t="shared" si="209"/>
        <v>9.6473029045643116E-2</v>
      </c>
      <c r="L544" s="178"/>
      <c r="M544" s="136">
        <f t="shared" si="194"/>
        <v>6.1623194681985335E-2</v>
      </c>
      <c r="N544" s="32">
        <f t="shared" si="195"/>
        <v>0.1818345958310576</v>
      </c>
      <c r="O544" s="32">
        <f t="shared" si="196"/>
        <v>5.8130460417471351E-2</v>
      </c>
    </row>
    <row r="545" spans="1:15" s="18" customFormat="1" hidden="1">
      <c r="A545" s="155" t="s">
        <v>207</v>
      </c>
      <c r="C545" s="178">
        <f t="shared" si="209"/>
        <v>1.1419407562930246</v>
      </c>
      <c r="D545" s="178">
        <f t="shared" si="209"/>
        <v>-0.29670276772141913</v>
      </c>
      <c r="E545" s="178">
        <f t="shared" si="209"/>
        <v>9.5181711299504521E-2</v>
      </c>
      <c r="F545" s="178">
        <f t="shared" si="209"/>
        <v>-0.27873591146964249</v>
      </c>
      <c r="G545" s="178">
        <f t="shared" si="209"/>
        <v>0.45876424764229773</v>
      </c>
      <c r="H545" s="178">
        <f t="shared" si="209"/>
        <v>0.42932421937928711</v>
      </c>
      <c r="I545" s="178">
        <f t="shared" si="209"/>
        <v>0.19485136334811931</v>
      </c>
      <c r="J545" s="178">
        <f t="shared" si="209"/>
        <v>-0.25939408457577801</v>
      </c>
      <c r="K545" s="178">
        <f t="shared" si="209"/>
        <v>9.9421000024378578E-2</v>
      </c>
      <c r="L545" s="178"/>
      <c r="M545" s="136">
        <f t="shared" si="194"/>
        <v>4.4270977792674762E-2</v>
      </c>
      <c r="N545" s="32">
        <f t="shared" si="195"/>
        <v>0.19344754472219589</v>
      </c>
      <c r="O545" s="32">
        <f t="shared" si="196"/>
        <v>1.1626092932239962E-2</v>
      </c>
    </row>
    <row r="546" spans="1:15" s="18" customFormat="1" hidden="1">
      <c r="A546" s="155" t="s">
        <v>311</v>
      </c>
      <c r="C546" s="178">
        <f t="shared" si="209"/>
        <v>0.6242603550295861</v>
      </c>
      <c r="D546" s="178">
        <f t="shared" ref="D546:K548" si="210">(D401-C401)/C401</f>
        <v>-1.2942490633153008E-16</v>
      </c>
      <c r="E546" s="178">
        <f t="shared" si="210"/>
        <v>9.5081967213114862E-2</v>
      </c>
      <c r="F546" s="178">
        <f t="shared" si="210"/>
        <v>0.28908848968729201</v>
      </c>
      <c r="G546" s="178">
        <f t="shared" si="210"/>
        <v>0.4012903225806449</v>
      </c>
      <c r="H546" s="178">
        <f t="shared" si="210"/>
        <v>0.37495395948434668</v>
      </c>
      <c r="I546" s="178">
        <f t="shared" si="210"/>
        <v>-9.5901419769622423E-2</v>
      </c>
      <c r="J546" s="178">
        <f t="shared" si="210"/>
        <v>0.20740740740740721</v>
      </c>
      <c r="K546" s="178">
        <f t="shared" si="210"/>
        <v>2.0122699386503077E-2</v>
      </c>
      <c r="L546" s="178"/>
      <c r="M546" s="136">
        <f t="shared" si="194"/>
        <v>0.12920434259896862</v>
      </c>
      <c r="N546" s="32">
        <f t="shared" si="195"/>
        <v>0.20741546233764963</v>
      </c>
      <c r="O546" s="32">
        <f t="shared" si="196"/>
        <v>4.3876229008095957E-2</v>
      </c>
    </row>
    <row r="547" spans="1:15" s="18" customFormat="1" hidden="1">
      <c r="A547" s="155" t="s">
        <v>312</v>
      </c>
      <c r="C547" s="178">
        <f t="shared" si="209"/>
        <v>0.51496478873239415</v>
      </c>
      <c r="D547" s="178">
        <f t="shared" si="210"/>
        <v>4.6484601975596666E-3</v>
      </c>
      <c r="E547" s="178">
        <f t="shared" si="210"/>
        <v>0.18102949681897065</v>
      </c>
      <c r="F547" s="178">
        <f t="shared" si="210"/>
        <v>0.1067580803134182</v>
      </c>
      <c r="G547" s="178">
        <f t="shared" si="210"/>
        <v>9.2035398230088411E-2</v>
      </c>
      <c r="H547" s="178">
        <f t="shared" si="210"/>
        <v>0.31604538087520279</v>
      </c>
      <c r="I547" s="178">
        <f t="shared" si="210"/>
        <v>0.26878078817733975</v>
      </c>
      <c r="J547" s="178">
        <f t="shared" si="210"/>
        <v>0.39917495753457904</v>
      </c>
      <c r="K547" s="178">
        <f t="shared" si="210"/>
        <v>2.75754422476585E-2</v>
      </c>
      <c r="L547" s="178"/>
      <c r="M547" s="136">
        <f t="shared" si="194"/>
        <v>0.1396048004394817</v>
      </c>
      <c r="N547" s="32">
        <f t="shared" si="195"/>
        <v>0.24864335350087</v>
      </c>
      <c r="O547" s="32">
        <f t="shared" si="196"/>
        <v>0.23184372931985908</v>
      </c>
    </row>
    <row r="548" spans="1:15" s="18" customFormat="1" hidden="1">
      <c r="A548" s="155" t="s">
        <v>313</v>
      </c>
      <c r="C548" s="178">
        <f t="shared" si="209"/>
        <v>1.0274725274725274</v>
      </c>
      <c r="D548" s="178">
        <f t="shared" si="210"/>
        <v>-0.19918699186991867</v>
      </c>
      <c r="E548" s="178">
        <f t="shared" si="210"/>
        <v>2.3688663282571857E-2</v>
      </c>
      <c r="F548" s="178">
        <f t="shared" si="210"/>
        <v>-0.34876033057851241</v>
      </c>
      <c r="G548" s="178">
        <f t="shared" si="210"/>
        <v>0.39593908629441626</v>
      </c>
      <c r="H548" s="178">
        <f t="shared" si="210"/>
        <v>0.45090909090909098</v>
      </c>
      <c r="I548" s="178">
        <f t="shared" si="210"/>
        <v>0.18796992481203006</v>
      </c>
      <c r="J548" s="178">
        <f t="shared" si="210"/>
        <v>-0.25632911392405067</v>
      </c>
      <c r="K548" s="178">
        <f t="shared" si="210"/>
        <v>0.18014184397163127</v>
      </c>
      <c r="L548" s="178"/>
      <c r="M548" s="136">
        <f t="shared" si="194"/>
        <v>4.3437217289725862E-2</v>
      </c>
      <c r="N548" s="32">
        <f t="shared" si="195"/>
        <v>0.20041360987056875</v>
      </c>
      <c r="O548" s="32">
        <f t="shared" si="196"/>
        <v>3.7260884953203559E-2</v>
      </c>
    </row>
    <row r="549" spans="1:15" s="18" customFormat="1" hidden="1">
      <c r="A549" s="155"/>
      <c r="C549" s="112"/>
      <c r="M549" s="136">
        <f t="shared" si="194"/>
        <v>0</v>
      </c>
      <c r="N549" s="32">
        <f t="shared" si="195"/>
        <v>0</v>
      </c>
      <c r="O549" s="32">
        <f t="shared" si="196"/>
        <v>0</v>
      </c>
    </row>
    <row r="550" spans="1:15" s="18" customFormat="1" hidden="1">
      <c r="A550" s="155" t="s">
        <v>374</v>
      </c>
      <c r="C550" s="179">
        <f>SUM('Data Sheet'!B30:K30)</f>
        <v>65.25</v>
      </c>
      <c r="M550" s="136">
        <f t="shared" si="194"/>
        <v>0</v>
      </c>
      <c r="N550" s="32">
        <f t="shared" si="195"/>
        <v>0</v>
      </c>
      <c r="O550" s="32">
        <f t="shared" si="196"/>
        <v>0</v>
      </c>
    </row>
    <row r="551" spans="1:15" s="18" customFormat="1" hidden="1">
      <c r="A551" s="155" t="s">
        <v>376</v>
      </c>
      <c r="C551" s="179">
        <f>SUM('Data Sheet'!B82:K82)</f>
        <v>56.83</v>
      </c>
      <c r="M551" s="136">
        <f t="shared" si="194"/>
        <v>0</v>
      </c>
      <c r="N551" s="32">
        <f t="shared" si="195"/>
        <v>0</v>
      </c>
      <c r="O551" s="32">
        <f t="shared" si="196"/>
        <v>0</v>
      </c>
    </row>
    <row r="552" spans="1:15" s="18" customFormat="1" hidden="1">
      <c r="A552" s="155" t="s">
        <v>377</v>
      </c>
      <c r="C552" s="179">
        <f>SUM('Data Sheet'!B85:K85)</f>
        <v>18.8</v>
      </c>
      <c r="M552" s="136">
        <f t="shared" si="194"/>
        <v>0</v>
      </c>
      <c r="N552" s="32">
        <f t="shared" si="195"/>
        <v>0</v>
      </c>
      <c r="O552" s="32">
        <f t="shared" si="196"/>
        <v>0</v>
      </c>
    </row>
    <row r="553" spans="1:15" s="18" customFormat="1" hidden="1">
      <c r="A553" s="155" t="s">
        <v>378</v>
      </c>
      <c r="C553" s="179">
        <f>SUM(B315:K315)</f>
        <v>67.69</v>
      </c>
      <c r="M553" s="136">
        <f t="shared" si="194"/>
        <v>0</v>
      </c>
      <c r="N553" s="32">
        <f t="shared" si="195"/>
        <v>0</v>
      </c>
      <c r="O553" s="32">
        <f t="shared" si="196"/>
        <v>0</v>
      </c>
    </row>
    <row r="554" spans="1:15" s="18" customFormat="1" hidden="1">
      <c r="A554" s="155" t="s">
        <v>379</v>
      </c>
      <c r="C554" s="180">
        <f>SUM('Data Sheet'!B31:K31)</f>
        <v>13.169999999999998</v>
      </c>
      <c r="M554" s="136">
        <f t="shared" si="194"/>
        <v>0</v>
      </c>
      <c r="N554" s="32">
        <f t="shared" si="195"/>
        <v>0</v>
      </c>
      <c r="O554" s="32">
        <f t="shared" si="196"/>
        <v>0</v>
      </c>
    </row>
    <row r="555" spans="1:15" s="18" customFormat="1" hidden="1">
      <c r="A555" s="155" t="s">
        <v>380</v>
      </c>
      <c r="C555" s="179">
        <f>SUM(B553:C554)</f>
        <v>80.86</v>
      </c>
      <c r="M555" s="136">
        <f t="shared" si="194"/>
        <v>0</v>
      </c>
      <c r="N555" s="32">
        <f t="shared" si="195"/>
        <v>0</v>
      </c>
      <c r="O555" s="32">
        <f t="shared" si="196"/>
        <v>0</v>
      </c>
    </row>
    <row r="556" spans="1:15" s="18" customFormat="1" hidden="1">
      <c r="A556" s="155" t="s">
        <v>382</v>
      </c>
      <c r="C556" s="179">
        <f>C570</f>
        <v>33.349999999999994</v>
      </c>
      <c r="M556" s="136">
        <f t="shared" si="194"/>
        <v>0</v>
      </c>
      <c r="N556" s="32">
        <f t="shared" si="195"/>
        <v>0</v>
      </c>
      <c r="O556" s="32">
        <f t="shared" si="196"/>
        <v>0</v>
      </c>
    </row>
    <row r="557" spans="1:15" s="18" customFormat="1" hidden="1">
      <c r="A557" s="155"/>
      <c r="C557" s="179"/>
      <c r="M557" s="136">
        <f t="shared" si="194"/>
        <v>0</v>
      </c>
      <c r="N557" s="32">
        <f t="shared" si="195"/>
        <v>0</v>
      </c>
      <c r="O557" s="32">
        <f t="shared" si="196"/>
        <v>0</v>
      </c>
    </row>
    <row r="558" spans="1:15" s="18" customFormat="1" hidden="1">
      <c r="A558" s="155" t="s">
        <v>376</v>
      </c>
      <c r="C558" s="179">
        <f>C551</f>
        <v>56.83</v>
      </c>
      <c r="M558" s="136">
        <f t="shared" si="194"/>
        <v>0</v>
      </c>
      <c r="N558" s="32">
        <f t="shared" si="195"/>
        <v>0</v>
      </c>
      <c r="O558" s="32">
        <f t="shared" si="196"/>
        <v>0</v>
      </c>
    </row>
    <row r="559" spans="1:15" s="18" customFormat="1" hidden="1">
      <c r="A559" s="155" t="s">
        <v>380</v>
      </c>
      <c r="C559" s="179">
        <f>C555</f>
        <v>80.86</v>
      </c>
      <c r="M559" s="136">
        <f t="shared" si="194"/>
        <v>0</v>
      </c>
      <c r="N559" s="32">
        <f t="shared" si="195"/>
        <v>0</v>
      </c>
      <c r="O559" s="32">
        <f t="shared" si="196"/>
        <v>0</v>
      </c>
    </row>
    <row r="560" spans="1:15" s="18" customFormat="1" hidden="1">
      <c r="A560" s="155" t="s">
        <v>403</v>
      </c>
      <c r="C560" s="179">
        <f>C558-C559</f>
        <v>-24.03</v>
      </c>
      <c r="M560" s="136">
        <f t="shared" si="194"/>
        <v>0</v>
      </c>
      <c r="N560" s="32">
        <f t="shared" si="195"/>
        <v>0</v>
      </c>
      <c r="O560" s="32">
        <f t="shared" si="196"/>
        <v>0</v>
      </c>
    </row>
    <row r="561" spans="1:15" s="18" customFormat="1" hidden="1">
      <c r="A561" s="155" t="s">
        <v>382</v>
      </c>
      <c r="C561" s="179">
        <f>C556</f>
        <v>33.349999999999994</v>
      </c>
      <c r="M561" s="136">
        <f t="shared" si="194"/>
        <v>0</v>
      </c>
      <c r="N561" s="32">
        <f t="shared" si="195"/>
        <v>0</v>
      </c>
      <c r="O561" s="32">
        <f t="shared" si="196"/>
        <v>0</v>
      </c>
    </row>
    <row r="562" spans="1:15" s="18" customFormat="1" hidden="1">
      <c r="A562" s="155" t="s">
        <v>404</v>
      </c>
      <c r="C562" s="179">
        <f>C560-C561</f>
        <v>-57.379999999999995</v>
      </c>
      <c r="M562" s="136">
        <f t="shared" si="194"/>
        <v>0</v>
      </c>
      <c r="N562" s="32">
        <f t="shared" si="195"/>
        <v>0</v>
      </c>
      <c r="O562" s="32">
        <f t="shared" si="196"/>
        <v>0</v>
      </c>
    </row>
    <row r="563" spans="1:15" s="18" customFormat="1" hidden="1">
      <c r="A563" s="155"/>
      <c r="C563" s="179"/>
      <c r="M563" s="136">
        <f t="shared" si="194"/>
        <v>0</v>
      </c>
      <c r="N563" s="32">
        <f t="shared" si="195"/>
        <v>0</v>
      </c>
      <c r="O563" s="32">
        <f t="shared" si="196"/>
        <v>0</v>
      </c>
    </row>
    <row r="564" spans="1:15" s="18" customFormat="1" hidden="1">
      <c r="A564" s="155" t="s">
        <v>405</v>
      </c>
      <c r="C564" s="179"/>
      <c r="M564" s="136">
        <f t="shared" si="194"/>
        <v>0</v>
      </c>
      <c r="N564" s="32">
        <f t="shared" si="195"/>
        <v>0</v>
      </c>
      <c r="O564" s="32">
        <f t="shared" si="196"/>
        <v>0</v>
      </c>
    </row>
    <row r="565" spans="1:15" s="18" customFormat="1" hidden="1">
      <c r="A565" s="155" t="s">
        <v>406</v>
      </c>
      <c r="C565" s="179">
        <f>('Data Sheet'!K57)-('Data Sheet'!B57)</f>
        <v>2.4900000000000002</v>
      </c>
      <c r="M565" s="136">
        <f t="shared" si="194"/>
        <v>0</v>
      </c>
      <c r="N565" s="32">
        <f t="shared" si="195"/>
        <v>0</v>
      </c>
      <c r="O565" s="32">
        <f t="shared" si="196"/>
        <v>0</v>
      </c>
    </row>
    <row r="566" spans="1:15" s="18" customFormat="1" hidden="1">
      <c r="A566" s="155" t="s">
        <v>407</v>
      </c>
      <c r="C566" s="179">
        <f>'Data Sheet'!K59-'Data Sheet'!B59</f>
        <v>48.44</v>
      </c>
      <c r="M566" s="136">
        <f t="shared" si="194"/>
        <v>0</v>
      </c>
      <c r="N566" s="32">
        <f t="shared" si="195"/>
        <v>0</v>
      </c>
      <c r="O566" s="32">
        <f t="shared" si="196"/>
        <v>0</v>
      </c>
    </row>
    <row r="567" spans="1:15" s="18" customFormat="1" hidden="1">
      <c r="A567" s="155"/>
      <c r="C567" s="179">
        <f>SUM(C565:C566)</f>
        <v>50.93</v>
      </c>
      <c r="M567" s="136">
        <f t="shared" si="194"/>
        <v>0</v>
      </c>
      <c r="N567" s="32">
        <f t="shared" si="195"/>
        <v>0</v>
      </c>
      <c r="O567" s="32">
        <f t="shared" si="196"/>
        <v>0</v>
      </c>
    </row>
    <row r="568" spans="1:15" s="18" customFormat="1" hidden="1">
      <c r="A568" s="155"/>
      <c r="C568" s="179"/>
      <c r="M568" s="136">
        <f t="shared" si="194"/>
        <v>0</v>
      </c>
      <c r="N568" s="32">
        <f t="shared" si="195"/>
        <v>0</v>
      </c>
      <c r="O568" s="32">
        <f t="shared" si="196"/>
        <v>0</v>
      </c>
    </row>
    <row r="569" spans="1:15" s="18" customFormat="1" hidden="1">
      <c r="A569" s="155" t="s">
        <v>381</v>
      </c>
      <c r="C569" s="179">
        <f>SUM('Data Sheet'!B26:K26)</f>
        <v>33.28</v>
      </c>
      <c r="M569" s="136">
        <f t="shared" si="194"/>
        <v>0</v>
      </c>
      <c r="N569" s="32">
        <f t="shared" si="195"/>
        <v>0</v>
      </c>
      <c r="O569" s="32">
        <f t="shared" si="196"/>
        <v>0</v>
      </c>
    </row>
    <row r="570" spans="1:15" s="18" customFormat="1" hidden="1">
      <c r="A570" s="155" t="s">
        <v>382</v>
      </c>
      <c r="C570" s="179">
        <f>SUM('Data Sheet'!B27:K27)</f>
        <v>33.349999999999994</v>
      </c>
      <c r="M570" s="136">
        <f t="shared" si="194"/>
        <v>0</v>
      </c>
      <c r="N570" s="32">
        <f t="shared" si="195"/>
        <v>0</v>
      </c>
      <c r="O570" s="32">
        <f t="shared" si="196"/>
        <v>0</v>
      </c>
    </row>
    <row r="571" spans="1:15" s="18" customFormat="1" hidden="1">
      <c r="A571" s="155"/>
      <c r="C571" s="179">
        <f>SUM(C569:C570)</f>
        <v>66.63</v>
      </c>
      <c r="M571" s="136">
        <f t="shared" si="194"/>
        <v>0</v>
      </c>
      <c r="N571" s="32">
        <f t="shared" si="195"/>
        <v>0</v>
      </c>
      <c r="O571" s="32">
        <f t="shared" si="196"/>
        <v>0</v>
      </c>
    </row>
    <row r="572" spans="1:15" s="18" customFormat="1" hidden="1">
      <c r="A572" s="155"/>
      <c r="C572" s="179"/>
      <c r="M572" s="136">
        <f t="shared" si="194"/>
        <v>0</v>
      </c>
      <c r="N572" s="32">
        <f t="shared" si="195"/>
        <v>0</v>
      </c>
      <c r="O572" s="32">
        <f t="shared" si="196"/>
        <v>0</v>
      </c>
    </row>
    <row r="573" spans="1:15" s="18" customFormat="1" hidden="1">
      <c r="A573" s="155" t="s">
        <v>397</v>
      </c>
      <c r="C573" s="179">
        <f>'Data Sheet'!K67-'Data Sheet'!B67</f>
        <v>23.67</v>
      </c>
      <c r="M573" s="136">
        <f t="shared" si="194"/>
        <v>0</v>
      </c>
      <c r="N573" s="32">
        <f t="shared" si="195"/>
        <v>0</v>
      </c>
      <c r="O573" s="32">
        <f t="shared" si="196"/>
        <v>0</v>
      </c>
    </row>
    <row r="574" spans="1:15" s="18" customFormat="1" hidden="1">
      <c r="A574" s="155" t="s">
        <v>398</v>
      </c>
      <c r="C574" s="179">
        <f>'Data Sheet'!K68-'Data Sheet'!B68</f>
        <v>23.23</v>
      </c>
      <c r="M574" s="136">
        <f t="shared" si="194"/>
        <v>0</v>
      </c>
      <c r="N574" s="32">
        <f t="shared" si="195"/>
        <v>0</v>
      </c>
      <c r="O574" s="32">
        <f t="shared" si="196"/>
        <v>0</v>
      </c>
    </row>
    <row r="575" spans="1:15" s="18" customFormat="1" hidden="1">
      <c r="A575" s="155"/>
      <c r="C575" s="179">
        <f>SUM(C573:C574)</f>
        <v>46.900000000000006</v>
      </c>
      <c r="M575" s="136">
        <f t="shared" si="194"/>
        <v>0</v>
      </c>
      <c r="N575" s="32">
        <f t="shared" si="195"/>
        <v>0</v>
      </c>
      <c r="O575" s="32">
        <f t="shared" si="196"/>
        <v>0</v>
      </c>
    </row>
    <row r="576" spans="1:15" s="18" customFormat="1" hidden="1">
      <c r="A576" s="155"/>
      <c r="C576" s="179"/>
      <c r="M576" s="136">
        <f t="shared" si="194"/>
        <v>0</v>
      </c>
      <c r="N576" s="32">
        <f t="shared" si="195"/>
        <v>0</v>
      </c>
      <c r="O576" s="32">
        <f t="shared" si="196"/>
        <v>0</v>
      </c>
    </row>
    <row r="577" spans="1:15" s="18" customFormat="1" hidden="1">
      <c r="A577" s="155" t="s">
        <v>374</v>
      </c>
      <c r="C577" s="179">
        <f>C550</f>
        <v>65.25</v>
      </c>
      <c r="M577" s="136">
        <f t="shared" si="194"/>
        <v>0</v>
      </c>
      <c r="N577" s="32">
        <f t="shared" si="195"/>
        <v>0</v>
      </c>
      <c r="O577" s="32">
        <f t="shared" si="196"/>
        <v>0</v>
      </c>
    </row>
    <row r="578" spans="1:15" s="18" customFormat="1" hidden="1">
      <c r="A578" s="155" t="s">
        <v>383</v>
      </c>
      <c r="C578" s="179">
        <f>C571</f>
        <v>66.63</v>
      </c>
      <c r="M578" s="136">
        <f t="shared" si="194"/>
        <v>0</v>
      </c>
      <c r="N578" s="32">
        <f t="shared" si="195"/>
        <v>0</v>
      </c>
      <c r="O578" s="32">
        <f t="shared" si="196"/>
        <v>0</v>
      </c>
    </row>
    <row r="579" spans="1:15" s="18" customFormat="1" hidden="1">
      <c r="A579" s="155" t="s">
        <v>384</v>
      </c>
      <c r="C579" s="179">
        <f>C575</f>
        <v>46.900000000000006</v>
      </c>
      <c r="M579" s="136">
        <f t="shared" si="194"/>
        <v>0</v>
      </c>
      <c r="N579" s="32">
        <f t="shared" si="195"/>
        <v>0</v>
      </c>
      <c r="O579" s="32">
        <f t="shared" si="196"/>
        <v>0</v>
      </c>
    </row>
    <row r="580" spans="1:15" s="18" customFormat="1" hidden="1">
      <c r="A580" s="155" t="s">
        <v>375</v>
      </c>
      <c r="C580" s="179">
        <f>C577+C578-C579</f>
        <v>84.97999999999999</v>
      </c>
      <c r="D580" s="18">
        <f>C551</f>
        <v>56.83</v>
      </c>
      <c r="M580" s="136">
        <f t="shared" si="194"/>
        <v>5.6829999999999998</v>
      </c>
      <c r="N580" s="32">
        <f t="shared" si="195"/>
        <v>1.1366000000000001</v>
      </c>
      <c r="O580" s="32">
        <f t="shared" si="196"/>
        <v>0</v>
      </c>
    </row>
    <row r="581" spans="1:15" s="18" customFormat="1" hidden="1">
      <c r="A581" s="155"/>
      <c r="C581" s="179"/>
      <c r="M581" s="136">
        <f t="shared" si="194"/>
        <v>0</v>
      </c>
      <c r="N581" s="32">
        <f t="shared" si="195"/>
        <v>0</v>
      </c>
      <c r="O581" s="32">
        <f t="shared" si="196"/>
        <v>0</v>
      </c>
    </row>
    <row r="582" spans="1:15" s="18" customFormat="1" hidden="1">
      <c r="A582" s="155" t="s">
        <v>349</v>
      </c>
      <c r="C582" s="179">
        <f>SUM('Data Sheet'!G30:K30)</f>
        <v>38.33</v>
      </c>
      <c r="M582" s="136">
        <f t="shared" si="194"/>
        <v>0</v>
      </c>
      <c r="N582" s="32">
        <f t="shared" si="195"/>
        <v>0</v>
      </c>
      <c r="O582" s="32">
        <f t="shared" si="196"/>
        <v>0</v>
      </c>
    </row>
    <row r="583" spans="1:15" s="18" customFormat="1" hidden="1">
      <c r="A583" s="155" t="s">
        <v>350</v>
      </c>
      <c r="C583" s="179">
        <f>SUM('Data Sheet'!G82:K82)</f>
        <v>26.959999999999997</v>
      </c>
      <c r="M583" s="136">
        <f t="shared" si="194"/>
        <v>0</v>
      </c>
      <c r="N583" s="32">
        <f t="shared" si="195"/>
        <v>0</v>
      </c>
      <c r="O583" s="32">
        <f t="shared" si="196"/>
        <v>0</v>
      </c>
    </row>
    <row r="584" spans="1:15" s="18" customFormat="1" hidden="1">
      <c r="A584" s="155" t="s">
        <v>359</v>
      </c>
      <c r="C584" s="179">
        <f>SUM('Data Sheet'!G85:K85)</f>
        <v>17.98</v>
      </c>
      <c r="M584" s="136">
        <f t="shared" ref="M584:M647" si="211">SUM(D584:K584)/10</f>
        <v>0</v>
      </c>
      <c r="N584" s="32">
        <f t="shared" ref="N584:N647" si="212">SUM(G584:M584)/5</f>
        <v>0</v>
      </c>
      <c r="O584" s="32">
        <f t="shared" ref="O584:O647" si="213">SUM(I584:K584)/3</f>
        <v>0</v>
      </c>
    </row>
    <row r="585" spans="1:15" s="18" customFormat="1" hidden="1">
      <c r="A585" s="155" t="s">
        <v>351</v>
      </c>
      <c r="C585" s="179">
        <f>SUM(G315:K315)</f>
        <v>47.06</v>
      </c>
      <c r="M585" s="136">
        <f t="shared" si="211"/>
        <v>0</v>
      </c>
      <c r="N585" s="32">
        <f t="shared" si="212"/>
        <v>0</v>
      </c>
      <c r="O585" s="32">
        <f t="shared" si="213"/>
        <v>0</v>
      </c>
    </row>
    <row r="586" spans="1:15" s="18" customFormat="1" hidden="1">
      <c r="A586" s="155" t="s">
        <v>352</v>
      </c>
      <c r="C586" s="179">
        <f>SUM('Data Sheet'!G31:K31)</f>
        <v>7.72</v>
      </c>
      <c r="M586" s="136">
        <f t="shared" si="211"/>
        <v>0</v>
      </c>
      <c r="N586" s="32">
        <f t="shared" si="212"/>
        <v>0</v>
      </c>
      <c r="O586" s="32">
        <f t="shared" si="213"/>
        <v>0</v>
      </c>
    </row>
    <row r="587" spans="1:15" s="18" customFormat="1" hidden="1">
      <c r="A587" s="155" t="s">
        <v>358</v>
      </c>
      <c r="C587" s="179">
        <f>SUM(C585:C586)</f>
        <v>54.78</v>
      </c>
      <c r="M587" s="136">
        <f t="shared" si="211"/>
        <v>0</v>
      </c>
      <c r="N587" s="32">
        <f t="shared" si="212"/>
        <v>0</v>
      </c>
      <c r="O587" s="32">
        <f t="shared" si="213"/>
        <v>0</v>
      </c>
    </row>
    <row r="588" spans="1:15" s="18" customFormat="1" hidden="1">
      <c r="A588" s="155" t="s">
        <v>408</v>
      </c>
      <c r="C588" s="179">
        <f>C602</f>
        <v>24.56</v>
      </c>
      <c r="M588" s="136">
        <f t="shared" si="211"/>
        <v>0</v>
      </c>
      <c r="N588" s="32">
        <f t="shared" si="212"/>
        <v>0</v>
      </c>
      <c r="O588" s="32">
        <f t="shared" si="213"/>
        <v>0</v>
      </c>
    </row>
    <row r="589" spans="1:15" s="18" customFormat="1" hidden="1">
      <c r="A589" s="155"/>
      <c r="C589" s="179"/>
      <c r="M589" s="136">
        <f t="shared" si="211"/>
        <v>0</v>
      </c>
      <c r="N589" s="32">
        <f t="shared" si="212"/>
        <v>0</v>
      </c>
      <c r="O589" s="32">
        <f t="shared" si="213"/>
        <v>0</v>
      </c>
    </row>
    <row r="590" spans="1:15" s="18" customFormat="1" hidden="1">
      <c r="A590" s="155" t="s">
        <v>350</v>
      </c>
      <c r="C590" s="179">
        <f>C583</f>
        <v>26.959999999999997</v>
      </c>
      <c r="M590" s="136">
        <f t="shared" si="211"/>
        <v>0</v>
      </c>
      <c r="N590" s="32">
        <f t="shared" si="212"/>
        <v>0</v>
      </c>
      <c r="O590" s="32">
        <f t="shared" si="213"/>
        <v>0</v>
      </c>
    </row>
    <row r="591" spans="1:15" s="18" customFormat="1" hidden="1">
      <c r="A591" s="155" t="s">
        <v>358</v>
      </c>
      <c r="C591" s="179">
        <f>C587</f>
        <v>54.78</v>
      </c>
      <c r="M591" s="136">
        <f t="shared" si="211"/>
        <v>0</v>
      </c>
      <c r="N591" s="32">
        <f t="shared" si="212"/>
        <v>0</v>
      </c>
      <c r="O591" s="32">
        <f t="shared" si="213"/>
        <v>0</v>
      </c>
    </row>
    <row r="592" spans="1:15" s="18" customFormat="1" hidden="1">
      <c r="A592" s="155" t="s">
        <v>403</v>
      </c>
      <c r="C592" s="179">
        <f>C590-C591</f>
        <v>-27.820000000000004</v>
      </c>
      <c r="M592" s="136">
        <f t="shared" si="211"/>
        <v>0</v>
      </c>
      <c r="N592" s="32">
        <f t="shared" si="212"/>
        <v>0</v>
      </c>
      <c r="O592" s="32">
        <f t="shared" si="213"/>
        <v>0</v>
      </c>
    </row>
    <row r="593" spans="1:15" s="18" customFormat="1" hidden="1">
      <c r="A593" s="155" t="s">
        <v>408</v>
      </c>
      <c r="C593" s="179">
        <f>C602</f>
        <v>24.56</v>
      </c>
      <c r="M593" s="136">
        <f t="shared" si="211"/>
        <v>0</v>
      </c>
      <c r="N593" s="32">
        <f t="shared" si="212"/>
        <v>0</v>
      </c>
      <c r="O593" s="32">
        <f t="shared" si="213"/>
        <v>0</v>
      </c>
    </row>
    <row r="594" spans="1:15" s="18" customFormat="1" hidden="1">
      <c r="A594" s="155" t="s">
        <v>404</v>
      </c>
      <c r="C594" s="179">
        <f>C592-C593</f>
        <v>-52.38</v>
      </c>
      <c r="M594" s="136">
        <f t="shared" si="211"/>
        <v>0</v>
      </c>
      <c r="N594" s="32">
        <f t="shared" si="212"/>
        <v>0</v>
      </c>
      <c r="O594" s="32">
        <f t="shared" si="213"/>
        <v>0</v>
      </c>
    </row>
    <row r="595" spans="1:15" s="18" customFormat="1" hidden="1">
      <c r="A595" s="155"/>
      <c r="C595" s="179"/>
      <c r="M595" s="136">
        <f t="shared" si="211"/>
        <v>0</v>
      </c>
      <c r="N595" s="32">
        <f t="shared" si="212"/>
        <v>0</v>
      </c>
      <c r="O595" s="32">
        <f t="shared" si="213"/>
        <v>0</v>
      </c>
    </row>
    <row r="596" spans="1:15" s="18" customFormat="1" hidden="1">
      <c r="A596" s="155" t="s">
        <v>405</v>
      </c>
      <c r="C596" s="179"/>
      <c r="M596" s="136">
        <f t="shared" si="211"/>
        <v>0</v>
      </c>
      <c r="N596" s="32">
        <f t="shared" si="212"/>
        <v>0</v>
      </c>
      <c r="O596" s="32">
        <f t="shared" si="213"/>
        <v>0</v>
      </c>
    </row>
    <row r="597" spans="1:15" s="18" customFormat="1" hidden="1">
      <c r="A597" s="155" t="s">
        <v>409</v>
      </c>
      <c r="C597" s="179">
        <f>'Data Sheet'!K57-'Data Sheet'!G57</f>
        <v>0.73000000000000043</v>
      </c>
      <c r="M597" s="136">
        <f t="shared" si="211"/>
        <v>0</v>
      </c>
      <c r="N597" s="32">
        <f t="shared" si="212"/>
        <v>0</v>
      </c>
      <c r="O597" s="32">
        <f t="shared" si="213"/>
        <v>0</v>
      </c>
    </row>
    <row r="598" spans="1:15" s="18" customFormat="1" hidden="1">
      <c r="A598" s="155" t="s">
        <v>410</v>
      </c>
      <c r="C598" s="179">
        <f>'Data Sheet'!K59-'Data Sheet'!G59</f>
        <v>34.25</v>
      </c>
      <c r="M598" s="136">
        <f t="shared" si="211"/>
        <v>0</v>
      </c>
      <c r="N598" s="32">
        <f t="shared" si="212"/>
        <v>0</v>
      </c>
      <c r="O598" s="32">
        <f t="shared" si="213"/>
        <v>0</v>
      </c>
    </row>
    <row r="599" spans="1:15" s="18" customFormat="1" hidden="1">
      <c r="A599" s="155"/>
      <c r="C599" s="179">
        <f>SUM(C597:C598)</f>
        <v>34.980000000000004</v>
      </c>
      <c r="M599" s="136">
        <f t="shared" si="211"/>
        <v>0</v>
      </c>
      <c r="N599" s="32">
        <f t="shared" si="212"/>
        <v>0</v>
      </c>
      <c r="O599" s="32">
        <f t="shared" si="213"/>
        <v>0</v>
      </c>
    </row>
    <row r="600" spans="1:15" s="18" customFormat="1" hidden="1">
      <c r="A600" s="155"/>
      <c r="C600" s="179"/>
      <c r="M600" s="136">
        <f t="shared" si="211"/>
        <v>0</v>
      </c>
      <c r="N600" s="32">
        <f t="shared" si="212"/>
        <v>0</v>
      </c>
      <c r="O600" s="32">
        <f t="shared" si="213"/>
        <v>0</v>
      </c>
    </row>
    <row r="601" spans="1:15" s="18" customFormat="1" hidden="1">
      <c r="A601" s="155" t="s">
        <v>385</v>
      </c>
      <c r="C601" s="179">
        <f>SUM('Data Sheet'!G26:K26)</f>
        <v>21</v>
      </c>
      <c r="M601" s="136">
        <f t="shared" si="211"/>
        <v>0</v>
      </c>
      <c r="N601" s="32">
        <f t="shared" si="212"/>
        <v>0</v>
      </c>
      <c r="O601" s="32">
        <f t="shared" si="213"/>
        <v>0</v>
      </c>
    </row>
    <row r="602" spans="1:15" s="18" customFormat="1" hidden="1">
      <c r="A602" s="155" t="s">
        <v>386</v>
      </c>
      <c r="C602" s="179">
        <f>SUM('Data Sheet'!G27:K27)</f>
        <v>24.56</v>
      </c>
      <c r="M602" s="136">
        <f t="shared" si="211"/>
        <v>0</v>
      </c>
      <c r="N602" s="32">
        <f t="shared" si="212"/>
        <v>0</v>
      </c>
      <c r="O602" s="32">
        <f t="shared" si="213"/>
        <v>0</v>
      </c>
    </row>
    <row r="603" spans="1:15" s="18" customFormat="1" hidden="1">
      <c r="A603" s="155"/>
      <c r="C603" s="179">
        <f>SUM(C601:C602)</f>
        <v>45.56</v>
      </c>
      <c r="M603" s="136">
        <f t="shared" si="211"/>
        <v>0</v>
      </c>
      <c r="N603" s="32">
        <f t="shared" si="212"/>
        <v>0</v>
      </c>
      <c r="O603" s="32">
        <f t="shared" si="213"/>
        <v>0</v>
      </c>
    </row>
    <row r="604" spans="1:15" s="18" customFormat="1" hidden="1">
      <c r="A604" s="155"/>
      <c r="C604" s="179"/>
      <c r="M604" s="136">
        <f t="shared" si="211"/>
        <v>0</v>
      </c>
      <c r="N604" s="32">
        <f t="shared" si="212"/>
        <v>0</v>
      </c>
      <c r="O604" s="32">
        <f t="shared" si="213"/>
        <v>0</v>
      </c>
    </row>
    <row r="605" spans="1:15" s="18" customFormat="1" hidden="1">
      <c r="A605" s="155" t="s">
        <v>399</v>
      </c>
      <c r="C605" s="179">
        <f>'Data Sheet'!K67-'Data Sheet'!G67</f>
        <v>15.440000000000001</v>
      </c>
      <c r="M605" s="136">
        <f t="shared" si="211"/>
        <v>0</v>
      </c>
      <c r="N605" s="32">
        <f t="shared" si="212"/>
        <v>0</v>
      </c>
      <c r="O605" s="32">
        <f t="shared" si="213"/>
        <v>0</v>
      </c>
    </row>
    <row r="606" spans="1:15" s="18" customFormat="1" hidden="1">
      <c r="A606" s="155" t="s">
        <v>400</v>
      </c>
      <c r="C606" s="179">
        <f>'Data Sheet'!K68-'Data Sheet'!G68</f>
        <v>12.14</v>
      </c>
      <c r="M606" s="136">
        <f t="shared" si="211"/>
        <v>0</v>
      </c>
      <c r="N606" s="32">
        <f t="shared" si="212"/>
        <v>0</v>
      </c>
      <c r="O606" s="32">
        <f t="shared" si="213"/>
        <v>0</v>
      </c>
    </row>
    <row r="607" spans="1:15" s="18" customFormat="1" hidden="1">
      <c r="A607" s="155"/>
      <c r="C607" s="179">
        <f>SUM(C605:C606)</f>
        <v>27.580000000000002</v>
      </c>
      <c r="M607" s="136">
        <f t="shared" si="211"/>
        <v>0</v>
      </c>
      <c r="N607" s="32">
        <f t="shared" si="212"/>
        <v>0</v>
      </c>
      <c r="O607" s="32">
        <f t="shared" si="213"/>
        <v>0</v>
      </c>
    </row>
    <row r="608" spans="1:15" s="18" customFormat="1" hidden="1">
      <c r="A608" s="155"/>
      <c r="C608" s="179"/>
      <c r="M608" s="136">
        <f t="shared" si="211"/>
        <v>0</v>
      </c>
      <c r="N608" s="32">
        <f t="shared" si="212"/>
        <v>0</v>
      </c>
      <c r="O608" s="32">
        <f t="shared" si="213"/>
        <v>0</v>
      </c>
    </row>
    <row r="609" spans="1:15" s="18" customFormat="1" hidden="1">
      <c r="A609" s="155" t="s">
        <v>387</v>
      </c>
      <c r="C609" s="179">
        <f>C582</f>
        <v>38.33</v>
      </c>
      <c r="M609" s="136">
        <f t="shared" si="211"/>
        <v>0</v>
      </c>
      <c r="N609" s="32">
        <f t="shared" si="212"/>
        <v>0</v>
      </c>
      <c r="O609" s="32">
        <f t="shared" si="213"/>
        <v>0</v>
      </c>
    </row>
    <row r="610" spans="1:15" s="18" customFormat="1" hidden="1">
      <c r="A610" s="155" t="s">
        <v>388</v>
      </c>
      <c r="C610" s="179">
        <f>C603</f>
        <v>45.56</v>
      </c>
      <c r="M610" s="136">
        <f t="shared" si="211"/>
        <v>0</v>
      </c>
      <c r="N610" s="32">
        <f t="shared" si="212"/>
        <v>0</v>
      </c>
      <c r="O610" s="32">
        <f t="shared" si="213"/>
        <v>0</v>
      </c>
    </row>
    <row r="611" spans="1:15" s="18" customFormat="1" hidden="1">
      <c r="A611" s="155" t="s">
        <v>389</v>
      </c>
      <c r="C611" s="179">
        <f>C607</f>
        <v>27.580000000000002</v>
      </c>
      <c r="M611" s="136">
        <f t="shared" si="211"/>
        <v>0</v>
      </c>
      <c r="N611" s="32">
        <f t="shared" si="212"/>
        <v>0</v>
      </c>
      <c r="O611" s="32">
        <f t="shared" si="213"/>
        <v>0</v>
      </c>
    </row>
    <row r="612" spans="1:15" s="18" customFormat="1" hidden="1">
      <c r="A612" s="155" t="s">
        <v>390</v>
      </c>
      <c r="C612" s="179">
        <f>C609+C610-C611</f>
        <v>56.31</v>
      </c>
      <c r="D612" s="18">
        <f>C583</f>
        <v>26.959999999999997</v>
      </c>
      <c r="M612" s="136">
        <f t="shared" si="211"/>
        <v>2.6959999999999997</v>
      </c>
      <c r="N612" s="32">
        <f t="shared" si="212"/>
        <v>0.5391999999999999</v>
      </c>
      <c r="O612" s="32">
        <f t="shared" si="213"/>
        <v>0</v>
      </c>
    </row>
    <row r="613" spans="1:15" s="18" customFormat="1" hidden="1">
      <c r="A613" s="155"/>
      <c r="C613" s="179"/>
      <c r="M613" s="136">
        <f t="shared" si="211"/>
        <v>0</v>
      </c>
      <c r="N613" s="32">
        <f t="shared" si="212"/>
        <v>0</v>
      </c>
      <c r="O613" s="32">
        <f t="shared" si="213"/>
        <v>0</v>
      </c>
    </row>
    <row r="614" spans="1:15" s="18" customFormat="1" hidden="1">
      <c r="A614" s="155" t="s">
        <v>353</v>
      </c>
      <c r="C614" s="179">
        <f>SUM('Data Sheet'!I30:K30)</f>
        <v>24.85</v>
      </c>
      <c r="M614" s="136">
        <f t="shared" si="211"/>
        <v>0</v>
      </c>
      <c r="N614" s="32">
        <f t="shared" si="212"/>
        <v>0</v>
      </c>
      <c r="O614" s="32">
        <f t="shared" si="213"/>
        <v>0</v>
      </c>
    </row>
    <row r="615" spans="1:15" s="18" customFormat="1" hidden="1">
      <c r="A615" s="155" t="s">
        <v>354</v>
      </c>
      <c r="C615" s="180">
        <f>SUM('Data Sheet'!I82:K82)</f>
        <v>17.190000000000001</v>
      </c>
      <c r="M615" s="136">
        <f t="shared" si="211"/>
        <v>0</v>
      </c>
      <c r="N615" s="32">
        <f t="shared" si="212"/>
        <v>0</v>
      </c>
      <c r="O615" s="32">
        <f t="shared" si="213"/>
        <v>0</v>
      </c>
    </row>
    <row r="616" spans="1:15" s="18" customFormat="1" hidden="1">
      <c r="A616" s="155" t="s">
        <v>360</v>
      </c>
      <c r="C616" s="180">
        <f>SUM('Data Sheet'!I85:K85)</f>
        <v>17.13</v>
      </c>
      <c r="M616" s="136">
        <f t="shared" si="211"/>
        <v>0</v>
      </c>
      <c r="N616" s="32">
        <f t="shared" si="212"/>
        <v>0</v>
      </c>
      <c r="O616" s="32">
        <f t="shared" si="213"/>
        <v>0</v>
      </c>
    </row>
    <row r="617" spans="1:15" s="18" customFormat="1" hidden="1">
      <c r="A617" s="155" t="s">
        <v>355</v>
      </c>
      <c r="C617" s="181">
        <f>SUM(I315:K315)</f>
        <v>31.380000000000006</v>
      </c>
      <c r="M617" s="136">
        <f t="shared" si="211"/>
        <v>0</v>
      </c>
      <c r="N617" s="32">
        <f t="shared" si="212"/>
        <v>0</v>
      </c>
      <c r="O617" s="32">
        <f t="shared" si="213"/>
        <v>0</v>
      </c>
    </row>
    <row r="618" spans="1:15" s="18" customFormat="1" hidden="1">
      <c r="A618" s="155" t="s">
        <v>356</v>
      </c>
      <c r="C618" s="180">
        <f>SUM('Data Sheet'!I31:K31)</f>
        <v>4.45</v>
      </c>
      <c r="D618" s="53"/>
      <c r="M618" s="136">
        <f t="shared" si="211"/>
        <v>0</v>
      </c>
      <c r="N618" s="32">
        <f t="shared" si="212"/>
        <v>0</v>
      </c>
      <c r="O618" s="32">
        <f t="shared" si="213"/>
        <v>0</v>
      </c>
    </row>
    <row r="619" spans="1:15" s="18" customFormat="1" hidden="1">
      <c r="A619" s="155" t="s">
        <v>357</v>
      </c>
      <c r="C619" s="182">
        <f>SUM(C617:C618)</f>
        <v>35.830000000000005</v>
      </c>
      <c r="M619" s="136">
        <f t="shared" si="211"/>
        <v>0</v>
      </c>
      <c r="N619" s="32">
        <f t="shared" si="212"/>
        <v>0</v>
      </c>
      <c r="O619" s="32">
        <f t="shared" si="213"/>
        <v>0</v>
      </c>
    </row>
    <row r="620" spans="1:15" s="18" customFormat="1" hidden="1">
      <c r="A620" s="155" t="s">
        <v>392</v>
      </c>
      <c r="C620" s="182">
        <f>C634</f>
        <v>17.12</v>
      </c>
      <c r="M620" s="136">
        <f t="shared" si="211"/>
        <v>0</v>
      </c>
      <c r="N620" s="32">
        <f t="shared" si="212"/>
        <v>0</v>
      </c>
      <c r="O620" s="32">
        <f t="shared" si="213"/>
        <v>0</v>
      </c>
    </row>
    <row r="621" spans="1:15" s="18" customFormat="1" hidden="1">
      <c r="A621" s="155"/>
      <c r="C621" s="182"/>
      <c r="M621" s="136">
        <f t="shared" si="211"/>
        <v>0</v>
      </c>
      <c r="N621" s="32">
        <f t="shared" si="212"/>
        <v>0</v>
      </c>
      <c r="O621" s="32">
        <f t="shared" si="213"/>
        <v>0</v>
      </c>
    </row>
    <row r="622" spans="1:15" s="18" customFormat="1" hidden="1">
      <c r="A622" s="155" t="s">
        <v>411</v>
      </c>
      <c r="C622" s="182">
        <f>C615</f>
        <v>17.190000000000001</v>
      </c>
      <c r="M622" s="136">
        <f t="shared" si="211"/>
        <v>0</v>
      </c>
      <c r="N622" s="32">
        <f t="shared" si="212"/>
        <v>0</v>
      </c>
      <c r="O622" s="32">
        <f t="shared" si="213"/>
        <v>0</v>
      </c>
    </row>
    <row r="623" spans="1:15" s="18" customFormat="1" hidden="1">
      <c r="A623" s="155" t="s">
        <v>357</v>
      </c>
      <c r="C623" s="182">
        <f>C619</f>
        <v>35.830000000000005</v>
      </c>
      <c r="M623" s="136">
        <f t="shared" si="211"/>
        <v>0</v>
      </c>
      <c r="N623" s="32">
        <f t="shared" si="212"/>
        <v>0</v>
      </c>
      <c r="O623" s="32">
        <f t="shared" si="213"/>
        <v>0</v>
      </c>
    </row>
    <row r="624" spans="1:15" s="18" customFormat="1" hidden="1">
      <c r="A624" s="155" t="s">
        <v>403</v>
      </c>
      <c r="C624" s="182">
        <f>C622-C623</f>
        <v>-18.640000000000004</v>
      </c>
      <c r="M624" s="136">
        <f t="shared" si="211"/>
        <v>0</v>
      </c>
      <c r="N624" s="32">
        <f t="shared" si="212"/>
        <v>0</v>
      </c>
      <c r="O624" s="32">
        <f t="shared" si="213"/>
        <v>0</v>
      </c>
    </row>
    <row r="625" spans="1:15" s="18" customFormat="1" hidden="1">
      <c r="A625" s="155" t="s">
        <v>392</v>
      </c>
      <c r="C625" s="182">
        <f>C620</f>
        <v>17.12</v>
      </c>
      <c r="M625" s="136">
        <f t="shared" si="211"/>
        <v>0</v>
      </c>
      <c r="N625" s="32">
        <f t="shared" si="212"/>
        <v>0</v>
      </c>
      <c r="O625" s="32">
        <f t="shared" si="213"/>
        <v>0</v>
      </c>
    </row>
    <row r="626" spans="1:15" s="18" customFormat="1" hidden="1">
      <c r="A626" s="155" t="s">
        <v>404</v>
      </c>
      <c r="C626" s="182">
        <f>C624-C625</f>
        <v>-35.760000000000005</v>
      </c>
      <c r="M626" s="136">
        <f t="shared" si="211"/>
        <v>0</v>
      </c>
      <c r="N626" s="32">
        <f t="shared" si="212"/>
        <v>0</v>
      </c>
      <c r="O626" s="32">
        <f t="shared" si="213"/>
        <v>0</v>
      </c>
    </row>
    <row r="627" spans="1:15" s="18" customFormat="1" hidden="1">
      <c r="A627" s="155"/>
      <c r="C627" s="182"/>
      <c r="M627" s="136">
        <f t="shared" si="211"/>
        <v>0</v>
      </c>
      <c r="N627" s="32">
        <f t="shared" si="212"/>
        <v>0</v>
      </c>
      <c r="O627" s="32">
        <f t="shared" si="213"/>
        <v>0</v>
      </c>
    </row>
    <row r="628" spans="1:15" s="18" customFormat="1" hidden="1">
      <c r="A628" s="155" t="s">
        <v>405</v>
      </c>
      <c r="C628" s="182"/>
      <c r="M628" s="136">
        <f t="shared" si="211"/>
        <v>0</v>
      </c>
      <c r="N628" s="32">
        <f t="shared" si="212"/>
        <v>0</v>
      </c>
      <c r="O628" s="32">
        <f t="shared" si="213"/>
        <v>0</v>
      </c>
    </row>
    <row r="629" spans="1:15" s="18" customFormat="1" hidden="1">
      <c r="A629" s="155" t="s">
        <v>412</v>
      </c>
      <c r="C629" s="182">
        <f>'Data Sheet'!K57-'Data Sheet'!I57</f>
        <v>0.53000000000000025</v>
      </c>
      <c r="M629" s="136">
        <f t="shared" si="211"/>
        <v>0</v>
      </c>
      <c r="N629" s="32">
        <f t="shared" si="212"/>
        <v>0</v>
      </c>
      <c r="O629" s="32">
        <f t="shared" si="213"/>
        <v>0</v>
      </c>
    </row>
    <row r="630" spans="1:15" s="18" customFormat="1" hidden="1">
      <c r="A630" s="155" t="s">
        <v>413</v>
      </c>
      <c r="C630" s="182">
        <f>'Data Sheet'!K59-'Data Sheet'!I59</f>
        <v>7.5399999999999991</v>
      </c>
      <c r="M630" s="136">
        <f t="shared" si="211"/>
        <v>0</v>
      </c>
      <c r="N630" s="32">
        <f t="shared" si="212"/>
        <v>0</v>
      </c>
      <c r="O630" s="32">
        <f t="shared" si="213"/>
        <v>0</v>
      </c>
    </row>
    <row r="631" spans="1:15" s="18" customFormat="1" hidden="1">
      <c r="A631" s="155"/>
      <c r="C631" s="182">
        <f>C629+C630</f>
        <v>8.07</v>
      </c>
      <c r="M631" s="136">
        <f t="shared" si="211"/>
        <v>0</v>
      </c>
      <c r="N631" s="32">
        <f t="shared" si="212"/>
        <v>0</v>
      </c>
      <c r="O631" s="32">
        <f t="shared" si="213"/>
        <v>0</v>
      </c>
    </row>
    <row r="632" spans="1:15" s="18" customFormat="1" hidden="1">
      <c r="A632" s="155"/>
      <c r="C632" s="182"/>
      <c r="M632" s="136">
        <f t="shared" si="211"/>
        <v>0</v>
      </c>
      <c r="N632" s="32">
        <f t="shared" si="212"/>
        <v>0</v>
      </c>
      <c r="O632" s="32">
        <f t="shared" si="213"/>
        <v>0</v>
      </c>
    </row>
    <row r="633" spans="1:15" s="18" customFormat="1" hidden="1">
      <c r="A633" s="155" t="s">
        <v>391</v>
      </c>
      <c r="C633" s="156">
        <f>SUM('Data Sheet'!I26:K26)</f>
        <v>13.01</v>
      </c>
      <c r="D633" s="156"/>
      <c r="M633" s="136">
        <f t="shared" si="211"/>
        <v>0</v>
      </c>
      <c r="N633" s="32">
        <f t="shared" si="212"/>
        <v>0</v>
      </c>
      <c r="O633" s="32">
        <f t="shared" si="213"/>
        <v>0</v>
      </c>
    </row>
    <row r="634" spans="1:15" s="18" customFormat="1" hidden="1">
      <c r="A634" s="155" t="s">
        <v>392</v>
      </c>
      <c r="C634" s="156">
        <f>SUM('Data Sheet'!I27:K27)</f>
        <v>17.12</v>
      </c>
      <c r="D634" s="156"/>
      <c r="M634" s="136">
        <f t="shared" si="211"/>
        <v>0</v>
      </c>
      <c r="N634" s="32">
        <f t="shared" si="212"/>
        <v>0</v>
      </c>
      <c r="O634" s="32">
        <f t="shared" si="213"/>
        <v>0</v>
      </c>
    </row>
    <row r="635" spans="1:15" s="18" customFormat="1" hidden="1">
      <c r="A635" s="155"/>
      <c r="C635" s="156">
        <f>SUM(C633:C634)</f>
        <v>30.130000000000003</v>
      </c>
      <c r="D635" s="156"/>
      <c r="M635" s="136">
        <f t="shared" si="211"/>
        <v>0</v>
      </c>
      <c r="N635" s="32">
        <f t="shared" si="212"/>
        <v>0</v>
      </c>
      <c r="O635" s="32">
        <f t="shared" si="213"/>
        <v>0</v>
      </c>
    </row>
    <row r="636" spans="1:15" s="18" customFormat="1" hidden="1">
      <c r="A636" s="155"/>
      <c r="C636" s="156"/>
      <c r="D636" s="156"/>
      <c r="M636" s="136">
        <f t="shared" si="211"/>
        <v>0</v>
      </c>
      <c r="N636" s="32">
        <f t="shared" si="212"/>
        <v>0</v>
      </c>
      <c r="O636" s="32">
        <f t="shared" si="213"/>
        <v>0</v>
      </c>
    </row>
    <row r="637" spans="1:15" s="18" customFormat="1" hidden="1">
      <c r="A637" s="155" t="s">
        <v>401</v>
      </c>
      <c r="C637" s="156">
        <f>'Data Sheet'!K67-'Data Sheet'!I67</f>
        <v>7.9400000000000013</v>
      </c>
      <c r="D637" s="156"/>
      <c r="M637" s="136">
        <f t="shared" si="211"/>
        <v>0</v>
      </c>
      <c r="N637" s="32">
        <f t="shared" si="212"/>
        <v>0</v>
      </c>
      <c r="O637" s="32">
        <f t="shared" si="213"/>
        <v>0</v>
      </c>
    </row>
    <row r="638" spans="1:15" s="18" customFormat="1" hidden="1">
      <c r="A638" s="155" t="s">
        <v>402</v>
      </c>
      <c r="C638" s="156">
        <f>'Data Sheet'!K68-'Data Sheet'!I68</f>
        <v>5.1000000000000014</v>
      </c>
      <c r="D638" s="156"/>
      <c r="M638" s="136">
        <f t="shared" si="211"/>
        <v>0</v>
      </c>
      <c r="N638" s="32">
        <f t="shared" si="212"/>
        <v>0</v>
      </c>
      <c r="O638" s="32">
        <f t="shared" si="213"/>
        <v>0</v>
      </c>
    </row>
    <row r="639" spans="1:15" s="18" customFormat="1" hidden="1">
      <c r="A639" s="155"/>
      <c r="C639" s="156">
        <f>SUM(C637:C638)</f>
        <v>13.040000000000003</v>
      </c>
      <c r="D639" s="156"/>
      <c r="M639" s="136">
        <f t="shared" si="211"/>
        <v>0</v>
      </c>
      <c r="N639" s="32">
        <f t="shared" si="212"/>
        <v>0</v>
      </c>
      <c r="O639" s="32">
        <f t="shared" si="213"/>
        <v>0</v>
      </c>
    </row>
    <row r="640" spans="1:15" s="18" customFormat="1" hidden="1">
      <c r="A640" s="155"/>
      <c r="C640" s="156"/>
      <c r="D640" s="156"/>
      <c r="M640" s="136">
        <f t="shared" si="211"/>
        <v>0</v>
      </c>
      <c r="N640" s="32">
        <f t="shared" si="212"/>
        <v>0</v>
      </c>
      <c r="O640" s="32">
        <f t="shared" si="213"/>
        <v>0</v>
      </c>
    </row>
    <row r="641" spans="1:19" s="18" customFormat="1" hidden="1">
      <c r="A641" s="155" t="s">
        <v>393</v>
      </c>
      <c r="C641" s="156">
        <f>C614</f>
        <v>24.85</v>
      </c>
      <c r="D641" s="156"/>
      <c r="M641" s="136">
        <f t="shared" si="211"/>
        <v>0</v>
      </c>
      <c r="N641" s="32">
        <f t="shared" si="212"/>
        <v>0</v>
      </c>
      <c r="O641" s="32">
        <f t="shared" si="213"/>
        <v>0</v>
      </c>
    </row>
    <row r="642" spans="1:19" s="18" customFormat="1" hidden="1">
      <c r="A642" s="155" t="s">
        <v>394</v>
      </c>
      <c r="C642" s="156">
        <f>C635</f>
        <v>30.130000000000003</v>
      </c>
      <c r="D642" s="156"/>
      <c r="M642" s="136">
        <f t="shared" si="211"/>
        <v>0</v>
      </c>
      <c r="N642" s="32">
        <f t="shared" si="212"/>
        <v>0</v>
      </c>
      <c r="O642" s="32">
        <f t="shared" si="213"/>
        <v>0</v>
      </c>
    </row>
    <row r="643" spans="1:19" s="18" customFormat="1" hidden="1">
      <c r="A643" s="155" t="s">
        <v>395</v>
      </c>
      <c r="C643" s="156">
        <f>C639</f>
        <v>13.040000000000003</v>
      </c>
      <c r="D643" s="156"/>
      <c r="M643" s="136">
        <f t="shared" si="211"/>
        <v>0</v>
      </c>
      <c r="N643" s="32">
        <f t="shared" si="212"/>
        <v>0</v>
      </c>
      <c r="O643" s="32">
        <f t="shared" si="213"/>
        <v>0</v>
      </c>
    </row>
    <row r="644" spans="1:19" s="18" customFormat="1" hidden="1">
      <c r="A644" s="155" t="s">
        <v>396</v>
      </c>
      <c r="C644" s="156">
        <f>C641+C642-C643</f>
        <v>41.94</v>
      </c>
      <c r="D644" s="157">
        <f>C615</f>
        <v>17.190000000000001</v>
      </c>
      <c r="M644" s="136">
        <f t="shared" si="211"/>
        <v>1.7190000000000001</v>
      </c>
      <c r="N644" s="32">
        <f t="shared" si="212"/>
        <v>0.34379999999999999</v>
      </c>
      <c r="O644" s="32">
        <f t="shared" si="213"/>
        <v>0</v>
      </c>
    </row>
    <row r="645" spans="1:19" s="18" customFormat="1" hidden="1">
      <c r="A645" s="155"/>
      <c r="C645" s="112"/>
      <c r="M645" s="136">
        <f t="shared" si="211"/>
        <v>0</v>
      </c>
      <c r="N645" s="32">
        <f t="shared" si="212"/>
        <v>0</v>
      </c>
      <c r="O645" s="32">
        <f t="shared" si="213"/>
        <v>0</v>
      </c>
    </row>
    <row r="646" spans="1:19" s="18" customFormat="1" hidden="1">
      <c r="A646" s="155"/>
      <c r="C646" s="112"/>
      <c r="M646" s="136">
        <f t="shared" si="211"/>
        <v>0</v>
      </c>
      <c r="N646" s="32">
        <f t="shared" si="212"/>
        <v>0</v>
      </c>
      <c r="O646" s="32">
        <f t="shared" si="213"/>
        <v>0</v>
      </c>
    </row>
    <row r="647" spans="1:19" s="184" customFormat="1" hidden="1">
      <c r="A647" s="183" t="str">
        <f>A1</f>
        <v>ACRYSIL LTD</v>
      </c>
      <c r="B647" s="183">
        <f t="shared" ref="B647:K647" si="214">B1</f>
        <v>39538</v>
      </c>
      <c r="C647" s="183">
        <f t="shared" si="214"/>
        <v>39903</v>
      </c>
      <c r="D647" s="183">
        <f t="shared" si="214"/>
        <v>40268</v>
      </c>
      <c r="E647" s="183">
        <f t="shared" si="214"/>
        <v>40633</v>
      </c>
      <c r="F647" s="183">
        <f t="shared" si="214"/>
        <v>40999</v>
      </c>
      <c r="G647" s="183">
        <f t="shared" si="214"/>
        <v>41364</v>
      </c>
      <c r="H647" s="183">
        <f t="shared" si="214"/>
        <v>41729</v>
      </c>
      <c r="I647" s="183">
        <f t="shared" si="214"/>
        <v>42094</v>
      </c>
      <c r="J647" s="183">
        <f t="shared" si="214"/>
        <v>42460</v>
      </c>
      <c r="K647" s="183">
        <f t="shared" si="214"/>
        <v>42825</v>
      </c>
      <c r="L647" s="183"/>
      <c r="M647" s="136">
        <f t="shared" si="211"/>
        <v>33237.199999999997</v>
      </c>
      <c r="N647" s="32">
        <f t="shared" si="212"/>
        <v>48741.840000000004</v>
      </c>
      <c r="O647" s="32">
        <f t="shared" si="213"/>
        <v>42459.666666666664</v>
      </c>
      <c r="P647" s="18" t="s">
        <v>414</v>
      </c>
      <c r="Q647" s="18" t="s">
        <v>415</v>
      </c>
      <c r="R647" s="18" t="s">
        <v>416</v>
      </c>
      <c r="S647" s="18" t="s">
        <v>417</v>
      </c>
    </row>
    <row r="648" spans="1:19" s="18" customFormat="1">
      <c r="A648" s="57" t="s">
        <v>6</v>
      </c>
      <c r="B648" s="143">
        <f>'Profit &amp; Loss'!B4</f>
        <v>30.36</v>
      </c>
      <c r="C648" s="143">
        <f>'Profit &amp; Loss'!C4</f>
        <v>50.62</v>
      </c>
      <c r="D648" s="143">
        <f>'Profit &amp; Loss'!D4</f>
        <v>46.28</v>
      </c>
      <c r="E648" s="143">
        <f>'Profit &amp; Loss'!E4</f>
        <v>55.1</v>
      </c>
      <c r="F648" s="143">
        <f>'Profit &amp; Loss'!F4</f>
        <v>62.16</v>
      </c>
      <c r="G648" s="143">
        <f>'Profit &amp; Loss'!G4</f>
        <v>78.45</v>
      </c>
      <c r="H648" s="143">
        <f>'Profit &amp; Loss'!H4</f>
        <v>103.71</v>
      </c>
      <c r="I648" s="143">
        <f>'Profit &amp; Loss'!I4</f>
        <v>116.41</v>
      </c>
      <c r="J648" s="143">
        <f>'Profit &amp; Loss'!J4</f>
        <v>138.86000000000001</v>
      </c>
      <c r="K648" s="143">
        <f>'Profit &amp; Loss'!K4</f>
        <v>141.69999999999999</v>
      </c>
      <c r="L648" s="143"/>
      <c r="M648" s="136">
        <f t="shared" ref="M648:M712" si="215">SUM(D648:K648)/10</f>
        <v>74.26700000000001</v>
      </c>
      <c r="N648" s="32">
        <f t="shared" ref="N648:N712" si="216">SUM(G648:M648)/5</f>
        <v>130.67940000000002</v>
      </c>
      <c r="O648" s="32">
        <f t="shared" ref="O648:O712" si="217">SUM(I648:K648)/3</f>
        <v>132.32333333333335</v>
      </c>
    </row>
    <row r="649" spans="1:19" ht="18.75">
      <c r="A649" s="118" t="s">
        <v>135</v>
      </c>
      <c r="B649" s="33"/>
      <c r="C649" s="36"/>
      <c r="D649" s="33"/>
      <c r="E649" s="33"/>
      <c r="F649" s="33"/>
      <c r="G649" s="33"/>
      <c r="H649" s="33"/>
      <c r="I649" s="33"/>
      <c r="J649" s="33"/>
      <c r="K649" s="33"/>
      <c r="L649" s="33"/>
      <c r="M649" s="136">
        <f t="shared" si="215"/>
        <v>0</v>
      </c>
      <c r="N649" s="32">
        <f t="shared" si="216"/>
        <v>0</v>
      </c>
      <c r="O649" s="32">
        <f t="shared" si="217"/>
        <v>0</v>
      </c>
    </row>
    <row r="650" spans="1:19" s="18" customFormat="1">
      <c r="A650" s="46" t="s">
        <v>71</v>
      </c>
      <c r="B650" s="78">
        <f t="shared" ref="B650:K650" si="218">B52</f>
        <v>0.34815546772068512</v>
      </c>
      <c r="C650" s="78">
        <f t="shared" si="218"/>
        <v>0.33919399446858955</v>
      </c>
      <c r="D650" s="78">
        <f t="shared" si="218"/>
        <v>0.30726015557476233</v>
      </c>
      <c r="E650" s="78">
        <f t="shared" si="218"/>
        <v>0.32831215970961886</v>
      </c>
      <c r="F650" s="78">
        <f t="shared" si="218"/>
        <v>0.40476190476190477</v>
      </c>
      <c r="G650" s="78">
        <f t="shared" si="218"/>
        <v>0.41210962396430845</v>
      </c>
      <c r="H650" s="78">
        <f t="shared" si="218"/>
        <v>0.41972808793751809</v>
      </c>
      <c r="I650" s="78">
        <f t="shared" si="218"/>
        <v>0.39068808521604675</v>
      </c>
      <c r="J650" s="78">
        <f t="shared" si="218"/>
        <v>0.37210139709059481</v>
      </c>
      <c r="K650" s="78">
        <f t="shared" si="218"/>
        <v>0.34742413549753004</v>
      </c>
      <c r="L650" s="78"/>
      <c r="M650" s="136">
        <f t="shared" si="215"/>
        <v>0.29823855497522844</v>
      </c>
      <c r="N650" s="32">
        <f t="shared" si="216"/>
        <v>0.44805797693624533</v>
      </c>
      <c r="O650" s="32">
        <f t="shared" si="217"/>
        <v>0.37007120593472392</v>
      </c>
    </row>
    <row r="651" spans="1:19" s="18" customFormat="1">
      <c r="A651" s="45" t="str">
        <f>A54</f>
        <v>Power and Fuel</v>
      </c>
      <c r="B651" s="45">
        <f t="shared" ref="B651:K651" si="219">B54</f>
        <v>3.8208168642951248E-2</v>
      </c>
      <c r="C651" s="45">
        <f t="shared" si="219"/>
        <v>4.3263532200711184E-2</v>
      </c>
      <c r="D651" s="45">
        <f t="shared" si="219"/>
        <v>4.1054451166810717E-2</v>
      </c>
      <c r="E651" s="45">
        <f t="shared" si="219"/>
        <v>3.8294010889292192E-2</v>
      </c>
      <c r="F651" s="45">
        <f t="shared" si="219"/>
        <v>4.0057915057915061E-2</v>
      </c>
      <c r="G651" s="45">
        <f t="shared" si="219"/>
        <v>4.1045251752708733E-2</v>
      </c>
      <c r="H651" s="45">
        <f t="shared" si="219"/>
        <v>3.4615755471989203E-2</v>
      </c>
      <c r="I651" s="45">
        <f t="shared" si="219"/>
        <v>3.2900953526329352E-2</v>
      </c>
      <c r="J651" s="45">
        <f t="shared" si="219"/>
        <v>2.7221662105717984E-2</v>
      </c>
      <c r="K651" s="45">
        <f t="shared" si="219"/>
        <v>2.7805222300635146E-2</v>
      </c>
      <c r="L651" s="45"/>
      <c r="M651" s="136">
        <f t="shared" si="215"/>
        <v>2.8299522227139839E-2</v>
      </c>
      <c r="N651" s="32">
        <f t="shared" si="216"/>
        <v>3.8377673476904052E-2</v>
      </c>
      <c r="O651" s="32">
        <f t="shared" si="217"/>
        <v>2.9309279310894162E-2</v>
      </c>
    </row>
    <row r="652" spans="1:19" s="18" customFormat="1">
      <c r="A652" s="45" t="str">
        <f t="shared" ref="A652:K656" si="220">A55</f>
        <v>Other Mfr. Exp</v>
      </c>
      <c r="B652" s="45">
        <f t="shared" si="220"/>
        <v>0.10408432147562582</v>
      </c>
      <c r="C652" s="45">
        <f t="shared" si="220"/>
        <v>0.10687475306203083</v>
      </c>
      <c r="D652" s="45">
        <f t="shared" si="220"/>
        <v>0.12878133102852204</v>
      </c>
      <c r="E652" s="45">
        <f t="shared" si="220"/>
        <v>0.13230490018148819</v>
      </c>
      <c r="F652" s="45">
        <f t="shared" si="220"/>
        <v>0.1204954954954955</v>
      </c>
      <c r="G652" s="45">
        <f t="shared" si="220"/>
        <v>0.15130656469088591</v>
      </c>
      <c r="H652" s="45">
        <f t="shared" si="220"/>
        <v>0.13846302188795681</v>
      </c>
      <c r="I652" s="45">
        <f t="shared" si="220"/>
        <v>0.1188901297139421</v>
      </c>
      <c r="J652" s="45">
        <f t="shared" si="220"/>
        <v>0.12192135964280569</v>
      </c>
      <c r="K652" s="45">
        <f t="shared" si="220"/>
        <v>0.13203952011291462</v>
      </c>
      <c r="L652" s="45"/>
      <c r="M652" s="136">
        <f t="shared" si="215"/>
        <v>0.10442023227540106</v>
      </c>
      <c r="N652" s="32">
        <f t="shared" si="216"/>
        <v>0.15340816566478124</v>
      </c>
      <c r="O652" s="32">
        <f t="shared" si="217"/>
        <v>0.12428366982322081</v>
      </c>
    </row>
    <row r="653" spans="1:19" s="18" customFormat="1">
      <c r="A653" s="45" t="str">
        <f t="shared" si="220"/>
        <v>Employee Cost</v>
      </c>
      <c r="B653" s="45">
        <f t="shared" si="220"/>
        <v>7.7404479578392624E-2</v>
      </c>
      <c r="C653" s="45">
        <f t="shared" si="220"/>
        <v>6.6376926116159626E-2</v>
      </c>
      <c r="D653" s="45">
        <f t="shared" si="220"/>
        <v>9.3128781331028518E-2</v>
      </c>
      <c r="E653" s="45">
        <f t="shared" si="220"/>
        <v>9.3284936479128847E-2</v>
      </c>
      <c r="F653" s="45">
        <f t="shared" si="220"/>
        <v>8.9607464607464618E-2</v>
      </c>
      <c r="G653" s="45">
        <f t="shared" si="220"/>
        <v>5.098789037603569E-2</v>
      </c>
      <c r="H653" s="45">
        <f t="shared" si="220"/>
        <v>6.7303056600134997E-2</v>
      </c>
      <c r="I653" s="45">
        <f t="shared" si="220"/>
        <v>7.0097070698393618E-2</v>
      </c>
      <c r="J653" s="45">
        <f t="shared" si="220"/>
        <v>7.770416246579287E-2</v>
      </c>
      <c r="K653" s="45">
        <f t="shared" si="220"/>
        <v>8.2780522230063519E-2</v>
      </c>
      <c r="L653" s="45"/>
      <c r="M653" s="136">
        <f t="shared" si="215"/>
        <v>6.2489388478804267E-2</v>
      </c>
      <c r="N653" s="32">
        <f t="shared" si="216"/>
        <v>8.2272418169844985E-2</v>
      </c>
      <c r="O653" s="32">
        <f t="shared" si="217"/>
        <v>7.6860585131416664E-2</v>
      </c>
    </row>
    <row r="654" spans="1:19" s="18" customFormat="1">
      <c r="A654" s="45" t="str">
        <f t="shared" si="220"/>
        <v>Selling and admin</v>
      </c>
      <c r="B654" s="45">
        <f t="shared" si="220"/>
        <v>0.18774703557312253</v>
      </c>
      <c r="C654" s="45">
        <f t="shared" si="220"/>
        <v>0.15804030027657054</v>
      </c>
      <c r="D654" s="45">
        <f t="shared" si="220"/>
        <v>0.16378565254969749</v>
      </c>
      <c r="E654" s="45">
        <f t="shared" si="220"/>
        <v>0.18602540834845735</v>
      </c>
      <c r="F654" s="45">
        <f t="shared" si="220"/>
        <v>0.16666666666666666</v>
      </c>
      <c r="G654" s="45">
        <f t="shared" si="220"/>
        <v>0.16048438495857234</v>
      </c>
      <c r="H654" s="45">
        <f t="shared" si="220"/>
        <v>0.15148008870889984</v>
      </c>
      <c r="I654" s="45">
        <f t="shared" si="220"/>
        <v>0.16544970363370845</v>
      </c>
      <c r="J654" s="45">
        <f t="shared" si="220"/>
        <v>0.21093187382975656</v>
      </c>
      <c r="K654" s="45">
        <f t="shared" si="220"/>
        <v>0.20868031051517291</v>
      </c>
      <c r="L654" s="45"/>
      <c r="M654" s="136">
        <f t="shared" si="215"/>
        <v>0.14135040892109316</v>
      </c>
      <c r="N654" s="32">
        <f t="shared" si="216"/>
        <v>0.20767535411344062</v>
      </c>
      <c r="O654" s="32">
        <f t="shared" si="217"/>
        <v>0.19502062932621264</v>
      </c>
    </row>
    <row r="655" spans="1:19" s="18" customFormat="1">
      <c r="A655" s="45" t="str">
        <f t="shared" si="220"/>
        <v>Other Expenses</v>
      </c>
      <c r="B655" s="45">
        <f t="shared" si="220"/>
        <v>2.766798418972332E-2</v>
      </c>
      <c r="C655" s="45">
        <f t="shared" si="220"/>
        <v>2.5483998419597E-2</v>
      </c>
      <c r="D655" s="45">
        <f t="shared" si="220"/>
        <v>3.3275713050993951E-2</v>
      </c>
      <c r="E655" s="45">
        <f t="shared" si="220"/>
        <v>1.0526315789473684E-2</v>
      </c>
      <c r="F655" s="45">
        <f t="shared" si="220"/>
        <v>1.5122265122265123E-2</v>
      </c>
      <c r="G655" s="45">
        <f t="shared" si="220"/>
        <v>1.3256851497769279E-2</v>
      </c>
      <c r="H655" s="45">
        <f t="shared" si="220"/>
        <v>1.3595603124096037E-2</v>
      </c>
      <c r="I655" s="45">
        <f t="shared" si="220"/>
        <v>4.046044154282278E-2</v>
      </c>
      <c r="J655" s="45">
        <f t="shared" si="220"/>
        <v>5.1202650151231453E-2</v>
      </c>
      <c r="K655" s="45">
        <f t="shared" si="220"/>
        <v>5.2011291460832748E-2</v>
      </c>
      <c r="L655" s="45"/>
      <c r="M655" s="136">
        <f t="shared" si="215"/>
        <v>2.2945113173948505E-2</v>
      </c>
      <c r="N655" s="32">
        <f t="shared" si="216"/>
        <v>3.8694390190140163E-2</v>
      </c>
      <c r="O655" s="32">
        <f t="shared" si="217"/>
        <v>4.7891461051628996E-2</v>
      </c>
    </row>
    <row r="656" spans="1:19" s="18" customFormat="1">
      <c r="A656" s="45" t="str">
        <f t="shared" si="220"/>
        <v>Other Income</v>
      </c>
      <c r="B656" s="45">
        <f t="shared" si="220"/>
        <v>1.1857707509881422E-2</v>
      </c>
      <c r="C656" s="45">
        <f t="shared" si="220"/>
        <v>6.7167127617542479E-3</v>
      </c>
      <c r="D656" s="45">
        <f t="shared" si="220"/>
        <v>1.2316335350043214E-2</v>
      </c>
      <c r="E656" s="45">
        <f t="shared" si="220"/>
        <v>6.7150635208711434E-3</v>
      </c>
      <c r="F656" s="45">
        <f t="shared" si="220"/>
        <v>1.4317889317889319E-2</v>
      </c>
      <c r="G656" s="45">
        <f t="shared" si="220"/>
        <v>1.0325047801147227E-2</v>
      </c>
      <c r="H656" s="45">
        <f t="shared" si="220"/>
        <v>7.4245492237971274E-3</v>
      </c>
      <c r="I656" s="45">
        <f t="shared" si="220"/>
        <v>9.6211665664461821E-3</v>
      </c>
      <c r="J656" s="45">
        <f t="shared" si="220"/>
        <v>1.6203370301022611E-2</v>
      </c>
      <c r="K656" s="45">
        <f t="shared" si="220"/>
        <v>1.8630910374029641E-2</v>
      </c>
      <c r="L656" s="45"/>
      <c r="M656" s="136">
        <f t="shared" si="215"/>
        <v>9.5554332455246478E-3</v>
      </c>
      <c r="N656" s="32">
        <f t="shared" si="216"/>
        <v>1.4352095502393487E-2</v>
      </c>
      <c r="O656" s="32">
        <f t="shared" si="217"/>
        <v>1.4818482413832811E-2</v>
      </c>
    </row>
    <row r="657" spans="1:15" s="18" customFormat="1">
      <c r="A657" s="45" t="str">
        <f t="shared" ref="A657:K657" si="221">A60</f>
        <v>Depreciation</v>
      </c>
      <c r="B657" s="45">
        <f t="shared" si="221"/>
        <v>4.4466403162055343E-2</v>
      </c>
      <c r="C657" s="45">
        <f t="shared" si="221"/>
        <v>4.1485578822599768E-2</v>
      </c>
      <c r="D657" s="45">
        <f t="shared" si="221"/>
        <v>5.7260155574762314E-2</v>
      </c>
      <c r="E657" s="45">
        <f t="shared" si="221"/>
        <v>5.1905626134301268E-2</v>
      </c>
      <c r="F657" s="45">
        <f t="shared" si="221"/>
        <v>5.341055341055341E-2</v>
      </c>
      <c r="G657" s="45">
        <f t="shared" si="221"/>
        <v>4.8311026131293816E-2</v>
      </c>
      <c r="H657" s="45">
        <f t="shared" si="221"/>
        <v>4.0497541220711607E-2</v>
      </c>
      <c r="I657" s="45">
        <f t="shared" si="221"/>
        <v>3.0839274976376601E-2</v>
      </c>
      <c r="J657" s="45">
        <f t="shared" si="221"/>
        <v>3.3054875414086124E-2</v>
      </c>
      <c r="K657" s="45">
        <f t="shared" si="221"/>
        <v>3.4086097388849684E-2</v>
      </c>
      <c r="L657" s="45"/>
      <c r="M657" s="136">
        <f t="shared" si="215"/>
        <v>3.4936515025093484E-2</v>
      </c>
      <c r="N657" s="32">
        <f t="shared" si="216"/>
        <v>4.4345066031282264E-2</v>
      </c>
      <c r="O657" s="32">
        <f t="shared" si="217"/>
        <v>3.2660082593104135E-2</v>
      </c>
    </row>
    <row r="658" spans="1:15" s="18" customFormat="1">
      <c r="A658" s="45" t="str">
        <f t="shared" ref="A658:K658" si="222">A61</f>
        <v>Interest</v>
      </c>
      <c r="B658" s="45">
        <f t="shared" si="222"/>
        <v>3.6890645586297767E-2</v>
      </c>
      <c r="C658" s="45">
        <f t="shared" si="222"/>
        <v>4.8597392335045439E-2</v>
      </c>
      <c r="D658" s="45">
        <f t="shared" si="222"/>
        <v>2.6145203111495246E-2</v>
      </c>
      <c r="E658" s="45">
        <f t="shared" si="222"/>
        <v>2.8856624319419238E-2</v>
      </c>
      <c r="F658" s="45">
        <f t="shared" si="222"/>
        <v>3.8770913770913774E-2</v>
      </c>
      <c r="G658" s="45">
        <f t="shared" si="222"/>
        <v>4.1555130656469083E-2</v>
      </c>
      <c r="H658" s="45">
        <f t="shared" si="222"/>
        <v>4.0304695786327262E-2</v>
      </c>
      <c r="I658" s="45">
        <f t="shared" si="222"/>
        <v>4.7160896830169233E-2</v>
      </c>
      <c r="J658" s="45">
        <f t="shared" si="222"/>
        <v>4.2344807720005755E-2</v>
      </c>
      <c r="K658" s="45">
        <f t="shared" si="222"/>
        <v>4.0578687367678196E-2</v>
      </c>
      <c r="L658" s="45"/>
      <c r="M658" s="136">
        <f t="shared" si="215"/>
        <v>3.0571695956247778E-2</v>
      </c>
      <c r="N658" s="32">
        <f t="shared" si="216"/>
        <v>4.8503182863379471E-2</v>
      </c>
      <c r="O658" s="32">
        <f t="shared" si="217"/>
        <v>4.3361463972617725E-2</v>
      </c>
    </row>
    <row r="659" spans="1:15" s="18" customFormat="1">
      <c r="A659" s="45" t="str">
        <f t="shared" ref="A659:K659" si="223">A62</f>
        <v>Profit before tax</v>
      </c>
      <c r="B659" s="45">
        <f t="shared" si="223"/>
        <v>0.14723320158102765</v>
      </c>
      <c r="C659" s="45">
        <f t="shared" si="223"/>
        <v>0.17740023706045044</v>
      </c>
      <c r="D659" s="45">
        <f t="shared" si="223"/>
        <v>0.16162489196197061</v>
      </c>
      <c r="E659" s="45">
        <f t="shared" si="223"/>
        <v>0.13720508166969145</v>
      </c>
      <c r="F659" s="45">
        <f t="shared" si="223"/>
        <v>8.5424710424710421E-2</v>
      </c>
      <c r="G659" s="45">
        <f t="shared" si="223"/>
        <v>9.1395793499043976E-2</v>
      </c>
      <c r="H659" s="45">
        <f t="shared" si="223"/>
        <v>0.10143669848616334</v>
      </c>
      <c r="I659" s="45">
        <f t="shared" si="223"/>
        <v>0.11313461042865733</v>
      </c>
      <c r="J659" s="45">
        <f t="shared" si="223"/>
        <v>7.9648566901915588E-2</v>
      </c>
      <c r="K659" s="45">
        <f t="shared" si="223"/>
        <v>9.3154551870148206E-2</v>
      </c>
      <c r="L659" s="45"/>
      <c r="M659" s="136">
        <f t="shared" si="215"/>
        <v>8.6302490524230099E-2</v>
      </c>
      <c r="N659" s="32">
        <f t="shared" si="216"/>
        <v>0.1130145423420317</v>
      </c>
      <c r="O659" s="32">
        <f t="shared" si="217"/>
        <v>9.5312576400240379E-2</v>
      </c>
    </row>
    <row r="660" spans="1:15" s="18" customFormat="1">
      <c r="A660" s="145" t="s">
        <v>419</v>
      </c>
      <c r="B660" s="78">
        <f t="shared" ref="B660:K660" si="224">B247</f>
        <v>0.65184453227931483</v>
      </c>
      <c r="C660" s="78">
        <f t="shared" si="224"/>
        <v>0.66080600553141045</v>
      </c>
      <c r="D660" s="78">
        <f t="shared" si="224"/>
        <v>0.69273984442523773</v>
      </c>
      <c r="E660" s="78">
        <f t="shared" si="224"/>
        <v>0.6716878402903812</v>
      </c>
      <c r="F660" s="78">
        <f t="shared" si="224"/>
        <v>0.59523809523809512</v>
      </c>
      <c r="G660" s="78">
        <f t="shared" si="224"/>
        <v>0.58789037603569161</v>
      </c>
      <c r="H660" s="78">
        <f t="shared" si="224"/>
        <v>0.58027191206248185</v>
      </c>
      <c r="I660" s="78">
        <f t="shared" si="224"/>
        <v>0.60931191478395319</v>
      </c>
      <c r="J660" s="78">
        <f t="shared" si="224"/>
        <v>0.62789860290940513</v>
      </c>
      <c r="K660" s="78">
        <f t="shared" si="224"/>
        <v>0.65257586450246996</v>
      </c>
      <c r="L660" s="78"/>
      <c r="M660" s="136">
        <f t="shared" si="215"/>
        <v>0.5017614450247716</v>
      </c>
      <c r="N660" s="32">
        <f t="shared" si="216"/>
        <v>0.71194202306375476</v>
      </c>
      <c r="O660" s="32">
        <f t="shared" si="217"/>
        <v>0.62992879406527613</v>
      </c>
    </row>
    <row r="661" spans="1:15" s="18" customFormat="1">
      <c r="A661" s="145" t="s">
        <v>592</v>
      </c>
      <c r="B661" s="78">
        <f>B4</f>
        <v>0</v>
      </c>
      <c r="C661" s="78">
        <f t="shared" ref="C661:K661" si="225">C4</f>
        <v>0.66732542819499341</v>
      </c>
      <c r="D661" s="78">
        <f t="shared" si="225"/>
        <v>-8.5736862900039443E-2</v>
      </c>
      <c r="E661" s="78">
        <f t="shared" si="225"/>
        <v>0.19057908383751079</v>
      </c>
      <c r="F661" s="78">
        <f t="shared" si="225"/>
        <v>0.12813067150635199</v>
      </c>
      <c r="G661" s="78">
        <f t="shared" si="225"/>
        <v>0.26206563706563718</v>
      </c>
      <c r="H661" s="78">
        <f t="shared" si="225"/>
        <v>0.32198852772466524</v>
      </c>
      <c r="I661" s="78">
        <f t="shared" si="225"/>
        <v>0.12245685083405654</v>
      </c>
      <c r="J661" s="78">
        <f t="shared" si="225"/>
        <v>0.19285284769349728</v>
      </c>
      <c r="K661" s="78">
        <f t="shared" si="225"/>
        <v>2.0452254068846137E-2</v>
      </c>
      <c r="L661" s="78">
        <f>L4</f>
        <v>-1.7713479181369028E-2</v>
      </c>
      <c r="M661" s="136"/>
      <c r="N661" s="32"/>
      <c r="O661" s="32"/>
    </row>
    <row r="662" spans="1:15" s="18" customFormat="1">
      <c r="A662" s="46" t="s">
        <v>578</v>
      </c>
      <c r="B662" s="45">
        <f>('Profit &amp; Loss'!B6-'Profit &amp; Loss'!B7)/'Profit &amp; Loss'!B4</f>
        <v>0.20487483530961786</v>
      </c>
      <c r="C662" s="45">
        <f>('Profit &amp; Loss'!C6-'Profit &amp; Loss'!C7)/'Profit &amp; Loss'!C4</f>
        <v>0.25404978269458706</v>
      </c>
      <c r="D662" s="45">
        <f>('Profit &amp; Loss'!D6-'Profit &amp; Loss'!D7)/'Profit &amp; Loss'!D4</f>
        <v>0.2203975799481418</v>
      </c>
      <c r="E662" s="45">
        <f>('Profit &amp; Loss'!E6-'Profit &amp; Loss'!E7)/'Profit &amp; Loss'!E4</f>
        <v>0.20453720508166984</v>
      </c>
      <c r="F662" s="45">
        <f>('Profit &amp; Loss'!F6-'Profit &amp; Loss'!F7)/'Profit &amp; Loss'!F4</f>
        <v>0.14897039897039882</v>
      </c>
      <c r="G662" s="45">
        <f>('Profit &amp; Loss'!G6-'Profit &amp; Loss'!G7)/'Profit &amp; Loss'!G4</f>
        <v>0.1604843849585724</v>
      </c>
      <c r="H662" s="45">
        <f>('Profit &amp; Loss'!H6-'Profit &amp; Loss'!H7)/'Profit &amp; Loss'!H4</f>
        <v>0.16738983704560778</v>
      </c>
      <c r="I662" s="45">
        <f>('Profit &amp; Loss'!I6-'Profit &amp; Loss'!I7)/'Profit &amp; Loss'!I4</f>
        <v>0.17189244910231075</v>
      </c>
      <c r="J662" s="45">
        <f>('Profit &amp; Loss'!J6-'Profit &amp; Loss'!J7)/'Profit &amp; Loss'!J4</f>
        <v>0.12271352441307806</v>
      </c>
      <c r="K662" s="45">
        <f>('Profit &amp; Loss'!K6-'Profit &amp; Loss'!K7)/'Profit &amp; Loss'!K4</f>
        <v>0.13062808750882129</v>
      </c>
      <c r="L662" s="161">
        <f>('Profit &amp; Loss'!L6-'Profit &amp; Loss'!L7)/'Profit &amp; Loss'!L4</f>
        <v>0.11933328543717221</v>
      </c>
      <c r="M662" s="136">
        <f t="shared" si="215"/>
        <v>0.1327013467028601</v>
      </c>
      <c r="N662" s="32">
        <f t="shared" si="216"/>
        <v>0.20102858303368451</v>
      </c>
      <c r="O662" s="32">
        <f t="shared" si="217"/>
        <v>0.14174468700807005</v>
      </c>
    </row>
    <row r="663" spans="1:15" s="18" customFormat="1">
      <c r="A663" s="185" t="str">
        <f>A248</f>
        <v>EBIT/Sales</v>
      </c>
      <c r="B663" s="45">
        <f t="shared" ref="B663:K663" si="226">B248</f>
        <v>0.172266139657444</v>
      </c>
      <c r="C663" s="45">
        <f t="shared" si="226"/>
        <v>0.21928091663374163</v>
      </c>
      <c r="D663" s="45">
        <f t="shared" si="226"/>
        <v>0.17545375972342267</v>
      </c>
      <c r="E663" s="45">
        <f t="shared" si="226"/>
        <v>0.15934664246823957</v>
      </c>
      <c r="F663" s="45">
        <f t="shared" si="226"/>
        <v>0.10987773487773489</v>
      </c>
      <c r="G663" s="45">
        <f t="shared" si="226"/>
        <v>0.12262587635436582</v>
      </c>
      <c r="H663" s="45">
        <f t="shared" si="226"/>
        <v>0.13431684504869348</v>
      </c>
      <c r="I663" s="45">
        <f t="shared" si="226"/>
        <v>0.15067434069238037</v>
      </c>
      <c r="J663" s="45">
        <f t="shared" si="226"/>
        <v>0.10579000432089875</v>
      </c>
      <c r="K663" s="45">
        <f t="shared" si="226"/>
        <v>0.11510232886379676</v>
      </c>
      <c r="L663" s="45">
        <f>('Profit &amp; Loss'!L10+'Profit &amp; Loss'!L9-'Profit &amp; Loss'!L7)/'Profit &amp; Loss'!L4</f>
        <v>9.9504274732380216E-2</v>
      </c>
      <c r="M663" s="136">
        <f t="shared" si="215"/>
        <v>0.10731875323495321</v>
      </c>
      <c r="N663" s="32">
        <f t="shared" si="216"/>
        <v>0.16706648464949372</v>
      </c>
      <c r="O663" s="32">
        <f t="shared" si="217"/>
        <v>0.12385555795902529</v>
      </c>
    </row>
    <row r="664" spans="1:15" s="18" customFormat="1">
      <c r="A664" s="185" t="str">
        <f>A249</f>
        <v>EBITDA/Sales</v>
      </c>
      <c r="B664" s="45">
        <f t="shared" ref="B664:K664" si="227">B249</f>
        <v>0.21673254281949936</v>
      </c>
      <c r="C664" s="45">
        <f t="shared" si="227"/>
        <v>0.2607664954563414</v>
      </c>
      <c r="D664" s="45">
        <f t="shared" si="227"/>
        <v>0.232713915298185</v>
      </c>
      <c r="E664" s="45">
        <f t="shared" si="227"/>
        <v>0.21125226860254084</v>
      </c>
      <c r="F664" s="45">
        <f t="shared" si="227"/>
        <v>0.16328828828828831</v>
      </c>
      <c r="G664" s="45">
        <f t="shared" si="227"/>
        <v>0.17093690248565965</v>
      </c>
      <c r="H664" s="45">
        <f t="shared" si="227"/>
        <v>0.17481438626940507</v>
      </c>
      <c r="I664" s="45">
        <f t="shared" si="227"/>
        <v>0.18151361566875698</v>
      </c>
      <c r="J664" s="45">
        <f t="shared" si="227"/>
        <v>0.13884487973498488</v>
      </c>
      <c r="K664" s="45">
        <f t="shared" si="227"/>
        <v>0.14918842625264644</v>
      </c>
      <c r="L664" s="45">
        <f>('Profit &amp; Loss'!L10+'Profit &amp; Loss'!L9+'Profit &amp; Loss'!L8-'Profit &amp; Loss'!L7)/'Profit &amp; Loss'!L4</f>
        <v>0.13636037071628709</v>
      </c>
      <c r="M664" s="136">
        <f t="shared" si="215"/>
        <v>0.1422552682600467</v>
      </c>
      <c r="N664" s="32">
        <f t="shared" si="216"/>
        <v>0.21878276987755735</v>
      </c>
      <c r="O664" s="32">
        <f t="shared" si="217"/>
        <v>0.15651564055212944</v>
      </c>
    </row>
    <row r="665" spans="1:15" s="18" customFormat="1">
      <c r="A665" s="138" t="s">
        <v>18</v>
      </c>
      <c r="B665" s="45">
        <f>'Profit &amp; Loss'!B19</f>
        <v>0.2167325428194993</v>
      </c>
      <c r="C665" s="45">
        <f>'Profit &amp; Loss'!C19</f>
        <v>0.26076649545634129</v>
      </c>
      <c r="D665" s="45">
        <f>'Profit &amp; Loss'!D19</f>
        <v>0.23271391529818503</v>
      </c>
      <c r="E665" s="45">
        <f>'Profit &amp; Loss'!E19</f>
        <v>0.21125226860254098</v>
      </c>
      <c r="F665" s="45">
        <f>'Profit &amp; Loss'!F19</f>
        <v>0.16328828828828815</v>
      </c>
      <c r="G665" s="45">
        <f>'Profit &amp; Loss'!G19</f>
        <v>0.17080943275971963</v>
      </c>
      <c r="H665" s="45">
        <f>'Profit &amp; Loss'!H19</f>
        <v>0.1748143862694049</v>
      </c>
      <c r="I665" s="45">
        <f>'Profit &amp; Loss'!I19</f>
        <v>0.18151361566875696</v>
      </c>
      <c r="J665" s="45">
        <f>'Profit &amp; Loss'!J19</f>
        <v>0.13891689471410068</v>
      </c>
      <c r="K665" s="45">
        <f>'Profit &amp; Loss'!K19</f>
        <v>0.14925899788285094</v>
      </c>
      <c r="L665" s="45">
        <f>'Profit &amp; Loss'!L19</f>
        <v>0.13628852647460304</v>
      </c>
      <c r="M665" s="136">
        <f t="shared" si="215"/>
        <v>0.14225677994838473</v>
      </c>
      <c r="N665" s="32">
        <f t="shared" si="216"/>
        <v>0.21877172674356413</v>
      </c>
      <c r="O665" s="32">
        <f t="shared" si="217"/>
        <v>0.15656316942190285</v>
      </c>
    </row>
    <row r="666" spans="1:15" s="18" customFormat="1" hidden="1">
      <c r="A666" s="138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136">
        <f t="shared" si="215"/>
        <v>0</v>
      </c>
      <c r="N666" s="32">
        <f t="shared" si="216"/>
        <v>0</v>
      </c>
      <c r="O666" s="32">
        <f t="shared" si="217"/>
        <v>0</v>
      </c>
    </row>
    <row r="667" spans="1:15" s="18" customFormat="1" hidden="1">
      <c r="A667" s="57" t="s">
        <v>9</v>
      </c>
      <c r="B667" s="143">
        <f>'Profit &amp; Loss'!B7</f>
        <v>0.36</v>
      </c>
      <c r="C667" s="143">
        <f>'Profit &amp; Loss'!C7</f>
        <v>0.34</v>
      </c>
      <c r="D667" s="143">
        <f>'Profit &amp; Loss'!D7</f>
        <v>0.56999999999999995</v>
      </c>
      <c r="E667" s="143">
        <f>'Profit &amp; Loss'!E7</f>
        <v>0.37</v>
      </c>
      <c r="F667" s="143">
        <f>'Profit &amp; Loss'!F7</f>
        <v>0.89</v>
      </c>
      <c r="G667" s="143">
        <f>'Profit &amp; Loss'!G7</f>
        <v>0.81</v>
      </c>
      <c r="H667" s="143">
        <f>'Profit &amp; Loss'!H7</f>
        <v>0.77</v>
      </c>
      <c r="I667" s="143">
        <f>'Profit &amp; Loss'!I7</f>
        <v>1.1200000000000001</v>
      </c>
      <c r="J667" s="143">
        <f>'Profit &amp; Loss'!J7</f>
        <v>2.25</v>
      </c>
      <c r="K667" s="143">
        <f>'Profit &amp; Loss'!K7</f>
        <v>2.64</v>
      </c>
      <c r="L667" s="143"/>
      <c r="M667" s="136">
        <f t="shared" si="215"/>
        <v>0.94199999999999995</v>
      </c>
      <c r="N667" s="32">
        <f t="shared" si="216"/>
        <v>1.7063999999999999</v>
      </c>
      <c r="O667" s="32">
        <f t="shared" si="217"/>
        <v>2.0033333333333334</v>
      </c>
    </row>
    <row r="668" spans="1:15" s="18" customFormat="1" hidden="1">
      <c r="A668" s="57" t="s">
        <v>11</v>
      </c>
      <c r="B668" s="143">
        <f>'Profit &amp; Loss'!B9</f>
        <v>1.1200000000000001</v>
      </c>
      <c r="C668" s="143">
        <f>'Profit &amp; Loss'!C9</f>
        <v>2.46</v>
      </c>
      <c r="D668" s="143">
        <f>'Profit &amp; Loss'!D9</f>
        <v>1.21</v>
      </c>
      <c r="E668" s="143">
        <f>'Profit &amp; Loss'!E9</f>
        <v>1.59</v>
      </c>
      <c r="F668" s="143">
        <f>'Profit &amp; Loss'!F9</f>
        <v>2.41</v>
      </c>
      <c r="G668" s="143">
        <f>'Profit &amp; Loss'!G9</f>
        <v>3.26</v>
      </c>
      <c r="H668" s="143">
        <f>'Profit &amp; Loss'!H9</f>
        <v>4.18</v>
      </c>
      <c r="I668" s="143">
        <f>'Profit &amp; Loss'!I9</f>
        <v>5.49</v>
      </c>
      <c r="J668" s="143">
        <f>'Profit &amp; Loss'!J9</f>
        <v>5.88</v>
      </c>
      <c r="K668" s="143">
        <f>'Profit &amp; Loss'!K9</f>
        <v>5.75</v>
      </c>
      <c r="L668" s="143"/>
      <c r="M668" s="136">
        <f t="shared" si="215"/>
        <v>2.9769999999999999</v>
      </c>
      <c r="N668" s="32">
        <f t="shared" si="216"/>
        <v>5.5073999999999996</v>
      </c>
      <c r="O668" s="32">
        <f t="shared" si="217"/>
        <v>5.706666666666667</v>
      </c>
    </row>
    <row r="669" spans="1:15" s="18" customFormat="1" hidden="1">
      <c r="A669" s="57" t="s">
        <v>276</v>
      </c>
      <c r="B669" s="143">
        <f>'Profit &amp; Loss'!B10</f>
        <v>4.47</v>
      </c>
      <c r="C669" s="143">
        <f>'Profit &amp; Loss'!C10</f>
        <v>8.98</v>
      </c>
      <c r="D669" s="143">
        <f>'Profit &amp; Loss'!D10</f>
        <v>7.48</v>
      </c>
      <c r="E669" s="143">
        <f>'Profit &amp; Loss'!E10</f>
        <v>7.56</v>
      </c>
      <c r="F669" s="143">
        <f>'Profit &amp; Loss'!F10</f>
        <v>5.31</v>
      </c>
      <c r="G669" s="143">
        <f>'Profit &amp; Loss'!G10</f>
        <v>7.17</v>
      </c>
      <c r="H669" s="143">
        <f>'Profit &amp; Loss'!H10</f>
        <v>10.52</v>
      </c>
      <c r="I669" s="143">
        <f>'Profit &amp; Loss'!I10</f>
        <v>13.17</v>
      </c>
      <c r="J669" s="143">
        <f>'Profit &amp; Loss'!J10</f>
        <v>11.06</v>
      </c>
      <c r="K669" s="143">
        <f>'Profit &amp; Loss'!K10</f>
        <v>13.2</v>
      </c>
      <c r="L669" s="143"/>
      <c r="M669" s="136">
        <f t="shared" si="215"/>
        <v>7.5469999999999997</v>
      </c>
      <c r="N669" s="32">
        <f t="shared" si="216"/>
        <v>12.5334</v>
      </c>
      <c r="O669" s="32">
        <f t="shared" si="217"/>
        <v>12.476666666666667</v>
      </c>
    </row>
    <row r="670" spans="1:15" s="18" customFormat="1" hidden="1">
      <c r="A670" s="57" t="s">
        <v>418</v>
      </c>
      <c r="B670" s="45">
        <f>'Profit &amp; Loss'!B11/'Profit &amp; Loss'!B10</f>
        <v>0.18568232662192394</v>
      </c>
      <c r="C670" s="45">
        <f>'Profit &amp; Loss'!C11/'Profit &amp; Loss'!C10</f>
        <v>0.17817371937639198</v>
      </c>
      <c r="D670" s="45">
        <f>'Profit &amp; Loss'!D11/'Profit &amp; Loss'!D10</f>
        <v>0.20989304812834225</v>
      </c>
      <c r="E670" s="45">
        <f>'Profit &amp; Loss'!E11/'Profit &amp; Loss'!E10</f>
        <v>0.19973544973544974</v>
      </c>
      <c r="F670" s="45">
        <f>'Profit &amp; Loss'!F11/'Profit &amp; Loss'!F10</f>
        <v>0.25800376647834278</v>
      </c>
      <c r="G670" s="45">
        <f>'Profit &amp; Loss'!G11/'Profit &amp; Loss'!G10</f>
        <v>0.23152022315202231</v>
      </c>
      <c r="H670" s="45">
        <f>'Profit &amp; Loss'!H11/'Profit &amp; Loss'!H10</f>
        <v>0.2414448669201521</v>
      </c>
      <c r="I670" s="45">
        <f>'Profit &amp; Loss'!I11/'Profit &amp; Loss'!I10</f>
        <v>0.28018223234624146</v>
      </c>
      <c r="J670" s="45">
        <f>'Profit &amp; Loss'!J11/'Profit &amp; Loss'!J10</f>
        <v>0.36347197106690771</v>
      </c>
      <c r="K670" s="45">
        <f>'Profit &amp; Loss'!K11/'Profit &amp; Loss'!K10</f>
        <v>0.36969696969696969</v>
      </c>
      <c r="L670" s="45"/>
      <c r="M670" s="136">
        <f t="shared" si="215"/>
        <v>0.2153948527524428</v>
      </c>
      <c r="N670" s="32">
        <f t="shared" si="216"/>
        <v>0.34034222318694718</v>
      </c>
      <c r="O670" s="32">
        <f t="shared" si="217"/>
        <v>0.33778372437003962</v>
      </c>
    </row>
    <row r="671" spans="1:15" s="18" customFormat="1" hidden="1">
      <c r="A671" s="57" t="s">
        <v>154</v>
      </c>
      <c r="B671" s="143">
        <f>'Profit &amp; Loss'!B12</f>
        <v>3.64</v>
      </c>
      <c r="C671" s="143">
        <f>'Profit &amp; Loss'!C12</f>
        <v>7.38</v>
      </c>
      <c r="D671" s="143">
        <f>'Profit &amp; Loss'!D12</f>
        <v>5.91</v>
      </c>
      <c r="E671" s="143">
        <f>'Profit &amp; Loss'!E12</f>
        <v>6.05</v>
      </c>
      <c r="F671" s="143">
        <f>'Profit &amp; Loss'!F12</f>
        <v>3.94</v>
      </c>
      <c r="G671" s="143">
        <f>'Profit &amp; Loss'!G12</f>
        <v>5.5</v>
      </c>
      <c r="H671" s="143">
        <f>'Profit &amp; Loss'!H12</f>
        <v>7.98</v>
      </c>
      <c r="I671" s="143">
        <f>'Profit &amp; Loss'!I12</f>
        <v>9.48</v>
      </c>
      <c r="J671" s="143">
        <f>'Profit &amp; Loss'!J12</f>
        <v>7.05</v>
      </c>
      <c r="K671" s="143">
        <f>'Profit &amp; Loss'!K12</f>
        <v>8.32</v>
      </c>
      <c r="L671" s="143"/>
      <c r="M671" s="136">
        <f t="shared" si="215"/>
        <v>5.423</v>
      </c>
      <c r="N671" s="32">
        <f t="shared" si="216"/>
        <v>8.7506000000000004</v>
      </c>
      <c r="O671" s="32">
        <f t="shared" si="217"/>
        <v>8.2833333333333332</v>
      </c>
    </row>
    <row r="672" spans="1:15" s="18" customFormat="1">
      <c r="A672" s="138" t="s">
        <v>134</v>
      </c>
      <c r="B672" s="45">
        <f t="shared" ref="B672:K672" si="228">B671/B648</f>
        <v>0.11989459815546773</v>
      </c>
      <c r="C672" s="45">
        <f t="shared" si="228"/>
        <v>0.1457921770051363</v>
      </c>
      <c r="D672" s="45">
        <f t="shared" si="228"/>
        <v>0.12770095073465859</v>
      </c>
      <c r="E672" s="45">
        <f t="shared" si="228"/>
        <v>0.10980036297640652</v>
      </c>
      <c r="F672" s="45">
        <f t="shared" si="228"/>
        <v>6.3384813384813388E-2</v>
      </c>
      <c r="G672" s="45">
        <f t="shared" si="228"/>
        <v>7.0108349267049078E-2</v>
      </c>
      <c r="H672" s="45">
        <f t="shared" si="228"/>
        <v>7.6945328319352052E-2</v>
      </c>
      <c r="I672" s="45">
        <f t="shared" si="228"/>
        <v>8.1436302723133763E-2</v>
      </c>
      <c r="J672" s="45">
        <f t="shared" si="228"/>
        <v>5.0770560276537514E-2</v>
      </c>
      <c r="K672" s="45">
        <f t="shared" si="228"/>
        <v>5.8715596330275233E-2</v>
      </c>
      <c r="L672" s="45">
        <f>'Profit &amp; Loss'!L12/'Profit &amp; Loss'!L4</f>
        <v>5.1296788562396722E-2</v>
      </c>
      <c r="M672" s="136">
        <f t="shared" si="215"/>
        <v>6.3886226401222601E-2</v>
      </c>
      <c r="N672" s="32">
        <f t="shared" si="216"/>
        <v>9.06318303759934E-2</v>
      </c>
      <c r="O672" s="32">
        <f t="shared" si="217"/>
        <v>6.364081977664883E-2</v>
      </c>
    </row>
    <row r="673" spans="1:15" s="18" customFormat="1" hidden="1">
      <c r="A673" s="57" t="s">
        <v>420</v>
      </c>
      <c r="B673" s="143">
        <f>'Cash Flow'!B4</f>
        <v>3.88</v>
      </c>
      <c r="C673" s="143">
        <f>'Cash Flow'!C4</f>
        <v>6.26</v>
      </c>
      <c r="D673" s="143">
        <f>'Cash Flow'!D4</f>
        <v>9.41</v>
      </c>
      <c r="E673" s="143">
        <f>'Cash Flow'!E4</f>
        <v>2.97</v>
      </c>
      <c r="F673" s="143">
        <f>'Cash Flow'!F4</f>
        <v>7.35</v>
      </c>
      <c r="G673" s="143">
        <f>'Cash Flow'!G4</f>
        <v>2.94</v>
      </c>
      <c r="H673" s="143">
        <f>'Cash Flow'!H4</f>
        <v>6.83</v>
      </c>
      <c r="I673" s="143">
        <f>'Cash Flow'!I4</f>
        <v>12.63</v>
      </c>
      <c r="J673" s="143">
        <f>'Cash Flow'!J4</f>
        <v>1.38</v>
      </c>
      <c r="K673" s="143">
        <f>'Cash Flow'!K4</f>
        <v>3.18</v>
      </c>
      <c r="L673" s="143"/>
      <c r="M673" s="136">
        <f t="shared" si="215"/>
        <v>4.6690000000000005</v>
      </c>
      <c r="N673" s="32">
        <f t="shared" si="216"/>
        <v>6.3257999999999992</v>
      </c>
      <c r="O673" s="32">
        <f t="shared" si="217"/>
        <v>5.73</v>
      </c>
    </row>
    <row r="674" spans="1:15" s="18" customFormat="1" hidden="1">
      <c r="A674" s="57" t="s">
        <v>421</v>
      </c>
      <c r="B674" s="46">
        <f>B315</f>
        <v>0</v>
      </c>
      <c r="C674" s="46">
        <f t="shared" ref="C674:K674" si="229">C315</f>
        <v>6.5900000000000016</v>
      </c>
      <c r="D674" s="46">
        <f t="shared" si="229"/>
        <v>5.259999999999998</v>
      </c>
      <c r="E674" s="46">
        <f t="shared" si="229"/>
        <v>5.35</v>
      </c>
      <c r="F674" s="46">
        <f t="shared" si="229"/>
        <v>3.4299999999999997</v>
      </c>
      <c r="G674" s="46">
        <f t="shared" si="229"/>
        <v>7.6900000000000022</v>
      </c>
      <c r="H674" s="46">
        <f t="shared" si="229"/>
        <v>7.9899999999999975</v>
      </c>
      <c r="I674" s="46">
        <f t="shared" si="229"/>
        <v>10.870000000000001</v>
      </c>
      <c r="J674" s="46">
        <f t="shared" si="229"/>
        <v>7.8299999999999983</v>
      </c>
      <c r="K674" s="46">
        <f t="shared" si="229"/>
        <v>12.680000000000007</v>
      </c>
      <c r="L674" s="46"/>
      <c r="M674" s="136">
        <f t="shared" si="215"/>
        <v>6.1100000000000012</v>
      </c>
      <c r="N674" s="32">
        <f t="shared" si="216"/>
        <v>10.634</v>
      </c>
      <c r="O674" s="32">
        <f t="shared" si="217"/>
        <v>10.460000000000003</v>
      </c>
    </row>
    <row r="675" spans="1:15" s="18" customFormat="1" hidden="1">
      <c r="A675" s="57" t="s">
        <v>422</v>
      </c>
      <c r="B675" s="143">
        <f>'Balance Sheet'!B6</f>
        <v>12.74</v>
      </c>
      <c r="C675" s="143">
        <f>'Balance Sheet'!C6</f>
        <v>13.32</v>
      </c>
      <c r="D675" s="143">
        <f>'Balance Sheet'!D6</f>
        <v>9.27</v>
      </c>
      <c r="E675" s="143">
        <f>'Balance Sheet'!E6</f>
        <v>17.059999999999999</v>
      </c>
      <c r="F675" s="143">
        <f>'Balance Sheet'!F6</f>
        <v>18.52</v>
      </c>
      <c r="G675" s="143">
        <f>'Balance Sheet'!G6</f>
        <v>26.93</v>
      </c>
      <c r="H675" s="143">
        <f>'Balance Sheet'!H6</f>
        <v>36.82</v>
      </c>
      <c r="I675" s="143">
        <f>'Balance Sheet'!I6</f>
        <v>53.64</v>
      </c>
      <c r="J675" s="143">
        <f>'Balance Sheet'!J6</f>
        <v>46.87</v>
      </c>
      <c r="K675" s="143">
        <f>'Balance Sheet'!K6</f>
        <v>61.18</v>
      </c>
      <c r="L675" s="143"/>
      <c r="M675" s="136">
        <f t="shared" si="215"/>
        <v>27.029000000000003</v>
      </c>
      <c r="N675" s="32">
        <f t="shared" si="216"/>
        <v>50.4938</v>
      </c>
      <c r="O675" s="32">
        <f t="shared" si="217"/>
        <v>53.896666666666668</v>
      </c>
    </row>
    <row r="676" spans="1:15" s="18" customFormat="1" hidden="1">
      <c r="A676" s="57" t="s">
        <v>423</v>
      </c>
      <c r="B676" s="143">
        <f>'Data Sheet'!B69+'Data Sheet'!B64</f>
        <v>0.92</v>
      </c>
      <c r="C676" s="143">
        <f>'Data Sheet'!C69+'Data Sheet'!C64</f>
        <v>0.88</v>
      </c>
      <c r="D676" s="143">
        <f>'Data Sheet'!D69+'Data Sheet'!D64</f>
        <v>1.03</v>
      </c>
      <c r="E676" s="143">
        <f>'Data Sheet'!E69+'Data Sheet'!E64</f>
        <v>1.4100000000000001</v>
      </c>
      <c r="F676" s="143">
        <f>'Data Sheet'!F69+'Data Sheet'!F64</f>
        <v>2.5700000000000003</v>
      </c>
      <c r="G676" s="143">
        <f>'Data Sheet'!G69+'Data Sheet'!G64</f>
        <v>7.0500000000000007</v>
      </c>
      <c r="H676" s="143">
        <f>'Data Sheet'!H69+'Data Sheet'!H64</f>
        <v>9.4400000000000013</v>
      </c>
      <c r="I676" s="143">
        <f>'Data Sheet'!I69+'Data Sheet'!I64</f>
        <v>17.830000000000002</v>
      </c>
      <c r="J676" s="143">
        <f>'Data Sheet'!J69+'Data Sheet'!J64</f>
        <v>39.1</v>
      </c>
      <c r="K676" s="143">
        <f>'Data Sheet'!K69+'Data Sheet'!K64</f>
        <v>33.94</v>
      </c>
      <c r="L676" s="143"/>
      <c r="M676" s="136">
        <f t="shared" si="215"/>
        <v>11.237</v>
      </c>
      <c r="N676" s="32">
        <f t="shared" si="216"/>
        <v>23.7194</v>
      </c>
      <c r="O676" s="32">
        <f t="shared" si="217"/>
        <v>30.290000000000003</v>
      </c>
    </row>
    <row r="677" spans="1:15" s="18" customFormat="1" hidden="1">
      <c r="A677" s="57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36">
        <f t="shared" si="215"/>
        <v>0</v>
      </c>
      <c r="N677" s="32">
        <f t="shared" si="216"/>
        <v>0</v>
      </c>
      <c r="O677" s="32">
        <f t="shared" si="217"/>
        <v>0</v>
      </c>
    </row>
    <row r="678" spans="1:15" s="18" customFormat="1" hidden="1">
      <c r="A678" s="57" t="str">
        <f>A241</f>
        <v>PAT</v>
      </c>
      <c r="B678" s="57">
        <f t="shared" ref="B678:K678" si="230">B241</f>
        <v>3.64</v>
      </c>
      <c r="C678" s="57">
        <f t="shared" si="230"/>
        <v>7.38</v>
      </c>
      <c r="D678" s="57">
        <f t="shared" si="230"/>
        <v>5.91</v>
      </c>
      <c r="E678" s="57">
        <f t="shared" si="230"/>
        <v>6.05</v>
      </c>
      <c r="F678" s="57">
        <f t="shared" si="230"/>
        <v>3.94</v>
      </c>
      <c r="G678" s="57">
        <f t="shared" si="230"/>
        <v>5.5</v>
      </c>
      <c r="H678" s="57">
        <f t="shared" si="230"/>
        <v>7.98</v>
      </c>
      <c r="I678" s="57">
        <f t="shared" si="230"/>
        <v>9.48</v>
      </c>
      <c r="J678" s="57">
        <f t="shared" si="230"/>
        <v>7.05</v>
      </c>
      <c r="K678" s="57">
        <f t="shared" si="230"/>
        <v>8.32</v>
      </c>
      <c r="L678" s="57"/>
      <c r="M678" s="136">
        <f t="shared" si="215"/>
        <v>5.423</v>
      </c>
      <c r="N678" s="32">
        <f t="shared" si="216"/>
        <v>8.7506000000000004</v>
      </c>
      <c r="O678" s="32">
        <f t="shared" si="217"/>
        <v>8.2833333333333332</v>
      </c>
    </row>
    <row r="679" spans="1:15" s="18" customFormat="1" hidden="1">
      <c r="A679" s="57" t="str">
        <f t="shared" ref="A679:K683" si="231">A242</f>
        <v>Operating CashFlow</v>
      </c>
      <c r="B679" s="57">
        <f t="shared" si="231"/>
        <v>3.88</v>
      </c>
      <c r="C679" s="57">
        <f t="shared" si="231"/>
        <v>6.26</v>
      </c>
      <c r="D679" s="57">
        <f t="shared" si="231"/>
        <v>9.41</v>
      </c>
      <c r="E679" s="57">
        <f t="shared" si="231"/>
        <v>2.97</v>
      </c>
      <c r="F679" s="57">
        <f t="shared" si="231"/>
        <v>7.35</v>
      </c>
      <c r="G679" s="57">
        <f t="shared" si="231"/>
        <v>2.94</v>
      </c>
      <c r="H679" s="57">
        <f t="shared" si="231"/>
        <v>6.83</v>
      </c>
      <c r="I679" s="57">
        <f t="shared" si="231"/>
        <v>12.63</v>
      </c>
      <c r="J679" s="57">
        <f t="shared" si="231"/>
        <v>1.38</v>
      </c>
      <c r="K679" s="57">
        <f t="shared" si="231"/>
        <v>3.18</v>
      </c>
      <c r="L679" s="57"/>
      <c r="M679" s="136">
        <f t="shared" si="215"/>
        <v>4.6690000000000005</v>
      </c>
      <c r="N679" s="32">
        <f t="shared" si="216"/>
        <v>6.3257999999999992</v>
      </c>
      <c r="O679" s="32">
        <f t="shared" si="217"/>
        <v>5.73</v>
      </c>
    </row>
    <row r="680" spans="1:15" s="18" customFormat="1" hidden="1">
      <c r="A680" s="57" t="str">
        <f t="shared" si="231"/>
        <v>Sum of PAT - 3 Years</v>
      </c>
      <c r="B680" s="57">
        <f t="shared" si="231"/>
        <v>0</v>
      </c>
      <c r="C680" s="57">
        <f t="shared" si="231"/>
        <v>0</v>
      </c>
      <c r="D680" s="57">
        <f t="shared" si="231"/>
        <v>16.93</v>
      </c>
      <c r="E680" s="57">
        <f t="shared" si="231"/>
        <v>19.34</v>
      </c>
      <c r="F680" s="57">
        <f t="shared" si="231"/>
        <v>15.9</v>
      </c>
      <c r="G680" s="57">
        <f t="shared" si="231"/>
        <v>15.49</v>
      </c>
      <c r="H680" s="57">
        <f t="shared" si="231"/>
        <v>17.420000000000002</v>
      </c>
      <c r="I680" s="57">
        <f t="shared" si="231"/>
        <v>22.96</v>
      </c>
      <c r="J680" s="57">
        <f t="shared" si="231"/>
        <v>24.51</v>
      </c>
      <c r="K680" s="57">
        <f t="shared" si="231"/>
        <v>24.85</v>
      </c>
      <c r="L680" s="57"/>
      <c r="M680" s="136">
        <f t="shared" si="215"/>
        <v>15.739999999999998</v>
      </c>
      <c r="N680" s="32">
        <f t="shared" si="216"/>
        <v>24.194000000000003</v>
      </c>
      <c r="O680" s="32">
        <f t="shared" si="217"/>
        <v>24.106666666666666</v>
      </c>
    </row>
    <row r="681" spans="1:15" s="18" customFormat="1" hidden="1">
      <c r="A681" s="57" t="str">
        <f t="shared" si="231"/>
        <v>Sum of Operating cashFlow - 3 Years</v>
      </c>
      <c r="B681" s="57">
        <f t="shared" si="231"/>
        <v>0</v>
      </c>
      <c r="C681" s="57">
        <f t="shared" si="231"/>
        <v>0</v>
      </c>
      <c r="D681" s="57">
        <f t="shared" si="231"/>
        <v>19.55</v>
      </c>
      <c r="E681" s="57">
        <f t="shared" si="231"/>
        <v>18.64</v>
      </c>
      <c r="F681" s="57">
        <f t="shared" si="231"/>
        <v>19.73</v>
      </c>
      <c r="G681" s="57">
        <f t="shared" si="231"/>
        <v>13.26</v>
      </c>
      <c r="H681" s="57">
        <f t="shared" si="231"/>
        <v>17.119999999999997</v>
      </c>
      <c r="I681" s="57">
        <f t="shared" si="231"/>
        <v>22.4</v>
      </c>
      <c r="J681" s="57">
        <f t="shared" si="231"/>
        <v>20.84</v>
      </c>
      <c r="K681" s="57">
        <f t="shared" si="231"/>
        <v>17.190000000000001</v>
      </c>
      <c r="L681" s="57"/>
      <c r="M681" s="136">
        <f t="shared" si="215"/>
        <v>14.873000000000001</v>
      </c>
      <c r="N681" s="32">
        <f t="shared" si="216"/>
        <v>21.136599999999998</v>
      </c>
      <c r="O681" s="32">
        <f t="shared" si="217"/>
        <v>20.143333333333331</v>
      </c>
    </row>
    <row r="682" spans="1:15" s="18" customFormat="1" hidden="1">
      <c r="A682" s="57" t="str">
        <f t="shared" si="231"/>
        <v>Sum of PAT - 5 Years</v>
      </c>
      <c r="B682" s="57">
        <f t="shared" si="231"/>
        <v>0</v>
      </c>
      <c r="C682" s="57">
        <f t="shared" si="231"/>
        <v>0</v>
      </c>
      <c r="D682" s="57">
        <f t="shared" si="231"/>
        <v>0</v>
      </c>
      <c r="E682" s="57">
        <f t="shared" si="231"/>
        <v>0</v>
      </c>
      <c r="F682" s="57">
        <f t="shared" si="231"/>
        <v>26.92</v>
      </c>
      <c r="G682" s="57">
        <f t="shared" si="231"/>
        <v>28.78</v>
      </c>
      <c r="H682" s="57">
        <f t="shared" si="231"/>
        <v>29.38</v>
      </c>
      <c r="I682" s="57">
        <f t="shared" si="231"/>
        <v>32.950000000000003</v>
      </c>
      <c r="J682" s="57">
        <f t="shared" si="231"/>
        <v>33.950000000000003</v>
      </c>
      <c r="K682" s="57">
        <f t="shared" si="231"/>
        <v>38.33</v>
      </c>
      <c r="L682" s="57"/>
      <c r="M682" s="136">
        <f t="shared" si="215"/>
        <v>19.030999999999999</v>
      </c>
      <c r="N682" s="32">
        <f t="shared" si="216"/>
        <v>36.484200000000001</v>
      </c>
      <c r="O682" s="32">
        <f t="shared" si="217"/>
        <v>35.076666666666668</v>
      </c>
    </row>
    <row r="683" spans="1:15" s="18" customFormat="1" hidden="1">
      <c r="A683" s="57" t="str">
        <f t="shared" si="231"/>
        <v>Sum of Operating cashFlow - 5 Years</v>
      </c>
      <c r="B683" s="57">
        <f t="shared" si="231"/>
        <v>0</v>
      </c>
      <c r="C683" s="57">
        <f t="shared" si="231"/>
        <v>0</v>
      </c>
      <c r="D683" s="57">
        <f t="shared" si="231"/>
        <v>0</v>
      </c>
      <c r="E683" s="57">
        <f t="shared" si="231"/>
        <v>0</v>
      </c>
      <c r="F683" s="57">
        <f t="shared" si="231"/>
        <v>29.869999999999997</v>
      </c>
      <c r="G683" s="57">
        <f t="shared" si="231"/>
        <v>28.930000000000003</v>
      </c>
      <c r="H683" s="57">
        <f t="shared" si="231"/>
        <v>29.5</v>
      </c>
      <c r="I683" s="57">
        <f t="shared" si="231"/>
        <v>32.72</v>
      </c>
      <c r="J683" s="57">
        <f t="shared" si="231"/>
        <v>31.13</v>
      </c>
      <c r="K683" s="57">
        <f t="shared" si="231"/>
        <v>26.959999999999997</v>
      </c>
      <c r="L683" s="57"/>
      <c r="M683" s="136">
        <f t="shared" si="215"/>
        <v>17.911000000000001</v>
      </c>
      <c r="N683" s="32">
        <f t="shared" si="216"/>
        <v>33.430199999999999</v>
      </c>
      <c r="O683" s="32">
        <f t="shared" si="217"/>
        <v>30.269999999999996</v>
      </c>
    </row>
    <row r="684" spans="1:15" s="18" customFormat="1" hidden="1">
      <c r="A684" s="57" t="s">
        <v>445</v>
      </c>
      <c r="B684" s="46"/>
      <c r="C684" s="69"/>
      <c r="D684" s="46"/>
      <c r="E684" s="46"/>
      <c r="F684" s="46"/>
      <c r="G684" s="46"/>
      <c r="H684" s="46"/>
      <c r="I684" s="46"/>
      <c r="J684" s="46"/>
      <c r="K684" s="143">
        <f>SUM(B678:K678)</f>
        <v>65.25</v>
      </c>
      <c r="L684" s="143"/>
      <c r="M684" s="136">
        <f t="shared" si="215"/>
        <v>6.5250000000000004</v>
      </c>
      <c r="N684" s="32">
        <f t="shared" si="216"/>
        <v>14.355</v>
      </c>
      <c r="O684" s="32">
        <f t="shared" si="217"/>
        <v>21.75</v>
      </c>
    </row>
    <row r="685" spans="1:15" s="18" customFormat="1" hidden="1">
      <c r="A685" s="57" t="s">
        <v>446</v>
      </c>
      <c r="B685" s="46"/>
      <c r="C685" s="69"/>
      <c r="D685" s="46"/>
      <c r="E685" s="46"/>
      <c r="F685" s="46"/>
      <c r="G685" s="46"/>
      <c r="H685" s="46"/>
      <c r="I685" s="46"/>
      <c r="J685" s="46"/>
      <c r="K685" s="143">
        <f>SUM(B679:K679)</f>
        <v>56.83</v>
      </c>
      <c r="L685" s="143"/>
      <c r="M685" s="136">
        <f t="shared" si="215"/>
        <v>5.6829999999999998</v>
      </c>
      <c r="N685" s="32">
        <f t="shared" si="216"/>
        <v>12.502599999999999</v>
      </c>
      <c r="O685" s="32">
        <f t="shared" si="217"/>
        <v>18.943333333333332</v>
      </c>
    </row>
    <row r="686" spans="1:15" s="18" customFormat="1" hidden="1">
      <c r="A686" s="155"/>
      <c r="C686" s="112"/>
      <c r="M686" s="136">
        <f t="shared" si="215"/>
        <v>0</v>
      </c>
      <c r="N686" s="32">
        <f t="shared" si="216"/>
        <v>0</v>
      </c>
      <c r="O686" s="32">
        <f t="shared" si="217"/>
        <v>0</v>
      </c>
    </row>
    <row r="687" spans="1:15" s="18" customFormat="1" hidden="1">
      <c r="A687" s="57" t="s">
        <v>200</v>
      </c>
      <c r="B687" s="45">
        <f>B537</f>
        <v>0</v>
      </c>
      <c r="C687" s="45">
        <f t="shared" ref="C687:K687" si="232">C537</f>
        <v>0</v>
      </c>
      <c r="D687" s="45">
        <f t="shared" si="232"/>
        <v>0.19117296843313314</v>
      </c>
      <c r="E687" s="45">
        <f t="shared" si="232"/>
        <v>0.17782187078216705</v>
      </c>
      <c r="F687" s="45">
        <f t="shared" si="232"/>
        <v>6.6520280933562104E-2</v>
      </c>
      <c r="G687" s="45">
        <f t="shared" si="232"/>
        <v>2.9194037848873755E-2</v>
      </c>
      <c r="H687" s="45">
        <f t="shared" si="232"/>
        <v>1.6407523839078397E-2</v>
      </c>
      <c r="I687" s="45">
        <f t="shared" si="232"/>
        <v>7.0948538562361385E-2</v>
      </c>
      <c r="J687" s="45">
        <f t="shared" si="232"/>
        <v>6.4091875098654327E-2</v>
      </c>
      <c r="K687" s="45">
        <f t="shared" si="232"/>
        <v>7.0798045415872091E-2</v>
      </c>
      <c r="L687" s="45"/>
      <c r="M687" s="136">
        <f t="shared" si="215"/>
        <v>6.869551409137023E-2</v>
      </c>
      <c r="N687" s="32">
        <f t="shared" si="216"/>
        <v>6.4027106971242032E-2</v>
      </c>
      <c r="O687" s="32">
        <f t="shared" si="217"/>
        <v>6.8612819692295934E-2</v>
      </c>
    </row>
    <row r="688" spans="1:15" s="51" customFormat="1" hidden="1">
      <c r="A688" s="161" t="s">
        <v>424</v>
      </c>
      <c r="B688" s="161"/>
      <c r="C688" s="45">
        <f>'Profit &amp; Loss'!C10*2/('Balance Sheet'!C10+'Balance Sheet'!B10)</f>
        <v>0.69828926905132205</v>
      </c>
      <c r="D688" s="45">
        <f>'Profit &amp; Loss'!D10*2/('Balance Sheet'!D10+'Balance Sheet'!C10)</f>
        <v>0.45554202192448234</v>
      </c>
      <c r="E688" s="45">
        <f>'Profit &amp; Loss'!E10*2/('Balance Sheet'!E10+'Balance Sheet'!D10)</f>
        <v>0.39779005524861877</v>
      </c>
      <c r="F688" s="45">
        <f>'Profit &amp; Loss'!F10*2/('Balance Sheet'!F10+'Balance Sheet'!E10)</f>
        <v>0.25940400586223744</v>
      </c>
      <c r="G688" s="45">
        <f>'Profit &amp; Loss'!G10*2/('Balance Sheet'!G10+'Balance Sheet'!F10)</f>
        <v>0.31613756613756616</v>
      </c>
      <c r="H688" s="45">
        <f>'Profit &amp; Loss'!H10*2/('Balance Sheet'!H10+'Balance Sheet'!G10)</f>
        <v>0.39977199315979484</v>
      </c>
      <c r="I688" s="45">
        <f>'Profit &amp; Loss'!I10*2/('Balance Sheet'!I10+'Balance Sheet'!H10)</f>
        <v>0.42843201040988943</v>
      </c>
      <c r="J688" s="45">
        <f>'Profit &amp; Loss'!J10*2/('Balance Sheet'!J10+'Balance Sheet'!I10)</f>
        <v>0.31128623698283142</v>
      </c>
      <c r="K688" s="45">
        <f>'Profit &amp; Loss'!K10*2/('Balance Sheet'!K10+'Balance Sheet'!J10)</f>
        <v>0.32097264437689965</v>
      </c>
      <c r="L688" s="45"/>
      <c r="M688" s="136">
        <f t="shared" si="215"/>
        <v>0.28893365341023197</v>
      </c>
      <c r="N688" s="32">
        <f t="shared" si="216"/>
        <v>0.41310682089544271</v>
      </c>
      <c r="O688" s="32">
        <f t="shared" si="217"/>
        <v>0.3535636305898735</v>
      </c>
    </row>
    <row r="689" spans="1:15" s="18" customFormat="1" hidden="1">
      <c r="A689" s="57" t="s">
        <v>94</v>
      </c>
      <c r="B689" s="186">
        <f>'Balance Sheet'!B23</f>
        <v>0.39479392624728854</v>
      </c>
      <c r="C689" s="186">
        <f>'Balance Sheet'!C23</f>
        <v>0.467384420519316</v>
      </c>
      <c r="D689" s="186">
        <f>'Balance Sheet'!D23</f>
        <v>0.28358925143953934</v>
      </c>
      <c r="E689" s="186">
        <f>'Balance Sheet'!E23</f>
        <v>0.23716189729517836</v>
      </c>
      <c r="F689" s="186">
        <f>'Balance Sheet'!F23</f>
        <v>0.14036337727110795</v>
      </c>
      <c r="G689" s="186">
        <f>'Balance Sheet'!G23</f>
        <v>0.17263025737602009</v>
      </c>
      <c r="H689" s="186">
        <f>'Balance Sheet'!H23</f>
        <v>0.20873659429767202</v>
      </c>
      <c r="I689" s="186">
        <f>'Balance Sheet'!I23</f>
        <v>0.20247757368645883</v>
      </c>
      <c r="J689" s="186">
        <f>'Balance Sheet'!J23</f>
        <v>8.6908284023668639E-2</v>
      </c>
      <c r="K689" s="186">
        <f>'Balance Sheet'!K23</f>
        <v>9.3023255813953487E-2</v>
      </c>
      <c r="L689" s="186"/>
      <c r="M689" s="136">
        <f t="shared" si="215"/>
        <v>0.14248904912035987</v>
      </c>
      <c r="N689" s="32">
        <f t="shared" si="216"/>
        <v>0.18125300286362661</v>
      </c>
      <c r="O689" s="32">
        <f t="shared" si="217"/>
        <v>0.127469704508027</v>
      </c>
    </row>
    <row r="690" spans="1:15" s="18" customFormat="1" hidden="1">
      <c r="A690" s="57" t="s">
        <v>425</v>
      </c>
      <c r="B690" s="186">
        <f>'Balance Sheet'!B24</f>
        <v>0.20744931636020739</v>
      </c>
      <c r="C690" s="186">
        <f>'Balance Sheet'!C24</f>
        <v>0.33251662583129143</v>
      </c>
      <c r="D690" s="186">
        <f>'Balance Sheet'!D24</f>
        <v>0.22294077603812124</v>
      </c>
      <c r="E690" s="186">
        <f>'Balance Sheet'!E24</f>
        <v>0.17400670177118258</v>
      </c>
      <c r="F690" s="186">
        <f>'Balance Sheet'!F24</f>
        <v>0.12106430155210625</v>
      </c>
      <c r="G690" s="186">
        <f>'Balance Sheet'!G24</f>
        <v>0.14848711243929782</v>
      </c>
      <c r="H690" s="186">
        <f>'Balance Sheet'!H24</f>
        <v>0.17043244052072398</v>
      </c>
      <c r="I690" s="186">
        <f>'Balance Sheet'!I24</f>
        <v>0.16206412356658079</v>
      </c>
      <c r="J690" s="186">
        <f>'Balance Sheet'!J24</f>
        <v>9.5110873630777651E-2</v>
      </c>
      <c r="K690" s="186">
        <f>'Balance Sheet'!K24</f>
        <v>8.5144388210776856E-2</v>
      </c>
      <c r="L690" s="186"/>
      <c r="M690" s="136">
        <f t="shared" si="215"/>
        <v>0.1179250717729567</v>
      </c>
      <c r="N690" s="32">
        <f t="shared" si="216"/>
        <v>0.15583280202822278</v>
      </c>
      <c r="O690" s="32">
        <f t="shared" si="217"/>
        <v>0.11410646180271176</v>
      </c>
    </row>
    <row r="691" spans="1:15" s="18" customFormat="1" hidden="1">
      <c r="A691" s="155"/>
      <c r="C691" s="112"/>
      <c r="M691" s="136">
        <f t="shared" si="215"/>
        <v>0</v>
      </c>
      <c r="N691" s="32">
        <f t="shared" si="216"/>
        <v>0</v>
      </c>
      <c r="O691" s="32">
        <f t="shared" si="217"/>
        <v>0</v>
      </c>
    </row>
    <row r="692" spans="1:15" s="18" customFormat="1" hidden="1">
      <c r="A692" s="155"/>
      <c r="C692" s="112"/>
      <c r="M692" s="136">
        <f t="shared" si="215"/>
        <v>0</v>
      </c>
      <c r="N692" s="32">
        <f t="shared" si="216"/>
        <v>0</v>
      </c>
      <c r="O692" s="32">
        <f t="shared" si="217"/>
        <v>0</v>
      </c>
    </row>
    <row r="693" spans="1:15" s="18" customFormat="1" hidden="1">
      <c r="A693" s="57" t="s">
        <v>426</v>
      </c>
      <c r="B693" s="141">
        <f>B227</f>
        <v>2.8886774500475738</v>
      </c>
      <c r="C693" s="141">
        <f t="shared" ref="C693:K693" si="233">C227</f>
        <v>3.9362363919129084</v>
      </c>
      <c r="D693" s="141">
        <f t="shared" si="233"/>
        <v>2.8185140073081607</v>
      </c>
      <c r="E693" s="141">
        <f t="shared" si="233"/>
        <v>2.8992370428834517</v>
      </c>
      <c r="F693" s="141">
        <f t="shared" si="233"/>
        <v>3.0366389838788472</v>
      </c>
      <c r="G693" s="141">
        <f t="shared" si="233"/>
        <v>3.4589947089947093</v>
      </c>
      <c r="H693" s="141">
        <f t="shared" si="233"/>
        <v>3.9410982329469886</v>
      </c>
      <c r="I693" s="141">
        <f t="shared" si="233"/>
        <v>3.7869225764476253</v>
      </c>
      <c r="J693" s="141">
        <f t="shared" si="233"/>
        <v>3.908246552209401</v>
      </c>
      <c r="K693" s="141">
        <f t="shared" si="233"/>
        <v>3.4455927051671731</v>
      </c>
      <c r="L693" s="141"/>
      <c r="M693" s="136">
        <f t="shared" si="215"/>
        <v>2.7295244809836356</v>
      </c>
      <c r="N693" s="32">
        <f t="shared" si="216"/>
        <v>4.2540758513499064</v>
      </c>
      <c r="O693" s="32">
        <f t="shared" si="217"/>
        <v>3.7135872779414001</v>
      </c>
    </row>
    <row r="694" spans="1:15" s="18" customFormat="1" hidden="1">
      <c r="A694" s="57" t="s">
        <v>47</v>
      </c>
      <c r="B694" s="143">
        <f>'Balance Sheet'!B21</f>
        <v>5.8610038610038613</v>
      </c>
      <c r="C694" s="143">
        <f>'Balance Sheet'!C21</f>
        <v>5.9343493552168818</v>
      </c>
      <c r="D694" s="143">
        <f>'Balance Sheet'!D21</f>
        <v>4.7711340206185575</v>
      </c>
      <c r="E694" s="143">
        <f>'Balance Sheet'!E21</f>
        <v>5.6167176350662587</v>
      </c>
      <c r="F694" s="143">
        <f>'Balance Sheet'!F21</f>
        <v>5.9483253588516751</v>
      </c>
      <c r="G694" s="143">
        <f>'Balance Sheet'!G21</f>
        <v>4.8217578365089127</v>
      </c>
      <c r="H694" s="143">
        <f>'Balance Sheet'!H21</f>
        <v>4.871301080319399</v>
      </c>
      <c r="I694" s="143">
        <f>'Balance Sheet'!I21</f>
        <v>4.9939939939939944</v>
      </c>
      <c r="J694" s="143">
        <f>'Balance Sheet'!J21</f>
        <v>5.7026694045174544</v>
      </c>
      <c r="K694" s="143">
        <f>'Balance Sheet'!K21</f>
        <v>4.9876803942273842</v>
      </c>
      <c r="L694" s="143"/>
      <c r="M694" s="136">
        <f t="shared" si="215"/>
        <v>4.1713579724103642</v>
      </c>
      <c r="N694" s="32">
        <f t="shared" si="216"/>
        <v>5.9097521363955012</v>
      </c>
      <c r="O694" s="32">
        <f t="shared" si="217"/>
        <v>5.2281145975796113</v>
      </c>
    </row>
    <row r="695" spans="1:15" s="18" customFormat="1" hidden="1">
      <c r="A695" s="57" t="str">
        <f>A234</f>
        <v>Debtors turnover</v>
      </c>
      <c r="B695" s="57">
        <f t="shared" ref="B695:K695" si="234">B234</f>
        <v>2.5663567202028741</v>
      </c>
      <c r="C695" s="57">
        <f t="shared" si="234"/>
        <v>5.0168483647175419</v>
      </c>
      <c r="D695" s="57">
        <f t="shared" si="234"/>
        <v>4.2654377880184331</v>
      </c>
      <c r="E695" s="57">
        <f t="shared" si="234"/>
        <v>3.3949476278496613</v>
      </c>
      <c r="F695" s="57">
        <f t="shared" si="234"/>
        <v>4.1830417227456254</v>
      </c>
      <c r="G695" s="57">
        <f t="shared" si="234"/>
        <v>3.9107676969092724</v>
      </c>
      <c r="H695" s="57">
        <f t="shared" si="234"/>
        <v>4.2521525215252147</v>
      </c>
      <c r="I695" s="57">
        <f t="shared" si="234"/>
        <v>4.2238751814223514</v>
      </c>
      <c r="J695" s="57">
        <f t="shared" si="234"/>
        <v>4.04957713619131</v>
      </c>
      <c r="K695" s="57">
        <f t="shared" si="234"/>
        <v>3.9915492957746475</v>
      </c>
      <c r="L695" s="57"/>
      <c r="M695" s="136">
        <f t="shared" si="215"/>
        <v>3.2271348970436513</v>
      </c>
      <c r="N695" s="32">
        <f t="shared" si="216"/>
        <v>4.7310113457732887</v>
      </c>
      <c r="O695" s="32">
        <f t="shared" si="217"/>
        <v>4.0883338711294357</v>
      </c>
    </row>
    <row r="696" spans="1:15" s="18" customFormat="1" hidden="1">
      <c r="A696" s="57" t="str">
        <f>A233</f>
        <v>Working Capital Days</v>
      </c>
      <c r="B696" s="57">
        <f t="shared" ref="B696:K696" si="235">B233</f>
        <v>0</v>
      </c>
      <c r="C696" s="57">
        <f t="shared" si="235"/>
        <v>128.63965744400525</v>
      </c>
      <c r="D696" s="57">
        <f t="shared" si="235"/>
        <v>96.333465033583579</v>
      </c>
      <c r="E696" s="57">
        <f t="shared" si="235"/>
        <v>92.669619706136572</v>
      </c>
      <c r="F696" s="57">
        <f t="shared" si="235"/>
        <v>141.76043557168782</v>
      </c>
      <c r="G696" s="57">
        <f t="shared" si="235"/>
        <v>144.09749034749035</v>
      </c>
      <c r="H696" s="57">
        <f t="shared" si="235"/>
        <v>133.71701720841301</v>
      </c>
      <c r="I696" s="57">
        <f t="shared" si="235"/>
        <v>137.25773792305466</v>
      </c>
      <c r="J696" s="57">
        <f t="shared" si="235"/>
        <v>162.44867279443346</v>
      </c>
      <c r="K696" s="57">
        <f t="shared" si="235"/>
        <v>196.82557972058186</v>
      </c>
      <c r="L696" s="57"/>
      <c r="M696" s="136">
        <f t="shared" si="215"/>
        <v>110.51100183053813</v>
      </c>
      <c r="N696" s="32">
        <f t="shared" si="216"/>
        <v>176.97149996490231</v>
      </c>
      <c r="O696" s="32">
        <f t="shared" si="217"/>
        <v>165.51066347935665</v>
      </c>
    </row>
    <row r="697" spans="1:15" s="18" customFormat="1" hidden="1">
      <c r="A697" s="57" t="s">
        <v>427</v>
      </c>
      <c r="B697" s="143">
        <f t="shared" ref="B697:K697" si="236">B231</f>
        <v>142.22496706192359</v>
      </c>
      <c r="C697" s="143">
        <f t="shared" si="236"/>
        <v>72.754839984195982</v>
      </c>
      <c r="D697" s="143">
        <f t="shared" si="236"/>
        <v>85.571521175453753</v>
      </c>
      <c r="E697" s="143">
        <f t="shared" si="236"/>
        <v>107.51270417422869</v>
      </c>
      <c r="F697" s="143">
        <f t="shared" si="236"/>
        <v>87.257078507078504</v>
      </c>
      <c r="G697" s="143">
        <f t="shared" si="236"/>
        <v>93.332058636073924</v>
      </c>
      <c r="H697" s="143">
        <f t="shared" si="236"/>
        <v>85.838877639571891</v>
      </c>
      <c r="I697" s="143">
        <f t="shared" si="236"/>
        <v>86.413538355811355</v>
      </c>
      <c r="J697" s="143">
        <f t="shared" si="236"/>
        <v>90.132867636468376</v>
      </c>
      <c r="K697" s="143">
        <f t="shared" si="236"/>
        <v>91.443189837685253</v>
      </c>
      <c r="L697" s="143"/>
      <c r="M697" s="136">
        <f t="shared" si="215"/>
        <v>72.750183596237179</v>
      </c>
      <c r="N697" s="32">
        <f t="shared" si="216"/>
        <v>103.98214314036962</v>
      </c>
      <c r="O697" s="32">
        <f t="shared" si="217"/>
        <v>89.329865276654985</v>
      </c>
    </row>
    <row r="698" spans="1:15" s="18" customFormat="1" hidden="1">
      <c r="A698" s="57" t="str">
        <f>A232</f>
        <v>Inventory Days</v>
      </c>
      <c r="B698" s="57">
        <f t="shared" ref="B698:K698" si="237">B232</f>
        <v>62.276021080368906</v>
      </c>
      <c r="C698" s="57">
        <f t="shared" si="237"/>
        <v>61.506321612011064</v>
      </c>
      <c r="D698" s="57">
        <f t="shared" si="237"/>
        <v>76.501728608470174</v>
      </c>
      <c r="E698" s="57">
        <f t="shared" si="237"/>
        <v>64.984573502722327</v>
      </c>
      <c r="F698" s="57">
        <f t="shared" si="237"/>
        <v>61.36180823680823</v>
      </c>
      <c r="G698" s="57">
        <f t="shared" si="237"/>
        <v>75.698534098151683</v>
      </c>
      <c r="H698" s="57">
        <f t="shared" si="237"/>
        <v>74.928647189277797</v>
      </c>
      <c r="I698" s="57">
        <f t="shared" si="237"/>
        <v>73.08779314491882</v>
      </c>
      <c r="J698" s="57">
        <f t="shared" si="237"/>
        <v>64.0051130635172</v>
      </c>
      <c r="K698" s="57">
        <f t="shared" si="237"/>
        <v>73.180310515172906</v>
      </c>
      <c r="L698" s="57"/>
      <c r="M698" s="136">
        <f t="shared" si="215"/>
        <v>56.374850835903906</v>
      </c>
      <c r="N698" s="32">
        <f t="shared" si="216"/>
        <v>83.455049769388467</v>
      </c>
      <c r="O698" s="32">
        <f t="shared" si="217"/>
        <v>70.09107224120298</v>
      </c>
    </row>
    <row r="699" spans="1:15" s="18" customFormat="1" hidden="1">
      <c r="A699" s="57" t="s">
        <v>428</v>
      </c>
      <c r="B699" s="46">
        <f>'Data Sheet'!B62</f>
        <v>10.51</v>
      </c>
      <c r="C699" s="46">
        <f>'Data Sheet'!C62</f>
        <v>15.21</v>
      </c>
      <c r="D699" s="46">
        <f>'Data Sheet'!D62</f>
        <v>17.63</v>
      </c>
      <c r="E699" s="46">
        <f>'Data Sheet'!E62</f>
        <v>20.38</v>
      </c>
      <c r="F699" s="46">
        <f>'Data Sheet'!F62</f>
        <v>20.56</v>
      </c>
      <c r="G699" s="46">
        <f>'Data Sheet'!G62</f>
        <v>24.8</v>
      </c>
      <c r="H699" s="46">
        <f>'Data Sheet'!H62</f>
        <v>27.83</v>
      </c>
      <c r="I699" s="46">
        <f>'Data Sheet'!I62</f>
        <v>33.65</v>
      </c>
      <c r="J699" s="46">
        <f>'Data Sheet'!J62</f>
        <v>37.409999999999997</v>
      </c>
      <c r="K699" s="46">
        <f>'Data Sheet'!K62</f>
        <v>44.84</v>
      </c>
      <c r="L699" s="46"/>
      <c r="M699" s="136">
        <f t="shared" si="215"/>
        <v>22.71</v>
      </c>
      <c r="N699" s="32">
        <f t="shared" si="216"/>
        <v>38.248000000000005</v>
      </c>
      <c r="O699" s="32">
        <f t="shared" si="217"/>
        <v>38.633333333333333</v>
      </c>
    </row>
    <row r="700" spans="1:15" s="18" customFormat="1" hidden="1">
      <c r="A700" s="57" t="s">
        <v>429</v>
      </c>
      <c r="B700" s="46">
        <f>'Data Sheet'!B63</f>
        <v>0.75</v>
      </c>
      <c r="C700" s="46">
        <f>'Data Sheet'!C63</f>
        <v>0.54</v>
      </c>
      <c r="D700" s="46">
        <f>'Data Sheet'!D63</f>
        <v>0.73</v>
      </c>
      <c r="E700" s="46">
        <f>'Data Sheet'!E63</f>
        <v>0.47</v>
      </c>
      <c r="F700" s="46">
        <f>'Data Sheet'!F63</f>
        <v>0.4</v>
      </c>
      <c r="G700" s="46">
        <f>'Data Sheet'!G63</f>
        <v>0.06</v>
      </c>
      <c r="H700" s="46">
        <f>'Data Sheet'!H63</f>
        <v>0.82</v>
      </c>
      <c r="I700" s="46">
        <f>'Data Sheet'!I63</f>
        <v>2.2799999999999998</v>
      </c>
      <c r="J700" s="46">
        <f>'Data Sheet'!J63</f>
        <v>1.76</v>
      </c>
      <c r="K700" s="46">
        <f>'Data Sheet'!K63</f>
        <v>2.1800000000000002</v>
      </c>
      <c r="L700" s="46"/>
      <c r="M700" s="136">
        <f t="shared" si="215"/>
        <v>0.86999999999999988</v>
      </c>
      <c r="N700" s="32">
        <f t="shared" si="216"/>
        <v>1.5939999999999999</v>
      </c>
      <c r="O700" s="32">
        <f t="shared" si="217"/>
        <v>2.0733333333333337</v>
      </c>
    </row>
    <row r="701" spans="1:15" s="18" customFormat="1" hidden="1">
      <c r="A701" s="57" t="s">
        <v>430</v>
      </c>
      <c r="B701" s="46">
        <f>'Data Sheet'!B57</f>
        <v>2.7</v>
      </c>
      <c r="C701" s="46">
        <f>'Data Sheet'!C57</f>
        <v>2.83</v>
      </c>
      <c r="D701" s="46">
        <f>'Data Sheet'!D57</f>
        <v>2.97</v>
      </c>
      <c r="E701" s="46">
        <f>'Data Sheet'!E57</f>
        <v>2.97</v>
      </c>
      <c r="F701" s="46">
        <f>'Data Sheet'!F57</f>
        <v>2.97</v>
      </c>
      <c r="G701" s="46">
        <f>'Data Sheet'!G57</f>
        <v>4.46</v>
      </c>
      <c r="H701" s="46">
        <f>'Data Sheet'!H57</f>
        <v>4.51</v>
      </c>
      <c r="I701" s="46">
        <f>'Data Sheet'!I57</f>
        <v>4.66</v>
      </c>
      <c r="J701" s="46">
        <f>'Data Sheet'!J57</f>
        <v>5.19</v>
      </c>
      <c r="K701" s="46">
        <f>'Data Sheet'!K57</f>
        <v>5.19</v>
      </c>
      <c r="L701" s="46"/>
      <c r="M701" s="136">
        <f t="shared" si="215"/>
        <v>3.2920000000000003</v>
      </c>
      <c r="N701" s="32">
        <f t="shared" si="216"/>
        <v>5.4604000000000008</v>
      </c>
      <c r="O701" s="32">
        <f t="shared" si="217"/>
        <v>5.0133333333333345</v>
      </c>
    </row>
    <row r="702" spans="1:15" s="18" customFormat="1">
      <c r="A702" s="45" t="str">
        <f>A144</f>
        <v>EPA3/Sales  (CoC 10%)</v>
      </c>
      <c r="B702" s="45">
        <f t="shared" ref="B702:K702" si="238">B144</f>
        <v>6.7947346237395817E-2</v>
      </c>
      <c r="C702" s="45">
        <f t="shared" si="238"/>
        <v>0.12270390586570626</v>
      </c>
      <c r="D702" s="45">
        <f t="shared" si="238"/>
        <v>7.3566733993039354E-2</v>
      </c>
      <c r="E702" s="45">
        <f t="shared" si="238"/>
        <v>5.084070329079405E-2</v>
      </c>
      <c r="F702" s="45">
        <f t="shared" si="238"/>
        <v>8.3306672289723098E-3</v>
      </c>
      <c r="G702" s="45">
        <f t="shared" si="238"/>
        <v>2.5911732992702906E-2</v>
      </c>
      <c r="H702" s="45">
        <f t="shared" si="238"/>
        <v>3.6656764090273665E-2</v>
      </c>
      <c r="I702" s="45">
        <f t="shared" si="238"/>
        <v>3.3086535904535017E-2</v>
      </c>
      <c r="J702" s="45">
        <f t="shared" si="238"/>
        <v>-1.4794780750200718E-2</v>
      </c>
      <c r="K702" s="45">
        <f t="shared" si="238"/>
        <v>-2.380915720365261E-2</v>
      </c>
      <c r="L702" s="45"/>
      <c r="M702" s="136">
        <f t="shared" si="215"/>
        <v>1.8978919954646397E-2</v>
      </c>
      <c r="N702" s="32">
        <f t="shared" si="216"/>
        <v>1.5206002997660933E-2</v>
      </c>
      <c r="O702" s="32">
        <f t="shared" si="217"/>
        <v>-1.8391340164394369E-3</v>
      </c>
    </row>
    <row r="703" spans="1:15" s="75" customFormat="1">
      <c r="A703" s="193" t="str">
        <f>A324</f>
        <v>OE with 3 Yr  Maintenace Capex/sales</v>
      </c>
      <c r="B703" s="140"/>
      <c r="C703" s="191"/>
      <c r="D703" s="191">
        <f t="shared" ref="D703:K703" si="239">D324</f>
        <v>4.1451943187740654E-2</v>
      </c>
      <c r="E703" s="191">
        <f t="shared" si="239"/>
        <v>0.1155003467229245</v>
      </c>
      <c r="F703" s="191">
        <f t="shared" si="239"/>
        <v>0.10057340364790136</v>
      </c>
      <c r="G703" s="191">
        <f t="shared" si="239"/>
        <v>8.7073142105454915E-2</v>
      </c>
      <c r="H703" s="191">
        <f t="shared" si="239"/>
        <v>0.1112091026608118</v>
      </c>
      <c r="I703" s="191">
        <f t="shared" si="239"/>
        <v>4.8242377864792199E-2</v>
      </c>
      <c r="J703" s="191">
        <f t="shared" si="239"/>
        <v>6.9131840901024824E-2</v>
      </c>
      <c r="K703" s="191">
        <f t="shared" si="239"/>
        <v>8.729379579182189E-3</v>
      </c>
      <c r="L703" s="191"/>
      <c r="M703" s="136">
        <f t="shared" si="215"/>
        <v>5.8191153666983256E-2</v>
      </c>
      <c r="N703" s="32">
        <f t="shared" si="216"/>
        <v>7.6515399355649827E-2</v>
      </c>
      <c r="O703" s="32">
        <f t="shared" si="217"/>
        <v>4.2034532781666405E-2</v>
      </c>
    </row>
    <row r="704" spans="1:15" s="2" customFormat="1">
      <c r="A704" s="192" t="str">
        <f t="shared" ref="A704:K704" si="240">A325</f>
        <v>OE with 3 Year Avg Capex/Sales</v>
      </c>
      <c r="B704" s="138">
        <f t="shared" si="240"/>
        <v>0</v>
      </c>
      <c r="C704" s="135">
        <f t="shared" si="240"/>
        <v>0</v>
      </c>
      <c r="D704" s="135">
        <f t="shared" si="240"/>
        <v>0</v>
      </c>
      <c r="E704" s="191">
        <f t="shared" si="240"/>
        <v>5.7652752571082877E-2</v>
      </c>
      <c r="F704" s="191">
        <f t="shared" si="240"/>
        <v>4.1505791505791527E-2</v>
      </c>
      <c r="G704" s="191">
        <f t="shared" si="240"/>
        <v>4.8438495857233879E-2</v>
      </c>
      <c r="H704" s="191">
        <f t="shared" si="240"/>
        <v>5.6021598688651045E-2</v>
      </c>
      <c r="I704" s="191">
        <f t="shared" si="240"/>
        <v>3.6251181170002582E-2</v>
      </c>
      <c r="J704" s="191">
        <f t="shared" si="240"/>
        <v>1.9756109270728316E-2</v>
      </c>
      <c r="K704" s="191">
        <f t="shared" si="240"/>
        <v>1.8983768525052916E-2</v>
      </c>
      <c r="L704" s="191"/>
      <c r="M704" s="136">
        <f t="shared" si="215"/>
        <v>2.7860969758854309E-2</v>
      </c>
      <c r="N704" s="32">
        <f t="shared" si="216"/>
        <v>4.1462424654104608E-2</v>
      </c>
      <c r="O704" s="32">
        <f t="shared" si="217"/>
        <v>2.4997019655261271E-2</v>
      </c>
    </row>
    <row r="705" spans="1:15" s="32" customFormat="1">
      <c r="A705" s="194" t="str">
        <f>A329</f>
        <v>OE with 3 Year Avg (PAT DEPRI CAPEX )/Sales</v>
      </c>
      <c r="B705" s="191"/>
      <c r="C705" s="191"/>
      <c r="D705" s="191"/>
      <c r="E705" s="191">
        <f t="shared" ref="E705:K705" si="241">E329</f>
        <v>5.8983666061705971E-2</v>
      </c>
      <c r="F705" s="191">
        <f t="shared" si="241"/>
        <v>5.7325182325182328E-2</v>
      </c>
      <c r="G705" s="191">
        <f t="shared" si="241"/>
        <v>3.8198427873380056E-2</v>
      </c>
      <c r="H705" s="191">
        <f t="shared" si="241"/>
        <v>3.0919551312956012E-2</v>
      </c>
      <c r="I705" s="191">
        <f t="shared" si="241"/>
        <v>2.2878905019614586E-2</v>
      </c>
      <c r="J705" s="191">
        <f t="shared" si="241"/>
        <v>2.448509289932306E-2</v>
      </c>
      <c r="K705" s="191">
        <f t="shared" si="241"/>
        <v>1.524347212420606E-2</v>
      </c>
      <c r="L705" s="191"/>
      <c r="M705" s="136">
        <f t="shared" si="215"/>
        <v>2.4803429761636808E-2</v>
      </c>
      <c r="N705" s="32">
        <f t="shared" si="216"/>
        <v>3.1305775798223315E-2</v>
      </c>
      <c r="O705" s="32">
        <f t="shared" si="217"/>
        <v>2.0869156681047902E-2</v>
      </c>
    </row>
    <row r="706" spans="1:15" s="75" customFormat="1">
      <c r="A706" s="140" t="str">
        <f t="shared" ref="A706:K706" si="242">A345</f>
        <v>Defensive earnings3/Sales</v>
      </c>
      <c r="B706" s="140">
        <f t="shared" si="242"/>
        <v>0</v>
      </c>
      <c r="C706" s="191">
        <f t="shared" si="242"/>
        <v>4.543658632951429E-3</v>
      </c>
      <c r="D706" s="191">
        <f t="shared" si="242"/>
        <v>0.1060933448573898</v>
      </c>
      <c r="E706" s="191">
        <f t="shared" si="242"/>
        <v>-0.11052631578947369</v>
      </c>
      <c r="F706" s="191">
        <f t="shared" si="242"/>
        <v>1.1100386100386101E-2</v>
      </c>
      <c r="G706" s="191">
        <f t="shared" si="242"/>
        <v>-3.3142128744423217E-2</v>
      </c>
      <c r="H706" s="191">
        <f t="shared" si="242"/>
        <v>-5.8528589335647516E-2</v>
      </c>
      <c r="I706" s="191">
        <f t="shared" si="242"/>
        <v>-9.1143372562494662E-2</v>
      </c>
      <c r="J706" s="191">
        <f t="shared" si="242"/>
        <v>-0.13870084977675337</v>
      </c>
      <c r="K706" s="191">
        <f t="shared" si="242"/>
        <v>-0.10000000000000007</v>
      </c>
      <c r="L706" s="191"/>
      <c r="M706" s="136">
        <f t="shared" si="215"/>
        <v>-4.1484752525101663E-2</v>
      </c>
      <c r="N706" s="32">
        <f t="shared" si="216"/>
        <v>-9.2599938588884101E-2</v>
      </c>
      <c r="O706" s="32">
        <f t="shared" si="217"/>
        <v>-0.1099480741130827</v>
      </c>
    </row>
    <row r="707" spans="1:15" s="2" customFormat="1">
      <c r="A707" s="138" t="s">
        <v>584</v>
      </c>
      <c r="B707" s="140">
        <f>B719/'Profit &amp; Loss'!B4</f>
        <v>9.4202898550724654E-2</v>
      </c>
      <c r="C707" s="191">
        <f>C719/'Profit &amp; Loss'!C4</f>
        <v>0.12386408534176215</v>
      </c>
      <c r="D707" s="191">
        <f>D719/'Profit &amp; Loss'!D4</f>
        <v>0.10220397579948143</v>
      </c>
      <c r="E707" s="191">
        <f>E719/'Profit &amp; Loss'!E4</f>
        <v>8.8203266787658788E-2</v>
      </c>
      <c r="F707" s="191">
        <f>F719/'Profit &amp; Loss'!F4</f>
        <v>4.4240669240669245E-2</v>
      </c>
      <c r="G707" s="191">
        <f>G719/'Profit &amp; Loss'!G4</f>
        <v>5.1370299553855962E-2</v>
      </c>
      <c r="H707" s="191">
        <f>H719/'Profit &amp; Loss'!H4</f>
        <v>5.9589239224761364E-2</v>
      </c>
      <c r="I707" s="191">
        <f>I719/'Profit &amp; Loss'!I4</f>
        <v>6.5458293960999919E-2</v>
      </c>
      <c r="J707" s="191">
        <f>J719/'Profit &amp; Loss'!J4</f>
        <v>3.2118680685582594E-2</v>
      </c>
      <c r="K707" s="191">
        <f>K719/'Profit &amp; Loss'!K4</f>
        <v>5.8715596330275233E-2</v>
      </c>
      <c r="L707" s="191"/>
      <c r="M707" s="136">
        <f t="shared" si="215"/>
        <v>5.0190002158328452E-2</v>
      </c>
      <c r="N707" s="32">
        <f t="shared" si="216"/>
        <v>6.3488422382760715E-2</v>
      </c>
      <c r="O707" s="32">
        <f t="shared" si="217"/>
        <v>5.2097523658952587E-2</v>
      </c>
    </row>
    <row r="708" spans="1:15" s="18" customFormat="1">
      <c r="A708" s="57" t="s">
        <v>132</v>
      </c>
      <c r="B708" s="141">
        <f>B745/'Profit &amp; Loss'!B8</f>
        <v>0</v>
      </c>
      <c r="C708" s="141">
        <f>C745/'Profit &amp; Loss'!C8</f>
        <v>3.1380952380952389</v>
      </c>
      <c r="D708" s="141">
        <f>D745/'Profit &amp; Loss'!D8</f>
        <v>1.9849056603773578</v>
      </c>
      <c r="E708" s="141">
        <f>E745/'Profit &amp; Loss'!E8</f>
        <v>1.8706293706293706</v>
      </c>
      <c r="F708" s="141">
        <f>F745/'Profit &amp; Loss'!F8</f>
        <v>1.0331325301204819</v>
      </c>
      <c r="G708" s="141">
        <f>G745/'Profit &amp; Loss'!G8</f>
        <v>2.0290237467018475</v>
      </c>
      <c r="H708" s="141">
        <f>H745/'Profit &amp; Loss'!H8</f>
        <v>1.9023809523809516</v>
      </c>
      <c r="I708" s="141">
        <f>I745/'Profit &amp; Loss'!I8</f>
        <v>3.0278551532033431</v>
      </c>
      <c r="J708" s="141">
        <f>J745/'Profit &amp; Loss'!J8</f>
        <v>1.7058823529411762</v>
      </c>
      <c r="K708" s="141">
        <f>K745/'Profit &amp; Loss'!K8</f>
        <v>2.6252587991718439</v>
      </c>
      <c r="L708" s="141"/>
      <c r="M708" s="136">
        <f t="shared" si="215"/>
        <v>1.6179068565526371</v>
      </c>
      <c r="N708" s="32">
        <f t="shared" si="216"/>
        <v>2.58166157219036</v>
      </c>
      <c r="O708" s="32">
        <f t="shared" si="217"/>
        <v>2.4529987684387877</v>
      </c>
    </row>
    <row r="709" spans="1:15" s="18" customFormat="1">
      <c r="A709" s="57" t="s">
        <v>576</v>
      </c>
      <c r="B709" s="161">
        <f>B743/'Profit &amp; Loss'!B4</f>
        <v>0.12779973649538867</v>
      </c>
      <c r="C709" s="161">
        <f>C743/'Profit &amp; Loss'!C4</f>
        <v>0.12366653496641644</v>
      </c>
      <c r="D709" s="161">
        <f>D743/'Profit &amp; Loss'!D4</f>
        <v>0.2033275713050994</v>
      </c>
      <c r="E709" s="161">
        <f>E743/'Profit &amp; Loss'!E4</f>
        <v>5.390199637023594E-2</v>
      </c>
      <c r="F709" s="161">
        <f>F743/'Profit &amp; Loss'!F4</f>
        <v>0.11824324324324324</v>
      </c>
      <c r="G709" s="161">
        <f>G743/'Profit &amp; Loss'!G4</f>
        <v>3.7476099426386231E-2</v>
      </c>
      <c r="H709" s="161">
        <f>H743/'Profit &amp; Loss'!H4</f>
        <v>6.5856715842252445E-2</v>
      </c>
      <c r="I709" s="161">
        <f>I743/'Profit &amp; Loss'!I4</f>
        <v>0.10849583369126364</v>
      </c>
      <c r="J709" s="161">
        <f>J743/'Profit &amp; Loss'!J4</f>
        <v>9.9380671179605338E-3</v>
      </c>
      <c r="K709" s="161">
        <f>K743/'Profit &amp; Loss'!K4</f>
        <v>2.2441778405081159E-2</v>
      </c>
      <c r="L709" s="161"/>
      <c r="M709" s="136">
        <f t="shared" si="215"/>
        <v>6.1968130540152266E-2</v>
      </c>
      <c r="N709" s="32">
        <f t="shared" si="216"/>
        <v>6.1235325004619257E-2</v>
      </c>
      <c r="O709" s="32">
        <f t="shared" si="217"/>
        <v>4.6958559738101778E-2</v>
      </c>
    </row>
    <row r="710" spans="1:15" s="18" customFormat="1">
      <c r="A710" s="57" t="s">
        <v>577</v>
      </c>
      <c r="B710" s="161">
        <f>B743/'Profit &amp; Loss'!B12</f>
        <v>1.0659340659340659</v>
      </c>
      <c r="C710" s="161">
        <f>C743/'Profit &amp; Loss'!C12</f>
        <v>0.8482384823848238</v>
      </c>
      <c r="D710" s="161">
        <f>D743/'Profit &amp; Loss'!D12</f>
        <v>1.5922165820642977</v>
      </c>
      <c r="E710" s="161">
        <f>E743/'Profit &amp; Loss'!E12</f>
        <v>0.49090909090909096</v>
      </c>
      <c r="F710" s="161">
        <f>F743/'Profit &amp; Loss'!F12</f>
        <v>1.8654822335025381</v>
      </c>
      <c r="G710" s="161">
        <f>G743/'Profit &amp; Loss'!G12</f>
        <v>0.53454545454545455</v>
      </c>
      <c r="H710" s="161">
        <f>H743/'Profit &amp; Loss'!H12</f>
        <v>0.85588972431077692</v>
      </c>
      <c r="I710" s="161">
        <f>I743/'Profit &amp; Loss'!I12</f>
        <v>1.3322784810126582</v>
      </c>
      <c r="J710" s="161">
        <f>J743/'Profit &amp; Loss'!J12</f>
        <v>0.19574468085106381</v>
      </c>
      <c r="K710" s="161">
        <f>K743/'Profit &amp; Loss'!K12</f>
        <v>0.38221153846153849</v>
      </c>
      <c r="L710" s="161"/>
      <c r="M710" s="136">
        <f t="shared" si="215"/>
        <v>0.72492777856574198</v>
      </c>
      <c r="N710" s="32">
        <f t="shared" si="216"/>
        <v>0.80511953154944682</v>
      </c>
      <c r="O710" s="32">
        <f t="shared" si="217"/>
        <v>0.63674490010842022</v>
      </c>
    </row>
    <row r="711" spans="1:15" s="18" customFormat="1">
      <c r="A711" s="57" t="s">
        <v>574</v>
      </c>
      <c r="B711" s="161">
        <f>Customization!B747/'Profit &amp; Loss'!B4</f>
        <v>0.12779973649538867</v>
      </c>
      <c r="C711" s="161">
        <f>Customization!C747/'Profit &amp; Loss'!C4</f>
        <v>-6.5191623864085712E-3</v>
      </c>
      <c r="D711" s="161">
        <f>Customization!D747/'Profit &amp; Loss'!D4</f>
        <v>8.9671564390665565E-2</v>
      </c>
      <c r="E711" s="161">
        <f>Customization!E747/'Profit &amp; Loss'!E4</f>
        <v>-4.3194192377495451E-2</v>
      </c>
      <c r="F711" s="161">
        <f>Customization!F747/'Profit &amp; Loss'!F4</f>
        <v>6.3063063063063071E-2</v>
      </c>
      <c r="G711" s="161">
        <f>Customization!G747/'Profit &amp; Loss'!G4</f>
        <v>-6.0548119821542401E-2</v>
      </c>
      <c r="H711" s="161">
        <f>Customization!H747/'Profit &amp; Loss'!H4</f>
        <v>-1.1185035194291752E-2</v>
      </c>
      <c r="I711" s="161">
        <f>Customization!I747/'Profit &amp; Loss'!I4</f>
        <v>1.5118976032986856E-2</v>
      </c>
      <c r="J711" s="161">
        <f>Customization!J747/'Profit &amp; Loss'!J4</f>
        <v>-4.6449661529598139E-2</v>
      </c>
      <c r="K711" s="161">
        <f>Customization!K747/'Profit &amp; Loss'!K4</f>
        <v>-6.70430486944249E-2</v>
      </c>
      <c r="L711" s="161"/>
      <c r="M711" s="136">
        <f t="shared" si="215"/>
        <v>-6.0566454130637163E-3</v>
      </c>
      <c r="N711" s="32">
        <f t="shared" si="216"/>
        <v>-3.5232706923986813E-2</v>
      </c>
      <c r="O711" s="32">
        <f t="shared" si="217"/>
        <v>-3.2791244730345392E-2</v>
      </c>
    </row>
    <row r="712" spans="1:15" s="18" customFormat="1">
      <c r="A712" s="57" t="s">
        <v>575</v>
      </c>
      <c r="B712" s="161">
        <f>B747/'Profit &amp; Loss'!B12</f>
        <v>1.0659340659340659</v>
      </c>
      <c r="C712" s="161">
        <f>C747/'Profit &amp; Loss'!C12</f>
        <v>-4.4715447154471795E-2</v>
      </c>
      <c r="D712" s="161">
        <f>D747/'Profit &amp; Loss'!D12</f>
        <v>0.70219966159052483</v>
      </c>
      <c r="E712" s="161">
        <f>E747/'Profit &amp; Loss'!E12</f>
        <v>-0.39338842975206606</v>
      </c>
      <c r="F712" s="161">
        <f>F747/'Profit &amp; Loss'!F12</f>
        <v>0.99492385786802029</v>
      </c>
      <c r="G712" s="161">
        <f>G747/'Profit &amp; Loss'!G12</f>
        <v>-0.86363636363636398</v>
      </c>
      <c r="H712" s="161">
        <f>H747/'Profit &amp; Loss'!H12</f>
        <v>-0.14536340852130294</v>
      </c>
      <c r="I712" s="161">
        <f>I747/'Profit &amp; Loss'!I12</f>
        <v>0.18565400843881855</v>
      </c>
      <c r="J712" s="161">
        <f>J747/'Profit &amp; Loss'!J12</f>
        <v>-0.91489361702127636</v>
      </c>
      <c r="K712" s="161">
        <f>K747/'Profit &amp; Loss'!K12</f>
        <v>-1.1418269230769238</v>
      </c>
      <c r="L712" s="161"/>
      <c r="M712" s="136">
        <f t="shared" si="215"/>
        <v>-0.15763312141105695</v>
      </c>
      <c r="N712" s="32">
        <f t="shared" si="216"/>
        <v>-0.60753988504562106</v>
      </c>
      <c r="O712" s="32">
        <f t="shared" si="217"/>
        <v>-0.62368884388646062</v>
      </c>
    </row>
    <row r="713" spans="1:15" s="18" customFormat="1">
      <c r="A713" s="57" t="s">
        <v>431</v>
      </c>
      <c r="B713" s="46">
        <f>'Data Sheet'!B31</f>
        <v>0.78</v>
      </c>
      <c r="C713" s="46">
        <f>'Data Sheet'!C31</f>
        <v>1.1100000000000001</v>
      </c>
      <c r="D713" s="46">
        <f>'Data Sheet'!D31</f>
        <v>1.18</v>
      </c>
      <c r="E713" s="46">
        <f>'Data Sheet'!E31</f>
        <v>1.19</v>
      </c>
      <c r="F713" s="46">
        <f>'Data Sheet'!F31</f>
        <v>1.19</v>
      </c>
      <c r="G713" s="46">
        <f>'Data Sheet'!G31</f>
        <v>1.47</v>
      </c>
      <c r="H713" s="46">
        <f>'Data Sheet'!H31</f>
        <v>1.8</v>
      </c>
      <c r="I713" s="46">
        <f>'Data Sheet'!I31</f>
        <v>1.86</v>
      </c>
      <c r="J713" s="46">
        <f>'Data Sheet'!J31</f>
        <v>2.59</v>
      </c>
      <c r="K713" s="46">
        <f>'Data Sheet'!K31</f>
        <v>0</v>
      </c>
      <c r="L713" s="46"/>
      <c r="M713" s="136">
        <f t="shared" ref="M713:M762" si="243">SUM(D713:K713)/10</f>
        <v>1.1279999999999999</v>
      </c>
      <c r="N713" s="32">
        <f t="shared" ref="N713:N762" si="244">SUM(G713:M713)/5</f>
        <v>1.7695999999999998</v>
      </c>
      <c r="O713" s="32">
        <f t="shared" ref="O713:O762" si="245">SUM(I713:K713)/3</f>
        <v>1.4833333333333334</v>
      </c>
    </row>
    <row r="714" spans="1:15" s="18" customFormat="1" ht="18.75">
      <c r="A714" s="57" t="s">
        <v>561</v>
      </c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136">
        <f t="shared" si="243"/>
        <v>0</v>
      </c>
      <c r="N714" s="32">
        <f t="shared" si="244"/>
        <v>0</v>
      </c>
      <c r="O714" s="32">
        <f t="shared" si="245"/>
        <v>0</v>
      </c>
    </row>
    <row r="715" spans="1:15" s="18" customFormat="1">
      <c r="A715" s="57" t="s">
        <v>559</v>
      </c>
      <c r="B715" s="46">
        <f>'Data Sheet'!B30-'Data Sheet'!B25</f>
        <v>3.2800000000000002</v>
      </c>
      <c r="C715" s="46">
        <f>'Data Sheet'!C30-'Data Sheet'!C25</f>
        <v>7.04</v>
      </c>
      <c r="D715" s="46">
        <f>'Data Sheet'!D30-'Data Sheet'!D25</f>
        <v>5.34</v>
      </c>
      <c r="E715" s="46">
        <f>'Data Sheet'!E30-'Data Sheet'!E25</f>
        <v>5.68</v>
      </c>
      <c r="F715" s="46">
        <f>'Data Sheet'!F30-'Data Sheet'!F25</f>
        <v>3.05</v>
      </c>
      <c r="G715" s="46">
        <f>'Data Sheet'!G30-'Data Sheet'!G25</f>
        <v>4.6899999999999995</v>
      </c>
      <c r="H715" s="46">
        <f>'Data Sheet'!H30-'Data Sheet'!H25</f>
        <v>7.2100000000000009</v>
      </c>
      <c r="I715" s="46">
        <f>'Data Sheet'!I30-'Data Sheet'!I25</f>
        <v>8.36</v>
      </c>
      <c r="J715" s="46">
        <f>'Data Sheet'!J30-'Data Sheet'!J25</f>
        <v>4.8</v>
      </c>
      <c r="K715" s="46">
        <f>'Data Sheet'!K30-'Data Sheet'!K25</f>
        <v>5.68</v>
      </c>
      <c r="L715" s="46"/>
      <c r="M715" s="136">
        <f t="shared" si="243"/>
        <v>4.4809999999999999</v>
      </c>
      <c r="N715" s="32">
        <f t="shared" si="244"/>
        <v>7.0441999999999991</v>
      </c>
      <c r="O715" s="32">
        <f t="shared" si="245"/>
        <v>6.28</v>
      </c>
    </row>
    <row r="716" spans="1:15" s="18" customFormat="1">
      <c r="A716" s="57" t="s">
        <v>562</v>
      </c>
      <c r="B716" s="46"/>
      <c r="C716" s="46">
        <f>'Data Sheet'!B30+'Data Sheet'!B58-'Data Sheet'!C31</f>
        <v>9.0500000000000007</v>
      </c>
      <c r="D716" s="46">
        <f>'Data Sheet'!C30+'Data Sheet'!C58-'Data Sheet'!D31</f>
        <v>19.16</v>
      </c>
      <c r="E716" s="46">
        <f>'Data Sheet'!D30+'Data Sheet'!D58-'Data Sheet'!E31</f>
        <v>22.59</v>
      </c>
      <c r="F716" s="46">
        <f>'Data Sheet'!E30+'Data Sheet'!E58-'Data Sheet'!F31</f>
        <v>27.4</v>
      </c>
      <c r="G716" s="46">
        <f>'Data Sheet'!F30+'Data Sheet'!F58-'Data Sheet'!G31</f>
        <v>27.570000000000004</v>
      </c>
      <c r="H716" s="46">
        <f>'Data Sheet'!G30+'Data Sheet'!G58-'Data Sheet'!H31</f>
        <v>31.099999999999998</v>
      </c>
      <c r="I716" s="46">
        <f>'Data Sheet'!H30+'Data Sheet'!H58-'Data Sheet'!I31</f>
        <v>39.840000000000003</v>
      </c>
      <c r="J716" s="46">
        <f>'Data Sheet'!I30+'Data Sheet'!I58-'Data Sheet'!J31</f>
        <v>49.05</v>
      </c>
      <c r="K716" s="46">
        <f>'Data Sheet'!J30+'Data Sheet'!J58-'Data Sheet'!K31</f>
        <v>82.98</v>
      </c>
      <c r="L716" s="46"/>
      <c r="M716" s="136">
        <f t="shared" si="243"/>
        <v>29.969000000000005</v>
      </c>
      <c r="N716" s="32">
        <f t="shared" si="244"/>
        <v>52.101800000000004</v>
      </c>
      <c r="O716" s="32">
        <f t="shared" si="245"/>
        <v>57.29</v>
      </c>
    </row>
    <row r="717" spans="1:15" s="18" customFormat="1">
      <c r="A717" s="57" t="s">
        <v>560</v>
      </c>
      <c r="B717" s="46"/>
      <c r="C717" s="46">
        <f>('Data Sheet'!C58-'Data Sheet'!B58)</f>
        <v>6.4400000000000013</v>
      </c>
      <c r="D717" s="46">
        <f>('Data Sheet'!D58-'Data Sheet'!C58)</f>
        <v>4.91</v>
      </c>
      <c r="E717" s="46">
        <f>('Data Sheet'!E58-'Data Sheet'!D58)</f>
        <v>4.6699999999999982</v>
      </c>
      <c r="F717" s="46">
        <f>('Data Sheet'!F58-'Data Sheet'!E58)</f>
        <v>2.5600000000000023</v>
      </c>
      <c r="G717" s="46">
        <f>('Data Sheet'!G58-'Data Sheet'!F58)</f>
        <v>2.2999999999999972</v>
      </c>
      <c r="H717" s="46">
        <f>('Data Sheet'!H58-'Data Sheet'!G58)</f>
        <v>6.32</v>
      </c>
      <c r="I717" s="46">
        <f>('Data Sheet'!I58-'Data Sheet'!H58)</f>
        <v>8.4399999999999977</v>
      </c>
      <c r="J717" s="46">
        <f>('Data Sheet'!J58-'Data Sheet'!I58)</f>
        <v>33.77000000000001</v>
      </c>
      <c r="K717" s="46">
        <f>('Data Sheet'!K58-'Data Sheet'!J58)</f>
        <v>8.3199999999999932</v>
      </c>
      <c r="L717" s="46"/>
      <c r="M717" s="136">
        <f t="shared" si="243"/>
        <v>7.1289999999999996</v>
      </c>
      <c r="N717" s="32">
        <f t="shared" si="244"/>
        <v>13.255799999999999</v>
      </c>
      <c r="O717" s="32">
        <f t="shared" si="245"/>
        <v>16.843333333333334</v>
      </c>
    </row>
    <row r="718" spans="1:15" s="18" customFormat="1">
      <c r="A718" s="57" t="s">
        <v>432</v>
      </c>
      <c r="B718" s="78">
        <f>'Profit &amp; Loss'!B18</f>
        <v>0.21428571428571427</v>
      </c>
      <c r="C718" s="78">
        <f>'Profit &amp; Loss'!C18</f>
        <v>0.15040650406504066</v>
      </c>
      <c r="D718" s="78">
        <f>'Profit &amp; Loss'!D18</f>
        <v>0.19966159052453467</v>
      </c>
      <c r="E718" s="78">
        <f>'Profit &amp; Loss'!E18</f>
        <v>0.19669421487603306</v>
      </c>
      <c r="F718" s="78">
        <f>'Profit &amp; Loss'!F18</f>
        <v>0.3020304568527919</v>
      </c>
      <c r="G718" s="78">
        <f>'Profit &amp; Loss'!G18</f>
        <v>0.26727272727272727</v>
      </c>
      <c r="H718" s="78">
        <f>'Profit &amp; Loss'!H18</f>
        <v>0.22556390977443608</v>
      </c>
      <c r="I718" s="78">
        <f>'Profit &amp; Loss'!I18</f>
        <v>0.19620253164556961</v>
      </c>
      <c r="J718" s="78">
        <f>'Profit &amp; Loss'!J18</f>
        <v>0.36737588652482267</v>
      </c>
      <c r="K718" s="78">
        <f>'Profit &amp; Loss'!K18</f>
        <v>0</v>
      </c>
      <c r="L718" s="78"/>
      <c r="M718" s="136">
        <f t="shared" si="243"/>
        <v>0.17548013174709154</v>
      </c>
      <c r="N718" s="32">
        <f t="shared" si="244"/>
        <v>0.24637903739292946</v>
      </c>
      <c r="O718" s="32">
        <f t="shared" si="245"/>
        <v>0.18785947272346407</v>
      </c>
    </row>
    <row r="719" spans="1:15" s="18" customFormat="1">
      <c r="A719" s="57" t="s">
        <v>433</v>
      </c>
      <c r="B719" s="143">
        <f t="shared" ref="B719:K719" si="246">B671-B713</f>
        <v>2.8600000000000003</v>
      </c>
      <c r="C719" s="143">
        <f t="shared" si="246"/>
        <v>6.27</v>
      </c>
      <c r="D719" s="143">
        <f t="shared" si="246"/>
        <v>4.7300000000000004</v>
      </c>
      <c r="E719" s="143">
        <f t="shared" si="246"/>
        <v>4.8599999999999994</v>
      </c>
      <c r="F719" s="143">
        <f t="shared" si="246"/>
        <v>2.75</v>
      </c>
      <c r="G719" s="143">
        <f t="shared" si="246"/>
        <v>4.03</v>
      </c>
      <c r="H719" s="143">
        <f t="shared" si="246"/>
        <v>6.1800000000000006</v>
      </c>
      <c r="I719" s="143">
        <f t="shared" si="246"/>
        <v>7.62</v>
      </c>
      <c r="J719" s="143">
        <f t="shared" si="246"/>
        <v>4.46</v>
      </c>
      <c r="K719" s="143">
        <f t="shared" si="246"/>
        <v>8.32</v>
      </c>
      <c r="L719" s="143"/>
      <c r="M719" s="136">
        <f t="shared" si="243"/>
        <v>4.2949999999999999</v>
      </c>
      <c r="N719" s="32">
        <f t="shared" si="244"/>
        <v>6.9809999999999999</v>
      </c>
      <c r="O719" s="32">
        <f t="shared" si="245"/>
        <v>6.8</v>
      </c>
    </row>
    <row r="720" spans="1:15" s="18" customFormat="1" hidden="1">
      <c r="A720" s="57" t="s">
        <v>434</v>
      </c>
      <c r="B720" s="143">
        <f>'Profit &amp; Loss'!B14</f>
        <v>4.0244137362637362</v>
      </c>
      <c r="C720" s="143">
        <f>'Profit &amp; Loss'!C14</f>
        <v>2.4773028455284551</v>
      </c>
      <c r="D720" s="143">
        <f>'Profit &amp; Loss'!D14</f>
        <v>6.1816091370558377</v>
      </c>
      <c r="E720" s="143">
        <f>'Profit &amp; Loss'!E14</f>
        <v>5.4534971900826452</v>
      </c>
      <c r="F720" s="143">
        <f>'Profit &amp; Loss'!F14</f>
        <v>7.6510142131979695</v>
      </c>
      <c r="G720" s="143">
        <f>'Profit &amp; Loss'!G14</f>
        <v>6.9893334545454548</v>
      </c>
      <c r="H720" s="143">
        <f>'Profit &amp; Loss'!H14</f>
        <v>12.193066666666667</v>
      </c>
      <c r="I720" s="143">
        <f>'Profit &amp; Loss'!I14</f>
        <v>25.101116877637132</v>
      </c>
      <c r="J720" s="143">
        <f>'Profit &amp; Loss'!J14</f>
        <v>38.824580854468081</v>
      </c>
      <c r="K720" s="143">
        <f>'Profit &amp; Loss'!K14</f>
        <v>31.951493924999994</v>
      </c>
      <c r="L720" s="143"/>
      <c r="M720" s="136">
        <f t="shared" si="243"/>
        <v>13.43457123186538</v>
      </c>
      <c r="N720" s="32">
        <f t="shared" si="244"/>
        <v>25.698832602036543</v>
      </c>
      <c r="O720" s="32">
        <f t="shared" si="245"/>
        <v>31.959063885701738</v>
      </c>
    </row>
    <row r="721" spans="1:15" s="18" customFormat="1">
      <c r="A721" s="57" t="s">
        <v>435</v>
      </c>
      <c r="B721" s="141">
        <f>'Data Sheet'!B90*'Data Sheet'!B93</f>
        <v>14.648866000000002</v>
      </c>
      <c r="C721" s="141">
        <f>'Data Sheet'!C90*'Data Sheet'!C93</f>
        <v>18.282495000000001</v>
      </c>
      <c r="D721" s="141">
        <f>'Data Sheet'!D90*'Data Sheet'!D93</f>
        <v>36.53331</v>
      </c>
      <c r="E721" s="141">
        <f>'Data Sheet'!E90*'Data Sheet'!E93</f>
        <v>32.993658000000003</v>
      </c>
      <c r="F721" s="141">
        <f>'Data Sheet'!F90*'Data Sheet'!F93</f>
        <v>30.144995999999999</v>
      </c>
      <c r="G721" s="141">
        <f>'Data Sheet'!G90*'Data Sheet'!G93</f>
        <v>38.441333999999998</v>
      </c>
      <c r="H721" s="141">
        <f>'Data Sheet'!H90*'Data Sheet'!H93</f>
        <v>97.300671999999992</v>
      </c>
      <c r="I721" s="141">
        <f>'Data Sheet'!I90*'Data Sheet'!I93</f>
        <v>237.95858799999999</v>
      </c>
      <c r="J721" s="141">
        <f>'Data Sheet'!J90*'Data Sheet'!J93</f>
        <v>273.71329502399999</v>
      </c>
      <c r="K721" s="141">
        <f>'Data Sheet'!K90*'Data Sheet'!K93</f>
        <v>265.83642945599996</v>
      </c>
      <c r="L721" s="141">
        <f>'Profit &amp; Loss'!L15*'Data Sheet'!K93</f>
        <v>251.66533599999997</v>
      </c>
      <c r="M721" s="136">
        <f t="shared" si="243"/>
        <v>101.29222824799999</v>
      </c>
      <c r="N721" s="32">
        <f t="shared" si="244"/>
        <v>253.2415765456</v>
      </c>
      <c r="O721" s="32">
        <f t="shared" si="245"/>
        <v>259.16943749333331</v>
      </c>
    </row>
    <row r="722" spans="1:15" s="18" customFormat="1">
      <c r="A722" s="57" t="s">
        <v>423</v>
      </c>
      <c r="B722" s="143">
        <f>'Data Sheet'!B64+'Data Sheet'!B69</f>
        <v>0.92</v>
      </c>
      <c r="C722" s="143">
        <f>'Data Sheet'!C64+'Data Sheet'!C69</f>
        <v>0.88</v>
      </c>
      <c r="D722" s="143">
        <f>'Data Sheet'!D64+'Data Sheet'!D69</f>
        <v>1.03</v>
      </c>
      <c r="E722" s="143">
        <f>'Data Sheet'!E64+'Data Sheet'!E69</f>
        <v>1.4100000000000001</v>
      </c>
      <c r="F722" s="143">
        <f>'Data Sheet'!F64+'Data Sheet'!F69</f>
        <v>2.5700000000000003</v>
      </c>
      <c r="G722" s="143">
        <f>'Data Sheet'!G64+'Data Sheet'!G69</f>
        <v>7.0500000000000007</v>
      </c>
      <c r="H722" s="143">
        <f>'Data Sheet'!H64+'Data Sheet'!H69</f>
        <v>9.4400000000000013</v>
      </c>
      <c r="I722" s="143">
        <f>'Data Sheet'!I64+'Data Sheet'!I69</f>
        <v>17.830000000000002</v>
      </c>
      <c r="J722" s="143">
        <f>'Data Sheet'!J64+'Data Sheet'!J69</f>
        <v>39.1</v>
      </c>
      <c r="K722" s="143">
        <f>'Data Sheet'!K64+'Data Sheet'!K69</f>
        <v>33.94</v>
      </c>
      <c r="L722" s="143"/>
      <c r="M722" s="136">
        <f t="shared" si="243"/>
        <v>11.237</v>
      </c>
      <c r="N722" s="32">
        <f t="shared" si="244"/>
        <v>23.7194</v>
      </c>
      <c r="O722" s="32">
        <f t="shared" si="245"/>
        <v>30.290000000000003</v>
      </c>
    </row>
    <row r="723" spans="1:15" s="18" customFormat="1" hidden="1">
      <c r="A723" s="155"/>
      <c r="C723" s="112"/>
      <c r="M723" s="136">
        <f t="shared" si="243"/>
        <v>0</v>
      </c>
      <c r="N723" s="32">
        <f t="shared" si="244"/>
        <v>0</v>
      </c>
      <c r="O723" s="32">
        <f t="shared" si="245"/>
        <v>0</v>
      </c>
    </row>
    <row r="724" spans="1:15" s="18" customFormat="1">
      <c r="A724" s="57" t="s">
        <v>436</v>
      </c>
      <c r="B724" s="46">
        <f>'Data Sheet'!B59</f>
        <v>12.74</v>
      </c>
      <c r="C724" s="46">
        <f>'Data Sheet'!C59</f>
        <v>13.32</v>
      </c>
      <c r="D724" s="46">
        <f>'Data Sheet'!D59</f>
        <v>9.27</v>
      </c>
      <c r="E724" s="46">
        <f>'Data Sheet'!E59</f>
        <v>17.059999999999999</v>
      </c>
      <c r="F724" s="46">
        <f>'Data Sheet'!F59</f>
        <v>18.52</v>
      </c>
      <c r="G724" s="46">
        <f>'Data Sheet'!G59</f>
        <v>26.93</v>
      </c>
      <c r="H724" s="46">
        <f>'Data Sheet'!H59</f>
        <v>36.82</v>
      </c>
      <c r="I724" s="46">
        <f>'Data Sheet'!I59</f>
        <v>53.64</v>
      </c>
      <c r="J724" s="46">
        <f>'Data Sheet'!J59</f>
        <v>46.87</v>
      </c>
      <c r="K724" s="46">
        <f>'Data Sheet'!K59</f>
        <v>61.18</v>
      </c>
      <c r="L724" s="46"/>
      <c r="M724" s="136">
        <f t="shared" si="243"/>
        <v>27.029000000000003</v>
      </c>
      <c r="N724" s="32">
        <f t="shared" si="244"/>
        <v>50.4938</v>
      </c>
      <c r="O724" s="32">
        <f t="shared" si="245"/>
        <v>53.896666666666668</v>
      </c>
    </row>
    <row r="725" spans="1:15" s="18" customFormat="1">
      <c r="A725" s="57" t="s">
        <v>437</v>
      </c>
      <c r="B725" s="46">
        <f>('Data Sheet'!B57+'Data Sheet'!B58)</f>
        <v>9.2199999999999989</v>
      </c>
      <c r="C725" s="46">
        <f>('Data Sheet'!C57+'Data Sheet'!C58)</f>
        <v>15.790000000000001</v>
      </c>
      <c r="D725" s="46">
        <f>('Data Sheet'!D57+'Data Sheet'!D58)</f>
        <v>20.84</v>
      </c>
      <c r="E725" s="46">
        <f>('Data Sheet'!E57+'Data Sheet'!E58)</f>
        <v>25.509999999999998</v>
      </c>
      <c r="F725" s="46">
        <f>('Data Sheet'!F57+'Data Sheet'!F58)</f>
        <v>28.07</v>
      </c>
      <c r="G725" s="46">
        <f>('Data Sheet'!G57+'Data Sheet'!G58)</f>
        <v>31.86</v>
      </c>
      <c r="H725" s="46">
        <f>('Data Sheet'!H57+'Data Sheet'!H58)</f>
        <v>38.229999999999997</v>
      </c>
      <c r="I725" s="46">
        <f>('Data Sheet'!I57+'Data Sheet'!I58)</f>
        <v>46.819999999999993</v>
      </c>
      <c r="J725" s="46">
        <f>('Data Sheet'!J57+'Data Sheet'!J58)</f>
        <v>81.12</v>
      </c>
      <c r="K725" s="46">
        <f>('Data Sheet'!K57+'Data Sheet'!K58)</f>
        <v>89.44</v>
      </c>
      <c r="L725" s="46"/>
      <c r="M725" s="136">
        <f t="shared" si="243"/>
        <v>36.189</v>
      </c>
      <c r="N725" s="32">
        <f t="shared" si="244"/>
        <v>64.731800000000007</v>
      </c>
      <c r="O725" s="32">
        <f t="shared" si="245"/>
        <v>72.459999999999994</v>
      </c>
    </row>
    <row r="726" spans="1:15" s="18" customFormat="1">
      <c r="A726" s="57" t="s">
        <v>438</v>
      </c>
      <c r="B726" s="141">
        <f>B724/B725</f>
        <v>1.3817787418655099</v>
      </c>
      <c r="C726" s="141">
        <f t="shared" ref="C726:K726" si="247">C724/C725</f>
        <v>0.84357188093730207</v>
      </c>
      <c r="D726" s="141">
        <f t="shared" si="247"/>
        <v>0.44481765834932818</v>
      </c>
      <c r="E726" s="141">
        <f t="shared" si="247"/>
        <v>0.66875735005880044</v>
      </c>
      <c r="F726" s="141">
        <f t="shared" si="247"/>
        <v>0.65977912361952262</v>
      </c>
      <c r="G726" s="141">
        <f t="shared" si="247"/>
        <v>0.84526051475204023</v>
      </c>
      <c r="H726" s="141">
        <f t="shared" si="247"/>
        <v>0.96311797018048662</v>
      </c>
      <c r="I726" s="141">
        <f t="shared" si="247"/>
        <v>1.1456642460486972</v>
      </c>
      <c r="J726" s="141">
        <f t="shared" si="247"/>
        <v>0.57778599605522674</v>
      </c>
      <c r="K726" s="141">
        <f t="shared" si="247"/>
        <v>0.68403398926654746</v>
      </c>
      <c r="L726" s="141"/>
      <c r="M726" s="136">
        <f t="shared" si="243"/>
        <v>0.59892168483306496</v>
      </c>
      <c r="N726" s="32">
        <f t="shared" si="244"/>
        <v>0.96295688022721271</v>
      </c>
      <c r="O726" s="32">
        <f t="shared" si="245"/>
        <v>0.80249474379015717</v>
      </c>
    </row>
    <row r="727" spans="1:15" s="18" customFormat="1" hidden="1">
      <c r="A727" s="57" t="s">
        <v>439</v>
      </c>
      <c r="B727" s="46"/>
      <c r="C727" s="69"/>
      <c r="D727" s="46"/>
      <c r="E727" s="46"/>
      <c r="F727" s="46"/>
      <c r="G727" s="46"/>
      <c r="H727" s="46"/>
      <c r="I727" s="46"/>
      <c r="J727" s="46"/>
      <c r="K727" s="46"/>
      <c r="L727" s="46"/>
      <c r="M727" s="136">
        <f t="shared" si="243"/>
        <v>0</v>
      </c>
      <c r="N727" s="32">
        <f t="shared" si="244"/>
        <v>0</v>
      </c>
      <c r="O727" s="32">
        <f t="shared" si="245"/>
        <v>0</v>
      </c>
    </row>
    <row r="728" spans="1:15" s="18" customFormat="1" hidden="1">
      <c r="A728" s="57" t="s">
        <v>440</v>
      </c>
      <c r="B728" s="143">
        <f>'Profit &amp; Loss'!B9</f>
        <v>1.1200000000000001</v>
      </c>
      <c r="C728" s="143">
        <f>'Profit &amp; Loss'!C9</f>
        <v>2.46</v>
      </c>
      <c r="D728" s="143">
        <f>'Profit &amp; Loss'!D9</f>
        <v>1.21</v>
      </c>
      <c r="E728" s="143">
        <f>'Profit &amp; Loss'!E9</f>
        <v>1.59</v>
      </c>
      <c r="F728" s="143">
        <f>'Profit &amp; Loss'!F9</f>
        <v>2.41</v>
      </c>
      <c r="G728" s="143">
        <f>'Profit &amp; Loss'!G9</f>
        <v>3.26</v>
      </c>
      <c r="H728" s="143">
        <f>'Profit &amp; Loss'!H9</f>
        <v>4.18</v>
      </c>
      <c r="I728" s="143">
        <f>'Profit &amp; Loss'!I9</f>
        <v>5.49</v>
      </c>
      <c r="J728" s="143">
        <f>'Profit &amp; Loss'!J9</f>
        <v>5.88</v>
      </c>
      <c r="K728" s="143">
        <f>'Profit &amp; Loss'!K9</f>
        <v>5.75</v>
      </c>
      <c r="L728" s="143"/>
      <c r="M728" s="136">
        <f t="shared" si="243"/>
        <v>2.9769999999999999</v>
      </c>
      <c r="N728" s="32">
        <f t="shared" si="244"/>
        <v>5.5073999999999996</v>
      </c>
      <c r="O728" s="32">
        <f t="shared" si="245"/>
        <v>5.706666666666667</v>
      </c>
    </row>
    <row r="729" spans="1:15" s="18" customFormat="1">
      <c r="A729" s="57" t="s">
        <v>111</v>
      </c>
      <c r="B729" s="141">
        <f>('Profit &amp; Loss'!B10+'Profit &amp; Loss'!B9-'Profit &amp; Loss'!B7)/'Profit &amp; Loss'!B9</f>
        <v>4.6696428571428559</v>
      </c>
      <c r="C729" s="141">
        <f>('Profit &amp; Loss'!C10+'Profit &amp; Loss'!C9-'Profit &amp; Loss'!C7)/'Profit &amp; Loss'!C9</f>
        <v>4.51219512195122</v>
      </c>
      <c r="D729" s="141">
        <f>('Profit &amp; Loss'!D10+'Profit &amp; Loss'!D9-'Profit &amp; Loss'!D7)/'Profit &amp; Loss'!D9</f>
        <v>6.7107438016528933</v>
      </c>
      <c r="E729" s="141">
        <f>('Profit &amp; Loss'!E10+'Profit &amp; Loss'!E9-'Profit &amp; Loss'!E7)/'Profit &amp; Loss'!E9</f>
        <v>5.5220125786163523</v>
      </c>
      <c r="F729" s="141">
        <f>('Profit &amp; Loss'!F10+'Profit &amp; Loss'!F9-'Profit &amp; Loss'!F7)/'Profit &amp; Loss'!F9</f>
        <v>2.8340248962655599</v>
      </c>
      <c r="G729" s="141">
        <f>('Profit &amp; Loss'!G10+'Profit &amp; Loss'!G9-'Profit &amp; Loss'!G7)/'Profit &amp; Loss'!G9</f>
        <v>2.9509202453987728</v>
      </c>
      <c r="H729" s="141">
        <f>('Profit &amp; Loss'!H10+'Profit &amp; Loss'!H9-'Profit &amp; Loss'!H7)/'Profit &amp; Loss'!H9</f>
        <v>3.3325358851674642</v>
      </c>
      <c r="I729" s="141">
        <f>('Profit &amp; Loss'!I10+'Profit &amp; Loss'!I9-'Profit &amp; Loss'!I7)/'Profit &amp; Loss'!I9</f>
        <v>3.1948998178506374</v>
      </c>
      <c r="J729" s="141">
        <f>('Profit &amp; Loss'!J10+'Profit &amp; Loss'!J9-'Profit &amp; Loss'!J7)/'Profit &amp; Loss'!J9</f>
        <v>2.4982993197278915</v>
      </c>
      <c r="K729" s="141">
        <f>('Profit &amp; Loss'!K10+'Profit &amp; Loss'!K9-'Profit &amp; Loss'!K7)/'Profit &amp; Loss'!K9</f>
        <v>2.8365217391304345</v>
      </c>
      <c r="L729" s="141">
        <f>('Profit &amp; Loss'!L10+'Profit &amp; Loss'!L9-'Profit &amp; Loss'!L7)/'Profit &amp; Loss'!L9</f>
        <v>2.8439425051334704</v>
      </c>
      <c r="M729" s="205">
        <f t="shared" si="243"/>
        <v>2.9879958283810004</v>
      </c>
      <c r="N729" s="50">
        <f t="shared" si="244"/>
        <v>4.1290230681579336</v>
      </c>
      <c r="O729" s="50">
        <f t="shared" si="245"/>
        <v>2.8432402922363216</v>
      </c>
    </row>
    <row r="730" spans="1:15" s="18" customFormat="1" hidden="1">
      <c r="A730" s="155"/>
      <c r="C730" s="112"/>
      <c r="M730" s="205">
        <f t="shared" si="243"/>
        <v>0</v>
      </c>
      <c r="N730" s="50">
        <f t="shared" si="244"/>
        <v>0</v>
      </c>
      <c r="O730" s="50">
        <f t="shared" si="245"/>
        <v>0</v>
      </c>
    </row>
    <row r="731" spans="1:15" s="18" customFormat="1" hidden="1">
      <c r="A731" s="57" t="str">
        <f>'Cash Flow'!A4</f>
        <v>Cash from Operating Activity</v>
      </c>
      <c r="B731" s="57">
        <f>'Cash Flow'!B4</f>
        <v>3.88</v>
      </c>
      <c r="C731" s="57">
        <f>'Cash Flow'!C4</f>
        <v>6.26</v>
      </c>
      <c r="D731" s="57">
        <f>'Cash Flow'!D4</f>
        <v>9.41</v>
      </c>
      <c r="E731" s="57">
        <f>'Cash Flow'!E4</f>
        <v>2.97</v>
      </c>
      <c r="F731" s="57">
        <f>'Cash Flow'!F4</f>
        <v>7.35</v>
      </c>
      <c r="G731" s="57">
        <f>'Cash Flow'!G4</f>
        <v>2.94</v>
      </c>
      <c r="H731" s="57">
        <f>'Cash Flow'!H4</f>
        <v>6.83</v>
      </c>
      <c r="I731" s="57">
        <f>'Cash Flow'!I4</f>
        <v>12.63</v>
      </c>
      <c r="J731" s="57">
        <f>'Cash Flow'!J4</f>
        <v>1.38</v>
      </c>
      <c r="K731" s="57">
        <f>'Cash Flow'!K4</f>
        <v>3.18</v>
      </c>
      <c r="L731" s="57"/>
      <c r="M731" s="205">
        <f t="shared" si="243"/>
        <v>4.6690000000000005</v>
      </c>
      <c r="N731" s="50">
        <f t="shared" si="244"/>
        <v>6.3257999999999992</v>
      </c>
      <c r="O731" s="50">
        <f t="shared" si="245"/>
        <v>5.73</v>
      </c>
    </row>
    <row r="732" spans="1:15" s="18" customFormat="1" hidden="1">
      <c r="A732" s="57" t="str">
        <f>'Cash Flow'!A5</f>
        <v>Cash from Investing Activity</v>
      </c>
      <c r="B732" s="57">
        <f>'Cash Flow'!B5</f>
        <v>-6.45</v>
      </c>
      <c r="C732" s="57">
        <f>'Cash Flow'!C5</f>
        <v>-6.57</v>
      </c>
      <c r="D732" s="57">
        <f>'Cash Flow'!D5</f>
        <v>-5.27</v>
      </c>
      <c r="E732" s="57">
        <f>'Cash Flow'!E5</f>
        <v>-5.54</v>
      </c>
      <c r="F732" s="57">
        <f>'Cash Flow'!F5</f>
        <v>-3.72</v>
      </c>
      <c r="G732" s="57">
        <f>'Cash Flow'!G5</f>
        <v>-10.53</v>
      </c>
      <c r="H732" s="57">
        <f>'Cash Flow'!H5</f>
        <v>-9.85</v>
      </c>
      <c r="I732" s="57">
        <f>'Cash Flow'!I5</f>
        <v>-15.72</v>
      </c>
      <c r="J732" s="57">
        <f>'Cash Flow'!J5</f>
        <v>-7.37</v>
      </c>
      <c r="K732" s="57">
        <f>'Cash Flow'!K5</f>
        <v>-10.77</v>
      </c>
      <c r="L732" s="57"/>
      <c r="M732" s="205">
        <f t="shared" si="243"/>
        <v>-6.8769999999999998</v>
      </c>
      <c r="N732" s="50">
        <f t="shared" si="244"/>
        <v>-12.2234</v>
      </c>
      <c r="O732" s="50">
        <f t="shared" si="245"/>
        <v>-11.286666666666667</v>
      </c>
    </row>
    <row r="733" spans="1:15" s="18" customFormat="1" hidden="1">
      <c r="A733" s="57" t="str">
        <f>'Cash Flow'!A6</f>
        <v>Cash from Financing Activity</v>
      </c>
      <c r="B733" s="57">
        <f>'Cash Flow'!B6</f>
        <v>2.98</v>
      </c>
      <c r="C733" s="57">
        <f>'Cash Flow'!C6</f>
        <v>0.27</v>
      </c>
      <c r="D733" s="57">
        <f>'Cash Flow'!D6</f>
        <v>-3.99</v>
      </c>
      <c r="E733" s="57">
        <f>'Cash Flow'!E6</f>
        <v>2.4900000000000002</v>
      </c>
      <c r="F733" s="57">
        <f>'Cash Flow'!F6</f>
        <v>-3.25</v>
      </c>
      <c r="G733" s="57">
        <f>'Cash Flow'!G6</f>
        <v>8.3800000000000008</v>
      </c>
      <c r="H733" s="57">
        <f>'Cash Flow'!H6</f>
        <v>3.08</v>
      </c>
      <c r="I733" s="57">
        <f>'Cash Flow'!I6</f>
        <v>6.5</v>
      </c>
      <c r="J733" s="57">
        <f>'Cash Flow'!J6</f>
        <v>20.85</v>
      </c>
      <c r="K733" s="57">
        <f>'Cash Flow'!K6</f>
        <v>6.46</v>
      </c>
      <c r="L733" s="57"/>
      <c r="M733" s="205">
        <f t="shared" si="243"/>
        <v>4.0520000000000005</v>
      </c>
      <c r="N733" s="50">
        <f t="shared" si="244"/>
        <v>9.8643999999999998</v>
      </c>
      <c r="O733" s="50">
        <f t="shared" si="245"/>
        <v>11.270000000000001</v>
      </c>
    </row>
    <row r="734" spans="1:15" s="18" customFormat="1" hidden="1">
      <c r="A734" s="57" t="str">
        <f>'Cash Flow'!A7</f>
        <v>Net Cash Flow</v>
      </c>
      <c r="B734" s="57">
        <f>'Cash Flow'!B7</f>
        <v>0.41</v>
      </c>
      <c r="C734" s="57">
        <f>'Cash Flow'!C7</f>
        <v>-0.04</v>
      </c>
      <c r="D734" s="57">
        <f>'Cash Flow'!D7</f>
        <v>0.15</v>
      </c>
      <c r="E734" s="57">
        <f>'Cash Flow'!E7</f>
        <v>-0.08</v>
      </c>
      <c r="F734" s="57">
        <f>'Cash Flow'!F7</f>
        <v>0.38</v>
      </c>
      <c r="G734" s="57">
        <f>'Cash Flow'!G7</f>
        <v>0.79</v>
      </c>
      <c r="H734" s="57">
        <f>'Cash Flow'!H7</f>
        <v>0.06</v>
      </c>
      <c r="I734" s="57">
        <f>'Cash Flow'!I7</f>
        <v>3.41</v>
      </c>
      <c r="J734" s="57">
        <f>'Cash Flow'!J7</f>
        <v>14.85</v>
      </c>
      <c r="K734" s="57">
        <f>'Cash Flow'!K7</f>
        <v>-1.1299999999999999</v>
      </c>
      <c r="L734" s="57"/>
      <c r="M734" s="205">
        <f t="shared" si="243"/>
        <v>1.843</v>
      </c>
      <c r="N734" s="50">
        <f t="shared" si="244"/>
        <v>3.9645999999999999</v>
      </c>
      <c r="O734" s="50">
        <f t="shared" si="245"/>
        <v>5.71</v>
      </c>
    </row>
    <row r="735" spans="1:15" s="18" customFormat="1" hidden="1">
      <c r="A735" s="57" t="s">
        <v>441</v>
      </c>
      <c r="B735" s="46">
        <f>'Data Sheet'!B69</f>
        <v>0.92</v>
      </c>
      <c r="C735" s="46">
        <f>'Data Sheet'!C69</f>
        <v>0.88</v>
      </c>
      <c r="D735" s="46">
        <f>'Data Sheet'!D69</f>
        <v>1.03</v>
      </c>
      <c r="E735" s="46">
        <f>'Data Sheet'!E69</f>
        <v>1.0900000000000001</v>
      </c>
      <c r="F735" s="46">
        <f>'Data Sheet'!F69</f>
        <v>1.48</v>
      </c>
      <c r="G735" s="46">
        <f>'Data Sheet'!G69</f>
        <v>1.86</v>
      </c>
      <c r="H735" s="46">
        <f>'Data Sheet'!H69</f>
        <v>2.04</v>
      </c>
      <c r="I735" s="46">
        <f>'Data Sheet'!I69</f>
        <v>5.1100000000000003</v>
      </c>
      <c r="J735" s="46">
        <f>'Data Sheet'!J69</f>
        <v>25.16</v>
      </c>
      <c r="K735" s="46">
        <f>'Data Sheet'!K69</f>
        <v>19.86</v>
      </c>
      <c r="L735" s="46"/>
      <c r="M735" s="205">
        <f t="shared" si="243"/>
        <v>5.7629999999999999</v>
      </c>
      <c r="N735" s="50">
        <f t="shared" si="244"/>
        <v>11.958600000000001</v>
      </c>
      <c r="O735" s="50">
        <f t="shared" si="245"/>
        <v>16.709999999999997</v>
      </c>
    </row>
    <row r="736" spans="1:15" s="18" customFormat="1" hidden="1">
      <c r="A736" s="155"/>
      <c r="C736" s="112"/>
      <c r="M736" s="205">
        <f t="shared" si="243"/>
        <v>0</v>
      </c>
      <c r="N736" s="50">
        <f t="shared" si="244"/>
        <v>0</v>
      </c>
      <c r="O736" s="50">
        <f t="shared" si="245"/>
        <v>0</v>
      </c>
    </row>
    <row r="737" spans="1:15" s="18" customFormat="1" hidden="1">
      <c r="A737" s="155" t="s">
        <v>442</v>
      </c>
      <c r="B737" s="49">
        <f>SUM(B719:K719)</f>
        <v>52.08</v>
      </c>
      <c r="C737" s="112"/>
      <c r="M737" s="205">
        <f t="shared" si="243"/>
        <v>0</v>
      </c>
      <c r="N737" s="50">
        <f t="shared" si="244"/>
        <v>0</v>
      </c>
      <c r="O737" s="50">
        <f t="shared" si="245"/>
        <v>0</v>
      </c>
    </row>
    <row r="738" spans="1:15" s="18" customFormat="1" hidden="1">
      <c r="A738" s="155" t="s">
        <v>443</v>
      </c>
      <c r="B738" s="49">
        <f>M721-B721</f>
        <v>86.643362247999988</v>
      </c>
      <c r="C738" s="112"/>
      <c r="M738" s="205">
        <f t="shared" si="243"/>
        <v>0</v>
      </c>
      <c r="N738" s="50">
        <f t="shared" si="244"/>
        <v>0</v>
      </c>
      <c r="O738" s="50">
        <f t="shared" si="245"/>
        <v>0</v>
      </c>
    </row>
    <row r="739" spans="1:15" s="18" customFormat="1" hidden="1">
      <c r="A739" s="155" t="s">
        <v>444</v>
      </c>
      <c r="B739" s="49">
        <f>B738/B737</f>
        <v>1.6636590293394775</v>
      </c>
      <c r="C739" s="112"/>
      <c r="M739" s="205">
        <f t="shared" si="243"/>
        <v>0</v>
      </c>
      <c r="N739" s="50">
        <f t="shared" si="244"/>
        <v>0</v>
      </c>
      <c r="O739" s="50">
        <f t="shared" si="245"/>
        <v>0</v>
      </c>
    </row>
    <row r="740" spans="1:15" s="18" customFormat="1" hidden="1">
      <c r="A740" s="155"/>
      <c r="C740" s="112"/>
      <c r="M740" s="205">
        <f t="shared" si="243"/>
        <v>0</v>
      </c>
      <c r="N740" s="50">
        <f t="shared" si="244"/>
        <v>0</v>
      </c>
      <c r="O740" s="50">
        <f t="shared" si="245"/>
        <v>0</v>
      </c>
    </row>
    <row r="741" spans="1:15" s="18" customFormat="1" hidden="1">
      <c r="A741" s="57" t="str">
        <f>A721</f>
        <v>Mcap</v>
      </c>
      <c r="B741" s="57">
        <f t="shared" ref="B741:K741" si="248">B721</f>
        <v>14.648866000000002</v>
      </c>
      <c r="C741" s="57">
        <f t="shared" si="248"/>
        <v>18.282495000000001</v>
      </c>
      <c r="D741" s="57">
        <f t="shared" si="248"/>
        <v>36.53331</v>
      </c>
      <c r="E741" s="57">
        <f t="shared" si="248"/>
        <v>32.993658000000003</v>
      </c>
      <c r="F741" s="57">
        <f t="shared" si="248"/>
        <v>30.144995999999999</v>
      </c>
      <c r="G741" s="57">
        <f t="shared" si="248"/>
        <v>38.441333999999998</v>
      </c>
      <c r="H741" s="57">
        <f t="shared" si="248"/>
        <v>97.300671999999992</v>
      </c>
      <c r="I741" s="57">
        <f t="shared" si="248"/>
        <v>237.95858799999999</v>
      </c>
      <c r="J741" s="57">
        <f t="shared" si="248"/>
        <v>273.71329502399999</v>
      </c>
      <c r="K741" s="57">
        <f t="shared" si="248"/>
        <v>265.83642945599996</v>
      </c>
      <c r="L741" s="57"/>
      <c r="M741" s="205">
        <f t="shared" si="243"/>
        <v>101.29222824799999</v>
      </c>
      <c r="N741" s="50">
        <f t="shared" si="244"/>
        <v>202.90850934560001</v>
      </c>
      <c r="O741" s="50">
        <f t="shared" si="245"/>
        <v>259.16943749333331</v>
      </c>
    </row>
    <row r="742" spans="1:15" s="18" customFormat="1">
      <c r="A742" s="57" t="s">
        <v>480</v>
      </c>
      <c r="B742" s="141">
        <f>B721+'Data Sheet'!B59-'Data Sheet'!B69</f>
        <v>26.468865999999998</v>
      </c>
      <c r="C742" s="141">
        <f>C721+'Data Sheet'!C59-'Data Sheet'!C69</f>
        <v>30.722495000000002</v>
      </c>
      <c r="D742" s="141">
        <f>D721+'Data Sheet'!D59-'Data Sheet'!D69</f>
        <v>44.773309999999995</v>
      </c>
      <c r="E742" s="141">
        <f>E721+'Data Sheet'!E59-'Data Sheet'!E69</f>
        <v>48.963657999999995</v>
      </c>
      <c r="F742" s="141">
        <f>F721+'Data Sheet'!F59-'Data Sheet'!F69</f>
        <v>47.184996000000005</v>
      </c>
      <c r="G742" s="141">
        <f>G721+'Data Sheet'!G59-'Data Sheet'!G69</f>
        <v>63.511333999999991</v>
      </c>
      <c r="H742" s="141">
        <f>H721+'Data Sheet'!H59-'Data Sheet'!H69</f>
        <v>132.08067199999999</v>
      </c>
      <c r="I742" s="141">
        <f>I721+'Data Sheet'!I59-'Data Sheet'!I69</f>
        <v>286.48858799999999</v>
      </c>
      <c r="J742" s="141">
        <f>J721+'Data Sheet'!J59-'Data Sheet'!J69</f>
        <v>295.42329502399997</v>
      </c>
      <c r="K742" s="141">
        <f>K721+'Data Sheet'!K59-'Data Sheet'!K69</f>
        <v>307.15642945599996</v>
      </c>
      <c r="L742" s="141"/>
      <c r="M742" s="205">
        <f t="shared" si="243"/>
        <v>122.55822824799998</v>
      </c>
      <c r="N742" s="50">
        <f t="shared" si="244"/>
        <v>241.44370934559998</v>
      </c>
      <c r="O742" s="50">
        <f t="shared" si="245"/>
        <v>296.35610415999997</v>
      </c>
    </row>
    <row r="743" spans="1:15" s="18" customFormat="1">
      <c r="A743" s="57" t="s">
        <v>371</v>
      </c>
      <c r="B743" s="143">
        <f>'Cash Flow'!B4</f>
        <v>3.88</v>
      </c>
      <c r="C743" s="143">
        <f>'Cash Flow'!C4</f>
        <v>6.26</v>
      </c>
      <c r="D743" s="143">
        <f>'Cash Flow'!D4</f>
        <v>9.41</v>
      </c>
      <c r="E743" s="143">
        <f>'Cash Flow'!E4</f>
        <v>2.97</v>
      </c>
      <c r="F743" s="143">
        <f>'Cash Flow'!F4</f>
        <v>7.35</v>
      </c>
      <c r="G743" s="143">
        <f>'Cash Flow'!G4</f>
        <v>2.94</v>
      </c>
      <c r="H743" s="143">
        <f>'Cash Flow'!H4</f>
        <v>6.83</v>
      </c>
      <c r="I743" s="143">
        <f>'Cash Flow'!I4</f>
        <v>12.63</v>
      </c>
      <c r="J743" s="143">
        <f>'Cash Flow'!J4</f>
        <v>1.38</v>
      </c>
      <c r="K743" s="143">
        <f>'Cash Flow'!K4</f>
        <v>3.18</v>
      </c>
      <c r="L743" s="143"/>
      <c r="M743" s="205">
        <f t="shared" si="243"/>
        <v>4.6690000000000005</v>
      </c>
      <c r="N743" s="50">
        <f t="shared" si="244"/>
        <v>6.3257999999999992</v>
      </c>
      <c r="O743" s="50">
        <f t="shared" si="245"/>
        <v>5.73</v>
      </c>
    </row>
    <row r="744" spans="1:15" s="2" customFormat="1">
      <c r="A744" s="138" t="s">
        <v>539</v>
      </c>
      <c r="B744" s="160"/>
      <c r="C744" s="160"/>
      <c r="D744" s="160">
        <f>SUM(B743:D743)/3</f>
        <v>6.5166666666666666</v>
      </c>
      <c r="E744" s="160">
        <f t="shared" ref="E744:K744" si="249">SUM(C743:E743)/3</f>
        <v>6.2133333333333338</v>
      </c>
      <c r="F744" s="160">
        <f t="shared" si="249"/>
        <v>6.5766666666666671</v>
      </c>
      <c r="G744" s="160">
        <f t="shared" si="249"/>
        <v>4.42</v>
      </c>
      <c r="H744" s="160">
        <f t="shared" si="249"/>
        <v>5.7066666666666661</v>
      </c>
      <c r="I744" s="160">
        <f t="shared" si="249"/>
        <v>7.4666666666666659</v>
      </c>
      <c r="J744" s="160">
        <f t="shared" si="249"/>
        <v>6.9466666666666663</v>
      </c>
      <c r="K744" s="160">
        <f t="shared" si="249"/>
        <v>5.73</v>
      </c>
      <c r="L744" s="160"/>
      <c r="M744" s="205">
        <f t="shared" si="243"/>
        <v>4.9576666666666664</v>
      </c>
      <c r="N744" s="50">
        <f t="shared" si="244"/>
        <v>7.0455333333333332</v>
      </c>
      <c r="O744" s="50">
        <f t="shared" si="245"/>
        <v>6.7144444444444433</v>
      </c>
    </row>
    <row r="745" spans="1:15" s="18" customFormat="1">
      <c r="A745" s="57" t="s">
        <v>123</v>
      </c>
      <c r="B745" s="143">
        <f>B315</f>
        <v>0</v>
      </c>
      <c r="C745" s="143">
        <f t="shared" ref="C745:K745" si="250">C315</f>
        <v>6.5900000000000016</v>
      </c>
      <c r="D745" s="143">
        <f t="shared" si="250"/>
        <v>5.259999999999998</v>
      </c>
      <c r="E745" s="143">
        <f t="shared" si="250"/>
        <v>5.35</v>
      </c>
      <c r="F745" s="143">
        <f t="shared" si="250"/>
        <v>3.4299999999999997</v>
      </c>
      <c r="G745" s="143">
        <f t="shared" si="250"/>
        <v>7.6900000000000022</v>
      </c>
      <c r="H745" s="143">
        <f t="shared" si="250"/>
        <v>7.9899999999999975</v>
      </c>
      <c r="I745" s="143">
        <f t="shared" si="250"/>
        <v>10.870000000000001</v>
      </c>
      <c r="J745" s="143">
        <f t="shared" si="250"/>
        <v>7.8299999999999983</v>
      </c>
      <c r="K745" s="143">
        <f t="shared" si="250"/>
        <v>12.680000000000007</v>
      </c>
      <c r="L745" s="143"/>
      <c r="M745" s="205">
        <f t="shared" si="243"/>
        <v>6.1100000000000012</v>
      </c>
      <c r="N745" s="50">
        <f t="shared" si="244"/>
        <v>10.634</v>
      </c>
      <c r="O745" s="50">
        <f t="shared" si="245"/>
        <v>10.460000000000003</v>
      </c>
    </row>
    <row r="746" spans="1:15" s="2" customFormat="1">
      <c r="A746" s="138" t="s">
        <v>538</v>
      </c>
      <c r="B746" s="160"/>
      <c r="C746" s="160"/>
      <c r="D746" s="160"/>
      <c r="E746" s="160">
        <f>SUM(C745:E745)/3</f>
        <v>5.7333333333333334</v>
      </c>
      <c r="F746" s="160">
        <f t="shared" ref="F746:K746" si="251">SUM(D745:F745)/3</f>
        <v>4.6799999999999988</v>
      </c>
      <c r="G746" s="160">
        <f t="shared" si="251"/>
        <v>5.4900000000000011</v>
      </c>
      <c r="H746" s="160">
        <f t="shared" si="251"/>
        <v>6.37</v>
      </c>
      <c r="I746" s="160">
        <f t="shared" si="251"/>
        <v>8.85</v>
      </c>
      <c r="J746" s="160">
        <f t="shared" si="251"/>
        <v>8.8966666666666665</v>
      </c>
      <c r="K746" s="160">
        <f t="shared" si="251"/>
        <v>10.460000000000003</v>
      </c>
      <c r="L746" s="160"/>
      <c r="M746" s="205">
        <f t="shared" si="243"/>
        <v>5.048</v>
      </c>
      <c r="N746" s="50">
        <f t="shared" si="244"/>
        <v>9.0229333333333344</v>
      </c>
      <c r="O746" s="50">
        <f t="shared" si="245"/>
        <v>9.4022222222222229</v>
      </c>
    </row>
    <row r="747" spans="1:15" s="18" customFormat="1">
      <c r="A747" s="57" t="s">
        <v>403</v>
      </c>
      <c r="B747" s="143">
        <f>B743-B745</f>
        <v>3.88</v>
      </c>
      <c r="C747" s="143">
        <f t="shared" ref="C747:K747" si="252">C743-C745</f>
        <v>-0.33000000000000185</v>
      </c>
      <c r="D747" s="143">
        <f t="shared" si="252"/>
        <v>4.1500000000000021</v>
      </c>
      <c r="E747" s="143">
        <f t="shared" si="252"/>
        <v>-2.3799999999999994</v>
      </c>
      <c r="F747" s="143">
        <f t="shared" si="252"/>
        <v>3.92</v>
      </c>
      <c r="G747" s="143">
        <f t="shared" si="252"/>
        <v>-4.7500000000000018</v>
      </c>
      <c r="H747" s="143">
        <f t="shared" si="252"/>
        <v>-1.1599999999999975</v>
      </c>
      <c r="I747" s="143">
        <f t="shared" si="252"/>
        <v>1.7599999999999998</v>
      </c>
      <c r="J747" s="143">
        <f t="shared" si="252"/>
        <v>-6.4499999999999984</v>
      </c>
      <c r="K747" s="143">
        <f t="shared" si="252"/>
        <v>-9.5000000000000071</v>
      </c>
      <c r="L747" s="143"/>
      <c r="M747" s="205">
        <f t="shared" si="243"/>
        <v>-1.4410000000000003</v>
      </c>
      <c r="N747" s="50">
        <f t="shared" si="244"/>
        <v>-4.3082000000000011</v>
      </c>
      <c r="O747" s="50">
        <f t="shared" si="245"/>
        <v>-4.7300000000000013</v>
      </c>
    </row>
    <row r="748" spans="1:15" s="18" customFormat="1">
      <c r="A748" s="57" t="s">
        <v>588</v>
      </c>
      <c r="B748" s="143">
        <f>'Cash Flow'!B4-'Profit &amp; Loss'!B9</f>
        <v>2.76</v>
      </c>
      <c r="C748" s="143">
        <f>'Cash Flow'!C4-'Profit &amp; Loss'!C9</f>
        <v>3.8</v>
      </c>
      <c r="D748" s="143">
        <f>'Cash Flow'!D4-'Profit &amp; Loss'!D9</f>
        <v>8.1999999999999993</v>
      </c>
      <c r="E748" s="143">
        <f>'Cash Flow'!E4-'Profit &amp; Loss'!E9</f>
        <v>1.3800000000000001</v>
      </c>
      <c r="F748" s="143">
        <f>'Cash Flow'!F4-'Profit &amp; Loss'!F9</f>
        <v>4.9399999999999995</v>
      </c>
      <c r="G748" s="143">
        <f>'Cash Flow'!G4-'Profit &amp; Loss'!G9</f>
        <v>-0.31999999999999984</v>
      </c>
      <c r="H748" s="143">
        <f>'Cash Flow'!H4-'Profit &amp; Loss'!H9</f>
        <v>2.6500000000000004</v>
      </c>
      <c r="I748" s="143">
        <f>'Cash Flow'!I4-'Profit &amp; Loss'!I9</f>
        <v>7.1400000000000006</v>
      </c>
      <c r="J748" s="143">
        <f>'Cash Flow'!J4-'Profit &amp; Loss'!J9</f>
        <v>-4.5</v>
      </c>
      <c r="K748" s="143">
        <f>'Cash Flow'!K4-'Profit &amp; Loss'!K9</f>
        <v>-2.57</v>
      </c>
      <c r="L748" s="143"/>
      <c r="M748" s="205"/>
      <c r="N748" s="50"/>
      <c r="O748" s="50"/>
    </row>
    <row r="749" spans="1:15" s="18" customFormat="1">
      <c r="A749" s="57" t="s">
        <v>589</v>
      </c>
      <c r="B749" s="143"/>
      <c r="C749" s="143">
        <f t="shared" ref="C749:K749" si="253">C748-C745</f>
        <v>-2.7900000000000018</v>
      </c>
      <c r="D749" s="143">
        <f t="shared" si="253"/>
        <v>2.9400000000000013</v>
      </c>
      <c r="E749" s="143">
        <f t="shared" si="253"/>
        <v>-3.9699999999999998</v>
      </c>
      <c r="F749" s="143">
        <f t="shared" si="253"/>
        <v>1.5099999999999998</v>
      </c>
      <c r="G749" s="143">
        <f t="shared" si="253"/>
        <v>-8.0100000000000016</v>
      </c>
      <c r="H749" s="143">
        <f t="shared" si="253"/>
        <v>-5.3399999999999972</v>
      </c>
      <c r="I749" s="143">
        <f t="shared" si="253"/>
        <v>-3.7300000000000004</v>
      </c>
      <c r="J749" s="143">
        <f t="shared" si="253"/>
        <v>-12.329999999999998</v>
      </c>
      <c r="K749" s="143">
        <f t="shared" si="253"/>
        <v>-15.250000000000007</v>
      </c>
      <c r="L749" s="143"/>
      <c r="M749" s="205"/>
      <c r="N749" s="50"/>
      <c r="O749" s="50"/>
    </row>
    <row r="750" spans="1:15" s="18" customFormat="1">
      <c r="A750" s="57" t="s">
        <v>590</v>
      </c>
      <c r="B750" s="143"/>
      <c r="C750" s="143">
        <f>'Balance Sheet'!C6-'Balance Sheet'!B6</f>
        <v>0.58000000000000007</v>
      </c>
      <c r="D750" s="143">
        <f>'Balance Sheet'!D6-'Balance Sheet'!C6</f>
        <v>-4.0500000000000007</v>
      </c>
      <c r="E750" s="143">
        <f>'Balance Sheet'!E6-'Balance Sheet'!D6</f>
        <v>7.7899999999999991</v>
      </c>
      <c r="F750" s="143">
        <f>'Balance Sheet'!F6-'Balance Sheet'!E6</f>
        <v>1.4600000000000009</v>
      </c>
      <c r="G750" s="143">
        <f>'Balance Sheet'!G6-'Balance Sheet'!F6</f>
        <v>8.41</v>
      </c>
      <c r="H750" s="143">
        <f>'Balance Sheet'!H6-'Balance Sheet'!G6</f>
        <v>9.89</v>
      </c>
      <c r="I750" s="143">
        <f>'Balance Sheet'!I6-'Balance Sheet'!H6</f>
        <v>16.82</v>
      </c>
      <c r="J750" s="143">
        <f>'Balance Sheet'!J6-'Balance Sheet'!I6</f>
        <v>-6.7700000000000031</v>
      </c>
      <c r="K750" s="143">
        <f>'Balance Sheet'!K6-'Balance Sheet'!J6</f>
        <v>14.310000000000002</v>
      </c>
      <c r="L750" s="143"/>
      <c r="M750" s="205"/>
      <c r="N750" s="50"/>
      <c r="O750" s="50"/>
    </row>
    <row r="751" spans="1:15" s="2" customFormat="1">
      <c r="A751" s="138" t="s">
        <v>540</v>
      </c>
      <c r="B751" s="160"/>
      <c r="C751" s="160"/>
      <c r="D751" s="160"/>
      <c r="E751" s="160">
        <f>E744-E746</f>
        <v>0.48000000000000043</v>
      </c>
      <c r="F751" s="160">
        <f t="shared" ref="F751:K751" si="254">F744-F746</f>
        <v>1.8966666666666683</v>
      </c>
      <c r="G751" s="160">
        <f t="shared" si="254"/>
        <v>-1.0700000000000012</v>
      </c>
      <c r="H751" s="160">
        <f t="shared" si="254"/>
        <v>-0.663333333333334</v>
      </c>
      <c r="I751" s="160">
        <f t="shared" si="254"/>
        <v>-1.3833333333333337</v>
      </c>
      <c r="J751" s="160">
        <f t="shared" si="254"/>
        <v>-1.9500000000000002</v>
      </c>
      <c r="K751" s="160">
        <f t="shared" si="254"/>
        <v>-4.7300000000000022</v>
      </c>
      <c r="L751" s="160"/>
      <c r="M751" s="205">
        <f t="shared" si="243"/>
        <v>-0.74200000000000021</v>
      </c>
      <c r="N751" s="50">
        <f t="shared" si="244"/>
        <v>-2.1077333333333343</v>
      </c>
      <c r="O751" s="50">
        <f t="shared" si="245"/>
        <v>-2.6877777777777787</v>
      </c>
    </row>
    <row r="752" spans="1:15" s="2" customFormat="1">
      <c r="A752" s="138" t="s">
        <v>563</v>
      </c>
      <c r="B752" s="138"/>
      <c r="C752" s="138"/>
      <c r="D752" s="138">
        <f>D721/'Profit &amp; Loss'!D4</f>
        <v>0.78939736387208292</v>
      </c>
      <c r="E752" s="138">
        <f>E721/'Profit &amp; Loss'!E4</f>
        <v>0.59879597096188752</v>
      </c>
      <c r="F752" s="138">
        <f>F721/'Profit &amp; Loss'!F4</f>
        <v>0.48495810810810813</v>
      </c>
      <c r="G752" s="138">
        <f>G721/'Profit &amp; Loss'!G4</f>
        <v>0.49001063097514336</v>
      </c>
      <c r="H752" s="138">
        <f>H721/'Profit &amp; Loss'!H4</f>
        <v>0.93819951788641398</v>
      </c>
      <c r="I752" s="138">
        <f>I721/'Profit &amp; Loss'!I4</f>
        <v>2.0441421527360193</v>
      </c>
      <c r="J752" s="138">
        <f>J721/'Profit &amp; Loss'!J4</f>
        <v>1.9711457224830762</v>
      </c>
      <c r="K752" s="138">
        <f>K721/'Profit &amp; Loss'!K4</f>
        <v>1.8760510194495412</v>
      </c>
      <c r="L752" s="138">
        <f>L721/'Profit &amp; Loss'!L4</f>
        <v>1.8080705223076368</v>
      </c>
      <c r="M752" s="205">
        <f t="shared" si="243"/>
        <v>0.91927004864722728</v>
      </c>
      <c r="N752" s="50">
        <f t="shared" si="244"/>
        <v>2.0093779228970119</v>
      </c>
      <c r="O752" s="50">
        <f t="shared" si="245"/>
        <v>1.9637796315562122</v>
      </c>
    </row>
    <row r="753" spans="1:15" s="18" customFormat="1">
      <c r="A753" s="57" t="str">
        <f>A720</f>
        <v>PE</v>
      </c>
      <c r="B753" s="57">
        <f t="shared" ref="B753:K753" si="255">B720</f>
        <v>4.0244137362637362</v>
      </c>
      <c r="C753" s="57">
        <f t="shared" si="255"/>
        <v>2.4773028455284551</v>
      </c>
      <c r="D753" s="57">
        <f t="shared" si="255"/>
        <v>6.1816091370558377</v>
      </c>
      <c r="E753" s="57">
        <f t="shared" si="255"/>
        <v>5.4534971900826452</v>
      </c>
      <c r="F753" s="57">
        <f t="shared" si="255"/>
        <v>7.6510142131979695</v>
      </c>
      <c r="G753" s="57">
        <f t="shared" si="255"/>
        <v>6.9893334545454548</v>
      </c>
      <c r="H753" s="57">
        <f t="shared" si="255"/>
        <v>12.193066666666667</v>
      </c>
      <c r="I753" s="57">
        <f t="shared" si="255"/>
        <v>25.101116877637132</v>
      </c>
      <c r="J753" s="57">
        <f t="shared" si="255"/>
        <v>38.824580854468081</v>
      </c>
      <c r="K753" s="57">
        <f t="shared" si="255"/>
        <v>31.951493924999994</v>
      </c>
      <c r="L753" s="57">
        <f>'Profit &amp; Loss'!L14</f>
        <v>35.247899159663859</v>
      </c>
      <c r="M753" s="205">
        <f t="shared" si="243"/>
        <v>13.43457123186538</v>
      </c>
      <c r="N753" s="50">
        <f t="shared" si="244"/>
        <v>32.748412433969314</v>
      </c>
      <c r="O753" s="50">
        <f t="shared" si="245"/>
        <v>31.959063885701738</v>
      </c>
    </row>
    <row r="754" spans="1:15" s="18" customFormat="1">
      <c r="A754" s="57" t="s">
        <v>483</v>
      </c>
      <c r="B754" s="57">
        <f>B741/B747</f>
        <v>3.7754809278350523</v>
      </c>
      <c r="C754" s="57">
        <f t="shared" ref="C754:K754" si="256">C741/C747</f>
        <v>-55.401499999999693</v>
      </c>
      <c r="D754" s="57">
        <f t="shared" si="256"/>
        <v>8.8032072289156584</v>
      </c>
      <c r="E754" s="57">
        <f t="shared" si="256"/>
        <v>-13.862881512605046</v>
      </c>
      <c r="F754" s="57">
        <f t="shared" si="256"/>
        <v>7.6900500000000003</v>
      </c>
      <c r="G754" s="57">
        <f t="shared" si="256"/>
        <v>-8.0929124210526275</v>
      </c>
      <c r="H754" s="57">
        <f t="shared" si="256"/>
        <v>-83.87988965517259</v>
      </c>
      <c r="I754" s="57">
        <f t="shared" si="256"/>
        <v>135.2037431818182</v>
      </c>
      <c r="J754" s="57">
        <f t="shared" si="256"/>
        <v>-42.436169771162803</v>
      </c>
      <c r="K754" s="57">
        <f t="shared" si="256"/>
        <v>-27.982782047999976</v>
      </c>
      <c r="L754" s="57"/>
      <c r="M754" s="205">
        <f t="shared" si="243"/>
        <v>-2.4557634997259195</v>
      </c>
      <c r="N754" s="50">
        <f t="shared" si="244"/>
        <v>-5.9287548426591439</v>
      </c>
      <c r="O754" s="50">
        <f t="shared" si="245"/>
        <v>21.594930454218471</v>
      </c>
    </row>
    <row r="755" spans="1:15" s="2" customFormat="1">
      <c r="A755" s="138" t="s">
        <v>541</v>
      </c>
      <c r="B755" s="160"/>
      <c r="C755" s="160"/>
      <c r="D755" s="160"/>
      <c r="E755" s="160">
        <f t="shared" ref="E755:K755" si="257">E741/E751</f>
        <v>68.736787499999949</v>
      </c>
      <c r="F755" s="160">
        <f t="shared" si="257"/>
        <v>15.893671001757456</v>
      </c>
      <c r="G755" s="160">
        <f t="shared" si="257"/>
        <v>-35.926480373831737</v>
      </c>
      <c r="H755" s="160">
        <f t="shared" si="257"/>
        <v>-146.6844301507536</v>
      </c>
      <c r="I755" s="160">
        <f t="shared" si="257"/>
        <v>-172.01825638554212</v>
      </c>
      <c r="J755" s="160">
        <f t="shared" si="257"/>
        <v>-140.36579231999997</v>
      </c>
      <c r="K755" s="160">
        <f t="shared" si="257"/>
        <v>-56.202204958985163</v>
      </c>
      <c r="L755" s="160"/>
      <c r="M755" s="205">
        <f t="shared" si="243"/>
        <v>-46.656670568735514</v>
      </c>
      <c r="N755" s="50">
        <f t="shared" si="244"/>
        <v>-119.57076695156961</v>
      </c>
      <c r="O755" s="50">
        <f t="shared" si="245"/>
        <v>-122.86208455484241</v>
      </c>
    </row>
    <row r="756" spans="1:15" s="18" customFormat="1">
      <c r="A756" s="57" t="s">
        <v>478</v>
      </c>
      <c r="B756" s="143">
        <f>Customization!B721/Customization!B743</f>
        <v>3.7754809278350523</v>
      </c>
      <c r="C756" s="143">
        <f>Customization!C721/Customization!C743</f>
        <v>2.9205263578274763</v>
      </c>
      <c r="D756" s="143">
        <f>Customization!D721/Customization!D743</f>
        <v>3.8823921360255049</v>
      </c>
      <c r="E756" s="143">
        <f>Customization!E721/Customization!E743</f>
        <v>11.108975757575758</v>
      </c>
      <c r="F756" s="143">
        <f>Customization!F721/Customization!F743</f>
        <v>4.1013599999999997</v>
      </c>
      <c r="G756" s="143">
        <f>Customization!G721/Customization!G743</f>
        <v>13.075283673469388</v>
      </c>
      <c r="H756" s="143">
        <f>Customization!H721/Customization!H743</f>
        <v>14.246072035139091</v>
      </c>
      <c r="I756" s="143">
        <f>Customization!I721/Customization!I743</f>
        <v>18.840743309580361</v>
      </c>
      <c r="J756" s="143">
        <f>Customization!J721/Customization!J743</f>
        <v>198.34296740869567</v>
      </c>
      <c r="K756" s="143">
        <f>Customization!K721/Customization!K743</f>
        <v>83.596361464150931</v>
      </c>
      <c r="L756" s="143"/>
      <c r="M756" s="205">
        <f t="shared" si="243"/>
        <v>34.719415578463668</v>
      </c>
      <c r="N756" s="50">
        <f t="shared" si="244"/>
        <v>72.564168693899816</v>
      </c>
      <c r="O756" s="50">
        <f t="shared" si="245"/>
        <v>100.26002406080897</v>
      </c>
    </row>
    <row r="757" spans="1:15" s="2" customFormat="1">
      <c r="A757" s="138" t="s">
        <v>542</v>
      </c>
      <c r="B757" s="174"/>
      <c r="C757" s="174"/>
      <c r="D757" s="174">
        <f t="shared" ref="D757:K757" si="258">D741/D744</f>
        <v>5.6061345268542198</v>
      </c>
      <c r="E757" s="174">
        <f t="shared" si="258"/>
        <v>5.3101380901287554</v>
      </c>
      <c r="F757" s="174">
        <f t="shared" si="258"/>
        <v>4.5836283831728331</v>
      </c>
      <c r="G757" s="174">
        <f t="shared" si="258"/>
        <v>8.6971343891402704</v>
      </c>
      <c r="H757" s="174">
        <f t="shared" si="258"/>
        <v>17.050351401869158</v>
      </c>
      <c r="I757" s="174">
        <f t="shared" si="258"/>
        <v>31.869453750000002</v>
      </c>
      <c r="J757" s="174">
        <f t="shared" si="258"/>
        <v>39.402105809596932</v>
      </c>
      <c r="K757" s="174">
        <f t="shared" si="258"/>
        <v>46.393792226178</v>
      </c>
      <c r="L757" s="174"/>
      <c r="M757" s="205">
        <f t="shared" si="243"/>
        <v>15.891273857694017</v>
      </c>
      <c r="N757" s="50">
        <f t="shared" si="244"/>
        <v>31.860822286895676</v>
      </c>
      <c r="O757" s="50">
        <f t="shared" si="245"/>
        <v>39.221783928591641</v>
      </c>
    </row>
    <row r="758" spans="1:15" s="26" customFormat="1">
      <c r="A758" s="135" t="s">
        <v>481</v>
      </c>
      <c r="B758" s="142">
        <f>B742/B743</f>
        <v>6.8218726804123708</v>
      </c>
      <c r="C758" s="142">
        <f t="shared" ref="C758:K758" si="259">C742/C743</f>
        <v>4.9077468051118212</v>
      </c>
      <c r="D758" s="142">
        <f t="shared" si="259"/>
        <v>4.7580563230605737</v>
      </c>
      <c r="E758" s="142">
        <f t="shared" si="259"/>
        <v>16.486080134680133</v>
      </c>
      <c r="F758" s="142">
        <f t="shared" si="259"/>
        <v>6.4197273469387763</v>
      </c>
      <c r="G758" s="142">
        <f t="shared" si="259"/>
        <v>21.602494557823128</v>
      </c>
      <c r="H758" s="142">
        <f t="shared" si="259"/>
        <v>19.338312152269399</v>
      </c>
      <c r="I758" s="142">
        <f t="shared" si="259"/>
        <v>22.683181947743467</v>
      </c>
      <c r="J758" s="142">
        <f t="shared" si="259"/>
        <v>214.07485146666667</v>
      </c>
      <c r="K758" s="142">
        <f t="shared" si="259"/>
        <v>96.590072155974823</v>
      </c>
      <c r="L758" s="142"/>
      <c r="M758" s="205">
        <f t="shared" si="243"/>
        <v>40.195277608515696</v>
      </c>
      <c r="N758" s="50">
        <f t="shared" si="244"/>
        <v>82.89683797779864</v>
      </c>
      <c r="O758" s="50">
        <f t="shared" si="245"/>
        <v>111.11603519012833</v>
      </c>
    </row>
    <row r="759" spans="1:15" s="2" customFormat="1">
      <c r="A759" s="138" t="s">
        <v>543</v>
      </c>
      <c r="B759" s="174"/>
      <c r="C759" s="174"/>
      <c r="D759" s="174">
        <f t="shared" ref="D759:K759" si="260">D742/D744</f>
        <v>6.8705846547314575</v>
      </c>
      <c r="E759" s="174">
        <f t="shared" si="260"/>
        <v>7.8804170600858354</v>
      </c>
      <c r="F759" s="174">
        <f t="shared" si="260"/>
        <v>7.1746065889508364</v>
      </c>
      <c r="G759" s="174">
        <f t="shared" si="260"/>
        <v>14.369080090497736</v>
      </c>
      <c r="H759" s="174">
        <f t="shared" si="260"/>
        <v>23.144977570093459</v>
      </c>
      <c r="I759" s="174">
        <f t="shared" si="260"/>
        <v>38.369007321428576</v>
      </c>
      <c r="J759" s="174">
        <f t="shared" si="260"/>
        <v>42.527345732821495</v>
      </c>
      <c r="K759" s="174">
        <f t="shared" si="260"/>
        <v>53.604961510645715</v>
      </c>
      <c r="L759" s="174"/>
      <c r="M759" s="205">
        <f t="shared" si="243"/>
        <v>19.394098052925511</v>
      </c>
      <c r="N759" s="50">
        <f t="shared" si="244"/>
        <v>38.281894055682493</v>
      </c>
      <c r="O759" s="50">
        <f t="shared" si="245"/>
        <v>44.833771521631924</v>
      </c>
    </row>
    <row r="760" spans="1:15" s="18" customFormat="1">
      <c r="A760" s="57" t="s">
        <v>479</v>
      </c>
      <c r="B760" s="46"/>
      <c r="C760" s="69"/>
      <c r="D760" s="45">
        <f>(SUM(B743:D743))/(3*D721)</f>
        <v>0.17837602633505331</v>
      </c>
      <c r="E760" s="45">
        <f t="shared" ref="E760:K760" si="261">(SUM(C743:E743))/(3*E721)</f>
        <v>0.18831901977444676</v>
      </c>
      <c r="F760" s="45">
        <f t="shared" si="261"/>
        <v>0.2181677737381908</v>
      </c>
      <c r="G760" s="45">
        <f t="shared" si="261"/>
        <v>0.11498040104435502</v>
      </c>
      <c r="H760" s="45">
        <f t="shared" si="261"/>
        <v>5.864981761551108E-2</v>
      </c>
      <c r="I760" s="45">
        <f t="shared" si="261"/>
        <v>3.1378008793137846E-2</v>
      </c>
      <c r="J760" s="45">
        <f t="shared" si="261"/>
        <v>2.5379354210973065E-2</v>
      </c>
      <c r="K760" s="45">
        <f t="shared" si="261"/>
        <v>2.1554607890745852E-2</v>
      </c>
      <c r="L760" s="45"/>
      <c r="M760" s="205">
        <f t="shared" si="243"/>
        <v>8.3680500940241376E-2</v>
      </c>
      <c r="N760" s="50">
        <f t="shared" si="244"/>
        <v>6.7124538098992853E-2</v>
      </c>
      <c r="O760" s="50">
        <f t="shared" si="245"/>
        <v>2.6103990298285588E-2</v>
      </c>
    </row>
    <row r="761" spans="1:15" s="18" customFormat="1">
      <c r="A761" s="161" t="str">
        <f t="shared" ref="A761:K761" si="262">A690</f>
        <v>RoCE</v>
      </c>
      <c r="B761" s="161">
        <f t="shared" si="262"/>
        <v>0.20744931636020739</v>
      </c>
      <c r="C761" s="161">
        <f t="shared" si="262"/>
        <v>0.33251662583129143</v>
      </c>
      <c r="D761" s="161">
        <f t="shared" si="262"/>
        <v>0.22294077603812124</v>
      </c>
      <c r="E761" s="161">
        <f t="shared" si="262"/>
        <v>0.17400670177118258</v>
      </c>
      <c r="F761" s="161">
        <f t="shared" si="262"/>
        <v>0.12106430155210625</v>
      </c>
      <c r="G761" s="161">
        <f t="shared" si="262"/>
        <v>0.14848711243929782</v>
      </c>
      <c r="H761" s="161">
        <f t="shared" si="262"/>
        <v>0.17043244052072398</v>
      </c>
      <c r="I761" s="161">
        <f t="shared" si="262"/>
        <v>0.16206412356658079</v>
      </c>
      <c r="J761" s="161">
        <f t="shared" si="262"/>
        <v>9.5110873630777651E-2</v>
      </c>
      <c r="K761" s="161">
        <f t="shared" si="262"/>
        <v>8.5144388210776856E-2</v>
      </c>
      <c r="L761" s="161"/>
      <c r="M761" s="205">
        <f t="shared" si="243"/>
        <v>0.1179250717729567</v>
      </c>
      <c r="N761" s="50">
        <f t="shared" si="244"/>
        <v>0.15583280202822278</v>
      </c>
      <c r="O761" s="50">
        <f t="shared" si="245"/>
        <v>0.11410646180271176</v>
      </c>
    </row>
    <row r="762" spans="1:15" s="18" customFormat="1">
      <c r="A762" s="57" t="s">
        <v>482</v>
      </c>
      <c r="B762" s="143">
        <f t="shared" ref="B762:K762" si="263">B761*B758</f>
        <v>1.4151928238479219</v>
      </c>
      <c r="C762" s="143">
        <f t="shared" si="263"/>
        <v>1.6319074080700835</v>
      </c>
      <c r="D762" s="143">
        <f t="shared" si="263"/>
        <v>1.0607647690962141</v>
      </c>
      <c r="E762" s="143">
        <f t="shared" si="263"/>
        <v>2.8686884293711032</v>
      </c>
      <c r="F762" s="143">
        <f t="shared" si="263"/>
        <v>0.77719980741209904</v>
      </c>
      <c r="G762" s="143">
        <f t="shared" si="263"/>
        <v>3.2076920383768024</v>
      </c>
      <c r="H762" s="143">
        <f t="shared" si="263"/>
        <v>3.2958757356628481</v>
      </c>
      <c r="I762" s="143">
        <f t="shared" si="263"/>
        <v>3.6761300020623318</v>
      </c>
      <c r="J762" s="143">
        <f t="shared" si="263"/>
        <v>20.360846145373628</v>
      </c>
      <c r="K762" s="143">
        <f t="shared" si="263"/>
        <v>8.224102600955268</v>
      </c>
      <c r="L762" s="143"/>
      <c r="M762" s="136">
        <f t="shared" si="243"/>
        <v>4.3471299528310299</v>
      </c>
      <c r="N762" s="32">
        <f t="shared" si="244"/>
        <v>8.6223552950523832</v>
      </c>
      <c r="O762" s="32">
        <f t="shared" si="245"/>
        <v>10.75369291613041</v>
      </c>
    </row>
    <row r="763" spans="1:15" s="2" customFormat="1">
      <c r="A763" s="189" t="s">
        <v>573</v>
      </c>
      <c r="B763" s="187">
        <f>Quarters!B3</f>
        <v>42094</v>
      </c>
      <c r="C763" s="187">
        <f>Quarters!C3</f>
        <v>42185</v>
      </c>
      <c r="D763" s="187">
        <f>Quarters!D3</f>
        <v>42277</v>
      </c>
      <c r="E763" s="187">
        <f>Quarters!E3</f>
        <v>42369</v>
      </c>
      <c r="F763" s="187">
        <f>Quarters!F3</f>
        <v>42460</v>
      </c>
      <c r="G763" s="187">
        <f>Quarters!G3</f>
        <v>42551</v>
      </c>
      <c r="H763" s="187">
        <f>Quarters!H3</f>
        <v>42643</v>
      </c>
      <c r="I763" s="187">
        <f>Quarters!I3</f>
        <v>42735</v>
      </c>
      <c r="J763" s="187">
        <f>Quarters!J3</f>
        <v>42825</v>
      </c>
      <c r="K763" s="187">
        <f>Quarters!K3</f>
        <v>42916</v>
      </c>
      <c r="L763" s="188"/>
      <c r="M763" s="188"/>
      <c r="N763" s="75"/>
      <c r="O763" s="75"/>
    </row>
    <row r="764" spans="1:15" s="18" customFormat="1">
      <c r="A764" s="145" t="s">
        <v>565</v>
      </c>
      <c r="B764" s="46"/>
      <c r="C764" s="69"/>
      <c r="D764" s="46"/>
      <c r="E764" s="46"/>
      <c r="F764" s="46"/>
      <c r="G764" s="46"/>
      <c r="H764" s="161">
        <f>(Quarters!F4-Quarters!B4)/Quarters!B4</f>
        <v>0.53705179282868509</v>
      </c>
      <c r="I764" s="161">
        <f>(Quarters!G4-Quarters!C4)/Quarters!C4</f>
        <v>0.10193621867881565</v>
      </c>
      <c r="J764" s="161">
        <f>(Quarters!H4-Quarters!D4)/Quarters!D4</f>
        <v>0.24018126888217509</v>
      </c>
      <c r="K764" s="161">
        <f>(Quarters!I4-Quarters!E4)/Quarters!E4</f>
        <v>-2.5257249766136535E-2</v>
      </c>
      <c r="L764" s="51"/>
      <c r="N764" s="32"/>
      <c r="O764" s="32"/>
    </row>
    <row r="765" spans="1:15" s="18" customFormat="1">
      <c r="A765" s="145" t="s">
        <v>567</v>
      </c>
      <c r="B765" s="46"/>
      <c r="C765" s="69"/>
      <c r="D765" s="46"/>
      <c r="E765" s="46"/>
      <c r="F765" s="46"/>
      <c r="G765" s="46"/>
      <c r="H765" s="161">
        <f>(Quarters!F5-Quarters!B5)/Quarters!B5</f>
        <v>0.65129682997118166</v>
      </c>
      <c r="I765" s="161">
        <f>(Quarters!G5-Quarters!C5)/Quarters!C5</f>
        <v>0.1074124914207276</v>
      </c>
      <c r="J765" s="161">
        <f>(Quarters!H5-Quarters!D5)/Quarters!D5</f>
        <v>0.20667613636363624</v>
      </c>
      <c r="K765" s="161">
        <f>(Quarters!I5-Quarters!E5)/Quarters!E5</f>
        <v>-2.9045643153527086E-2</v>
      </c>
      <c r="L765" s="51"/>
      <c r="N765" s="32"/>
      <c r="O765" s="32"/>
    </row>
    <row r="766" spans="1:15" s="18" customFormat="1">
      <c r="A766" s="145" t="s">
        <v>566</v>
      </c>
      <c r="B766" s="46"/>
      <c r="C766" s="69"/>
      <c r="D766" s="46"/>
      <c r="E766" s="46"/>
      <c r="F766" s="46"/>
      <c r="G766" s="46"/>
      <c r="H766" s="161">
        <f>(Quarters!F12-Quarters!B12)/Quarters!B12</f>
        <v>-0.1041666666666666</v>
      </c>
      <c r="I766" s="161">
        <f>(Quarters!G12-Quarters!C12)/Quarters!C12</f>
        <v>0.17045454545454536</v>
      </c>
      <c r="J766" s="161">
        <f>(Quarters!H12-Quarters!D12)/Quarters!D12</f>
        <v>0.71844660194174759</v>
      </c>
      <c r="K766" s="161">
        <f>(Quarters!I12-Quarters!E12)/Quarters!E12</f>
        <v>-0.19811320754716988</v>
      </c>
      <c r="L766" s="51"/>
      <c r="N766" s="32"/>
      <c r="O766" s="32"/>
    </row>
    <row r="767" spans="1:15" s="18" customFormat="1">
      <c r="A767" s="145" t="s">
        <v>18</v>
      </c>
      <c r="B767" s="186">
        <f>Quarters!B14</f>
        <v>0.17051792828685264</v>
      </c>
      <c r="C767" s="186">
        <f>Quarters!C14</f>
        <v>0.1702733485193621</v>
      </c>
      <c r="D767" s="186">
        <f>Quarters!D14</f>
        <v>0.14924471299093658</v>
      </c>
      <c r="E767" s="186">
        <f>Quarters!E14</f>
        <v>9.8222637979419977E-2</v>
      </c>
      <c r="F767" s="186">
        <f>Quarters!F14</f>
        <v>0.10886469673405899</v>
      </c>
      <c r="G767" s="186">
        <f>Quarters!G14</f>
        <v>0.16614987080103358</v>
      </c>
      <c r="H767" s="186">
        <f>Quarters!H14</f>
        <v>0.17222898903775885</v>
      </c>
      <c r="I767" s="186">
        <f>Quarters!I14</f>
        <v>0.1017274472168907</v>
      </c>
      <c r="J767" s="186">
        <f>Quarters!J14</f>
        <v>0.11745513866231641</v>
      </c>
      <c r="K767" s="186">
        <f>Quarters!K14</f>
        <v>0.14131934860612747</v>
      </c>
      <c r="L767" s="196"/>
      <c r="N767" s="32"/>
      <c r="O767" s="32"/>
    </row>
    <row r="768" spans="1:15" s="18" customFormat="1">
      <c r="A768" s="145" t="s">
        <v>134</v>
      </c>
      <c r="B768" s="161">
        <f>Quarters!B12/Quarters!B4</f>
        <v>5.7370517928286846E-2</v>
      </c>
      <c r="C768" s="161">
        <f>Quarters!C12/Quarters!C4</f>
        <v>7.5170842824601375E-2</v>
      </c>
      <c r="D768" s="161">
        <f>Quarters!D12/Quarters!D4</f>
        <v>6.2235649546827795E-2</v>
      </c>
      <c r="E768" s="161">
        <f>Quarters!E12/Quarters!E4</f>
        <v>3.3052697224820703E-2</v>
      </c>
      <c r="F768" s="161">
        <f>Quarters!F12/Quarters!F4</f>
        <v>3.3437013996889579E-2</v>
      </c>
      <c r="G768" s="161">
        <f>Quarters!G12/Quarters!G4</f>
        <v>7.9844961240310069E-2</v>
      </c>
      <c r="H768" s="161">
        <f>Quarters!H12/Quarters!H4</f>
        <v>8.623629719853837E-2</v>
      </c>
      <c r="I768" s="161">
        <f>Quarters!I12/Quarters!I4</f>
        <v>2.7191298784388994E-2</v>
      </c>
      <c r="J768" s="161">
        <f>Quarters!J12/Quarters!J4</f>
        <v>2.577487765089723E-2</v>
      </c>
      <c r="K768" s="161">
        <f>Quarters!K12/Quarters!K4</f>
        <v>5.4098813138283193E-2</v>
      </c>
      <c r="N768" s="32"/>
      <c r="O768" s="32"/>
    </row>
    <row r="769" spans="1:26" s="18" customFormat="1">
      <c r="A769" s="2"/>
      <c r="C769" s="112"/>
      <c r="H769" s="49"/>
      <c r="N769" s="32"/>
      <c r="O769" s="32"/>
    </row>
    <row r="770" spans="1:26" s="32" customFormat="1">
      <c r="A770" s="75" t="s">
        <v>591</v>
      </c>
      <c r="B770" s="32">
        <f>'Data Sheet'!B68/'Data Sheet'!B18</f>
        <v>0.46415770609318996</v>
      </c>
      <c r="C770" s="32">
        <f>'Data Sheet'!C68/'Data Sheet'!C18</f>
        <v>0.48164878599661204</v>
      </c>
      <c r="D770" s="32">
        <f>'Data Sheet'!D68/'Data Sheet'!D18</f>
        <v>0.6017369727047146</v>
      </c>
      <c r="E770" s="32">
        <f>'Data Sheet'!E68/'Data Sheet'!E18</f>
        <v>0.52685284640171859</v>
      </c>
      <c r="F770" s="32">
        <f>'Data Sheet'!F68/'Data Sheet'!F18</f>
        <v>0.39764079147640785</v>
      </c>
      <c r="G770" s="32">
        <f>'Data Sheet'!G68/'Data Sheet'!G18</f>
        <v>0.4656554092730395</v>
      </c>
      <c r="H770" s="32">
        <f>'Data Sheet'!H68/'Data Sheet'!H18</f>
        <v>0.43582395087001019</v>
      </c>
      <c r="I770" s="32">
        <f>'Data Sheet'!I68/'Data Sheet'!I18</f>
        <v>0.50884086444007848</v>
      </c>
      <c r="J770" s="32">
        <f>'Data Sheet'!J68/'Data Sheet'!J18</f>
        <v>0.44909627443747696</v>
      </c>
      <c r="K770" s="32">
        <f>'Data Sheet'!K68/'Data Sheet'!K18</f>
        <v>0.5419687142312094</v>
      </c>
    </row>
    <row r="771" spans="1:26" hidden="1"/>
    <row r="772" spans="1:26" s="6" customFormat="1" ht="18.75" hidden="1">
      <c r="A772" s="122" t="s">
        <v>546</v>
      </c>
      <c r="C772" s="80"/>
      <c r="N772" s="29"/>
      <c r="O772" s="29"/>
    </row>
    <row r="773" spans="1:26" s="8" customFormat="1" hidden="1">
      <c r="A773" s="216" t="s">
        <v>492</v>
      </c>
      <c r="B773" s="216"/>
      <c r="C773" s="91" t="s">
        <v>493</v>
      </c>
      <c r="D773" s="91">
        <v>0</v>
      </c>
      <c r="E773" s="91">
        <v>1</v>
      </c>
      <c r="F773" s="91">
        <v>2</v>
      </c>
      <c r="G773" s="91">
        <v>3</v>
      </c>
      <c r="H773" s="91">
        <v>4</v>
      </c>
      <c r="I773" s="91">
        <v>5</v>
      </c>
      <c r="J773" s="91">
        <v>6</v>
      </c>
      <c r="K773" s="91">
        <v>7</v>
      </c>
      <c r="L773" s="91"/>
      <c r="M773" s="91">
        <v>8</v>
      </c>
      <c r="N773" s="197">
        <v>9</v>
      </c>
      <c r="O773" s="197">
        <v>10</v>
      </c>
      <c r="P773" s="91">
        <v>11</v>
      </c>
      <c r="Q773" s="91">
        <v>12</v>
      </c>
      <c r="R773" s="91">
        <v>13</v>
      </c>
      <c r="S773" s="91">
        <v>14</v>
      </c>
      <c r="T773" s="91">
        <v>15</v>
      </c>
      <c r="U773" s="91">
        <v>16</v>
      </c>
      <c r="V773" s="91">
        <v>17</v>
      </c>
      <c r="W773" s="91">
        <v>18</v>
      </c>
      <c r="X773" s="91">
        <v>19</v>
      </c>
      <c r="Y773" s="91">
        <v>20</v>
      </c>
    </row>
    <row r="774" spans="1:26" s="82" customFormat="1" hidden="1">
      <c r="A774" s="92" t="s">
        <v>503</v>
      </c>
      <c r="B774" s="94">
        <v>0.25</v>
      </c>
      <c r="C774" s="81" t="s">
        <v>494</v>
      </c>
      <c r="D774" s="81">
        <v>1</v>
      </c>
      <c r="E774" s="81">
        <f>D774+B774</f>
        <v>1.25</v>
      </c>
      <c r="F774" s="81">
        <f>E774</f>
        <v>1.25</v>
      </c>
      <c r="G774" s="81">
        <f t="shared" ref="G774:Y774" si="264">F774</f>
        <v>1.25</v>
      </c>
      <c r="H774" s="81">
        <f t="shared" si="264"/>
        <v>1.25</v>
      </c>
      <c r="I774" s="81">
        <f t="shared" si="264"/>
        <v>1.25</v>
      </c>
      <c r="J774" s="81">
        <f t="shared" si="264"/>
        <v>1.25</v>
      </c>
      <c r="K774" s="81">
        <f t="shared" si="264"/>
        <v>1.25</v>
      </c>
      <c r="L774" s="81"/>
      <c r="M774" s="81">
        <f>K774</f>
        <v>1.25</v>
      </c>
      <c r="N774" s="198">
        <f t="shared" si="264"/>
        <v>1.25</v>
      </c>
      <c r="O774" s="198">
        <f t="shared" si="264"/>
        <v>1.25</v>
      </c>
      <c r="P774" s="81">
        <f t="shared" si="264"/>
        <v>1.25</v>
      </c>
      <c r="Q774" s="81">
        <f t="shared" si="264"/>
        <v>1.25</v>
      </c>
      <c r="R774" s="81">
        <f t="shared" si="264"/>
        <v>1.25</v>
      </c>
      <c r="S774" s="81">
        <f t="shared" si="264"/>
        <v>1.25</v>
      </c>
      <c r="T774" s="81">
        <f t="shared" si="264"/>
        <v>1.25</v>
      </c>
      <c r="U774" s="81">
        <f t="shared" si="264"/>
        <v>1.25</v>
      </c>
      <c r="V774" s="81">
        <f t="shared" si="264"/>
        <v>1.25</v>
      </c>
      <c r="W774" s="81">
        <f t="shared" si="264"/>
        <v>1.25</v>
      </c>
      <c r="X774" s="81">
        <f t="shared" si="264"/>
        <v>1.25</v>
      </c>
      <c r="Y774" s="81">
        <f t="shared" si="264"/>
        <v>1.25</v>
      </c>
    </row>
    <row r="775" spans="1:26" s="82" customFormat="1" hidden="1">
      <c r="A775" s="92" t="s">
        <v>495</v>
      </c>
      <c r="B775" s="95">
        <f>K751*10000000/'Data Sheet'!K70</f>
        <v>-9.1154786609149898</v>
      </c>
      <c r="C775" s="81" t="s">
        <v>403</v>
      </c>
      <c r="D775" s="83">
        <f>B775</f>
        <v>-9.1154786609149898</v>
      </c>
      <c r="E775" s="83">
        <f>D775*E774</f>
        <v>-11.394348326143737</v>
      </c>
      <c r="F775" s="83">
        <f>E775*F774</f>
        <v>-14.242935407679671</v>
      </c>
      <c r="G775" s="83">
        <f t="shared" ref="G775:Y775" si="265">F775*G774</f>
        <v>-17.803669259599587</v>
      </c>
      <c r="H775" s="83">
        <f t="shared" si="265"/>
        <v>-22.254586574499484</v>
      </c>
      <c r="I775" s="83">
        <f t="shared" si="265"/>
        <v>-27.818233218124355</v>
      </c>
      <c r="J775" s="83">
        <f t="shared" si="265"/>
        <v>-34.772791522655446</v>
      </c>
      <c r="K775" s="83">
        <f t="shared" si="265"/>
        <v>-43.465989403319305</v>
      </c>
      <c r="L775" s="83"/>
      <c r="M775" s="83">
        <f>K775*M774</f>
        <v>-54.33248675414913</v>
      </c>
      <c r="N775" s="198">
        <f t="shared" si="265"/>
        <v>-67.91560844268642</v>
      </c>
      <c r="O775" s="198">
        <f t="shared" si="265"/>
        <v>-84.894510553358032</v>
      </c>
      <c r="P775" s="83">
        <f t="shared" si="265"/>
        <v>-106.11813819169754</v>
      </c>
      <c r="Q775" s="83">
        <f t="shared" si="265"/>
        <v>-132.64767273962192</v>
      </c>
      <c r="R775" s="83">
        <f t="shared" si="265"/>
        <v>-165.80959092452741</v>
      </c>
      <c r="S775" s="83">
        <f t="shared" si="265"/>
        <v>-207.26198865565925</v>
      </c>
      <c r="T775" s="83">
        <f>S775*T774</f>
        <v>-259.07748581957406</v>
      </c>
      <c r="U775" s="83">
        <f t="shared" si="265"/>
        <v>-323.8468572744676</v>
      </c>
      <c r="V775" s="83">
        <f t="shared" si="265"/>
        <v>-404.80857159308448</v>
      </c>
      <c r="W775" s="83">
        <f t="shared" si="265"/>
        <v>-506.0107144913556</v>
      </c>
      <c r="X775" s="83">
        <f t="shared" si="265"/>
        <v>-632.51339311419451</v>
      </c>
      <c r="Y775" s="83">
        <f t="shared" si="265"/>
        <v>-790.64174139274314</v>
      </c>
    </row>
    <row r="776" spans="1:26" s="82" customFormat="1" hidden="1">
      <c r="A776" s="93" t="s">
        <v>496</v>
      </c>
      <c r="B776" s="96">
        <f>'Profit &amp; Loss'!L15</f>
        <v>485</v>
      </c>
      <c r="C776" s="81" t="s">
        <v>497</v>
      </c>
      <c r="D776" s="84">
        <f>1+B777</f>
        <v>1.1000000000000001</v>
      </c>
      <c r="E776" s="84">
        <f>D776</f>
        <v>1.1000000000000001</v>
      </c>
      <c r="F776" s="84">
        <f t="shared" ref="F776:Y776" si="266">E776</f>
        <v>1.1000000000000001</v>
      </c>
      <c r="G776" s="84">
        <f t="shared" si="266"/>
        <v>1.1000000000000001</v>
      </c>
      <c r="H776" s="84">
        <f t="shared" si="266"/>
        <v>1.1000000000000001</v>
      </c>
      <c r="I776" s="84">
        <f t="shared" si="266"/>
        <v>1.1000000000000001</v>
      </c>
      <c r="J776" s="84">
        <f t="shared" si="266"/>
        <v>1.1000000000000001</v>
      </c>
      <c r="K776" s="84">
        <f t="shared" si="266"/>
        <v>1.1000000000000001</v>
      </c>
      <c r="L776" s="84"/>
      <c r="M776" s="84">
        <f>K776</f>
        <v>1.1000000000000001</v>
      </c>
      <c r="N776" s="198">
        <f t="shared" si="266"/>
        <v>1.1000000000000001</v>
      </c>
      <c r="O776" s="198">
        <f t="shared" si="266"/>
        <v>1.1000000000000001</v>
      </c>
      <c r="P776" s="84">
        <f t="shared" si="266"/>
        <v>1.1000000000000001</v>
      </c>
      <c r="Q776" s="84">
        <f t="shared" si="266"/>
        <v>1.1000000000000001</v>
      </c>
      <c r="R776" s="84">
        <f t="shared" si="266"/>
        <v>1.1000000000000001</v>
      </c>
      <c r="S776" s="84">
        <f t="shared" si="266"/>
        <v>1.1000000000000001</v>
      </c>
      <c r="T776" s="84">
        <f t="shared" si="266"/>
        <v>1.1000000000000001</v>
      </c>
      <c r="U776" s="84">
        <f t="shared" si="266"/>
        <v>1.1000000000000001</v>
      </c>
      <c r="V776" s="84">
        <f t="shared" si="266"/>
        <v>1.1000000000000001</v>
      </c>
      <c r="W776" s="84">
        <f t="shared" si="266"/>
        <v>1.1000000000000001</v>
      </c>
      <c r="X776" s="84">
        <f t="shared" si="266"/>
        <v>1.1000000000000001</v>
      </c>
      <c r="Y776" s="84">
        <f t="shared" si="266"/>
        <v>1.1000000000000001</v>
      </c>
    </row>
    <row r="777" spans="1:26" s="82" customFormat="1" hidden="1">
      <c r="A777" s="92" t="s">
        <v>497</v>
      </c>
      <c r="B777" s="94">
        <v>0.1</v>
      </c>
      <c r="C777" s="81" t="s">
        <v>498</v>
      </c>
      <c r="D777" s="83">
        <f>D775</f>
        <v>-9.1154786609149898</v>
      </c>
      <c r="E777" s="83">
        <f>E775/E776^E773</f>
        <v>-10.358498478312487</v>
      </c>
      <c r="F777" s="83">
        <f t="shared" ref="F777:Y777" si="267">F775/F776^F773</f>
        <v>-11.771020998082371</v>
      </c>
      <c r="G777" s="83">
        <f t="shared" si="267"/>
        <v>-13.376160225093599</v>
      </c>
      <c r="H777" s="83">
        <f t="shared" si="267"/>
        <v>-15.200182073970002</v>
      </c>
      <c r="I777" s="83">
        <f t="shared" si="267"/>
        <v>-17.272934174965908</v>
      </c>
      <c r="J777" s="83">
        <f t="shared" si="267"/>
        <v>-19.628334289733985</v>
      </c>
      <c r="K777" s="83">
        <f t="shared" si="267"/>
        <v>-22.304925329243162</v>
      </c>
      <c r="L777" s="83"/>
      <c r="M777" s="83">
        <f t="shared" si="267"/>
        <v>-25.346506055958141</v>
      </c>
      <c r="N777" s="198">
        <f t="shared" si="267"/>
        <v>-28.802847790861524</v>
      </c>
      <c r="O777" s="198">
        <f t="shared" si="267"/>
        <v>-32.730508853251727</v>
      </c>
      <c r="P777" s="83">
        <f t="shared" si="267"/>
        <v>-37.193760060513327</v>
      </c>
      <c r="Q777" s="83">
        <f t="shared" si="267"/>
        <v>-42.265636432401507</v>
      </c>
      <c r="R777" s="83">
        <f t="shared" si="267"/>
        <v>-48.029132309547165</v>
      </c>
      <c r="S777" s="83">
        <f t="shared" si="267"/>
        <v>-54.57855944266722</v>
      </c>
      <c r="T777" s="83">
        <f t="shared" si="267"/>
        <v>-62.021090275758205</v>
      </c>
      <c r="U777" s="83">
        <f t="shared" si="267"/>
        <v>-70.478511676997954</v>
      </c>
      <c r="V777" s="83">
        <f t="shared" si="267"/>
        <v>-80.089217814770407</v>
      </c>
      <c r="W777" s="83">
        <f t="shared" si="267"/>
        <v>-91.010474789511818</v>
      </c>
      <c r="X777" s="83">
        <f t="shared" si="267"/>
        <v>-103.42099407899067</v>
      </c>
      <c r="Y777" s="83">
        <f t="shared" si="267"/>
        <v>-117.52385690794397</v>
      </c>
      <c r="Z777" s="85"/>
    </row>
    <row r="778" spans="1:26" s="82" customFormat="1" hidden="1">
      <c r="A778" s="93" t="s">
        <v>499</v>
      </c>
      <c r="B778" s="97">
        <f>MIN(D781:Y781)</f>
        <v>0</v>
      </c>
      <c r="C778" s="81" t="s">
        <v>500</v>
      </c>
      <c r="D778" s="83">
        <f>D775</f>
        <v>-9.1154786609149898</v>
      </c>
      <c r="E778" s="83">
        <f>SUM(D777:E777)</f>
        <v>-19.473977139227479</v>
      </c>
      <c r="F778" s="83">
        <f>E778+F777</f>
        <v>-31.24499813730985</v>
      </c>
      <c r="G778" s="83">
        <f t="shared" ref="G778:Y778" si="268">F778+G777</f>
        <v>-44.621158362403449</v>
      </c>
      <c r="H778" s="83">
        <f t="shared" si="268"/>
        <v>-59.821340436373447</v>
      </c>
      <c r="I778" s="83">
        <f t="shared" si="268"/>
        <v>-77.094274611339358</v>
      </c>
      <c r="J778" s="83">
        <f t="shared" si="268"/>
        <v>-96.722608901073343</v>
      </c>
      <c r="K778" s="83">
        <f t="shared" si="268"/>
        <v>-119.0275342303165</v>
      </c>
      <c r="L778" s="83"/>
      <c r="M778" s="83">
        <f>K778+M777</f>
        <v>-144.37404028627464</v>
      </c>
      <c r="N778" s="198">
        <f t="shared" si="268"/>
        <v>-173.17688807713617</v>
      </c>
      <c r="O778" s="198">
        <f t="shared" si="268"/>
        <v>-205.9073969303879</v>
      </c>
      <c r="P778" s="83">
        <f t="shared" si="268"/>
        <v>-243.10115699090125</v>
      </c>
      <c r="Q778" s="83">
        <f t="shared" si="268"/>
        <v>-285.36679342330274</v>
      </c>
      <c r="R778" s="83">
        <f t="shared" si="268"/>
        <v>-333.39592573284989</v>
      </c>
      <c r="S778" s="83">
        <f t="shared" si="268"/>
        <v>-387.97448517551709</v>
      </c>
      <c r="T778" s="83">
        <f t="shared" si="268"/>
        <v>-449.99557545127527</v>
      </c>
      <c r="U778" s="83">
        <f t="shared" si="268"/>
        <v>-520.47408712827325</v>
      </c>
      <c r="V778" s="83">
        <f t="shared" si="268"/>
        <v>-600.5633049430437</v>
      </c>
      <c r="W778" s="83">
        <f t="shared" si="268"/>
        <v>-691.57377973255552</v>
      </c>
      <c r="X778" s="83">
        <f t="shared" si="268"/>
        <v>-794.99477381154622</v>
      </c>
      <c r="Y778" s="83">
        <f t="shared" si="268"/>
        <v>-912.51863071949015</v>
      </c>
    </row>
    <row r="779" spans="1:26" s="82" customFormat="1" hidden="1">
      <c r="A779" s="217"/>
      <c r="B779" s="218"/>
      <c r="C779" s="89" t="s">
        <v>501</v>
      </c>
      <c r="D779" s="90">
        <f>B775/B777</f>
        <v>-91.154786609149895</v>
      </c>
      <c r="E779" s="90">
        <f>(B775/B777)/(1+B777)^E773</f>
        <v>-82.867987826499899</v>
      </c>
      <c r="F779" s="90">
        <f>(B775/B777)/(1+B777)^F773</f>
        <v>-75.334534387727174</v>
      </c>
      <c r="G779" s="90">
        <f>(B775/B777)/(1+B777)^G773</f>
        <v>-68.485940352479233</v>
      </c>
      <c r="H779" s="90">
        <f>(B775/B777)/(1+B777)^H773</f>
        <v>-62.259945774981126</v>
      </c>
      <c r="I779" s="90">
        <f>(B775/B777)/(1+B777)^I773</f>
        <v>-56.599950704528297</v>
      </c>
      <c r="J779" s="90">
        <f>(B775/B777)/(1+B777)^J773</f>
        <v>-51.454500640480262</v>
      </c>
      <c r="K779" s="90">
        <f>(B775/B777)/(1+B777)^K773</f>
        <v>-46.776818764072956</v>
      </c>
      <c r="L779" s="90"/>
      <c r="M779" s="90">
        <f>(B775/B777)/(1+B777)^M773</f>
        <v>-42.524380694611786</v>
      </c>
      <c r="N779" s="199">
        <f>(B775/B777)/(1+B777)^N773</f>
        <v>-38.658527904192525</v>
      </c>
      <c r="O779" s="199">
        <f>(B775/B777)/(1+B777)^O773</f>
        <v>-35.144116276538661</v>
      </c>
      <c r="P779" s="90">
        <f>(B775/B777)/(1+B777)^P773</f>
        <v>-31.949196615035138</v>
      </c>
      <c r="Q779" s="90">
        <f>(B775/B777)/(1+B777)^Q773</f>
        <v>-29.044724195486491</v>
      </c>
      <c r="R779" s="90">
        <f>(B775/B777)/(1+B777)^R773</f>
        <v>-26.404294723169535</v>
      </c>
      <c r="S779" s="90">
        <f>(B775/B777)/(1+B777)^S773</f>
        <v>-24.003904293790484</v>
      </c>
      <c r="T779" s="90">
        <f>(B775/B777)/(1+B777)^T773</f>
        <v>-21.821731176173166</v>
      </c>
      <c r="U779" s="90">
        <f>(B775/B777)/(1+B777)^U773</f>
        <v>-19.837937432884697</v>
      </c>
      <c r="V779" s="90">
        <f>(B775/B777)/(1+B777)^V773</f>
        <v>-18.034488575349723</v>
      </c>
      <c r="W779" s="90">
        <f>(B775/B777)/(1+B777)^W773</f>
        <v>-16.394989613954294</v>
      </c>
      <c r="X779" s="90">
        <f>(B775/B777)/(1+B777)^X773</f>
        <v>-14.904536012685718</v>
      </c>
      <c r="Y779" s="90">
        <f>(B775/B777)/(1+B777)^Y773</f>
        <v>-13.549578193350653</v>
      </c>
    </row>
    <row r="780" spans="1:26" s="82" customFormat="1" hidden="1">
      <c r="A780" s="217"/>
      <c r="B780" s="218"/>
      <c r="C780" s="81" t="s">
        <v>502</v>
      </c>
      <c r="D780" s="83">
        <f t="shared" ref="D780:Y780" si="269">D779+D778</f>
        <v>-100.27026527006488</v>
      </c>
      <c r="E780" s="83">
        <f t="shared" si="269"/>
        <v>-102.34196496572739</v>
      </c>
      <c r="F780" s="83">
        <f t="shared" si="269"/>
        <v>-106.57953252503702</v>
      </c>
      <c r="G780" s="83">
        <f t="shared" si="269"/>
        <v>-113.10709871488268</v>
      </c>
      <c r="H780" s="83">
        <f t="shared" si="269"/>
        <v>-122.08128621135458</v>
      </c>
      <c r="I780" s="83">
        <f t="shared" si="269"/>
        <v>-133.69422531586764</v>
      </c>
      <c r="J780" s="83">
        <f t="shared" si="269"/>
        <v>-148.17710954155359</v>
      </c>
      <c r="K780" s="83">
        <f t="shared" si="269"/>
        <v>-165.80435299438946</v>
      </c>
      <c r="L780" s="83"/>
      <c r="M780" s="83">
        <f t="shared" si="269"/>
        <v>-186.89842098088641</v>
      </c>
      <c r="N780" s="198">
        <f t="shared" si="269"/>
        <v>-211.83541598132871</v>
      </c>
      <c r="O780" s="198">
        <f t="shared" si="269"/>
        <v>-241.05151320692656</v>
      </c>
      <c r="P780" s="83">
        <f t="shared" si="269"/>
        <v>-275.05035360593638</v>
      </c>
      <c r="Q780" s="83">
        <f t="shared" si="269"/>
        <v>-314.41151761878922</v>
      </c>
      <c r="R780" s="83">
        <f t="shared" si="269"/>
        <v>-359.80022045601942</v>
      </c>
      <c r="S780" s="83">
        <f t="shared" si="269"/>
        <v>-411.97838946930756</v>
      </c>
      <c r="T780" s="83">
        <f t="shared" si="269"/>
        <v>-471.81730662744843</v>
      </c>
      <c r="U780" s="83">
        <f t="shared" si="269"/>
        <v>-540.31202456115795</v>
      </c>
      <c r="V780" s="83">
        <f t="shared" si="269"/>
        <v>-618.59779351839347</v>
      </c>
      <c r="W780" s="83">
        <f t="shared" si="269"/>
        <v>-707.96876934650982</v>
      </c>
      <c r="X780" s="83">
        <f t="shared" si="269"/>
        <v>-809.89930982423198</v>
      </c>
      <c r="Y780" s="83">
        <f t="shared" si="269"/>
        <v>-926.06820891284076</v>
      </c>
    </row>
    <row r="781" spans="1:26" s="82" customFormat="1" hidden="1">
      <c r="A781" s="86"/>
      <c r="B781" s="87"/>
      <c r="C781" s="88"/>
      <c r="D781" s="81" t="str">
        <f>IF(D780&gt;B776,1*D773,"No")</f>
        <v>No</v>
      </c>
      <c r="E781" s="81" t="str">
        <f>IF(E780&gt;B776,E773*1,"No")</f>
        <v>No</v>
      </c>
      <c r="F781" s="81" t="str">
        <f>IF(F780&gt;B776,F773*1,"No")</f>
        <v>No</v>
      </c>
      <c r="G781" s="81" t="str">
        <f>IF(G780&gt;B776,G773*1,"No")</f>
        <v>No</v>
      </c>
      <c r="H781" s="81" t="str">
        <f>IF(H780&gt;B776,H773*1,"No")</f>
        <v>No</v>
      </c>
      <c r="I781" s="81" t="str">
        <f>IF(I780&gt;B776,I773*1,"No")</f>
        <v>No</v>
      </c>
      <c r="J781" s="81" t="str">
        <f>IF(J780&gt;B776,J773*1,"No")</f>
        <v>No</v>
      </c>
      <c r="K781" s="81" t="str">
        <f>IF(K780&gt;B776,1*K773,"No")</f>
        <v>No</v>
      </c>
      <c r="L781" s="81"/>
      <c r="M781" s="81" t="str">
        <f>IF(M780&gt;B776,M773*1,"No")</f>
        <v>No</v>
      </c>
      <c r="N781" s="198" t="str">
        <f>IF(N780&gt;B776,N773*1,"No")</f>
        <v>No</v>
      </c>
      <c r="O781" s="198" t="str">
        <f>IF(O780&gt;B776,O773*1,"No")</f>
        <v>No</v>
      </c>
      <c r="P781" s="81" t="str">
        <f>IF(P780&gt;B776,P773*1,"No")</f>
        <v>No</v>
      </c>
      <c r="Q781" s="81" t="str">
        <f>IF(Q780&gt;B776,Q773*1,"No")</f>
        <v>No</v>
      </c>
      <c r="R781" s="81" t="str">
        <f>IF(R780&gt;B776,R773*1,"No")</f>
        <v>No</v>
      </c>
      <c r="S781" s="81" t="str">
        <f>IF(S780&gt;B776,1*S773,"No")</f>
        <v>No</v>
      </c>
      <c r="T781" s="81" t="str">
        <f>IF(T780&gt;B776,T773*1,"No")</f>
        <v>No</v>
      </c>
      <c r="U781" s="81" t="str">
        <f>IF(U780&gt;B776,U773*1,"No")</f>
        <v>No</v>
      </c>
      <c r="V781" s="81" t="str">
        <f>IF(V780&gt;B776,V773*1,"No")</f>
        <v>No</v>
      </c>
      <c r="W781" s="81" t="str">
        <f>IF(W780&gt;B776,W773*1,"No")</f>
        <v>No</v>
      </c>
      <c r="X781" s="81" t="str">
        <f>IF(X780&gt;B776,X773*1,"No")</f>
        <v>No</v>
      </c>
      <c r="Y781" s="81" t="str">
        <f>IF(Y780&gt;B776,Y773*1,"No")</f>
        <v>No</v>
      </c>
    </row>
    <row r="782" spans="1:26" s="6" customFormat="1" hidden="1">
      <c r="A782" s="8"/>
      <c r="C782" s="80"/>
      <c r="N782" s="29"/>
      <c r="O782" s="29"/>
    </row>
    <row r="783" spans="1:26" s="18" customFormat="1" ht="18.75" hidden="1">
      <c r="A783" s="121" t="s">
        <v>504</v>
      </c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200"/>
      <c r="O783" s="200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6" hidden="1">
      <c r="A784" s="98" t="s">
        <v>505</v>
      </c>
      <c r="B784" s="99" t="s">
        <v>506</v>
      </c>
      <c r="C784" s="99" t="s">
        <v>493</v>
      </c>
      <c r="D784" s="123">
        <v>0</v>
      </c>
      <c r="E784" s="123">
        <v>1</v>
      </c>
      <c r="F784" s="123">
        <v>2</v>
      </c>
      <c r="G784" s="123">
        <v>3</v>
      </c>
      <c r="H784" s="123">
        <v>4</v>
      </c>
      <c r="I784" s="123">
        <v>5</v>
      </c>
      <c r="J784" s="123">
        <v>6</v>
      </c>
      <c r="K784" s="123">
        <v>7</v>
      </c>
      <c r="L784" s="123"/>
      <c r="M784" s="123">
        <v>8</v>
      </c>
      <c r="N784" s="201">
        <v>9</v>
      </c>
      <c r="O784" s="201">
        <v>10</v>
      </c>
      <c r="P784" s="123">
        <v>11</v>
      </c>
      <c r="Q784" s="123">
        <v>12</v>
      </c>
      <c r="R784" s="123">
        <v>13</v>
      </c>
      <c r="S784" s="123">
        <v>14</v>
      </c>
      <c r="T784" s="123">
        <v>15</v>
      </c>
      <c r="U784" s="123">
        <v>16</v>
      </c>
      <c r="V784" s="123">
        <v>17</v>
      </c>
      <c r="W784" s="123">
        <v>18</v>
      </c>
      <c r="X784" s="123">
        <v>19</v>
      </c>
      <c r="Y784" s="123">
        <v>20</v>
      </c>
    </row>
    <row r="785" spans="1:25" hidden="1">
      <c r="A785" s="100" t="s">
        <v>507</v>
      </c>
      <c r="B785" s="101">
        <f>K751</f>
        <v>-4.7300000000000022</v>
      </c>
      <c r="C785" s="102" t="s">
        <v>508</v>
      </c>
      <c r="D785" s="126"/>
      <c r="E785" s="127">
        <f>B786</f>
        <v>0.25</v>
      </c>
      <c r="F785" s="127">
        <f>B786</f>
        <v>0.25</v>
      </c>
      <c r="G785" s="127">
        <f>B786</f>
        <v>0.25</v>
      </c>
      <c r="H785" s="127">
        <f>B786</f>
        <v>0.25</v>
      </c>
      <c r="I785" s="127">
        <f>B786</f>
        <v>0.25</v>
      </c>
      <c r="J785" s="127">
        <f>B787</f>
        <v>0.25</v>
      </c>
      <c r="K785" s="127">
        <f>B787</f>
        <v>0.25</v>
      </c>
      <c r="L785" s="127"/>
      <c r="M785" s="127">
        <f>B787</f>
        <v>0.25</v>
      </c>
      <c r="N785" s="202">
        <f>B787</f>
        <v>0.25</v>
      </c>
      <c r="O785" s="202">
        <f>B787</f>
        <v>0.25</v>
      </c>
      <c r="P785" s="7">
        <f>B788</f>
        <v>0.25</v>
      </c>
      <c r="Q785" s="7">
        <f>B788</f>
        <v>0.25</v>
      </c>
      <c r="R785" s="7">
        <f>B788</f>
        <v>0.25</v>
      </c>
      <c r="S785" s="7">
        <f>B788</f>
        <v>0.25</v>
      </c>
      <c r="T785" s="7">
        <f>B788</f>
        <v>0.25</v>
      </c>
      <c r="U785" s="7">
        <f>B789</f>
        <v>0.25</v>
      </c>
      <c r="V785" s="7">
        <f>B789</f>
        <v>0.25</v>
      </c>
      <c r="W785" s="7">
        <f>B789</f>
        <v>0.25</v>
      </c>
      <c r="X785" s="7">
        <f>B789</f>
        <v>0.25</v>
      </c>
      <c r="Y785" s="7">
        <f>B789</f>
        <v>0.25</v>
      </c>
    </row>
    <row r="786" spans="1:25" hidden="1">
      <c r="A786" s="100" t="s">
        <v>509</v>
      </c>
      <c r="B786" s="103">
        <v>0.25</v>
      </c>
      <c r="C786" s="104" t="s">
        <v>403</v>
      </c>
      <c r="D786" s="128">
        <f>B785</f>
        <v>-4.7300000000000022</v>
      </c>
      <c r="E786" s="128">
        <f>D786+D786*E785</f>
        <v>-5.9125000000000032</v>
      </c>
      <c r="F786" s="128">
        <f t="shared" ref="F786:O786" si="270">E786+E786*F785</f>
        <v>-7.3906250000000036</v>
      </c>
      <c r="G786" s="128">
        <f t="shared" si="270"/>
        <v>-9.2382812500000036</v>
      </c>
      <c r="H786" s="128">
        <f t="shared" si="270"/>
        <v>-11.547851562500004</v>
      </c>
      <c r="I786" s="128">
        <f t="shared" si="270"/>
        <v>-14.434814453125004</v>
      </c>
      <c r="J786" s="128">
        <f t="shared" si="270"/>
        <v>-18.043518066406254</v>
      </c>
      <c r="K786" s="128">
        <f t="shared" si="270"/>
        <v>-22.554397583007816</v>
      </c>
      <c r="L786" s="128"/>
      <c r="M786" s="128">
        <f>K786+K786*M785</f>
        <v>-28.192996978759769</v>
      </c>
      <c r="N786" s="202">
        <f t="shared" si="270"/>
        <v>-35.241246223449714</v>
      </c>
      <c r="O786" s="202">
        <f t="shared" si="270"/>
        <v>-44.051557779312141</v>
      </c>
      <c r="P786" s="128">
        <f t="shared" ref="P786" si="271">O786+O786*P785</f>
        <v>-55.064447224140174</v>
      </c>
      <c r="Q786" s="128">
        <f t="shared" ref="Q786" si="272">P786+P786*Q785</f>
        <v>-68.830559030175223</v>
      </c>
      <c r="R786" s="128">
        <f t="shared" ref="R786" si="273">Q786+Q786*R785</f>
        <v>-86.038198787719026</v>
      </c>
      <c r="S786" s="128">
        <f t="shared" ref="S786" si="274">R786+R786*S785</f>
        <v>-107.54774848464878</v>
      </c>
      <c r="T786" s="128">
        <f t="shared" ref="T786" si="275">S786+S786*T785</f>
        <v>-134.43468560581098</v>
      </c>
      <c r="U786" s="128">
        <f t="shared" ref="U786" si="276">T786+T786*U785</f>
        <v>-168.04335700726372</v>
      </c>
      <c r="V786" s="128">
        <f t="shared" ref="V786" si="277">U786+U786*V785</f>
        <v>-210.05419625907965</v>
      </c>
      <c r="W786" s="128">
        <f t="shared" ref="W786" si="278">V786+V786*W785</f>
        <v>-262.56774532384958</v>
      </c>
      <c r="X786" s="128">
        <f t="shared" ref="X786" si="279">W786+W786*X785</f>
        <v>-328.20968165481196</v>
      </c>
      <c r="Y786" s="128">
        <f t="shared" ref="Y786" si="280">X786+X786*Y785</f>
        <v>-410.26210206851493</v>
      </c>
    </row>
    <row r="787" spans="1:25" hidden="1">
      <c r="A787" s="100" t="s">
        <v>510</v>
      </c>
      <c r="B787" s="103">
        <v>0.25</v>
      </c>
      <c r="C787" s="104" t="s">
        <v>511</v>
      </c>
      <c r="D787" s="129"/>
      <c r="E787" s="130">
        <f>E786/((1+$B$791)^E784)</f>
        <v>-5.3750000000000027</v>
      </c>
      <c r="F787" s="130">
        <f t="shared" ref="F787:N787" si="281">F786/((1+$B$791)^F784)</f>
        <v>-6.1079545454545476</v>
      </c>
      <c r="G787" s="130">
        <f t="shared" si="281"/>
        <v>-6.9408574380165291</v>
      </c>
      <c r="H787" s="130">
        <f t="shared" si="281"/>
        <v>-7.887337997746056</v>
      </c>
      <c r="I787" s="130">
        <f t="shared" si="281"/>
        <v>-8.9628840883477903</v>
      </c>
      <c r="J787" s="130">
        <f t="shared" si="281"/>
        <v>-10.185095554940668</v>
      </c>
      <c r="K787" s="130">
        <f t="shared" si="281"/>
        <v>-11.573972221523485</v>
      </c>
      <c r="L787" s="130"/>
      <c r="M787" s="130">
        <f t="shared" si="281"/>
        <v>-13.152241160822141</v>
      </c>
      <c r="N787" s="202">
        <f t="shared" si="281"/>
        <v>-14.945728591843343</v>
      </c>
      <c r="O787" s="202">
        <f>O786/((1+$B$791)^O784)</f>
        <v>-16.98378249073107</v>
      </c>
      <c r="P787" s="130">
        <f t="shared" ref="P787:Y787" si="282">P786/((1+$B$791)^P784)</f>
        <v>-19.29975283037621</v>
      </c>
      <c r="Q787" s="130">
        <f t="shared" si="282"/>
        <v>-21.931537307245698</v>
      </c>
      <c r="R787" s="130">
        <f t="shared" si="282"/>
        <v>-24.922201485506474</v>
      </c>
      <c r="S787" s="130">
        <f t="shared" si="282"/>
        <v>-28.32068350625735</v>
      </c>
      <c r="T787" s="130">
        <f t="shared" si="282"/>
        <v>-32.18259489347426</v>
      </c>
      <c r="U787" s="130">
        <f t="shared" si="282"/>
        <v>-36.571130560766207</v>
      </c>
      <c r="V787" s="130">
        <f t="shared" si="282"/>
        <v>-41.558102909961598</v>
      </c>
      <c r="W787" s="130">
        <f t="shared" si="282"/>
        <v>-47.225116943138175</v>
      </c>
      <c r="X787" s="130">
        <f t="shared" si="282"/>
        <v>-53.664905617202457</v>
      </c>
      <c r="Y787" s="130">
        <f t="shared" si="282"/>
        <v>-60.982847292275522</v>
      </c>
    </row>
    <row r="788" spans="1:25" hidden="1">
      <c r="A788" s="100" t="s">
        <v>518</v>
      </c>
      <c r="B788" s="103">
        <v>0.25</v>
      </c>
      <c r="C788" s="131" t="s">
        <v>547</v>
      </c>
      <c r="D788" s="116" t="s">
        <v>533</v>
      </c>
      <c r="E788" s="116" t="s">
        <v>534</v>
      </c>
      <c r="F788" s="116" t="s">
        <v>535</v>
      </c>
      <c r="G788" s="116" t="s">
        <v>536</v>
      </c>
      <c r="H788" s="116" t="s">
        <v>537</v>
      </c>
      <c r="I788" s="116" t="s">
        <v>520</v>
      </c>
      <c r="J788" s="116" t="s">
        <v>521</v>
      </c>
      <c r="K788" s="116" t="s">
        <v>522</v>
      </c>
      <c r="L788" s="116"/>
      <c r="M788" s="116" t="s">
        <v>523</v>
      </c>
      <c r="N788" s="37" t="s">
        <v>524</v>
      </c>
      <c r="O788" s="37" t="s">
        <v>525</v>
      </c>
      <c r="P788" s="116" t="s">
        <v>526</v>
      </c>
      <c r="Q788" s="116" t="s">
        <v>527</v>
      </c>
      <c r="R788" s="116" t="s">
        <v>528</v>
      </c>
      <c r="S788" s="116" t="s">
        <v>529</v>
      </c>
      <c r="T788" s="116" t="s">
        <v>530</v>
      </c>
      <c r="U788" s="6"/>
      <c r="V788" s="6"/>
      <c r="W788" s="6"/>
      <c r="X788" s="6"/>
      <c r="Y788" s="6"/>
    </row>
    <row r="789" spans="1:25" hidden="1">
      <c r="A789" s="100" t="s">
        <v>519</v>
      </c>
      <c r="B789" s="103">
        <v>0.25</v>
      </c>
      <c r="C789" s="104" t="s">
        <v>513</v>
      </c>
      <c r="D789" s="124">
        <f t="shared" ref="D789:F789" si="283">((I786*$B$787+I786)/($B$791-$B$790))/((1+$B$791)^I784)</f>
        <v>-186.72675184057891</v>
      </c>
      <c r="E789" s="124">
        <f t="shared" si="283"/>
        <v>-212.18949072793055</v>
      </c>
      <c r="F789" s="124">
        <f t="shared" si="283"/>
        <v>-241.12442128173925</v>
      </c>
      <c r="G789" s="124">
        <f>((M786*$B$787+M786)/($B$791-$B$790))/((1+$B$791)^M784)</f>
        <v>-274.0050241837946</v>
      </c>
      <c r="H789" s="124">
        <f>((N786*$B$787+N786)/($B$791-$B$790))/((1+$B$791)^N784)</f>
        <v>-311.36934566340295</v>
      </c>
      <c r="I789" s="124">
        <f>((O786*$B$787+O786)/($B$791-$B$790))/((1+$B$791)^O784)</f>
        <v>-353.82880189023058</v>
      </c>
      <c r="J789" s="124">
        <f>((P786*$B$788+P786)/($B$791-$B$790))/((1+$B$791)^P784)</f>
        <v>-402.07818396617108</v>
      </c>
      <c r="K789" s="124">
        <f>((Q786*$B$788+Q786)/($B$791-$B$790))/((1+$B$791)^Q784)</f>
        <v>-456.90702723428529</v>
      </c>
      <c r="L789" s="124"/>
      <c r="M789" s="124">
        <f t="shared" ref="M789:O789" si="284">((R786*$B$788+R786)/($B$791-$B$790))/((1+$B$791)^R784)</f>
        <v>-519.21253094805149</v>
      </c>
      <c r="N789" s="203">
        <f t="shared" si="284"/>
        <v>-590.01423971369479</v>
      </c>
      <c r="O789" s="203">
        <f t="shared" si="284"/>
        <v>-670.4707269473804</v>
      </c>
      <c r="P789" s="124">
        <f>((U786*$B$789+U786)/($B$791-$B$790))/((1+$B$791)^U784)</f>
        <v>-761.89855334929587</v>
      </c>
      <c r="Q789" s="124">
        <f>((V786*$B$789+V786)/($B$791-$B$790))/((1+$B$791)^V784)</f>
        <v>-865.79381062419986</v>
      </c>
      <c r="R789" s="124">
        <f>((W786*$B$789+W786)/($B$791-$B$790))/((1+$B$791)^W784)</f>
        <v>-983.85660298204516</v>
      </c>
      <c r="S789" s="124">
        <f>((X786*$B$789+X786)/($B$791-$B$790))/((1+$B$791)^X784)</f>
        <v>-1118.0188670250511</v>
      </c>
      <c r="T789" s="124">
        <f>((Y786*$B$789+Y786)/($B$791-$B$790))/((1+$B$791)^Y784)</f>
        <v>-1270.4759852557397</v>
      </c>
      <c r="U789" s="6"/>
      <c r="V789" s="6"/>
      <c r="W789" s="6"/>
      <c r="X789" s="6"/>
      <c r="Y789" s="6"/>
    </row>
    <row r="790" spans="1:25" hidden="1">
      <c r="A790" s="100" t="s">
        <v>512</v>
      </c>
      <c r="B790" s="103">
        <v>0.04</v>
      </c>
      <c r="C790" s="104" t="s">
        <v>532</v>
      </c>
      <c r="D790" s="76">
        <f>SUM(E787:I787)</f>
        <v>-35.274034069564927</v>
      </c>
      <c r="E790" s="76">
        <f>SUM(E787:J787)</f>
        <v>-45.459129624505593</v>
      </c>
      <c r="F790" s="76">
        <f>SUM(E787:K787)</f>
        <v>-57.033101846029076</v>
      </c>
      <c r="G790" s="76">
        <f>SUM(E787:M787)</f>
        <v>-70.185343006851213</v>
      </c>
      <c r="H790" s="76">
        <f>SUM(E787:N787)</f>
        <v>-85.131071598694561</v>
      </c>
      <c r="I790" s="76">
        <f>SUM(E787:O787)</f>
        <v>-102.11485408942563</v>
      </c>
      <c r="J790" s="76">
        <f>SUM(E787:P787)</f>
        <v>-121.41460691980184</v>
      </c>
      <c r="K790" s="76">
        <f>SUM(E787:Q787)</f>
        <v>-143.34614422704755</v>
      </c>
      <c r="L790" s="76"/>
      <c r="M790" s="76">
        <f>SUM(E787:R787)</f>
        <v>-168.26834571255401</v>
      </c>
      <c r="N790" s="34">
        <f>SUM(E787:S787)</f>
        <v>-196.58902921881136</v>
      </c>
      <c r="O790" s="34">
        <f>SUM(E787:T787)</f>
        <v>-228.77162411228562</v>
      </c>
      <c r="P790" s="76">
        <f>SUM(E787:U787)</f>
        <v>-265.34275467305184</v>
      </c>
      <c r="Q790" s="76">
        <f>SUM(E787:V787)</f>
        <v>-306.90085758301342</v>
      </c>
      <c r="R790" s="76">
        <f>SUM(E787:W787)</f>
        <v>-354.12597452615159</v>
      </c>
      <c r="S790" s="76">
        <f>SUM(E787:X787)</f>
        <v>-407.79088014335406</v>
      </c>
      <c r="T790" s="76">
        <f>SUM(E787:Y787)</f>
        <v>-468.77372743562955</v>
      </c>
      <c r="U790" s="6"/>
      <c r="V790" s="6"/>
      <c r="W790" s="6"/>
      <c r="X790" s="6"/>
      <c r="Y790" s="6"/>
    </row>
    <row r="791" spans="1:25" hidden="1">
      <c r="A791" s="100" t="s">
        <v>497</v>
      </c>
      <c r="B791" s="103">
        <v>0.1</v>
      </c>
      <c r="C791" s="102" t="s">
        <v>515</v>
      </c>
      <c r="D791" s="76">
        <f>D789+D790-$B$793</f>
        <v>-283.18078591014381</v>
      </c>
      <c r="E791" s="76">
        <f t="shared" ref="E791:J791" si="285">E789+E790-$B$793</f>
        <v>-318.82862035243613</v>
      </c>
      <c r="F791" s="76">
        <f t="shared" si="285"/>
        <v>-359.33752312776835</v>
      </c>
      <c r="G791" s="76">
        <f t="shared" si="285"/>
        <v>-405.37036719064582</v>
      </c>
      <c r="H791" s="76">
        <f t="shared" si="285"/>
        <v>-457.68041726209754</v>
      </c>
      <c r="I791" s="76">
        <f t="shared" si="285"/>
        <v>-517.12365597965618</v>
      </c>
      <c r="J791" s="76">
        <f t="shared" si="285"/>
        <v>-584.67279088597286</v>
      </c>
      <c r="K791" s="76">
        <f t="shared" ref="K791" si="286">K789+K790-$B$793</f>
        <v>-661.43317146133279</v>
      </c>
      <c r="L791" s="76"/>
      <c r="M791" s="76">
        <f t="shared" ref="M791" si="287">M789+M790-$B$793</f>
        <v>-748.66087666060548</v>
      </c>
      <c r="N791" s="34">
        <f t="shared" ref="N791" si="288">N789+N790-$B$793</f>
        <v>-847.78326893250608</v>
      </c>
      <c r="O791" s="34">
        <f t="shared" ref="O791" si="289">O789+O790-$B$793</f>
        <v>-960.42235105966597</v>
      </c>
      <c r="P791" s="76">
        <f t="shared" ref="P791:Q791" si="290">P789+P790-$B$793</f>
        <v>-1088.4213080223478</v>
      </c>
      <c r="Q791" s="76">
        <f t="shared" si="290"/>
        <v>-1233.8746682072133</v>
      </c>
      <c r="R791" s="76">
        <f t="shared" ref="R791" si="291">R789+R790-$B$793</f>
        <v>-1399.1625775081968</v>
      </c>
      <c r="S791" s="76">
        <f t="shared" ref="S791" si="292">S789+S790-$B$793</f>
        <v>-1586.9897471684053</v>
      </c>
      <c r="T791" s="76">
        <f t="shared" ref="T791" si="293">T789+T790-$B$793</f>
        <v>-1800.4297126913693</v>
      </c>
      <c r="U791" s="6"/>
      <c r="V791" s="6"/>
      <c r="W791" s="6"/>
      <c r="X791" s="6"/>
      <c r="Y791" s="6"/>
    </row>
    <row r="792" spans="1:25" hidden="1">
      <c r="A792" s="100" t="s">
        <v>514</v>
      </c>
      <c r="B792" s="102">
        <f>'Data Sheet'!K70</f>
        <v>5188976</v>
      </c>
      <c r="C792" s="105" t="s">
        <v>517</v>
      </c>
      <c r="D792" s="125">
        <f>(D791/$B$792)*(10^7)</f>
        <v>-545.73539347675501</v>
      </c>
      <c r="E792" s="125">
        <f t="shared" ref="E792:T792" si="294">(E791/$B$792)*(10^7)</f>
        <v>-614.43456349082385</v>
      </c>
      <c r="F792" s="125">
        <f t="shared" si="294"/>
        <v>-692.50180214317493</v>
      </c>
      <c r="G792" s="125">
        <f t="shared" si="294"/>
        <v>-781.21457333902833</v>
      </c>
      <c r="H792" s="125">
        <f t="shared" si="294"/>
        <v>-882.02454060704372</v>
      </c>
      <c r="I792" s="125">
        <f t="shared" si="294"/>
        <v>-996.5813215934246</v>
      </c>
      <c r="J792" s="125">
        <f t="shared" si="294"/>
        <v>-1126.7594818052212</v>
      </c>
      <c r="K792" s="125">
        <f t="shared" si="294"/>
        <v>-1274.6892093186264</v>
      </c>
      <c r="L792" s="125"/>
      <c r="M792" s="125">
        <f t="shared" si="294"/>
        <v>-1442.7911724020412</v>
      </c>
      <c r="N792" s="37">
        <f t="shared" si="294"/>
        <v>-1633.8161304513762</v>
      </c>
      <c r="O792" s="37">
        <f t="shared" si="294"/>
        <v>-1850.8899464165299</v>
      </c>
      <c r="P792" s="125">
        <f t="shared" si="294"/>
        <v>-2097.564737286023</v>
      </c>
      <c r="Q792" s="125">
        <f t="shared" si="294"/>
        <v>-2377.8769996377191</v>
      </c>
      <c r="R792" s="125">
        <f t="shared" si="294"/>
        <v>-2696.4136614010104</v>
      </c>
      <c r="S792" s="125">
        <f t="shared" si="294"/>
        <v>-3058.387140677477</v>
      </c>
      <c r="T792" s="125">
        <f t="shared" si="294"/>
        <v>-3469.7206398552808</v>
      </c>
      <c r="U792" s="6"/>
      <c r="V792" s="6"/>
      <c r="W792" s="6"/>
      <c r="X792" s="6"/>
      <c r="Y792" s="6"/>
    </row>
    <row r="793" spans="1:25" hidden="1">
      <c r="A793" s="100" t="s">
        <v>516</v>
      </c>
      <c r="B793" s="107">
        <f>'Balance Sheet'!K6</f>
        <v>61.18</v>
      </c>
      <c r="C793" s="106"/>
      <c r="D793" s="6"/>
      <c r="E793" s="6"/>
      <c r="F793" s="6"/>
      <c r="G793" s="6"/>
      <c r="H793" s="6"/>
      <c r="I793" s="6"/>
      <c r="J793" s="6"/>
      <c r="K793" s="6"/>
      <c r="L793" s="6"/>
      <c r="M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idden="1">
      <c r="A794" s="106"/>
      <c r="B794" s="106"/>
      <c r="C794" s="110" t="s">
        <v>531</v>
      </c>
      <c r="D794" s="76">
        <f t="shared" ref="D794:T794" si="295">I786*10/((1+$B$791)^I784)</f>
        <v>-89.628840883477892</v>
      </c>
      <c r="E794" s="76">
        <f t="shared" si="295"/>
        <v>-101.85095554940668</v>
      </c>
      <c r="F794" s="76">
        <f t="shared" si="295"/>
        <v>-115.73972221523483</v>
      </c>
      <c r="G794" s="76">
        <f>M786*10/((1+$B$791)^M784)</f>
        <v>-131.52241160822143</v>
      </c>
      <c r="H794" s="76">
        <f>N786*10/((1+$B$791)^N784)</f>
        <v>-149.45728591843343</v>
      </c>
      <c r="I794" s="76">
        <f>O786*10/((1+$B$791)^O784)</f>
        <v>-169.83782490731068</v>
      </c>
      <c r="J794" s="76">
        <f>P786*10/((1+$B$791)^P784)</f>
        <v>-192.99752830376212</v>
      </c>
      <c r="K794" s="76">
        <f>Q786*10/((1+$B$791)^Q784)</f>
        <v>-219.31537307245696</v>
      </c>
      <c r="L794" s="76"/>
      <c r="M794" s="76">
        <f t="shared" si="295"/>
        <v>-249.22201485506471</v>
      </c>
      <c r="N794" s="34">
        <f t="shared" si="295"/>
        <v>-283.20683506257353</v>
      </c>
      <c r="O794" s="34">
        <f t="shared" si="295"/>
        <v>-321.8259489347426</v>
      </c>
      <c r="P794" s="76">
        <f t="shared" si="295"/>
        <v>-365.71130560766204</v>
      </c>
      <c r="Q794" s="76">
        <f t="shared" si="295"/>
        <v>-415.58102909961599</v>
      </c>
      <c r="R794" s="76">
        <f t="shared" si="295"/>
        <v>-472.25116943138175</v>
      </c>
      <c r="S794" s="76">
        <f t="shared" si="295"/>
        <v>-536.64905617202453</v>
      </c>
      <c r="T794" s="76">
        <f t="shared" si="295"/>
        <v>-609.82847292275517</v>
      </c>
      <c r="U794" s="6"/>
      <c r="V794" s="6"/>
      <c r="W794" s="6"/>
      <c r="X794" s="6"/>
      <c r="Y794" s="6"/>
    </row>
    <row r="795" spans="1:25" hidden="1">
      <c r="A795" s="108"/>
      <c r="B795" s="109"/>
      <c r="C795" s="102" t="s">
        <v>515</v>
      </c>
      <c r="D795" s="77">
        <f>D794+D790-$B$793</f>
        <v>-186.08287495304282</v>
      </c>
      <c r="E795" s="77">
        <f t="shared" ref="E795:J795" si="296">E794+E790-$B$793</f>
        <v>-208.49008517391229</v>
      </c>
      <c r="F795" s="77">
        <f t="shared" si="296"/>
        <v>-233.95282406126393</v>
      </c>
      <c r="G795" s="77">
        <f t="shared" si="296"/>
        <v>-262.88775461507265</v>
      </c>
      <c r="H795" s="77">
        <f t="shared" si="296"/>
        <v>-295.76835751712798</v>
      </c>
      <c r="I795" s="77">
        <f t="shared" si="296"/>
        <v>-333.13267899673633</v>
      </c>
      <c r="J795" s="77">
        <f t="shared" si="296"/>
        <v>-375.59213522356396</v>
      </c>
      <c r="K795" s="77">
        <f t="shared" ref="K795" si="297">K794+K790-$B$793</f>
        <v>-423.84151729950452</v>
      </c>
      <c r="L795" s="77"/>
      <c r="M795" s="77">
        <f t="shared" ref="M795" si="298">M794+M790-$B$793</f>
        <v>-478.67036056761873</v>
      </c>
      <c r="N795" s="34">
        <f t="shared" ref="N795" si="299">N794+N790-$B$793</f>
        <v>-540.97586428138482</v>
      </c>
      <c r="O795" s="34">
        <f t="shared" ref="O795" si="300">O794+O790-$B$793</f>
        <v>-611.77757304702811</v>
      </c>
      <c r="P795" s="77">
        <f t="shared" ref="P795:Q795" si="301">P794+P790-$B$793</f>
        <v>-692.23406028071383</v>
      </c>
      <c r="Q795" s="77">
        <f t="shared" si="301"/>
        <v>-783.66188668262942</v>
      </c>
      <c r="R795" s="77">
        <f t="shared" ref="R795" si="302">R794+R790-$B$793</f>
        <v>-887.5571439575333</v>
      </c>
      <c r="S795" s="77">
        <f t="shared" ref="S795" si="303">S794+S790-$B$793</f>
        <v>-1005.6199363153786</v>
      </c>
      <c r="T795" s="77">
        <f t="shared" ref="T795" si="304">T794+T790-$B$793</f>
        <v>-1139.7822003583849</v>
      </c>
      <c r="U795" s="6"/>
      <c r="V795" s="6"/>
      <c r="W795" s="6"/>
      <c r="X795" s="6"/>
      <c r="Y795" s="6"/>
    </row>
    <row r="796" spans="1:25" hidden="1">
      <c r="A796" s="2"/>
      <c r="B796" s="18"/>
      <c r="C796" s="105" t="s">
        <v>517</v>
      </c>
      <c r="D796" s="125">
        <f>(D795/$B$792)*(10^7)</f>
        <v>-358.61193991462443</v>
      </c>
      <c r="E796" s="125">
        <f t="shared" ref="E796:T796" si="305">(E795/$B$792)*(10^7)</f>
        <v>-401.79427535203916</v>
      </c>
      <c r="F796" s="125">
        <f t="shared" si="305"/>
        <v>-450.86511107637409</v>
      </c>
      <c r="G796" s="125">
        <f t="shared" si="305"/>
        <v>-506.62742439948204</v>
      </c>
      <c r="H796" s="125">
        <f t="shared" si="305"/>
        <v>-569.99368953937733</v>
      </c>
      <c r="I796" s="125">
        <f t="shared" si="305"/>
        <v>-642.00080901653109</v>
      </c>
      <c r="J796" s="125">
        <f t="shared" si="305"/>
        <v>-723.82708114966022</v>
      </c>
      <c r="K796" s="125">
        <f t="shared" si="305"/>
        <v>-816.81148130094368</v>
      </c>
      <c r="L796" s="125"/>
      <c r="M796" s="125">
        <f t="shared" si="305"/>
        <v>-922.47557238194725</v>
      </c>
      <c r="N796" s="37">
        <f t="shared" si="305"/>
        <v>-1042.5484031558151</v>
      </c>
      <c r="O796" s="37">
        <f t="shared" si="305"/>
        <v>-1178.9948017624829</v>
      </c>
      <c r="P796" s="125">
        <f t="shared" si="305"/>
        <v>-1334.0475274518785</v>
      </c>
      <c r="Q796" s="125">
        <f t="shared" si="305"/>
        <v>-1510.2438066443735</v>
      </c>
      <c r="R796" s="125">
        <f t="shared" si="305"/>
        <v>-1710.4668511812993</v>
      </c>
      <c r="S796" s="125">
        <f t="shared" si="305"/>
        <v>-1937.9930381550782</v>
      </c>
      <c r="T796" s="125">
        <f t="shared" si="305"/>
        <v>-2196.5455233525554</v>
      </c>
      <c r="U796" s="6"/>
      <c r="V796" s="6"/>
      <c r="W796" s="6"/>
      <c r="X796" s="6"/>
      <c r="Y796" s="6"/>
    </row>
    <row r="797" spans="1:25" hidden="1">
      <c r="D797" s="6"/>
      <c r="E797" s="6"/>
      <c r="F797" s="6"/>
      <c r="G797" s="6"/>
      <c r="H797" s="6"/>
      <c r="I797" s="6"/>
      <c r="J797" s="6"/>
      <c r="K797" s="6"/>
      <c r="L797" s="6"/>
      <c r="M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idden="1"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204"/>
      <c r="O798" s="204"/>
      <c r="P798" s="18"/>
      <c r="Q798" s="18"/>
      <c r="R798" s="18"/>
      <c r="S798" s="18"/>
      <c r="T798" s="18"/>
      <c r="U798" s="18"/>
    </row>
    <row r="799" spans="1:25" hidden="1">
      <c r="C799" s="114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204"/>
      <c r="O799" s="204"/>
      <c r="P799" s="18"/>
      <c r="Q799" s="18"/>
      <c r="R799" s="18"/>
      <c r="S799" s="18"/>
      <c r="T799" s="18"/>
      <c r="U799" s="18"/>
    </row>
    <row r="800" spans="1:25" hidden="1">
      <c r="C800" s="111"/>
      <c r="D800" s="18"/>
      <c r="E800" s="111"/>
      <c r="F800" s="111"/>
      <c r="G800" s="111"/>
      <c r="H800" s="111"/>
      <c r="I800" s="111"/>
      <c r="J800" s="111"/>
      <c r="K800" s="111"/>
      <c r="L800" s="111"/>
      <c r="M800" s="111"/>
      <c r="N800" s="204"/>
      <c r="O800" s="204"/>
      <c r="P800" s="18"/>
      <c r="Q800" s="18"/>
      <c r="R800" s="18"/>
      <c r="S800" s="18"/>
      <c r="T800" s="18"/>
      <c r="U800" s="18"/>
    </row>
    <row r="801" spans="3:21" hidden="1">
      <c r="C801" s="111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204"/>
      <c r="O801" s="204"/>
      <c r="P801" s="18"/>
      <c r="Q801" s="18"/>
      <c r="R801" s="18"/>
      <c r="S801" s="18"/>
      <c r="T801" s="18"/>
      <c r="U801" s="18"/>
    </row>
    <row r="802" spans="3:21" hidden="1">
      <c r="C802" s="113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32"/>
      <c r="O802" s="32"/>
      <c r="P802" s="18"/>
      <c r="Q802" s="18"/>
      <c r="R802" s="18"/>
      <c r="S802" s="18"/>
      <c r="T802" s="18"/>
      <c r="U802" s="18"/>
    </row>
    <row r="803" spans="3:21" hidden="1">
      <c r="C803" s="114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32"/>
      <c r="O803" s="32"/>
      <c r="P803" s="18"/>
      <c r="Q803" s="18"/>
      <c r="R803" s="18"/>
      <c r="S803" s="18"/>
      <c r="T803" s="18"/>
      <c r="U803" s="18"/>
    </row>
    <row r="804" spans="3:21" hidden="1">
      <c r="C804" s="112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32"/>
      <c r="O804" s="32"/>
      <c r="P804" s="18"/>
      <c r="Q804" s="18"/>
      <c r="R804" s="18"/>
      <c r="S804" s="18"/>
      <c r="T804" s="18"/>
      <c r="U804" s="18"/>
    </row>
    <row r="805" spans="3:21" hidden="1">
      <c r="C805" s="112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32"/>
      <c r="O805" s="32"/>
      <c r="P805" s="18"/>
      <c r="Q805" s="18"/>
      <c r="R805" s="18"/>
      <c r="S805" s="18"/>
      <c r="T805" s="18"/>
      <c r="U805" s="18"/>
    </row>
    <row r="806" spans="3:21" hidden="1">
      <c r="C806" s="112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32"/>
      <c r="O806" s="32"/>
      <c r="P806" s="18"/>
      <c r="Q806" s="18"/>
      <c r="R806" s="18"/>
      <c r="S806" s="18"/>
      <c r="T806" s="18"/>
      <c r="U806" s="18"/>
    </row>
    <row r="807" spans="3:21" hidden="1">
      <c r="C807" s="112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32"/>
      <c r="O807" s="32"/>
      <c r="P807" s="18"/>
      <c r="Q807" s="18"/>
      <c r="R807" s="18"/>
      <c r="S807" s="18"/>
      <c r="T807" s="18"/>
      <c r="U807" s="18"/>
    </row>
    <row r="808" spans="3:21" hidden="1">
      <c r="C808" s="112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32"/>
      <c r="O808" s="32"/>
      <c r="P808" s="18"/>
      <c r="Q808" s="18"/>
      <c r="R808" s="18"/>
      <c r="S808" s="18"/>
      <c r="T808" s="18"/>
      <c r="U808" s="18"/>
    </row>
    <row r="809" spans="3:21" hidden="1">
      <c r="C809" s="112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32"/>
      <c r="O809" s="32"/>
      <c r="P809" s="18"/>
      <c r="Q809" s="18"/>
      <c r="R809" s="18"/>
      <c r="S809" s="18"/>
      <c r="T809" s="18"/>
      <c r="U809" s="18"/>
    </row>
    <row r="810" spans="3:21" hidden="1"/>
    <row r="811" spans="3:21" hidden="1"/>
    <row r="812" spans="3:21" hidden="1"/>
    <row r="813" spans="3:21" hidden="1"/>
    <row r="814" spans="3:21" hidden="1"/>
    <row r="815" spans="3:21" hidden="1"/>
    <row r="816" spans="3:21" hidden="1"/>
    <row r="817" spans="1:11" hidden="1"/>
    <row r="818" spans="1:11" hidden="1"/>
    <row r="819" spans="1:11" hidden="1"/>
    <row r="820" spans="1:11" hidden="1"/>
    <row r="821" spans="1:11" hidden="1"/>
    <row r="822" spans="1:11" hidden="1"/>
    <row r="823" spans="1:11">
      <c r="A823" s="8" t="s">
        <v>594</v>
      </c>
      <c r="B823" s="30"/>
      <c r="C823" s="206">
        <f>(C747-B747)/B747</f>
        <v>-1.0850515463917532</v>
      </c>
      <c r="D823" s="206">
        <f t="shared" ref="D823:K823" si="306">(D747-C747)/C747</f>
        <v>-13.575757575757512</v>
      </c>
      <c r="E823" s="206">
        <f t="shared" si="306"/>
        <v>-1.573493975903614</v>
      </c>
      <c r="F823" s="206">
        <f t="shared" si="306"/>
        <v>-2.6470588235294121</v>
      </c>
      <c r="G823" s="206">
        <f t="shared" si="306"/>
        <v>-2.2117346938775513</v>
      </c>
      <c r="H823" s="206">
        <f t="shared" si="306"/>
        <v>-0.75578947368421112</v>
      </c>
      <c r="I823" s="206">
        <f t="shared" si="306"/>
        <v>-2.5172413793103479</v>
      </c>
      <c r="J823" s="206">
        <f t="shared" si="306"/>
        <v>-4.6647727272727266</v>
      </c>
      <c r="K823" s="206">
        <f t="shared" si="306"/>
        <v>0.47286821705426502</v>
      </c>
    </row>
    <row r="824" spans="1:11">
      <c r="A824" s="8" t="s">
        <v>595</v>
      </c>
      <c r="B824" s="207">
        <f>B112</f>
        <v>0.19393813441563465</v>
      </c>
      <c r="C824" s="207">
        <f t="shared" ref="C824:K824" si="307">C112</f>
        <v>0.31337243953699934</v>
      </c>
      <c r="D824" s="207">
        <f t="shared" si="307"/>
        <v>0.21307434238451881</v>
      </c>
      <c r="E824" s="207">
        <f t="shared" si="307"/>
        <v>0.16630349707272787</v>
      </c>
      <c r="F824" s="207">
        <f t="shared" si="307"/>
        <v>0.11138097307588833</v>
      </c>
      <c r="G824" s="207">
        <f t="shared" si="307"/>
        <v>0.1379249151730885</v>
      </c>
      <c r="H824" s="207">
        <f t="shared" si="307"/>
        <v>0.15619620109094282</v>
      </c>
      <c r="I824" s="207">
        <f t="shared" si="307"/>
        <v>0.14389792163946799</v>
      </c>
      <c r="J824" s="207">
        <f t="shared" si="307"/>
        <v>8.1986819333863467E-2</v>
      </c>
      <c r="K824" s="207">
        <f t="shared" si="307"/>
        <v>7.5291067996502314E-2</v>
      </c>
    </row>
    <row r="825" spans="1:11">
      <c r="A825" s="8" t="s">
        <v>598</v>
      </c>
      <c r="B825" s="206"/>
      <c r="C825" s="206">
        <f t="shared" ref="C825:K825" si="308">C823/C824</f>
        <v>-3.4624983230653346</v>
      </c>
      <c r="D825" s="206">
        <f t="shared" si="308"/>
        <v>-63.713713363284214</v>
      </c>
      <c r="E825" s="206">
        <f t="shared" si="308"/>
        <v>-9.4615808061780768</v>
      </c>
      <c r="F825" s="206">
        <f t="shared" si="308"/>
        <v>-23.765808022936419</v>
      </c>
      <c r="G825" s="206">
        <f t="shared" si="308"/>
        <v>-16.035787958266575</v>
      </c>
      <c r="H825" s="206">
        <f t="shared" si="308"/>
        <v>-4.8387186654057253</v>
      </c>
      <c r="I825" s="206">
        <f t="shared" si="308"/>
        <v>-17.493243478646079</v>
      </c>
      <c r="J825" s="206">
        <f t="shared" si="308"/>
        <v>-56.896617836545467</v>
      </c>
      <c r="K825" s="206">
        <f t="shared" si="308"/>
        <v>6.2805353893536529</v>
      </c>
    </row>
    <row r="826" spans="1:11">
      <c r="A826" s="8" t="s">
        <v>599</v>
      </c>
      <c r="B826" s="29">
        <f>B747/Customization!B84</f>
        <v>0.17668488160291437</v>
      </c>
      <c r="C826" s="29">
        <f>C747/Customization!C84</f>
        <v>-1.1336310546204117E-2</v>
      </c>
      <c r="D826" s="29">
        <f>D747/Customization!D84</f>
        <v>0.13782796413151785</v>
      </c>
      <c r="E826" s="29">
        <f>E747/Customization!E84</f>
        <v>-5.6331360946745547E-2</v>
      </c>
      <c r="F826" s="29">
        <f>F747/Customization!F84</f>
        <v>8.615384615384615E-2</v>
      </c>
      <c r="G826" s="29">
        <f>G747/Customization!G84</f>
        <v>-8.8619402985074661E-2</v>
      </c>
      <c r="H826" s="29">
        <f>H747/Customization!H84</f>
        <v>-1.714708056171467E-2</v>
      </c>
      <c r="I826" s="29">
        <f>I747/Customization!I84</f>
        <v>2.0059266013220875E-2</v>
      </c>
      <c r="J826" s="29">
        <f>J747/Customization!J84</f>
        <v>-5.6554142919772024E-2</v>
      </c>
      <c r="K826" s="29">
        <f>K747/Customization!K84</f>
        <v>-6.9576680826131596E-2</v>
      </c>
    </row>
    <row r="827" spans="1:11">
      <c r="A827" s="8" t="s">
        <v>600</v>
      </c>
      <c r="B827" s="29">
        <f>B132/Customization!B84</f>
        <v>7.3938134415634654E-2</v>
      </c>
      <c r="C827" s="29">
        <f>C132/Customization!C84</f>
        <v>0.19337243953699934</v>
      </c>
      <c r="D827" s="29">
        <f>D132/Customization!D84</f>
        <v>9.307434238451881E-2</v>
      </c>
      <c r="E827" s="29">
        <f>E132/Customization!E84</f>
        <v>4.6303497072727878E-2</v>
      </c>
      <c r="F827" s="29">
        <f>F132/Customization!F84</f>
        <v>-8.619026924111664E-3</v>
      </c>
      <c r="G827" s="29">
        <f>G132/Customization!G84</f>
        <v>1.7924915173088501E-2</v>
      </c>
      <c r="H827" s="29">
        <f>H132/Customization!H84</f>
        <v>3.619620109094282E-2</v>
      </c>
      <c r="I827" s="29">
        <f>I132/Customization!I84</f>
        <v>2.3897921639467995E-2</v>
      </c>
      <c r="J827" s="29">
        <f>J132/Customization!J84</f>
        <v>-3.8013180666136528E-2</v>
      </c>
      <c r="K827" s="29">
        <f>K132/Customization!K84</f>
        <v>-4.4708932003497681E-2</v>
      </c>
    </row>
    <row r="828" spans="1:11">
      <c r="A828" s="8" t="s">
        <v>601</v>
      </c>
      <c r="B828" s="29"/>
      <c r="C828" s="29"/>
      <c r="D828" s="29">
        <f>D703*'Data Sheet'!D17/Customization!D84</f>
        <v>6.3712916995305138E-2</v>
      </c>
      <c r="E828" s="29">
        <f>E703*'Data Sheet'!E17/Customization!E84</f>
        <v>0.1506288545427962</v>
      </c>
      <c r="F828" s="29">
        <f>F703*'Data Sheet'!F17/Customization!F84</f>
        <v>0.13739874221436371</v>
      </c>
      <c r="G828" s="29">
        <f>G703*'Data Sheet'!G17/Customization!G84</f>
        <v>0.12744194026442049</v>
      </c>
      <c r="H828" s="29">
        <f>H703*'Data Sheet'!H17/Customization!H84</f>
        <v>0.17048774629641966</v>
      </c>
      <c r="I828" s="29">
        <f>I703*'Data Sheet'!I17/Customization!I84</f>
        <v>6.4006099922959414E-2</v>
      </c>
      <c r="J828" s="29">
        <f>J703*'Data Sheet'!J17/Customization!J84</f>
        <v>8.4170516681423141E-2</v>
      </c>
      <c r="K828" s="29">
        <f>K703*'Data Sheet'!K17/Customization!K84</f>
        <v>9.0592726407654617E-3</v>
      </c>
    </row>
    <row r="829" spans="1:11">
      <c r="A829" s="208" t="s">
        <v>602</v>
      </c>
      <c r="B829" s="29"/>
      <c r="C829" s="29"/>
      <c r="D829" s="29"/>
      <c r="E829" s="29">
        <f>E704*'Data Sheet'!E17/Customization!E84</f>
        <v>7.5187376725838265E-2</v>
      </c>
      <c r="F829" s="29">
        <f>F704*'Data Sheet'!F17/Customization!F84</f>
        <v>5.6703296703296727E-2</v>
      </c>
      <c r="G829" s="29">
        <f>G704*'Data Sheet'!G17/Customization!G84</f>
        <v>7.0895522388059656E-2</v>
      </c>
      <c r="H829" s="29">
        <f>H704*'Data Sheet'!H17/Customization!H84</f>
        <v>8.5883222468588316E-2</v>
      </c>
      <c r="I829" s="29">
        <f>I704*'Data Sheet'!I17/Customization!I84</f>
        <v>4.8096649190790979E-2</v>
      </c>
      <c r="J829" s="29">
        <f>J704*'Data Sheet'!J17/Customization!J84</f>
        <v>2.4053777582931472E-2</v>
      </c>
      <c r="K829" s="29">
        <f>K704*'Data Sheet'!K17/Customization!K84</f>
        <v>1.9701186465504603E-2</v>
      </c>
    </row>
    <row r="830" spans="1:11">
      <c r="A830" s="210" t="s">
        <v>604</v>
      </c>
      <c r="B830" s="29">
        <f>B706*'Data Sheet'!B17/Customization!B84</f>
        <v>0</v>
      </c>
      <c r="C830" s="29">
        <f>C706*'Data Sheet'!C17/Customization!C84</f>
        <v>7.9010649261422646E-3</v>
      </c>
      <c r="D830" s="29">
        <f>D706*'Data Sheet'!D17/Customization!D84</f>
        <v>0.16306874792427767</v>
      </c>
      <c r="E830" s="29">
        <f>E706*'Data Sheet'!E17/Customization!E84</f>
        <v>-0.14414201183431954</v>
      </c>
      <c r="F830" s="29">
        <f>F706*'Data Sheet'!F17/Customization!F84</f>
        <v>1.5164835164835164E-2</v>
      </c>
      <c r="G830" s="29">
        <f>G706*'Data Sheet'!G17/Customization!G84</f>
        <v>-4.8507462686567186E-2</v>
      </c>
      <c r="H830" s="29">
        <f>H706*'Data Sheet'!H17/Customization!H84</f>
        <v>-8.9726533628972704E-2</v>
      </c>
      <c r="I830" s="29">
        <f>I706*'Data Sheet'!I17/Customization!I84</f>
        <v>-0.12092546159106453</v>
      </c>
      <c r="J830" s="29">
        <f>J706*'Data Sheet'!J17/Customization!J84</f>
        <v>-0.16887330118369118</v>
      </c>
      <c r="K830" s="29">
        <f>K706*'Data Sheet'!K17/Customization!K84</f>
        <v>-0.10377911234802996</v>
      </c>
    </row>
    <row r="831" spans="1:11">
      <c r="A831" s="75" t="s">
        <v>603</v>
      </c>
      <c r="B831" s="29">
        <f>B707*'Data Sheet'!B17/Customization!B84</f>
        <v>0.13023679417122042</v>
      </c>
      <c r="C831" s="29">
        <f>C707*'Data Sheet'!C17/Customization!C84</f>
        <v>0.215389900377877</v>
      </c>
      <c r="D831" s="29">
        <f>D707*'Data Sheet'!D17/Customization!D84</f>
        <v>0.15709066755230822</v>
      </c>
      <c r="E831" s="29">
        <f>E707*'Data Sheet'!E17/Customization!E84</f>
        <v>0.11502958579881656</v>
      </c>
      <c r="F831" s="29">
        <f>F707*'Data Sheet'!F17/Customization!F84</f>
        <v>6.043956043956044E-2</v>
      </c>
      <c r="G831" s="29">
        <f>G707*'Data Sheet'!G17/Customization!G84</f>
        <v>7.5186567164179111E-2</v>
      </c>
      <c r="H831" s="29">
        <f>H707*'Data Sheet'!H17/Customization!H84</f>
        <v>9.1352549889135257E-2</v>
      </c>
      <c r="I831" s="29">
        <f>I707*'Data Sheet'!I17/Customization!I84</f>
        <v>8.6847503989058578E-2</v>
      </c>
      <c r="J831" s="29">
        <f>J707*'Data Sheet'!J17/Customization!J84</f>
        <v>3.9105655414291972E-2</v>
      </c>
      <c r="K831" s="29">
        <f>K707*'Data Sheet'!K17/Customization!K84</f>
        <v>6.0934524681412049E-2</v>
      </c>
    </row>
    <row r="832" spans="1:11">
      <c r="A832" s="209"/>
    </row>
    <row r="834" spans="1:13">
      <c r="A834" s="8" t="s">
        <v>607</v>
      </c>
      <c r="B834" s="29">
        <f>'Data Sheet'!B82/'Profit &amp; Loss'!B6</f>
        <v>0.58966565349544087</v>
      </c>
      <c r="C834" s="29">
        <f>'Data Sheet'!C82/'Profit &amp; Loss'!C6</f>
        <v>0.47424242424242435</v>
      </c>
      <c r="D834" s="29">
        <f>'Data Sheet'!D82/'Profit &amp; Loss'!D6</f>
        <v>0.87372330547817989</v>
      </c>
      <c r="E834" s="29">
        <f>'Data Sheet'!E82/'Profit &amp; Loss'!E6</f>
        <v>0.2551546391752576</v>
      </c>
      <c r="F834" s="29">
        <f>'Data Sheet'!F82/'Profit &amp; Loss'!F6</f>
        <v>0.72413793103448332</v>
      </c>
      <c r="G834" s="29">
        <f>'Data Sheet'!G82/'Profit &amp; Loss'!G6</f>
        <v>0.21940298507462677</v>
      </c>
      <c r="H834" s="29">
        <f>'Data Sheet'!H82/'Profit &amp; Loss'!H6</f>
        <v>0.37672366243794853</v>
      </c>
      <c r="I834" s="29">
        <f>'Data Sheet'!I82/'Profit &amp; Loss'!I6</f>
        <v>0.5977283483199245</v>
      </c>
      <c r="J834" s="29">
        <f>'Data Sheet'!J82/'Profit &amp; Loss'!J6</f>
        <v>7.1539657853810182E-2</v>
      </c>
      <c r="K834" s="29">
        <f>'Data Sheet'!K82/'Profit &amp; Loss'!K6</f>
        <v>0.15035460992907818</v>
      </c>
      <c r="L834" s="211"/>
    </row>
    <row r="835" spans="1:13">
      <c r="A835" s="8" t="s">
        <v>617</v>
      </c>
      <c r="B835" s="29">
        <f>'Data Sheet'!B26/('Data Sheet'!B62+'Data Sheet'!B63+'Data Sheet'!B26)</f>
        <v>0.10705789056304521</v>
      </c>
      <c r="C835" s="29">
        <f>'Data Sheet'!C26/('Data Sheet'!C62+'Data Sheet'!C63+'Data Sheet'!C26)</f>
        <v>0.11764705882352941</v>
      </c>
      <c r="D835" s="29">
        <f>'Data Sheet'!D26/('Data Sheet'!D62+'Data Sheet'!D63+'Data Sheet'!D26)</f>
        <v>0.12613041408852929</v>
      </c>
      <c r="E835" s="29">
        <f>'Data Sheet'!E26/('Data Sheet'!E62+'Data Sheet'!E63+'Data Sheet'!E26)</f>
        <v>0.12062420919443274</v>
      </c>
      <c r="F835" s="29">
        <f>'Data Sheet'!F26/('Data Sheet'!F62+'Data Sheet'!F63+'Data Sheet'!F26)</f>
        <v>0.13673805601317957</v>
      </c>
      <c r="G835" s="29">
        <f>'Data Sheet'!G26/('Data Sheet'!G62+'Data Sheet'!G63+'Data Sheet'!G26)</f>
        <v>0.13228621291448517</v>
      </c>
      <c r="H835" s="29">
        <f>'Data Sheet'!H26/('Data Sheet'!H62+'Data Sheet'!H63+'Data Sheet'!H26)</f>
        <v>0.12785388127853881</v>
      </c>
      <c r="I835" s="29">
        <f>'Data Sheet'!I26/('Data Sheet'!I62+'Data Sheet'!I63+'Data Sheet'!I26)</f>
        <v>9.0840080971659923E-2</v>
      </c>
      <c r="J835" s="29">
        <f>'Data Sheet'!J26/('Data Sheet'!J62+'Data Sheet'!J63+'Data Sheet'!J26)</f>
        <v>0.10489031078610606</v>
      </c>
      <c r="K835" s="29">
        <f>'Data Sheet'!K26/('Data Sheet'!K62+'Data Sheet'!K63+'Data Sheet'!K26)</f>
        <v>9.3153326904532305E-2</v>
      </c>
    </row>
    <row r="836" spans="1:13">
      <c r="A836" s="8" t="s">
        <v>608</v>
      </c>
      <c r="C836" s="206">
        <f>(('Data Sheet'!C58-'Data Sheet'!B58))/('Data Sheet'!C30-'Data Sheet'!C31)</f>
        <v>1.0271132376395538</v>
      </c>
      <c r="D836" s="206">
        <f>(('Data Sheet'!D58-'Data Sheet'!C58))/('Data Sheet'!D30-'Data Sheet'!D31)</f>
        <v>1.0380549682875264</v>
      </c>
      <c r="E836" s="206">
        <f>(('Data Sheet'!E58-'Data Sheet'!D58))/('Data Sheet'!E30-'Data Sheet'!E31)</f>
        <v>0.96090534979423836</v>
      </c>
      <c r="F836" s="206">
        <f>(('Data Sheet'!F58-'Data Sheet'!E58))/('Data Sheet'!F30-'Data Sheet'!F31)</f>
        <v>0.93090909090909169</v>
      </c>
      <c r="G836" s="206">
        <f>(('Data Sheet'!G58-'Data Sheet'!F58))/('Data Sheet'!G30-'Data Sheet'!G31)</f>
        <v>0.57071960297766677</v>
      </c>
      <c r="H836" s="206">
        <f>(('Data Sheet'!H58-'Data Sheet'!G58))/('Data Sheet'!H30-'Data Sheet'!H31)</f>
        <v>1.0226537216828477</v>
      </c>
      <c r="I836" s="206">
        <f>(('Data Sheet'!I58-'Data Sheet'!H58))/('Data Sheet'!I30-'Data Sheet'!I31)</f>
        <v>1.1076115485564302</v>
      </c>
      <c r="J836" s="206">
        <f>(('Data Sheet'!J58-'Data Sheet'!I58))/('Data Sheet'!J30-'Data Sheet'!J31)</f>
        <v>7.5717488789237688</v>
      </c>
      <c r="K836" s="206">
        <f>(('Data Sheet'!K58-'Data Sheet'!J58))/('Data Sheet'!K30-'Data Sheet'!K31)</f>
        <v>0.99999999999999911</v>
      </c>
    </row>
    <row r="837" spans="1:13">
      <c r="A837" s="8" t="s">
        <v>609</v>
      </c>
      <c r="B837" s="29">
        <f>'Data Sheet'!B24/'Data Sheet'!B17</f>
        <v>2.766798418972332E-2</v>
      </c>
      <c r="C837" s="29">
        <f>'Data Sheet'!C24/'Data Sheet'!C17</f>
        <v>2.5483998419597E-2</v>
      </c>
      <c r="D837" s="29">
        <f>'Data Sheet'!D24/'Data Sheet'!D17</f>
        <v>3.3275713050993951E-2</v>
      </c>
      <c r="E837" s="29">
        <f>'Data Sheet'!E24/'Data Sheet'!E17</f>
        <v>1.0526315789473684E-2</v>
      </c>
      <c r="F837" s="29">
        <f>'Data Sheet'!F24/'Data Sheet'!F17</f>
        <v>1.5122265122265123E-2</v>
      </c>
      <c r="G837" s="29">
        <f>'Data Sheet'!G24/'Data Sheet'!G17</f>
        <v>1.3256851497769279E-2</v>
      </c>
      <c r="H837" s="29">
        <f>'Data Sheet'!H24/'Data Sheet'!H17</f>
        <v>1.3595603124096037E-2</v>
      </c>
      <c r="I837" s="29">
        <f>'Data Sheet'!I24/'Data Sheet'!I17</f>
        <v>4.046044154282278E-2</v>
      </c>
      <c r="J837" s="29">
        <f>'Data Sheet'!J24/'Data Sheet'!J17</f>
        <v>5.1202650151231453E-2</v>
      </c>
      <c r="K837" s="29">
        <f>'Data Sheet'!K24/'Data Sheet'!K17</f>
        <v>5.2011291460832748E-2</v>
      </c>
    </row>
    <row r="838" spans="1:13">
      <c r="A838" s="8" t="s">
        <v>611</v>
      </c>
      <c r="B838" s="29">
        <f>'Data Sheet'!B24/'Data Sheet'!B30</f>
        <v>0.23076923076923075</v>
      </c>
      <c r="C838" s="29">
        <f>'Data Sheet'!C24/'Data Sheet'!C30</f>
        <v>0.17479674796747968</v>
      </c>
      <c r="D838" s="29">
        <f>'Data Sheet'!D24/'Data Sheet'!D30</f>
        <v>0.26057529610829105</v>
      </c>
      <c r="E838" s="29">
        <f>'Data Sheet'!E24/'Data Sheet'!E30</f>
        <v>9.5867768595041314E-2</v>
      </c>
      <c r="F838" s="29">
        <f>'Data Sheet'!F24/'Data Sheet'!F30</f>
        <v>0.23857868020304568</v>
      </c>
      <c r="G838" s="29">
        <f>'Data Sheet'!G24/'Data Sheet'!G30</f>
        <v>0.18909090909090909</v>
      </c>
      <c r="H838" s="29">
        <f>'Data Sheet'!H24/'Data Sheet'!H30</f>
        <v>0.17669172932330826</v>
      </c>
      <c r="I838" s="29">
        <f>'Data Sheet'!I24/'Data Sheet'!I30</f>
        <v>0.49683544303797467</v>
      </c>
      <c r="J838" s="29">
        <f>'Data Sheet'!J24/'Data Sheet'!J30</f>
        <v>1.0085106382978724</v>
      </c>
      <c r="K838" s="29">
        <f>'Data Sheet'!K24/'Data Sheet'!K30</f>
        <v>0.88581730769230771</v>
      </c>
    </row>
    <row r="839" spans="1:13">
      <c r="A839" s="8" t="s">
        <v>612</v>
      </c>
      <c r="B839" s="29">
        <f>'Data Sheet'!B25/'Data Sheet'!B17</f>
        <v>1.1857707509881422E-2</v>
      </c>
      <c r="C839" s="29">
        <f>'Data Sheet'!C25/'Data Sheet'!C17</f>
        <v>6.7167127617542479E-3</v>
      </c>
      <c r="D839" s="29">
        <f>'Data Sheet'!D25/'Data Sheet'!D17</f>
        <v>1.2316335350043214E-2</v>
      </c>
      <c r="E839" s="29">
        <f>'Data Sheet'!E25/'Data Sheet'!E17</f>
        <v>6.7150635208711434E-3</v>
      </c>
      <c r="F839" s="29">
        <f>'Data Sheet'!F25/'Data Sheet'!F17</f>
        <v>1.4317889317889319E-2</v>
      </c>
      <c r="G839" s="29">
        <f>'Data Sheet'!G25/'Data Sheet'!G17</f>
        <v>1.0325047801147227E-2</v>
      </c>
      <c r="H839" s="29">
        <f>'Data Sheet'!H25/'Data Sheet'!H17</f>
        <v>7.4245492237971274E-3</v>
      </c>
      <c r="I839" s="29">
        <f>'Data Sheet'!I25/'Data Sheet'!I17</f>
        <v>9.6211665664461821E-3</v>
      </c>
      <c r="J839" s="29">
        <f>'Data Sheet'!J25/'Data Sheet'!J17</f>
        <v>1.6203370301022611E-2</v>
      </c>
      <c r="K839" s="29">
        <f>'Data Sheet'!K25/'Data Sheet'!K17</f>
        <v>1.8630910374029641E-2</v>
      </c>
    </row>
    <row r="840" spans="1:13">
      <c r="A840" s="8" t="s">
        <v>613</v>
      </c>
      <c r="B840" s="29">
        <f>'Data Sheet'!B25/'Data Sheet'!B30</f>
        <v>9.8901098901098897E-2</v>
      </c>
      <c r="C840" s="29">
        <f>'Data Sheet'!C25/'Data Sheet'!C30</f>
        <v>4.6070460704607047E-2</v>
      </c>
      <c r="D840" s="29">
        <f>'Data Sheet'!D25/'Data Sheet'!D30</f>
        <v>9.6446700507614197E-2</v>
      </c>
      <c r="E840" s="29">
        <f>'Data Sheet'!E25/'Data Sheet'!E30</f>
        <v>6.1157024793388429E-2</v>
      </c>
      <c r="F840" s="29">
        <f>'Data Sheet'!F25/'Data Sheet'!F30</f>
        <v>0.22588832487309646</v>
      </c>
      <c r="G840" s="29">
        <f>'Data Sheet'!G25/'Data Sheet'!G30</f>
        <v>0.14727272727272728</v>
      </c>
      <c r="H840" s="29">
        <f>'Data Sheet'!H25/'Data Sheet'!H30</f>
        <v>9.6491228070175433E-2</v>
      </c>
      <c r="I840" s="29">
        <f>'Data Sheet'!I25/'Data Sheet'!I30</f>
        <v>0.11814345991561181</v>
      </c>
      <c r="J840" s="29">
        <f>'Data Sheet'!J25/'Data Sheet'!J30</f>
        <v>0.31914893617021278</v>
      </c>
      <c r="K840" s="29">
        <f>'Data Sheet'!K25/'Data Sheet'!K30</f>
        <v>0.31730769230769229</v>
      </c>
    </row>
    <row r="841" spans="1:13">
      <c r="A841" s="8" t="s">
        <v>610</v>
      </c>
      <c r="B841" s="29">
        <f>'Data Sheet'!B63/('Data Sheet'!B62+'Data Sheet'!B26)</f>
        <v>6.3237774030354132E-2</v>
      </c>
      <c r="C841" s="29">
        <f>'Data Sheet'!C63/('Data Sheet'!C62+'Data Sheet'!C26)</f>
        <v>3.1195840554592718E-2</v>
      </c>
      <c r="D841" s="29">
        <f>'Data Sheet'!D63/('Data Sheet'!D62+'Data Sheet'!D26)</f>
        <v>3.5996055226824461E-2</v>
      </c>
      <c r="E841" s="29">
        <f>'Data Sheet'!E63/('Data Sheet'!E62+'Data Sheet'!E26)</f>
        <v>2.0223752151462996E-2</v>
      </c>
      <c r="F841" s="29">
        <f>'Data Sheet'!F63/('Data Sheet'!F62+'Data Sheet'!F26)</f>
        <v>1.6750418760469014E-2</v>
      </c>
      <c r="G841" s="29">
        <f>'Data Sheet'!G63/('Data Sheet'!G62+'Data Sheet'!G26)</f>
        <v>2.0986358866736622E-3</v>
      </c>
      <c r="H841" s="29">
        <f>'Data Sheet'!H63/('Data Sheet'!H62+'Data Sheet'!H26)</f>
        <v>2.560099906337808E-2</v>
      </c>
      <c r="I841" s="29">
        <f>'Data Sheet'!I63/('Data Sheet'!I62+'Data Sheet'!I26)</f>
        <v>6.1224489795918373E-2</v>
      </c>
      <c r="J841" s="29">
        <f>'Data Sheet'!J63/('Data Sheet'!J62+'Data Sheet'!J26)</f>
        <v>4.1904761904761903E-2</v>
      </c>
      <c r="K841" s="29">
        <f>'Data Sheet'!K63/('Data Sheet'!K62+'Data Sheet'!K26)</f>
        <v>4.3889671834105096E-2</v>
      </c>
    </row>
    <row r="842" spans="1:13">
      <c r="A842" s="8" t="s">
        <v>614</v>
      </c>
      <c r="B842" s="215">
        <f>('Data Sheet'!B82+'Data Sheet'!B83)/'Data Sheet'!B30</f>
        <v>-0.70604395604395609</v>
      </c>
      <c r="C842" s="215">
        <f>('Data Sheet'!C82+'Data Sheet'!C83)/'Data Sheet'!C30</f>
        <v>-4.2005420054200611E-2</v>
      </c>
      <c r="D842" s="215">
        <f>('Data Sheet'!D82+'Data Sheet'!D83)/'Data Sheet'!D30</f>
        <v>0.70050761421319807</v>
      </c>
      <c r="E842" s="215">
        <f>('Data Sheet'!E82+'Data Sheet'!E83)/'Data Sheet'!E30</f>
        <v>-0.42479338842975206</v>
      </c>
      <c r="F842" s="215">
        <f>('Data Sheet'!F82+'Data Sheet'!F83)/'Data Sheet'!F30</f>
        <v>0.92131979695431454</v>
      </c>
      <c r="G842" s="215">
        <f>('Data Sheet'!G82+'Data Sheet'!G83)/'Data Sheet'!G30</f>
        <v>-1.38</v>
      </c>
      <c r="H842" s="215">
        <f>('Data Sheet'!H82+'Data Sheet'!H83)/'Data Sheet'!H30</f>
        <v>-0.37844611528822047</v>
      </c>
      <c r="I842" s="215">
        <f>('Data Sheet'!I82+'Data Sheet'!I83)/'Data Sheet'!I30</f>
        <v>-0.32594936708860756</v>
      </c>
      <c r="J842" s="215">
        <f>('Data Sheet'!J82+'Data Sheet'!J83)/'Data Sheet'!J30</f>
        <v>-0.84964539007092199</v>
      </c>
      <c r="K842" s="215">
        <f>('Data Sheet'!K82+'Data Sheet'!K83)/'Data Sheet'!K30</f>
        <v>-0.91225961538461531</v>
      </c>
      <c r="L842" s="215"/>
      <c r="M842" s="215"/>
    </row>
    <row r="843" spans="1:13">
      <c r="A843" s="8" t="s">
        <v>615</v>
      </c>
      <c r="C843" s="211"/>
      <c r="D843" s="211">
        <f>('Data Sheet'!B82+'Data Sheet'!C82+'Data Sheet'!D82+'Data Sheet'!B83+'Data Sheet'!C83+'Data Sheet'!D83)/('Data Sheet'!B30+'Data Sheet'!C30+'Data Sheet'!D30)</f>
        <v>7.4424099232132404E-2</v>
      </c>
      <c r="E843" s="211">
        <f>('Data Sheet'!C82+'Data Sheet'!D82+'Data Sheet'!E82+'Data Sheet'!C83+'Data Sheet'!D83+'Data Sheet'!E83)/('Data Sheet'!C30+'Data Sheet'!D30+'Data Sheet'!E30)</f>
        <v>6.5149948293691862E-2</v>
      </c>
      <c r="F843" s="211">
        <f>('Data Sheet'!D82+'Data Sheet'!E82+'Data Sheet'!F82+'Data Sheet'!D83+'Data Sheet'!E83+'Data Sheet'!F83)/('Data Sheet'!D30+'Data Sheet'!E30+'Data Sheet'!F30)</f>
        <v>0.32704402515723274</v>
      </c>
      <c r="G843" s="211">
        <f>('Data Sheet'!E82+'Data Sheet'!F82+'Data Sheet'!G82+'Data Sheet'!E83+'Data Sheet'!F83+'Data Sheet'!G83)/('Data Sheet'!E30+'Data Sheet'!F30+'Data Sheet'!G30)</f>
        <v>-0.42156229825693992</v>
      </c>
      <c r="H843" s="211">
        <f>('Data Sheet'!F82+'Data Sheet'!G82+'Data Sheet'!H82+'Data Sheet'!F83+'Data Sheet'!G83+'Data Sheet'!H83)/('Data Sheet'!F30+'Data Sheet'!G30+'Data Sheet'!H30)</f>
        <v>-0.40068886337543064</v>
      </c>
      <c r="I843" s="211">
        <f>('Data Sheet'!G82+'Data Sheet'!H82+'Data Sheet'!I82+'Data Sheet'!G83+'Data Sheet'!H83+'Data Sheet'!I83)/('Data Sheet'!G30+'Data Sheet'!H30+'Data Sheet'!I30)</f>
        <v>-0.59668989547038331</v>
      </c>
      <c r="J843" s="211">
        <f>('Data Sheet'!H82+'Data Sheet'!I82+'Data Sheet'!J82+'Data Sheet'!H83+'Data Sheet'!I83+'Data Sheet'!J83)/('Data Sheet'!H30+'Data Sheet'!I30+'Data Sheet'!J30)</f>
        <v>-0.49367605059159531</v>
      </c>
      <c r="K843" s="211">
        <f>('Data Sheet'!I82+'Data Sheet'!J82+'Data Sheet'!K82+'Data Sheet'!I83+'Data Sheet'!J83+'Data Sheet'!K83)/('Data Sheet'!I30+'Data Sheet'!J30+'Data Sheet'!K30)</f>
        <v>-0.67082494969818907</v>
      </c>
    </row>
    <row r="844" spans="1:13">
      <c r="A844" s="8" t="s">
        <v>616</v>
      </c>
      <c r="B844" s="211"/>
      <c r="C844" s="211"/>
      <c r="D844" s="211"/>
      <c r="E844" s="211"/>
      <c r="F844" s="211"/>
      <c r="G844" s="211">
        <f>('Data Sheet'!B82+'Data Sheet'!C82+'Data Sheet'!D82+'Data Sheet'!E82+'Data Sheet'!F82+'Data Sheet'!G82+'Data Sheet'!B83+'Data Sheet'!C83+'Data Sheet'!D83+'Data Sheet'!E83+'Data Sheet'!F83+'Data Sheet'!G83)/('Data Sheet'!B30+'Data Sheet'!C30+'Data Sheet'!D30+'Data Sheet'!E30+'Data Sheet'!F30+'Data Sheet'!G30)</f>
        <v>-0.16255397902529312</v>
      </c>
      <c r="H844" s="211">
        <f>('Data Sheet'!C82+'Data Sheet'!D82+'Data Sheet'!E82+'Data Sheet'!F82+'Data Sheet'!G82+'Data Sheet'!H82+'Data Sheet'!C83+'Data Sheet'!D83+'Data Sheet'!E83+'Data Sheet'!F83+'Data Sheet'!G83+'Data Sheet'!H83)/('Data Sheet'!C30+'Data Sheet'!D30+'Data Sheet'!E30+'Data Sheet'!F30+'Data Sheet'!G30+'Data Sheet'!H30)</f>
        <v>-0.15560391730141437</v>
      </c>
      <c r="I844" s="211">
        <f>('Data Sheet'!D82+'Data Sheet'!E82+'Data Sheet'!F82+'Data Sheet'!G82+'Data Sheet'!H82+'Data Sheet'!I82+'Data Sheet'!D83+'Data Sheet'!E83+'Data Sheet'!F83+'Data Sheet'!G83+'Data Sheet'!H83+'Data Sheet'!I83)/('Data Sheet'!D30+'Data Sheet'!E30+'Data Sheet'!F30+'Data Sheet'!G30+'Data Sheet'!H30+'Data Sheet'!I30)</f>
        <v>-0.21873391662377767</v>
      </c>
      <c r="J844" s="211">
        <f>('Data Sheet'!E82+'Data Sheet'!F82+'Data Sheet'!G82+'Data Sheet'!H82+'Data Sheet'!I82+'Data Sheet'!J82+'Data Sheet'!E83+'Data Sheet'!F83+'Data Sheet'!G83+'Data Sheet'!H83+'Data Sheet'!I83+'Data Sheet'!J83)/('Data Sheet'!E30+'Data Sheet'!F30+'Data Sheet'!G30+'Data Sheet'!H30+'Data Sheet'!I30+'Data Sheet'!J30)</f>
        <v>-0.46574999999999989</v>
      </c>
      <c r="K844" s="211">
        <f>('Data Sheet'!F82+'Data Sheet'!G82+'Data Sheet'!H82+'Data Sheet'!I82+'Data Sheet'!J82+'Data Sheet'!K82+'Data Sheet'!F83+'Data Sheet'!G83+'Data Sheet'!H83+'Data Sheet'!I83+'Data Sheet'!J83+'Data Sheet'!K83)/('Data Sheet'!F30+'Data Sheet'!G30+'Data Sheet'!H30+'Data Sheet'!I30+'Data Sheet'!J30+'Data Sheet'!K30)</f>
        <v>-0.55949846226638267</v>
      </c>
    </row>
    <row r="845" spans="1:13">
      <c r="A845" s="8" t="s">
        <v>618</v>
      </c>
      <c r="D845" s="215">
        <f>('Data Sheet'!B82+'Data Sheet'!C82+'Data Sheet'!D82)</f>
        <v>19.55</v>
      </c>
      <c r="E845" s="215">
        <f>('Data Sheet'!C82+'Data Sheet'!D82+'Data Sheet'!E82)</f>
        <v>18.64</v>
      </c>
      <c r="F845" s="215">
        <f>('Data Sheet'!D82+'Data Sheet'!E82+'Data Sheet'!F82)</f>
        <v>19.73</v>
      </c>
      <c r="G845" s="215">
        <f>('Data Sheet'!E82+'Data Sheet'!F82+'Data Sheet'!G82)</f>
        <v>13.26</v>
      </c>
      <c r="H845" s="215">
        <f>('Data Sheet'!F82+'Data Sheet'!G82+'Data Sheet'!H82)</f>
        <v>17.119999999999997</v>
      </c>
      <c r="I845" s="215">
        <f>('Data Sheet'!G82+'Data Sheet'!H82+'Data Sheet'!I82)</f>
        <v>22.4</v>
      </c>
      <c r="J845" s="215">
        <f>('Data Sheet'!H82+'Data Sheet'!I82+'Data Sheet'!J82)</f>
        <v>20.84</v>
      </c>
      <c r="K845" s="215">
        <f>('Data Sheet'!I82+'Data Sheet'!J82+'Data Sheet'!K82)</f>
        <v>17.190000000000001</v>
      </c>
    </row>
    <row r="846" spans="1:13">
      <c r="A846" s="8" t="s">
        <v>619</v>
      </c>
      <c r="B846" s="29"/>
      <c r="C846" s="29"/>
      <c r="D846" s="215">
        <f>('Data Sheet'!B83+'Data Sheet'!C83+'Data Sheet'!D83)</f>
        <v>-18.29</v>
      </c>
      <c r="E846" s="215">
        <f>('Data Sheet'!C83+'Data Sheet'!D83+'Data Sheet'!E83)</f>
        <v>-17.38</v>
      </c>
      <c r="F846" s="215">
        <f>('Data Sheet'!D83+'Data Sheet'!E83+'Data Sheet'!F83)</f>
        <v>-14.53</v>
      </c>
      <c r="G846" s="215">
        <f>('Data Sheet'!E83+'Data Sheet'!F83+'Data Sheet'!G83)</f>
        <v>-19.79</v>
      </c>
      <c r="H846" s="215">
        <f>('Data Sheet'!F83+'Data Sheet'!G83+'Data Sheet'!H83)</f>
        <v>-24.1</v>
      </c>
      <c r="I846" s="215">
        <f>('Data Sheet'!G83+'Data Sheet'!H83+'Data Sheet'!I83)</f>
        <v>-36.1</v>
      </c>
      <c r="J846" s="215">
        <f>('Data Sheet'!H83+'Data Sheet'!I83+'Data Sheet'!J83)</f>
        <v>-32.94</v>
      </c>
      <c r="K846" s="215">
        <f>('Data Sheet'!I83+'Data Sheet'!J83+'Data Sheet'!K83)</f>
        <v>-33.86</v>
      </c>
    </row>
    <row r="847" spans="1:13">
      <c r="A847" s="8" t="s">
        <v>620</v>
      </c>
      <c r="B847" s="29"/>
      <c r="C847" s="29"/>
      <c r="D847" s="215">
        <f>D845+D846</f>
        <v>1.2600000000000016</v>
      </c>
      <c r="E847" s="215">
        <f t="shared" ref="E847:K847" si="309">E845+E846</f>
        <v>1.2600000000000016</v>
      </c>
      <c r="F847" s="215">
        <f t="shared" si="309"/>
        <v>5.2000000000000011</v>
      </c>
      <c r="G847" s="215">
        <f t="shared" si="309"/>
        <v>-6.5299999999999994</v>
      </c>
      <c r="H847" s="215">
        <f t="shared" si="309"/>
        <v>-6.980000000000004</v>
      </c>
      <c r="I847" s="215">
        <f t="shared" si="309"/>
        <v>-13.700000000000003</v>
      </c>
      <c r="J847" s="215">
        <f t="shared" si="309"/>
        <v>-12.099999999999998</v>
      </c>
      <c r="K847" s="215">
        <f t="shared" si="309"/>
        <v>-16.669999999999998</v>
      </c>
    </row>
    <row r="848" spans="1:13">
      <c r="B848" s="29"/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2:11">
      <c r="B849" s="29"/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2:11">
      <c r="B850" s="29"/>
      <c r="C850" s="212"/>
      <c r="D850" s="29"/>
      <c r="E850" s="29"/>
      <c r="F850" s="29"/>
      <c r="G850" s="29"/>
      <c r="H850" s="29"/>
      <c r="I850" s="29"/>
      <c r="J850" s="29"/>
      <c r="K850" s="29"/>
    </row>
  </sheetData>
  <mergeCells count="2">
    <mergeCell ref="A773:B773"/>
    <mergeCell ref="A779:B780"/>
  </mergeCells>
  <conditionalFormatting sqref="D780:Y780">
    <cfRule type="cellIs" dxfId="1" priority="1" operator="greaterThan">
      <formula>$B$4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="99" zoomScaleNormal="99" workbookViewId="0">
      <pane xSplit="1" ySplit="1" topLeftCell="B72" activePane="bottomRight" state="frozen"/>
      <selection activeCell="C4" sqref="C4"/>
      <selection pane="topRight" activeCell="C4" sqref="C4"/>
      <selection pane="bottomLeft" activeCell="C4" sqref="C4"/>
      <selection pane="bottomRight" activeCell="K32" sqref="K32"/>
    </sheetView>
  </sheetViews>
  <sheetFormatPr defaultColWidth="9.140625" defaultRowHeight="15"/>
  <cols>
    <col min="1" max="1" width="27.7109375" style="5" bestFit="1" customWidth="1"/>
    <col min="2" max="11" width="13.5703125" style="5" bestFit="1" customWidth="1"/>
    <col min="12" max="12" width="15.140625" style="29" bestFit="1" customWidth="1"/>
    <col min="13" max="16384" width="9.140625" style="5"/>
  </cols>
  <sheetData>
    <row r="1" spans="1:12" s="1" customFormat="1">
      <c r="A1" s="1" t="s">
        <v>0</v>
      </c>
      <c r="B1" s="1" t="s">
        <v>54</v>
      </c>
      <c r="E1" s="219" t="str">
        <f>IF(B2&lt;&gt;B3, "A NEW VERSION OF THE WORKSHEET IS AVAILABLE", "")</f>
        <v>A NEW VERSION OF THE WORKSHEET IS AVAILABLE</v>
      </c>
      <c r="F1" s="219"/>
      <c r="G1" s="219"/>
      <c r="H1" s="219"/>
      <c r="I1" s="219"/>
      <c r="J1" s="219"/>
      <c r="K1" s="219"/>
      <c r="L1" s="65"/>
    </row>
    <row r="2" spans="1:12">
      <c r="A2" s="1" t="s">
        <v>52</v>
      </c>
      <c r="B2" s="5">
        <v>2.1</v>
      </c>
      <c r="E2" s="220" t="s">
        <v>36</v>
      </c>
      <c r="F2" s="220"/>
      <c r="G2" s="220"/>
      <c r="H2" s="220"/>
      <c r="I2" s="220"/>
      <c r="J2" s="220"/>
      <c r="K2" s="220"/>
    </row>
    <row r="3" spans="1:12">
      <c r="A3" s="1" t="s">
        <v>53</v>
      </c>
      <c r="B3" s="5">
        <v>2</v>
      </c>
    </row>
    <row r="4" spans="1:12">
      <c r="A4" s="1"/>
    </row>
    <row r="5" spans="1:12">
      <c r="A5" s="1" t="s">
        <v>55</v>
      </c>
    </row>
    <row r="6" spans="1:12">
      <c r="A6" s="5" t="s">
        <v>42</v>
      </c>
      <c r="B6" s="5">
        <f>IF(B9&gt;0, B9/B8, 0)</f>
        <v>0.51890721649484528</v>
      </c>
    </row>
    <row r="7" spans="1:12">
      <c r="A7" s="5" t="s">
        <v>31</v>
      </c>
      <c r="B7">
        <v>10</v>
      </c>
    </row>
    <row r="8" spans="1:12">
      <c r="A8" s="5" t="s">
        <v>43</v>
      </c>
      <c r="B8">
        <v>485</v>
      </c>
    </row>
    <row r="9" spans="1:12">
      <c r="A9" s="5" t="s">
        <v>70</v>
      </c>
      <c r="B9">
        <v>251.67</v>
      </c>
    </row>
    <row r="15" spans="1:12">
      <c r="A15" s="1" t="s">
        <v>37</v>
      </c>
    </row>
    <row r="16" spans="1:12" s="24" customFormat="1">
      <c r="A16" s="23" t="s">
        <v>38</v>
      </c>
      <c r="B16" s="16">
        <v>39538</v>
      </c>
      <c r="C16" s="16">
        <v>39903</v>
      </c>
      <c r="D16" s="16">
        <v>40268</v>
      </c>
      <c r="E16" s="16">
        <v>40633</v>
      </c>
      <c r="F16" s="16">
        <v>40999</v>
      </c>
      <c r="G16" s="16">
        <v>41364</v>
      </c>
      <c r="H16" s="16">
        <v>41729</v>
      </c>
      <c r="I16" s="16">
        <v>42094</v>
      </c>
      <c r="J16" s="16">
        <v>42460</v>
      </c>
      <c r="K16" s="16">
        <v>42825</v>
      </c>
      <c r="L16" s="66" t="s">
        <v>275</v>
      </c>
    </row>
    <row r="17" spans="1:12" s="9" customFormat="1">
      <c r="A17" s="9" t="s">
        <v>6</v>
      </c>
      <c r="B17">
        <v>30.36</v>
      </c>
      <c r="C17">
        <v>50.62</v>
      </c>
      <c r="D17">
        <v>46.28</v>
      </c>
      <c r="E17">
        <v>55.1</v>
      </c>
      <c r="F17">
        <v>62.16</v>
      </c>
      <c r="G17">
        <v>78.45</v>
      </c>
      <c r="H17">
        <v>103.71</v>
      </c>
      <c r="I17">
        <v>116.41</v>
      </c>
      <c r="J17">
        <v>138.86000000000001</v>
      </c>
      <c r="K17">
        <v>141.69999999999999</v>
      </c>
      <c r="L17" s="67">
        <f>POWER(K17/B17,1/9)-1</f>
        <v>0.18669987908432129</v>
      </c>
    </row>
    <row r="18" spans="1:12" s="9" customFormat="1">
      <c r="A18" s="5" t="s">
        <v>71</v>
      </c>
      <c r="B18">
        <v>11.16</v>
      </c>
      <c r="C18">
        <v>17.71</v>
      </c>
      <c r="D18">
        <v>16.12</v>
      </c>
      <c r="E18">
        <v>18.62</v>
      </c>
      <c r="F18">
        <v>26.28</v>
      </c>
      <c r="G18">
        <v>34.94</v>
      </c>
      <c r="H18">
        <v>48.85</v>
      </c>
      <c r="I18">
        <v>45.81</v>
      </c>
      <c r="J18">
        <v>54.22</v>
      </c>
      <c r="K18">
        <v>52.42</v>
      </c>
      <c r="L18" s="67">
        <f t="shared" ref="L18:L72" si="0">POWER(K18/B18,1/9)-1</f>
        <v>0.18753957457220083</v>
      </c>
    </row>
    <row r="19" spans="1:12" s="9" customFormat="1">
      <c r="A19" s="5" t="s">
        <v>72</v>
      </c>
      <c r="B19">
        <v>0.59</v>
      </c>
      <c r="C19">
        <v>0.54</v>
      </c>
      <c r="D19">
        <v>1.9</v>
      </c>
      <c r="E19">
        <v>0.53</v>
      </c>
      <c r="F19">
        <v>1.1200000000000001</v>
      </c>
      <c r="G19">
        <v>2.61</v>
      </c>
      <c r="H19">
        <v>5.32</v>
      </c>
      <c r="I19">
        <v>0.33</v>
      </c>
      <c r="J19">
        <v>2.5499999999999998</v>
      </c>
      <c r="K19">
        <v>3.19</v>
      </c>
      <c r="L19" s="67">
        <f t="shared" si="0"/>
        <v>0.20625084381768555</v>
      </c>
    </row>
    <row r="20" spans="1:12" s="9" customFormat="1">
      <c r="A20" s="5" t="s">
        <v>73</v>
      </c>
      <c r="B20">
        <v>1.1599999999999999</v>
      </c>
      <c r="C20">
        <v>2.19</v>
      </c>
      <c r="D20">
        <v>1.9</v>
      </c>
      <c r="E20">
        <v>2.11</v>
      </c>
      <c r="F20">
        <v>2.4900000000000002</v>
      </c>
      <c r="G20">
        <v>3.22</v>
      </c>
      <c r="H20">
        <v>3.59</v>
      </c>
      <c r="I20">
        <v>3.83</v>
      </c>
      <c r="J20">
        <v>3.78</v>
      </c>
      <c r="K20">
        <v>3.94</v>
      </c>
      <c r="L20" s="67">
        <f t="shared" si="0"/>
        <v>0.14552414637484978</v>
      </c>
    </row>
    <row r="21" spans="1:12" s="9" customFormat="1">
      <c r="A21" s="5" t="s">
        <v>74</v>
      </c>
      <c r="B21">
        <v>3.16</v>
      </c>
      <c r="C21">
        <v>5.41</v>
      </c>
      <c r="D21">
        <v>5.96</v>
      </c>
      <c r="E21">
        <v>7.29</v>
      </c>
      <c r="F21">
        <v>7.49</v>
      </c>
      <c r="G21">
        <v>11.87</v>
      </c>
      <c r="H21">
        <v>14.36</v>
      </c>
      <c r="I21">
        <v>13.84</v>
      </c>
      <c r="J21">
        <v>16.93</v>
      </c>
      <c r="K21">
        <v>18.71</v>
      </c>
      <c r="L21" s="67">
        <f t="shared" si="0"/>
        <v>0.21848656488481777</v>
      </c>
    </row>
    <row r="22" spans="1:12" s="9" customFormat="1">
      <c r="A22" s="5" t="s">
        <v>75</v>
      </c>
      <c r="B22">
        <v>2.35</v>
      </c>
      <c r="C22">
        <v>3.36</v>
      </c>
      <c r="D22">
        <v>4.3099999999999996</v>
      </c>
      <c r="E22">
        <v>5.14</v>
      </c>
      <c r="F22">
        <v>5.57</v>
      </c>
      <c r="G22">
        <v>4</v>
      </c>
      <c r="H22">
        <v>6.98</v>
      </c>
      <c r="I22">
        <v>8.16</v>
      </c>
      <c r="J22">
        <v>10.79</v>
      </c>
      <c r="K22">
        <v>11.73</v>
      </c>
      <c r="L22" s="67">
        <f t="shared" si="0"/>
        <v>0.19558684470763055</v>
      </c>
    </row>
    <row r="23" spans="1:12" s="9" customFormat="1">
      <c r="A23" s="5" t="s">
        <v>76</v>
      </c>
      <c r="B23">
        <v>5.7</v>
      </c>
      <c r="C23">
        <v>8</v>
      </c>
      <c r="D23">
        <v>7.58</v>
      </c>
      <c r="E23">
        <v>10.25</v>
      </c>
      <c r="F23">
        <v>10.36</v>
      </c>
      <c r="G23">
        <v>12.59</v>
      </c>
      <c r="H23">
        <v>15.71</v>
      </c>
      <c r="I23">
        <v>19.260000000000002</v>
      </c>
      <c r="J23">
        <v>29.29</v>
      </c>
      <c r="K23">
        <v>29.57</v>
      </c>
      <c r="L23" s="67">
        <f t="shared" si="0"/>
        <v>0.20072023577214582</v>
      </c>
    </row>
    <row r="24" spans="1:12" s="9" customFormat="1">
      <c r="A24" s="5" t="s">
        <v>77</v>
      </c>
      <c r="B24">
        <v>0.84</v>
      </c>
      <c r="C24">
        <v>1.29</v>
      </c>
      <c r="D24">
        <v>1.54</v>
      </c>
      <c r="E24">
        <v>0.57999999999999996</v>
      </c>
      <c r="F24">
        <v>0.94</v>
      </c>
      <c r="G24">
        <v>1.04</v>
      </c>
      <c r="H24">
        <v>1.41</v>
      </c>
      <c r="I24">
        <v>4.71</v>
      </c>
      <c r="J24">
        <v>7.11</v>
      </c>
      <c r="K24">
        <v>7.37</v>
      </c>
      <c r="L24" s="67">
        <f t="shared" si="0"/>
        <v>0.27291290391911849</v>
      </c>
    </row>
    <row r="25" spans="1:12" s="9" customFormat="1">
      <c r="A25" s="9" t="s">
        <v>9</v>
      </c>
      <c r="B25">
        <v>0.36</v>
      </c>
      <c r="C25">
        <v>0.34</v>
      </c>
      <c r="D25">
        <v>0.56999999999999995</v>
      </c>
      <c r="E25">
        <v>0.37</v>
      </c>
      <c r="F25">
        <v>0.89</v>
      </c>
      <c r="G25">
        <v>0.81</v>
      </c>
      <c r="H25">
        <v>0.77</v>
      </c>
      <c r="I25">
        <v>1.1200000000000001</v>
      </c>
      <c r="J25">
        <v>2.25</v>
      </c>
      <c r="K25">
        <v>2.64</v>
      </c>
      <c r="L25" s="67">
        <f t="shared" si="0"/>
        <v>0.24779891281164201</v>
      </c>
    </row>
    <row r="26" spans="1:12" s="9" customFormat="1">
      <c r="A26" s="9" t="s">
        <v>10</v>
      </c>
      <c r="B26">
        <v>1.35</v>
      </c>
      <c r="C26">
        <v>2.1</v>
      </c>
      <c r="D26">
        <v>2.65</v>
      </c>
      <c r="E26">
        <v>2.86</v>
      </c>
      <c r="F26">
        <v>3.32</v>
      </c>
      <c r="G26">
        <v>3.79</v>
      </c>
      <c r="H26">
        <v>4.2</v>
      </c>
      <c r="I26">
        <v>3.59</v>
      </c>
      <c r="J26">
        <v>4.59</v>
      </c>
      <c r="K26">
        <v>4.83</v>
      </c>
      <c r="L26" s="67">
        <f t="shared" si="0"/>
        <v>0.15215947532544893</v>
      </c>
    </row>
    <row r="27" spans="1:12" s="9" customFormat="1">
      <c r="A27" s="9" t="s">
        <v>11</v>
      </c>
      <c r="B27">
        <v>1.1200000000000001</v>
      </c>
      <c r="C27">
        <v>2.46</v>
      </c>
      <c r="D27">
        <v>1.21</v>
      </c>
      <c r="E27">
        <v>1.59</v>
      </c>
      <c r="F27">
        <v>2.41</v>
      </c>
      <c r="G27">
        <v>3.26</v>
      </c>
      <c r="H27">
        <v>4.18</v>
      </c>
      <c r="I27">
        <v>5.49</v>
      </c>
      <c r="J27">
        <v>5.88</v>
      </c>
      <c r="K27">
        <v>5.75</v>
      </c>
      <c r="L27" s="67">
        <f t="shared" si="0"/>
        <v>0.19933047462715114</v>
      </c>
    </row>
    <row r="28" spans="1:12" s="9" customFormat="1">
      <c r="A28" s="9" t="s">
        <v>12</v>
      </c>
      <c r="B28">
        <v>4.47</v>
      </c>
      <c r="C28">
        <v>8.98</v>
      </c>
      <c r="D28">
        <v>7.48</v>
      </c>
      <c r="E28">
        <v>7.56</v>
      </c>
      <c r="F28">
        <v>5.31</v>
      </c>
      <c r="G28">
        <v>7.17</v>
      </c>
      <c r="H28">
        <v>10.52</v>
      </c>
      <c r="I28">
        <v>13.17</v>
      </c>
      <c r="J28">
        <v>11.06</v>
      </c>
      <c r="K28">
        <v>13.2</v>
      </c>
      <c r="L28" s="67">
        <f t="shared" si="0"/>
        <v>0.1278512445677189</v>
      </c>
    </row>
    <row r="29" spans="1:12" s="9" customFormat="1">
      <c r="A29" s="9" t="s">
        <v>13</v>
      </c>
      <c r="B29">
        <v>0.83</v>
      </c>
      <c r="C29">
        <v>1.6</v>
      </c>
      <c r="D29">
        <v>1.57</v>
      </c>
      <c r="E29">
        <v>1.51</v>
      </c>
      <c r="F29">
        <v>1.37</v>
      </c>
      <c r="G29">
        <v>1.66</v>
      </c>
      <c r="H29">
        <v>2.54</v>
      </c>
      <c r="I29">
        <v>3.69</v>
      </c>
      <c r="J29">
        <v>4.0199999999999996</v>
      </c>
      <c r="K29">
        <v>4.88</v>
      </c>
      <c r="L29" s="67">
        <f t="shared" si="0"/>
        <v>0.21753769090474107</v>
      </c>
    </row>
    <row r="30" spans="1:12" s="9" customFormat="1">
      <c r="A30" s="9" t="s">
        <v>14</v>
      </c>
      <c r="B30">
        <v>3.64</v>
      </c>
      <c r="C30">
        <v>7.38</v>
      </c>
      <c r="D30">
        <v>5.91</v>
      </c>
      <c r="E30">
        <v>6.05</v>
      </c>
      <c r="F30">
        <v>3.94</v>
      </c>
      <c r="G30">
        <v>5.5</v>
      </c>
      <c r="H30">
        <v>7.98</v>
      </c>
      <c r="I30">
        <v>9.48</v>
      </c>
      <c r="J30">
        <v>7.05</v>
      </c>
      <c r="K30">
        <v>8.32</v>
      </c>
      <c r="L30" s="67">
        <f t="shared" si="0"/>
        <v>9.6203859911590639E-2</v>
      </c>
    </row>
    <row r="31" spans="1:12" s="9" customFormat="1">
      <c r="A31" s="9" t="s">
        <v>61</v>
      </c>
      <c r="B31">
        <v>0.78</v>
      </c>
      <c r="C31">
        <v>1.1100000000000001</v>
      </c>
      <c r="D31">
        <v>1.18</v>
      </c>
      <c r="E31">
        <v>1.19</v>
      </c>
      <c r="F31">
        <v>1.19</v>
      </c>
      <c r="G31">
        <v>1.47</v>
      </c>
      <c r="H31">
        <v>1.8</v>
      </c>
      <c r="I31">
        <v>1.86</v>
      </c>
      <c r="J31">
        <v>2.59</v>
      </c>
      <c r="L31" s="67">
        <f t="shared" si="0"/>
        <v>-1</v>
      </c>
    </row>
    <row r="32" spans="1:12" s="9" customFormat="1">
      <c r="L32" s="67"/>
    </row>
    <row r="33" spans="1:12">
      <c r="A33" s="9"/>
      <c r="L33" s="67"/>
    </row>
    <row r="34" spans="1:12">
      <c r="A34" s="9"/>
      <c r="L34" s="67"/>
    </row>
    <row r="35" spans="1:12">
      <c r="A35" s="9"/>
      <c r="L35" s="67"/>
    </row>
    <row r="36" spans="1:12">
      <c r="A36" s="9"/>
      <c r="L36" s="67"/>
    </row>
    <row r="37" spans="1:12">
      <c r="A37" s="9"/>
      <c r="L37" s="67"/>
    </row>
    <row r="38" spans="1:12">
      <c r="A38" s="9"/>
      <c r="L38" s="67"/>
    </row>
    <row r="39" spans="1:12">
      <c r="A39" s="9"/>
      <c r="L39" s="67"/>
    </row>
    <row r="40" spans="1:12">
      <c r="A40" s="1" t="s">
        <v>39</v>
      </c>
      <c r="L40" s="67"/>
    </row>
    <row r="41" spans="1:12" s="24" customFormat="1">
      <c r="A41" s="23" t="s">
        <v>38</v>
      </c>
      <c r="B41" s="16">
        <v>42094</v>
      </c>
      <c r="C41" s="16">
        <v>42185</v>
      </c>
      <c r="D41" s="16">
        <v>42277</v>
      </c>
      <c r="E41" s="16">
        <v>42369</v>
      </c>
      <c r="F41" s="16">
        <v>42460</v>
      </c>
      <c r="G41" s="16">
        <v>42551</v>
      </c>
      <c r="H41" s="16">
        <v>42643</v>
      </c>
      <c r="I41" s="16">
        <v>42735</v>
      </c>
      <c r="J41" s="16">
        <v>42825</v>
      </c>
      <c r="K41" s="16">
        <v>42916</v>
      </c>
      <c r="L41" s="66" t="s">
        <v>275</v>
      </c>
    </row>
    <row r="42" spans="1:12" s="9" customFormat="1">
      <c r="A42" s="9" t="s">
        <v>6</v>
      </c>
      <c r="B42">
        <v>25.1</v>
      </c>
      <c r="C42">
        <v>35.119999999999997</v>
      </c>
      <c r="D42">
        <v>33.1</v>
      </c>
      <c r="E42">
        <v>32.07</v>
      </c>
      <c r="F42">
        <v>38.58</v>
      </c>
      <c r="G42">
        <v>38.700000000000003</v>
      </c>
      <c r="H42">
        <v>41.05</v>
      </c>
      <c r="I42">
        <v>31.26</v>
      </c>
      <c r="J42">
        <v>30.65</v>
      </c>
      <c r="K42">
        <v>36.229999999999997</v>
      </c>
      <c r="L42" s="67">
        <f t="shared" si="0"/>
        <v>4.162288380059076E-2</v>
      </c>
    </row>
    <row r="43" spans="1:12" s="9" customFormat="1">
      <c r="A43" s="9" t="s">
        <v>7</v>
      </c>
      <c r="B43">
        <v>20.82</v>
      </c>
      <c r="C43">
        <v>29.14</v>
      </c>
      <c r="D43">
        <v>28.16</v>
      </c>
      <c r="E43">
        <v>28.92</v>
      </c>
      <c r="F43">
        <v>34.380000000000003</v>
      </c>
      <c r="G43">
        <v>32.270000000000003</v>
      </c>
      <c r="H43">
        <v>33.979999999999997</v>
      </c>
      <c r="I43">
        <v>28.08</v>
      </c>
      <c r="J43">
        <v>27.05</v>
      </c>
      <c r="K43">
        <v>31.11</v>
      </c>
      <c r="L43" s="67">
        <f t="shared" si="0"/>
        <v>4.563453996494915E-2</v>
      </c>
    </row>
    <row r="44" spans="1:12" s="9" customFormat="1">
      <c r="A44" s="9" t="s">
        <v>9</v>
      </c>
      <c r="B44">
        <v>0.4</v>
      </c>
      <c r="C44">
        <v>0.25</v>
      </c>
      <c r="D44">
        <v>0.4</v>
      </c>
      <c r="E44">
        <v>0.83</v>
      </c>
      <c r="F44">
        <v>0.77</v>
      </c>
      <c r="G44">
        <v>0.76</v>
      </c>
      <c r="H44">
        <v>0.69</v>
      </c>
      <c r="I44">
        <v>0.56999999999999995</v>
      </c>
      <c r="J44">
        <v>0.63</v>
      </c>
      <c r="K44">
        <v>0.47</v>
      </c>
      <c r="L44" s="67">
        <f t="shared" si="0"/>
        <v>1.8080185864662868E-2</v>
      </c>
    </row>
    <row r="45" spans="1:12" s="9" customFormat="1">
      <c r="A45" s="9" t="s">
        <v>10</v>
      </c>
      <c r="B45">
        <v>0.99</v>
      </c>
      <c r="C45">
        <v>1.06</v>
      </c>
      <c r="D45">
        <v>1.1200000000000001</v>
      </c>
      <c r="E45">
        <v>1.17</v>
      </c>
      <c r="F45">
        <v>1.24</v>
      </c>
      <c r="G45">
        <v>1.1200000000000001</v>
      </c>
      <c r="H45">
        <v>1.19</v>
      </c>
      <c r="I45">
        <v>1.24</v>
      </c>
      <c r="J45">
        <v>1.28</v>
      </c>
      <c r="K45">
        <v>1.42</v>
      </c>
      <c r="L45" s="67">
        <f t="shared" si="0"/>
        <v>4.08925628669774E-2</v>
      </c>
    </row>
    <row r="46" spans="1:12" s="9" customFormat="1">
      <c r="A46" s="9" t="s">
        <v>11</v>
      </c>
      <c r="B46">
        <v>1.55</v>
      </c>
      <c r="C46">
        <v>1.28</v>
      </c>
      <c r="D46">
        <v>1.01</v>
      </c>
      <c r="E46">
        <v>1.05</v>
      </c>
      <c r="F46">
        <v>1.51</v>
      </c>
      <c r="G46">
        <v>1.24</v>
      </c>
      <c r="H46">
        <v>1.1200000000000001</v>
      </c>
      <c r="I46">
        <v>1.1000000000000001</v>
      </c>
      <c r="J46">
        <v>1.48</v>
      </c>
      <c r="K46">
        <v>1.17</v>
      </c>
      <c r="L46" s="67">
        <f t="shared" si="0"/>
        <v>-3.0766892829362624E-2</v>
      </c>
    </row>
    <row r="47" spans="1:12" s="9" customFormat="1">
      <c r="A47" s="9" t="s">
        <v>12</v>
      </c>
      <c r="B47">
        <v>2.14</v>
      </c>
      <c r="C47">
        <v>3.88</v>
      </c>
      <c r="D47">
        <v>3.21</v>
      </c>
      <c r="E47">
        <v>1.76</v>
      </c>
      <c r="F47">
        <v>2.2200000000000002</v>
      </c>
      <c r="G47">
        <v>4.82</v>
      </c>
      <c r="H47">
        <v>5.45</v>
      </c>
      <c r="I47">
        <v>1.41</v>
      </c>
      <c r="J47">
        <v>1.47</v>
      </c>
      <c r="K47">
        <v>3.01</v>
      </c>
      <c r="L47" s="67">
        <f t="shared" si="0"/>
        <v>3.863131747885018E-2</v>
      </c>
    </row>
    <row r="48" spans="1:12" s="9" customFormat="1">
      <c r="A48" s="9" t="s">
        <v>13</v>
      </c>
      <c r="B48">
        <v>0.69</v>
      </c>
      <c r="C48">
        <v>1.24</v>
      </c>
      <c r="D48">
        <v>1.1599999999999999</v>
      </c>
      <c r="E48">
        <v>0.71</v>
      </c>
      <c r="F48">
        <v>0.93</v>
      </c>
      <c r="G48">
        <v>1.73</v>
      </c>
      <c r="H48">
        <v>1.91</v>
      </c>
      <c r="I48">
        <v>0.56000000000000005</v>
      </c>
      <c r="J48">
        <v>0.69</v>
      </c>
      <c r="K48">
        <v>1.07</v>
      </c>
      <c r="L48" s="67">
        <f t="shared" si="0"/>
        <v>4.9954600421153295E-2</v>
      </c>
    </row>
    <row r="49" spans="1:12" s="9" customFormat="1">
      <c r="A49" s="9" t="s">
        <v>14</v>
      </c>
      <c r="B49">
        <v>1.44</v>
      </c>
      <c r="C49">
        <v>2.64</v>
      </c>
      <c r="D49">
        <v>2.06</v>
      </c>
      <c r="E49">
        <v>1.06</v>
      </c>
      <c r="F49">
        <v>1.29</v>
      </c>
      <c r="G49">
        <v>3.09</v>
      </c>
      <c r="H49">
        <v>3.54</v>
      </c>
      <c r="I49">
        <v>0.85</v>
      </c>
      <c r="J49">
        <v>0.79</v>
      </c>
      <c r="K49">
        <v>1.96</v>
      </c>
      <c r="L49" s="67">
        <f t="shared" si="0"/>
        <v>3.4849190696069954E-2</v>
      </c>
    </row>
    <row r="50" spans="1:12">
      <c r="A50" s="9"/>
      <c r="B50">
        <v>4.28</v>
      </c>
      <c r="C50">
        <v>5.98</v>
      </c>
      <c r="D50">
        <v>4.9400000000000004</v>
      </c>
      <c r="E50">
        <v>3.15</v>
      </c>
      <c r="F50">
        <v>4.2</v>
      </c>
      <c r="G50">
        <v>6.43</v>
      </c>
      <c r="H50">
        <v>7.07</v>
      </c>
      <c r="I50">
        <v>3.18</v>
      </c>
      <c r="J50">
        <v>3.6</v>
      </c>
      <c r="K50">
        <v>5.12</v>
      </c>
      <c r="L50" s="67">
        <f t="shared" si="0"/>
        <v>2.0110821516299504E-2</v>
      </c>
    </row>
    <row r="51" spans="1:12">
      <c r="A51" s="9"/>
      <c r="L51" s="67"/>
    </row>
    <row r="52" spans="1:12">
      <c r="A52" s="9"/>
      <c r="L52" s="67"/>
    </row>
    <row r="53" spans="1:12">
      <c r="A53" s="9"/>
      <c r="L53" s="67"/>
    </row>
    <row r="54" spans="1:12">
      <c r="A54" s="9"/>
      <c r="L54" s="67"/>
    </row>
    <row r="55" spans="1:12">
      <c r="A55" s="1" t="s">
        <v>40</v>
      </c>
      <c r="L55" s="67"/>
    </row>
    <row r="56" spans="1:12" s="24" customFormat="1">
      <c r="A56" s="23" t="s">
        <v>38</v>
      </c>
      <c r="B56" s="16">
        <v>39538</v>
      </c>
      <c r="C56" s="16">
        <v>39903</v>
      </c>
      <c r="D56" s="16">
        <v>40268</v>
      </c>
      <c r="E56" s="16">
        <v>40633</v>
      </c>
      <c r="F56" s="16">
        <v>40999</v>
      </c>
      <c r="G56" s="16">
        <v>41364</v>
      </c>
      <c r="H56" s="16">
        <v>41729</v>
      </c>
      <c r="I56" s="16">
        <v>42094</v>
      </c>
      <c r="J56" s="16">
        <v>42460</v>
      </c>
      <c r="K56" s="16">
        <v>42825</v>
      </c>
      <c r="L56" s="66" t="s">
        <v>275</v>
      </c>
    </row>
    <row r="57" spans="1:12">
      <c r="A57" s="9" t="s">
        <v>24</v>
      </c>
      <c r="B57">
        <v>2.7</v>
      </c>
      <c r="C57">
        <v>2.83</v>
      </c>
      <c r="D57">
        <v>2.97</v>
      </c>
      <c r="E57">
        <v>2.97</v>
      </c>
      <c r="F57">
        <v>2.97</v>
      </c>
      <c r="G57">
        <v>4.46</v>
      </c>
      <c r="H57">
        <v>4.51</v>
      </c>
      <c r="I57">
        <v>4.66</v>
      </c>
      <c r="J57">
        <v>5.19</v>
      </c>
      <c r="K57">
        <v>5.19</v>
      </c>
      <c r="L57" s="67">
        <f t="shared" si="0"/>
        <v>7.5310118911948054E-2</v>
      </c>
    </row>
    <row r="58" spans="1:12">
      <c r="A58" s="9" t="s">
        <v>25</v>
      </c>
      <c r="B58">
        <v>6.52</v>
      </c>
      <c r="C58">
        <v>12.96</v>
      </c>
      <c r="D58">
        <v>17.87</v>
      </c>
      <c r="E58">
        <v>22.54</v>
      </c>
      <c r="F58">
        <v>25.1</v>
      </c>
      <c r="G58">
        <v>27.4</v>
      </c>
      <c r="H58">
        <v>33.72</v>
      </c>
      <c r="I58">
        <v>42.16</v>
      </c>
      <c r="J58">
        <v>75.930000000000007</v>
      </c>
      <c r="K58">
        <v>84.25</v>
      </c>
      <c r="L58" s="67">
        <f t="shared" si="0"/>
        <v>0.32886314599385735</v>
      </c>
    </row>
    <row r="59" spans="1:12">
      <c r="A59" s="9" t="s">
        <v>62</v>
      </c>
      <c r="B59">
        <v>12.74</v>
      </c>
      <c r="C59">
        <v>13.32</v>
      </c>
      <c r="D59">
        <v>9.27</v>
      </c>
      <c r="E59">
        <v>17.059999999999999</v>
      </c>
      <c r="F59">
        <v>18.52</v>
      </c>
      <c r="G59">
        <v>26.93</v>
      </c>
      <c r="H59">
        <v>36.82</v>
      </c>
      <c r="I59">
        <v>53.64</v>
      </c>
      <c r="J59">
        <v>46.87</v>
      </c>
      <c r="K59">
        <v>61.18</v>
      </c>
      <c r="L59" s="67">
        <f t="shared" si="0"/>
        <v>0.19046206414145073</v>
      </c>
    </row>
    <row r="60" spans="1:12">
      <c r="A60" s="9" t="s">
        <v>63</v>
      </c>
      <c r="B60">
        <v>9.0500000000000007</v>
      </c>
      <c r="C60">
        <v>9.99</v>
      </c>
      <c r="D60">
        <v>13.19</v>
      </c>
      <c r="E60">
        <v>12.88</v>
      </c>
      <c r="F60">
        <v>11.51</v>
      </c>
      <c r="G60">
        <v>17.5</v>
      </c>
      <c r="H60">
        <v>21.8</v>
      </c>
      <c r="I60">
        <v>22.89</v>
      </c>
      <c r="J60">
        <v>38.14</v>
      </c>
      <c r="K60">
        <v>30.37</v>
      </c>
      <c r="L60" s="67">
        <f t="shared" si="0"/>
        <v>0.14398887589054143</v>
      </c>
    </row>
    <row r="61" spans="1:12" s="1" customFormat="1">
      <c r="A61" s="1" t="s">
        <v>26</v>
      </c>
      <c r="B61">
        <v>31.01</v>
      </c>
      <c r="C61">
        <v>39.1</v>
      </c>
      <c r="D61">
        <v>43.3</v>
      </c>
      <c r="E61">
        <v>55.45</v>
      </c>
      <c r="F61">
        <v>58.1</v>
      </c>
      <c r="G61">
        <v>76.290000000000006</v>
      </c>
      <c r="H61">
        <v>96.85</v>
      </c>
      <c r="I61">
        <v>123.35</v>
      </c>
      <c r="J61">
        <v>166.13</v>
      </c>
      <c r="K61">
        <v>180.99</v>
      </c>
      <c r="L61" s="67">
        <f t="shared" si="0"/>
        <v>0.21654475434914988</v>
      </c>
    </row>
    <row r="62" spans="1:12">
      <c r="A62" s="9" t="s">
        <v>27</v>
      </c>
      <c r="B62">
        <v>10.51</v>
      </c>
      <c r="C62">
        <v>15.21</v>
      </c>
      <c r="D62">
        <v>17.63</v>
      </c>
      <c r="E62">
        <v>20.38</v>
      </c>
      <c r="F62">
        <v>20.56</v>
      </c>
      <c r="G62">
        <v>24.8</v>
      </c>
      <c r="H62">
        <v>27.83</v>
      </c>
      <c r="I62">
        <v>33.65</v>
      </c>
      <c r="J62">
        <v>37.409999999999997</v>
      </c>
      <c r="K62">
        <v>44.84</v>
      </c>
      <c r="L62" s="67">
        <f t="shared" si="0"/>
        <v>0.17491645850514392</v>
      </c>
    </row>
    <row r="63" spans="1:12">
      <c r="A63" s="9" t="s">
        <v>28</v>
      </c>
      <c r="B63">
        <v>0.75</v>
      </c>
      <c r="C63">
        <v>0.54</v>
      </c>
      <c r="D63">
        <v>0.73</v>
      </c>
      <c r="E63">
        <v>0.47</v>
      </c>
      <c r="F63">
        <v>0.4</v>
      </c>
      <c r="G63">
        <v>0.06</v>
      </c>
      <c r="H63">
        <v>0.82</v>
      </c>
      <c r="I63">
        <v>2.2799999999999998</v>
      </c>
      <c r="J63">
        <v>1.76</v>
      </c>
      <c r="K63">
        <v>2.1800000000000002</v>
      </c>
      <c r="L63" s="67">
        <f t="shared" si="0"/>
        <v>0.12587028999395966</v>
      </c>
    </row>
    <row r="64" spans="1:12">
      <c r="A64" s="9" t="s">
        <v>29</v>
      </c>
      <c r="E64">
        <v>0.32</v>
      </c>
      <c r="F64">
        <v>1.0900000000000001</v>
      </c>
      <c r="G64">
        <v>5.19</v>
      </c>
      <c r="H64">
        <v>7.4</v>
      </c>
      <c r="I64">
        <v>12.72</v>
      </c>
      <c r="J64">
        <v>13.94</v>
      </c>
      <c r="K64">
        <v>14.08</v>
      </c>
      <c r="L64" s="67" t="e">
        <f t="shared" si="0"/>
        <v>#DIV/0!</v>
      </c>
    </row>
    <row r="65" spans="1:12">
      <c r="A65" s="9" t="s">
        <v>64</v>
      </c>
      <c r="B65">
        <v>19.75</v>
      </c>
      <c r="C65">
        <v>23.35</v>
      </c>
      <c r="D65">
        <v>24.94</v>
      </c>
      <c r="E65">
        <v>34.28</v>
      </c>
      <c r="F65">
        <v>36.049999999999997</v>
      </c>
      <c r="G65">
        <v>46.24</v>
      </c>
      <c r="H65">
        <v>60.8</v>
      </c>
      <c r="I65">
        <v>74.7</v>
      </c>
      <c r="J65">
        <v>113.02</v>
      </c>
      <c r="K65">
        <v>119.89</v>
      </c>
      <c r="L65" s="67">
        <f t="shared" si="0"/>
        <v>0.2218671374834229</v>
      </c>
    </row>
    <row r="66" spans="1:12" s="1" customFormat="1">
      <c r="A66" s="1" t="s">
        <v>26</v>
      </c>
      <c r="B66">
        <v>31.01</v>
      </c>
      <c r="C66">
        <v>39.1</v>
      </c>
      <c r="D66">
        <v>43.3</v>
      </c>
      <c r="E66">
        <v>55.45</v>
      </c>
      <c r="F66">
        <v>58.1</v>
      </c>
      <c r="G66">
        <v>76.290000000000006</v>
      </c>
      <c r="H66">
        <v>96.85</v>
      </c>
      <c r="I66">
        <v>123.35</v>
      </c>
      <c r="J66">
        <v>166.13</v>
      </c>
      <c r="K66">
        <v>180.99</v>
      </c>
      <c r="L66" s="67">
        <f t="shared" si="0"/>
        <v>0.21654475434914988</v>
      </c>
    </row>
    <row r="67" spans="1:12" s="9" customFormat="1">
      <c r="A67" s="9" t="s">
        <v>69</v>
      </c>
      <c r="B67">
        <v>11.83</v>
      </c>
      <c r="C67">
        <v>10.09</v>
      </c>
      <c r="D67">
        <v>10.85</v>
      </c>
      <c r="E67">
        <v>16.23</v>
      </c>
      <c r="F67">
        <v>14.86</v>
      </c>
      <c r="G67">
        <v>20.059999999999999</v>
      </c>
      <c r="H67">
        <v>24.39</v>
      </c>
      <c r="I67">
        <v>27.56</v>
      </c>
      <c r="J67">
        <v>34.29</v>
      </c>
      <c r="K67">
        <v>35.5</v>
      </c>
      <c r="L67" s="67">
        <f t="shared" si="0"/>
        <v>0.12986633191636732</v>
      </c>
    </row>
    <row r="68" spans="1:12">
      <c r="A68" s="9" t="s">
        <v>45</v>
      </c>
      <c r="B68">
        <v>5.18</v>
      </c>
      <c r="C68">
        <v>8.5299999999999994</v>
      </c>
      <c r="D68">
        <v>9.6999999999999993</v>
      </c>
      <c r="E68">
        <v>9.81</v>
      </c>
      <c r="F68">
        <v>10.45</v>
      </c>
      <c r="G68">
        <v>16.27</v>
      </c>
      <c r="H68">
        <v>21.29</v>
      </c>
      <c r="I68">
        <v>23.31</v>
      </c>
      <c r="J68">
        <v>24.35</v>
      </c>
      <c r="K68">
        <v>28.41</v>
      </c>
      <c r="L68" s="67">
        <f t="shared" si="0"/>
        <v>0.20816661401456749</v>
      </c>
    </row>
    <row r="69" spans="1:12">
      <c r="A69" s="5" t="s">
        <v>78</v>
      </c>
      <c r="B69">
        <v>0.92</v>
      </c>
      <c r="C69">
        <v>0.88</v>
      </c>
      <c r="D69">
        <v>1.03</v>
      </c>
      <c r="E69">
        <v>1.0900000000000001</v>
      </c>
      <c r="F69">
        <v>1.48</v>
      </c>
      <c r="G69">
        <v>1.86</v>
      </c>
      <c r="H69">
        <v>2.04</v>
      </c>
      <c r="I69">
        <v>5.1100000000000003</v>
      </c>
      <c r="J69">
        <v>25.16</v>
      </c>
      <c r="K69">
        <v>19.86</v>
      </c>
      <c r="L69" s="67">
        <f t="shared" si="0"/>
        <v>0.40683605721452043</v>
      </c>
    </row>
    <row r="70" spans="1:12">
      <c r="A70" s="5" t="s">
        <v>65</v>
      </c>
      <c r="B70">
        <v>2697000</v>
      </c>
      <c r="C70">
        <v>2831000</v>
      </c>
      <c r="D70">
        <v>2972000</v>
      </c>
      <c r="E70">
        <v>2972000</v>
      </c>
      <c r="F70">
        <v>2972000</v>
      </c>
      <c r="G70">
        <v>4458000</v>
      </c>
      <c r="H70">
        <v>4508000</v>
      </c>
      <c r="I70">
        <v>4658000</v>
      </c>
      <c r="J70">
        <v>5188976</v>
      </c>
      <c r="K70">
        <v>5188976</v>
      </c>
      <c r="L70" s="67">
        <f t="shared" si="0"/>
        <v>7.5419376792432713E-2</v>
      </c>
    </row>
    <row r="71" spans="1:12">
      <c r="A71" s="5" t="s">
        <v>66</v>
      </c>
      <c r="G71">
        <v>1486000</v>
      </c>
      <c r="L71" s="67"/>
    </row>
    <row r="72" spans="1:12">
      <c r="A72" s="5" t="s">
        <v>79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  <c r="L72" s="67">
        <f t="shared" si="0"/>
        <v>0</v>
      </c>
    </row>
    <row r="73" spans="1:12">
      <c r="L73" s="67"/>
    </row>
    <row r="74" spans="1:12">
      <c r="A74" s="9"/>
      <c r="L74" s="67"/>
    </row>
    <row r="75" spans="1:12">
      <c r="A75" s="9"/>
      <c r="L75" s="67"/>
    </row>
    <row r="76" spans="1:12">
      <c r="A76" s="9"/>
      <c r="L76" s="67"/>
    </row>
    <row r="77" spans="1:12">
      <c r="A77" s="9"/>
      <c r="L77" s="67"/>
    </row>
    <row r="78" spans="1:12">
      <c r="A78" s="9"/>
      <c r="L78" s="67"/>
    </row>
    <row r="79" spans="1:12">
      <c r="A79" s="9"/>
      <c r="L79" s="67"/>
    </row>
    <row r="80" spans="1:12">
      <c r="A80" s="1" t="s">
        <v>41</v>
      </c>
      <c r="L80" s="67"/>
    </row>
    <row r="81" spans="1:12" s="24" customFormat="1">
      <c r="A81" s="23" t="s">
        <v>38</v>
      </c>
      <c r="B81" s="16">
        <v>39538</v>
      </c>
      <c r="C81" s="16">
        <v>39903</v>
      </c>
      <c r="D81" s="16">
        <v>40268</v>
      </c>
      <c r="E81" s="16">
        <v>40633</v>
      </c>
      <c r="F81" s="16">
        <v>40999</v>
      </c>
      <c r="G81" s="16">
        <v>41364</v>
      </c>
      <c r="H81" s="16">
        <v>41729</v>
      </c>
      <c r="I81" s="16">
        <v>42094</v>
      </c>
      <c r="J81" s="16">
        <v>42460</v>
      </c>
      <c r="K81" s="16">
        <v>42825</v>
      </c>
      <c r="L81" s="66" t="s">
        <v>275</v>
      </c>
    </row>
    <row r="82" spans="1:12" s="1" customFormat="1">
      <c r="A82" s="9" t="s">
        <v>32</v>
      </c>
      <c r="B82">
        <v>3.88</v>
      </c>
      <c r="C82">
        <v>6.26</v>
      </c>
      <c r="D82">
        <v>9.41</v>
      </c>
      <c r="E82">
        <v>2.97</v>
      </c>
      <c r="F82">
        <v>7.35</v>
      </c>
      <c r="G82">
        <v>2.94</v>
      </c>
      <c r="H82">
        <v>6.83</v>
      </c>
      <c r="I82">
        <v>12.63</v>
      </c>
      <c r="J82">
        <v>1.38</v>
      </c>
      <c r="K82">
        <v>3.18</v>
      </c>
      <c r="L82" s="67">
        <f t="shared" ref="L82:L93" si="1">POWER(K82/B82,1/9)-1</f>
        <v>-2.1863448227774307E-2</v>
      </c>
    </row>
    <row r="83" spans="1:12" s="9" customFormat="1">
      <c r="A83" s="9" t="s">
        <v>33</v>
      </c>
      <c r="B83">
        <v>-6.45</v>
      </c>
      <c r="C83">
        <v>-6.57</v>
      </c>
      <c r="D83">
        <v>-5.27</v>
      </c>
      <c r="E83">
        <v>-5.54</v>
      </c>
      <c r="F83">
        <v>-3.72</v>
      </c>
      <c r="G83">
        <v>-10.53</v>
      </c>
      <c r="H83">
        <v>-9.85</v>
      </c>
      <c r="I83">
        <v>-15.72</v>
      </c>
      <c r="J83">
        <v>-7.37</v>
      </c>
      <c r="K83">
        <v>-10.77</v>
      </c>
      <c r="L83" s="67">
        <f t="shared" si="1"/>
        <v>5.8618682853419202E-2</v>
      </c>
    </row>
    <row r="84" spans="1:12" s="9" customFormat="1">
      <c r="A84" s="9" t="s">
        <v>34</v>
      </c>
      <c r="B84">
        <v>2.98</v>
      </c>
      <c r="C84">
        <v>0.27</v>
      </c>
      <c r="D84">
        <v>-3.99</v>
      </c>
      <c r="E84">
        <v>2.4900000000000002</v>
      </c>
      <c r="F84">
        <v>-3.25</v>
      </c>
      <c r="G84">
        <v>8.3800000000000008</v>
      </c>
      <c r="H84">
        <v>3.08</v>
      </c>
      <c r="I84">
        <v>6.5</v>
      </c>
      <c r="J84">
        <v>20.85</v>
      </c>
      <c r="K84">
        <v>6.46</v>
      </c>
      <c r="L84" s="67">
        <f t="shared" si="1"/>
        <v>8.9770730638557117E-2</v>
      </c>
    </row>
    <row r="85" spans="1:12" s="1" customFormat="1">
      <c r="A85" s="9" t="s">
        <v>35</v>
      </c>
      <c r="B85">
        <v>0.41</v>
      </c>
      <c r="C85">
        <v>-0.04</v>
      </c>
      <c r="D85">
        <v>0.15</v>
      </c>
      <c r="E85">
        <v>-0.08</v>
      </c>
      <c r="F85">
        <v>0.38</v>
      </c>
      <c r="G85">
        <v>0.79</v>
      </c>
      <c r="H85">
        <v>0.06</v>
      </c>
      <c r="I85">
        <v>3.41</v>
      </c>
      <c r="J85">
        <v>14.85</v>
      </c>
      <c r="K85">
        <v>-1.1299999999999999</v>
      </c>
      <c r="L85" s="67">
        <f t="shared" si="1"/>
        <v>-2.1192358712688364</v>
      </c>
    </row>
    <row r="86" spans="1:12">
      <c r="A86" s="9"/>
      <c r="L86" s="67"/>
    </row>
    <row r="87" spans="1:12">
      <c r="A87" s="9"/>
      <c r="L87" s="67"/>
    </row>
    <row r="88" spans="1:12">
      <c r="A88" s="9"/>
      <c r="L88" s="67"/>
    </row>
    <row r="89" spans="1:12">
      <c r="A89" s="9"/>
      <c r="L89" s="67"/>
    </row>
    <row r="90" spans="1:12" s="1" customFormat="1">
      <c r="A90" s="1" t="s">
        <v>68</v>
      </c>
      <c r="B90">
        <v>35.020000000000003</v>
      </c>
      <c r="C90">
        <v>42.35</v>
      </c>
      <c r="D90">
        <v>81.95</v>
      </c>
      <c r="E90">
        <v>74.010000000000005</v>
      </c>
      <c r="F90">
        <v>67.62</v>
      </c>
      <c r="G90">
        <v>86.23</v>
      </c>
      <c r="H90">
        <v>215.84</v>
      </c>
      <c r="I90">
        <v>510.86</v>
      </c>
      <c r="J90">
        <v>527.49</v>
      </c>
      <c r="K90">
        <v>512.30999999999995</v>
      </c>
      <c r="L90" s="67">
        <f t="shared" si="1"/>
        <v>0.34731306523452576</v>
      </c>
    </row>
    <row r="91" spans="1:12">
      <c r="L91" s="67"/>
    </row>
    <row r="92" spans="1:12" s="1" customFormat="1">
      <c r="A92" s="1" t="s">
        <v>67</v>
      </c>
      <c r="L92" s="67"/>
    </row>
    <row r="93" spans="1:12">
      <c r="A93" s="5" t="s">
        <v>80</v>
      </c>
      <c r="B93" s="28">
        <f>IF($B7&gt;0,(B70*B72/$B7)+SUM(C71:$K71),0)/10000000</f>
        <v>0.41830000000000001</v>
      </c>
      <c r="C93" s="28">
        <f>IF($B7&gt;0,(C70*C72/$B7)+SUM(D71:$K71),0)/10000000</f>
        <v>0.43169999999999997</v>
      </c>
      <c r="D93" s="28">
        <f>IF($B7&gt;0,(D70*D72/$B7)+SUM(E71:$K71),0)/10000000</f>
        <v>0.44579999999999997</v>
      </c>
      <c r="E93" s="28">
        <f>IF($B7&gt;0,(E70*E72/$B7)+SUM(F71:$K71),0)/10000000</f>
        <v>0.44579999999999997</v>
      </c>
      <c r="F93" s="28">
        <f>IF($B7&gt;0,(F70*F72/$B7)+SUM(G71:$K71),0)/10000000</f>
        <v>0.44579999999999997</v>
      </c>
      <c r="G93" s="28">
        <f>IF($B7&gt;0,(G70*G72/$B7)+SUM(H71:$K71),0)/10000000</f>
        <v>0.44579999999999997</v>
      </c>
      <c r="H93" s="28">
        <f>IF($B7&gt;0,(H70*H72/$B7)+SUM(I71:$K71),0)/10000000</f>
        <v>0.45079999999999998</v>
      </c>
      <c r="I93" s="28">
        <f>IF($B7&gt;0,(I70*I72/$B7)+SUM(J71:$K71),0)/10000000</f>
        <v>0.46579999999999999</v>
      </c>
      <c r="J93" s="28">
        <f>IF($B7&gt;0,(J70*J72/$B7)+SUM(K71:$K71),0)/10000000</f>
        <v>0.51889759999999996</v>
      </c>
      <c r="K93" s="28">
        <f>IF($B7&gt;0,(K70*K72/$B7),0)/10000000</f>
        <v>0.51889759999999996</v>
      </c>
      <c r="L93" s="67">
        <f t="shared" si="1"/>
        <v>2.4234288779043434E-2</v>
      </c>
    </row>
    <row r="94" spans="1:12">
      <c r="L94" s="67"/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Profit &amp; Loss</vt:lpstr>
      <vt:lpstr>Quarters</vt:lpstr>
      <vt:lpstr>Balance Sheet</vt:lpstr>
      <vt:lpstr>Cash Flow</vt:lpstr>
      <vt:lpstr>Customization</vt:lpstr>
      <vt:lpstr>Data Sheet</vt:lpstr>
      <vt:lpstr>Sheet1</vt:lpstr>
      <vt:lpstr>Customization!Print_Titles</vt:lpstr>
      <vt:lpstr>UPDATE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Desktop</cp:lastModifiedBy>
  <cp:lastPrinted>2017-04-10T16:04:58Z</cp:lastPrinted>
  <dcterms:created xsi:type="dcterms:W3CDTF">2012-08-17T09:55:37Z</dcterms:created>
  <dcterms:modified xsi:type="dcterms:W3CDTF">2017-10-30T07:18:27Z</dcterms:modified>
</cp:coreProperties>
</file>