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75" windowWidth="15600" windowHeight="7935" firstSheet="1" activeTab="4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</sheets>
  <definedNames>
    <definedName name="UPDATE">'Data Sheet'!$E$1</definedName>
  </definedNames>
  <calcPr calcId="124519"/>
</workbook>
</file>

<file path=xl/calcChain.xml><?xml version="1.0" encoding="utf-8"?>
<calcChain xmlns="http://schemas.openxmlformats.org/spreadsheetml/2006/main">
  <c r="E191" i="5"/>
  <c r="I191"/>
  <c r="C184"/>
  <c r="D184"/>
  <c r="E184"/>
  <c r="F184"/>
  <c r="G184"/>
  <c r="H184"/>
  <c r="I184"/>
  <c r="J184"/>
  <c r="K184"/>
  <c r="C178"/>
  <c r="D178"/>
  <c r="E178"/>
  <c r="F178"/>
  <c r="G178"/>
  <c r="H178"/>
  <c r="I178"/>
  <c r="J178"/>
  <c r="K178"/>
  <c r="B184"/>
  <c r="B178"/>
  <c r="C176"/>
  <c r="C191" s="1"/>
  <c r="D176"/>
  <c r="D191" s="1"/>
  <c r="E176"/>
  <c r="F191" s="1"/>
  <c r="F176"/>
  <c r="G176"/>
  <c r="G191" s="1"/>
  <c r="H176"/>
  <c r="H191" s="1"/>
  <c r="I176"/>
  <c r="J191" s="1"/>
  <c r="J176"/>
  <c r="K176"/>
  <c r="K191" s="1"/>
  <c r="B176"/>
  <c r="A201"/>
  <c r="J177" l="1"/>
  <c r="F177"/>
  <c r="K177"/>
  <c r="K192" s="1"/>
  <c r="G177"/>
  <c r="G192" s="1"/>
  <c r="C177"/>
  <c r="H177"/>
  <c r="D177"/>
  <c r="D192" s="1"/>
  <c r="B177"/>
  <c r="I177"/>
  <c r="I192" s="1"/>
  <c r="E177"/>
  <c r="C192" l="1"/>
  <c r="J192"/>
  <c r="E192"/>
  <c r="H192"/>
  <c r="F192"/>
  <c r="C163"/>
  <c r="D163"/>
  <c r="D194" s="1"/>
  <c r="E163"/>
  <c r="F163"/>
  <c r="F194" s="1"/>
  <c r="G163"/>
  <c r="G194" s="1"/>
  <c r="H163"/>
  <c r="H194" s="1"/>
  <c r="I163"/>
  <c r="I194" s="1"/>
  <c r="J163"/>
  <c r="J194" s="1"/>
  <c r="K163"/>
  <c r="K194" s="1"/>
  <c r="B163"/>
  <c r="C108"/>
  <c r="D108"/>
  <c r="E108"/>
  <c r="F108"/>
  <c r="G108"/>
  <c r="H108"/>
  <c r="I108"/>
  <c r="J108"/>
  <c r="K108"/>
  <c r="B108"/>
  <c r="A1"/>
  <c r="E194" l="1"/>
  <c r="C194"/>
  <c r="B154"/>
  <c r="C154"/>
  <c r="D154"/>
  <c r="E154"/>
  <c r="F154"/>
  <c r="G154"/>
  <c r="H154"/>
  <c r="I154"/>
  <c r="J154"/>
  <c r="K154"/>
  <c r="A154"/>
  <c r="D144" l="1"/>
  <c r="E144"/>
  <c r="F144"/>
  <c r="G144"/>
  <c r="H144"/>
  <c r="I144"/>
  <c r="J144"/>
  <c r="K144"/>
  <c r="C144"/>
  <c r="F161" l="1"/>
  <c r="F153"/>
  <c r="F158" s="1"/>
  <c r="K161"/>
  <c r="K153"/>
  <c r="K158" s="1"/>
  <c r="G161"/>
  <c r="G153"/>
  <c r="G158" s="1"/>
  <c r="J161"/>
  <c r="J153"/>
  <c r="J158" s="1"/>
  <c r="C161"/>
  <c r="C153"/>
  <c r="C158" s="1"/>
  <c r="H161"/>
  <c r="H153"/>
  <c r="H158" s="1"/>
  <c r="D161"/>
  <c r="D153"/>
  <c r="D158" s="1"/>
  <c r="I161"/>
  <c r="I153"/>
  <c r="I158" s="1"/>
  <c r="E161"/>
  <c r="E153"/>
  <c r="E158" s="1"/>
  <c r="D143"/>
  <c r="E143"/>
  <c r="F143"/>
  <c r="G143"/>
  <c r="H143"/>
  <c r="I143"/>
  <c r="J143"/>
  <c r="K143"/>
  <c r="C143"/>
  <c r="C111"/>
  <c r="D111"/>
  <c r="E111"/>
  <c r="F111"/>
  <c r="G111"/>
  <c r="H111"/>
  <c r="I111"/>
  <c r="J111"/>
  <c r="K111"/>
  <c r="B111"/>
  <c r="C128"/>
  <c r="D128"/>
  <c r="E128"/>
  <c r="F128"/>
  <c r="G128"/>
  <c r="H128"/>
  <c r="I128"/>
  <c r="J128"/>
  <c r="K128"/>
  <c r="B128"/>
  <c r="C127"/>
  <c r="D127"/>
  <c r="E127"/>
  <c r="F127"/>
  <c r="G127"/>
  <c r="H127"/>
  <c r="I127"/>
  <c r="J127"/>
  <c r="K127"/>
  <c r="B127"/>
  <c r="C134"/>
  <c r="D134"/>
  <c r="E134"/>
  <c r="F134"/>
  <c r="G134"/>
  <c r="H134"/>
  <c r="I134"/>
  <c r="J134"/>
  <c r="K134"/>
  <c r="B134"/>
  <c r="C132"/>
  <c r="D132"/>
  <c r="E132"/>
  <c r="F132"/>
  <c r="G132"/>
  <c r="H132"/>
  <c r="I132"/>
  <c r="J132"/>
  <c r="K132"/>
  <c r="B132"/>
  <c r="C131" l="1"/>
  <c r="C133" s="1"/>
  <c r="D131"/>
  <c r="D133" s="1"/>
  <c r="E131"/>
  <c r="E133" s="1"/>
  <c r="F131"/>
  <c r="F133" s="1"/>
  <c r="G131"/>
  <c r="G133" s="1"/>
  <c r="H131"/>
  <c r="H133" s="1"/>
  <c r="I131"/>
  <c r="I133" s="1"/>
  <c r="J131"/>
  <c r="J133" s="1"/>
  <c r="K131"/>
  <c r="K133" s="1"/>
  <c r="B131"/>
  <c r="B133" s="1"/>
  <c r="C107" l="1"/>
  <c r="D107"/>
  <c r="E107"/>
  <c r="F107"/>
  <c r="G107"/>
  <c r="H107"/>
  <c r="I107"/>
  <c r="J107"/>
  <c r="K107"/>
  <c r="B107"/>
  <c r="C106"/>
  <c r="D106"/>
  <c r="E106"/>
  <c r="F106"/>
  <c r="G106"/>
  <c r="H106"/>
  <c r="I106"/>
  <c r="J106"/>
  <c r="K106"/>
  <c r="B106"/>
  <c r="C122"/>
  <c r="C138" s="1"/>
  <c r="D122"/>
  <c r="D138" s="1"/>
  <c r="E122"/>
  <c r="E138" s="1"/>
  <c r="F122"/>
  <c r="F138" s="1"/>
  <c r="G122"/>
  <c r="G138" s="1"/>
  <c r="H122"/>
  <c r="H138" s="1"/>
  <c r="I122"/>
  <c r="I138" s="1"/>
  <c r="J122"/>
  <c r="J138" s="1"/>
  <c r="K122"/>
  <c r="K138" s="1"/>
  <c r="B122"/>
  <c r="B138" s="1"/>
  <c r="J109" l="1"/>
  <c r="F109"/>
  <c r="B109"/>
  <c r="H109"/>
  <c r="D109"/>
  <c r="I109"/>
  <c r="E109"/>
  <c r="K109"/>
  <c r="G109"/>
  <c r="C109"/>
  <c r="J142"/>
  <c r="J148" s="1"/>
  <c r="J149" s="1"/>
  <c r="J152" s="1"/>
  <c r="J157" s="1"/>
  <c r="K142"/>
  <c r="K148" s="1"/>
  <c r="K149" s="1"/>
  <c r="K152" s="1"/>
  <c r="K157" s="1"/>
  <c r="I140"/>
  <c r="E142"/>
  <c r="E148" s="1"/>
  <c r="E149" s="1"/>
  <c r="E152" s="1"/>
  <c r="E157" s="1"/>
  <c r="G141"/>
  <c r="G145" s="1"/>
  <c r="G146" s="1"/>
  <c r="G151" s="1"/>
  <c r="G156" s="1"/>
  <c r="H140"/>
  <c r="D142"/>
  <c r="D148" s="1"/>
  <c r="D149" s="1"/>
  <c r="D152" s="1"/>
  <c r="D157" s="1"/>
  <c r="F141"/>
  <c r="F145" s="1"/>
  <c r="F146" s="1"/>
  <c r="F151" s="1"/>
  <c r="F156" s="1"/>
  <c r="K139"/>
  <c r="F142"/>
  <c r="F148" s="1"/>
  <c r="F149" s="1"/>
  <c r="F152" s="1"/>
  <c r="F157" s="1"/>
  <c r="H141"/>
  <c r="H145" s="1"/>
  <c r="H146" s="1"/>
  <c r="H151" s="1"/>
  <c r="H156" s="1"/>
  <c r="J140"/>
  <c r="G142"/>
  <c r="G148" s="1"/>
  <c r="G149" s="1"/>
  <c r="G152" s="1"/>
  <c r="G157" s="1"/>
  <c r="I141"/>
  <c r="I145" s="1"/>
  <c r="I146" s="1"/>
  <c r="I151" s="1"/>
  <c r="I156" s="1"/>
  <c r="K140"/>
  <c r="I142"/>
  <c r="I148" s="1"/>
  <c r="I149" s="1"/>
  <c r="I152" s="1"/>
  <c r="I157" s="1"/>
  <c r="K141"/>
  <c r="K145" s="1"/>
  <c r="K146" s="1"/>
  <c r="K151" s="1"/>
  <c r="K156" s="1"/>
  <c r="H142"/>
  <c r="H148" s="1"/>
  <c r="H149" s="1"/>
  <c r="H152" s="1"/>
  <c r="H157" s="1"/>
  <c r="J141"/>
  <c r="J145" s="1"/>
  <c r="J146" s="1"/>
  <c r="J151" s="1"/>
  <c r="J156" s="1"/>
  <c r="C92" l="1"/>
  <c r="D92"/>
  <c r="E92"/>
  <c r="F92"/>
  <c r="G92"/>
  <c r="H92"/>
  <c r="I92"/>
  <c r="J92"/>
  <c r="K92"/>
  <c r="B92"/>
  <c r="C87"/>
  <c r="D87"/>
  <c r="E87"/>
  <c r="F87"/>
  <c r="G87"/>
  <c r="H87"/>
  <c r="I87"/>
  <c r="J87"/>
  <c r="K87"/>
  <c r="B87"/>
  <c r="C81"/>
  <c r="C164" s="1"/>
  <c r="C169" s="1"/>
  <c r="D81"/>
  <c r="E81"/>
  <c r="F81"/>
  <c r="G81"/>
  <c r="G164" s="1"/>
  <c r="G169" s="1"/>
  <c r="H81"/>
  <c r="I81"/>
  <c r="J81"/>
  <c r="K81"/>
  <c r="K164" s="1"/>
  <c r="K169" s="1"/>
  <c r="C1"/>
  <c r="D1"/>
  <c r="E1"/>
  <c r="F1"/>
  <c r="G1"/>
  <c r="H1"/>
  <c r="I1"/>
  <c r="J1"/>
  <c r="K1"/>
  <c r="B1"/>
  <c r="B81"/>
  <c r="C77"/>
  <c r="D77"/>
  <c r="E77"/>
  <c r="F77"/>
  <c r="G77"/>
  <c r="H77"/>
  <c r="I77"/>
  <c r="J77"/>
  <c r="K77"/>
  <c r="C76"/>
  <c r="D76"/>
  <c r="E76"/>
  <c r="F76"/>
  <c r="G76"/>
  <c r="H76"/>
  <c r="I76"/>
  <c r="J76"/>
  <c r="K76"/>
  <c r="C75"/>
  <c r="D75"/>
  <c r="E75"/>
  <c r="F75"/>
  <c r="G75"/>
  <c r="H75"/>
  <c r="I75"/>
  <c r="J75"/>
  <c r="K75"/>
  <c r="C74"/>
  <c r="D74"/>
  <c r="E74"/>
  <c r="F74"/>
  <c r="G74"/>
  <c r="H74"/>
  <c r="I74"/>
  <c r="J74"/>
  <c r="K74"/>
  <c r="C73"/>
  <c r="D73"/>
  <c r="E73"/>
  <c r="F73"/>
  <c r="G73"/>
  <c r="H73"/>
  <c r="I73"/>
  <c r="J73"/>
  <c r="K73"/>
  <c r="C72"/>
  <c r="D72"/>
  <c r="E72"/>
  <c r="F72"/>
  <c r="G72"/>
  <c r="H72"/>
  <c r="I72"/>
  <c r="J72"/>
  <c r="K72"/>
  <c r="C71"/>
  <c r="D71"/>
  <c r="E71"/>
  <c r="F71"/>
  <c r="G71"/>
  <c r="H71"/>
  <c r="I71"/>
  <c r="J71"/>
  <c r="K71"/>
  <c r="C70"/>
  <c r="D70"/>
  <c r="E70"/>
  <c r="F70"/>
  <c r="G70"/>
  <c r="H70"/>
  <c r="I70"/>
  <c r="J70"/>
  <c r="K70"/>
  <c r="C69"/>
  <c r="D69"/>
  <c r="E69"/>
  <c r="F69"/>
  <c r="G69"/>
  <c r="H69"/>
  <c r="I69"/>
  <c r="J69"/>
  <c r="K69"/>
  <c r="C68"/>
  <c r="D68"/>
  <c r="E68"/>
  <c r="F68"/>
  <c r="G68"/>
  <c r="H68"/>
  <c r="I68"/>
  <c r="J68"/>
  <c r="K68"/>
  <c r="C67"/>
  <c r="D67"/>
  <c r="E67"/>
  <c r="F67"/>
  <c r="G67"/>
  <c r="H67"/>
  <c r="I67"/>
  <c r="J67"/>
  <c r="K67"/>
  <c r="C66"/>
  <c r="D66"/>
  <c r="E66"/>
  <c r="F66"/>
  <c r="G66"/>
  <c r="H66"/>
  <c r="I66"/>
  <c r="J66"/>
  <c r="K66"/>
  <c r="C65"/>
  <c r="D65"/>
  <c r="E65"/>
  <c r="F65"/>
  <c r="G65"/>
  <c r="H65"/>
  <c r="I65"/>
  <c r="J65"/>
  <c r="K65"/>
  <c r="C64"/>
  <c r="D64"/>
  <c r="E64"/>
  <c r="F64"/>
  <c r="G64"/>
  <c r="H64"/>
  <c r="I64"/>
  <c r="J64"/>
  <c r="K64"/>
  <c r="B78"/>
  <c r="B77"/>
  <c r="B76"/>
  <c r="B75"/>
  <c r="B74"/>
  <c r="B73"/>
  <c r="B72"/>
  <c r="B71"/>
  <c r="B70"/>
  <c r="B69"/>
  <c r="B68"/>
  <c r="B67"/>
  <c r="B66"/>
  <c r="B65"/>
  <c r="B64"/>
  <c r="K8"/>
  <c r="K9"/>
  <c r="K10"/>
  <c r="K11"/>
  <c r="K12"/>
  <c r="K13"/>
  <c r="K14"/>
  <c r="K15"/>
  <c r="K16"/>
  <c r="K17"/>
  <c r="K18"/>
  <c r="K19"/>
  <c r="K20"/>
  <c r="K21"/>
  <c r="K25"/>
  <c r="K26"/>
  <c r="K27"/>
  <c r="K28"/>
  <c r="K29"/>
  <c r="K30"/>
  <c r="K31"/>
  <c r="K32"/>
  <c r="K33"/>
  <c r="K34"/>
  <c r="K35"/>
  <c r="K36"/>
  <c r="K37"/>
  <c r="K38"/>
  <c r="K39"/>
  <c r="K40"/>
  <c r="K49"/>
  <c r="K50"/>
  <c r="K51"/>
  <c r="K52"/>
  <c r="K57"/>
  <c r="J8"/>
  <c r="J9"/>
  <c r="J10"/>
  <c r="J11"/>
  <c r="J12"/>
  <c r="J13"/>
  <c r="J14"/>
  <c r="J15"/>
  <c r="J16"/>
  <c r="J17"/>
  <c r="J18"/>
  <c r="J19"/>
  <c r="J20"/>
  <c r="J21"/>
  <c r="J25"/>
  <c r="J26"/>
  <c r="J27"/>
  <c r="J28"/>
  <c r="J29"/>
  <c r="J30"/>
  <c r="J31"/>
  <c r="J32"/>
  <c r="J33"/>
  <c r="J34"/>
  <c r="J35"/>
  <c r="J36"/>
  <c r="J37"/>
  <c r="J38"/>
  <c r="J39"/>
  <c r="J40"/>
  <c r="J49"/>
  <c r="J50"/>
  <c r="J51"/>
  <c r="J52"/>
  <c r="J57"/>
  <c r="I8"/>
  <c r="I9"/>
  <c r="I10"/>
  <c r="I11"/>
  <c r="I12"/>
  <c r="I13"/>
  <c r="I14"/>
  <c r="I15"/>
  <c r="I16"/>
  <c r="I17"/>
  <c r="I18"/>
  <c r="I19"/>
  <c r="I20"/>
  <c r="I21"/>
  <c r="I25"/>
  <c r="I26"/>
  <c r="I27"/>
  <c r="I28"/>
  <c r="I29"/>
  <c r="I30"/>
  <c r="I31"/>
  <c r="I32"/>
  <c r="I33"/>
  <c r="I34"/>
  <c r="I35"/>
  <c r="I36"/>
  <c r="I37"/>
  <c r="I38"/>
  <c r="I39"/>
  <c r="I40"/>
  <c r="I49"/>
  <c r="I50"/>
  <c r="I51"/>
  <c r="I52"/>
  <c r="I57"/>
  <c r="H8"/>
  <c r="H9"/>
  <c r="H10"/>
  <c r="H11"/>
  <c r="H12"/>
  <c r="H13"/>
  <c r="H14"/>
  <c r="H15"/>
  <c r="H16"/>
  <c r="H17"/>
  <c r="H18"/>
  <c r="H19"/>
  <c r="H20"/>
  <c r="H21"/>
  <c r="H25"/>
  <c r="H26"/>
  <c r="H27"/>
  <c r="H28"/>
  <c r="H29"/>
  <c r="H30"/>
  <c r="H31"/>
  <c r="H32"/>
  <c r="H33"/>
  <c r="H34"/>
  <c r="H35"/>
  <c r="H36"/>
  <c r="H37"/>
  <c r="H38"/>
  <c r="H39"/>
  <c r="H40"/>
  <c r="H49"/>
  <c r="H50"/>
  <c r="H51"/>
  <c r="H52"/>
  <c r="H57"/>
  <c r="G8"/>
  <c r="G9"/>
  <c r="G10"/>
  <c r="G11"/>
  <c r="G12"/>
  <c r="G13"/>
  <c r="G14"/>
  <c r="G15"/>
  <c r="G16"/>
  <c r="G17"/>
  <c r="G18"/>
  <c r="G19"/>
  <c r="G20"/>
  <c r="G21"/>
  <c r="G25"/>
  <c r="G26"/>
  <c r="G27"/>
  <c r="G28"/>
  <c r="G29"/>
  <c r="G30"/>
  <c r="G31"/>
  <c r="G32"/>
  <c r="G33"/>
  <c r="G34"/>
  <c r="G35"/>
  <c r="G36"/>
  <c r="G37"/>
  <c r="G38"/>
  <c r="G39"/>
  <c r="G40"/>
  <c r="G49"/>
  <c r="G50"/>
  <c r="G51"/>
  <c r="G52"/>
  <c r="G57"/>
  <c r="F8"/>
  <c r="F9"/>
  <c r="F10"/>
  <c r="F11"/>
  <c r="F12"/>
  <c r="F13"/>
  <c r="F14"/>
  <c r="F15"/>
  <c r="F16"/>
  <c r="F17"/>
  <c r="F18"/>
  <c r="F19"/>
  <c r="F20"/>
  <c r="F21"/>
  <c r="F25"/>
  <c r="F26"/>
  <c r="F27"/>
  <c r="F28"/>
  <c r="F29"/>
  <c r="F30"/>
  <c r="F31"/>
  <c r="F32"/>
  <c r="F33"/>
  <c r="F34"/>
  <c r="F35"/>
  <c r="F36"/>
  <c r="F37"/>
  <c r="F38"/>
  <c r="F39"/>
  <c r="F40"/>
  <c r="F49"/>
  <c r="F50"/>
  <c r="F51"/>
  <c r="F52"/>
  <c r="F57"/>
  <c r="E8"/>
  <c r="E9"/>
  <c r="E10"/>
  <c r="E11"/>
  <c r="E12"/>
  <c r="E13"/>
  <c r="E14"/>
  <c r="E15"/>
  <c r="E16"/>
  <c r="E17"/>
  <c r="E18"/>
  <c r="E19"/>
  <c r="E20"/>
  <c r="E21"/>
  <c r="E25"/>
  <c r="E26"/>
  <c r="E27"/>
  <c r="E28"/>
  <c r="E29"/>
  <c r="E30"/>
  <c r="E31"/>
  <c r="E32"/>
  <c r="E33"/>
  <c r="E34"/>
  <c r="E35"/>
  <c r="E36"/>
  <c r="E37"/>
  <c r="E38"/>
  <c r="E39"/>
  <c r="E40"/>
  <c r="E49"/>
  <c r="E50"/>
  <c r="E51"/>
  <c r="E52"/>
  <c r="E57"/>
  <c r="D8"/>
  <c r="D9"/>
  <c r="D10"/>
  <c r="D11"/>
  <c r="D12"/>
  <c r="D13"/>
  <c r="D14"/>
  <c r="D15"/>
  <c r="D16"/>
  <c r="D17"/>
  <c r="D18"/>
  <c r="D19"/>
  <c r="D20"/>
  <c r="D21"/>
  <c r="D25"/>
  <c r="D26"/>
  <c r="D27"/>
  <c r="D28"/>
  <c r="D29"/>
  <c r="D30"/>
  <c r="D31"/>
  <c r="D32"/>
  <c r="D33"/>
  <c r="D34"/>
  <c r="D35"/>
  <c r="D36"/>
  <c r="D37"/>
  <c r="D38"/>
  <c r="D39"/>
  <c r="D40"/>
  <c r="D49"/>
  <c r="D50"/>
  <c r="D51"/>
  <c r="D52"/>
  <c r="D57"/>
  <c r="D7"/>
  <c r="E7"/>
  <c r="F7"/>
  <c r="G7"/>
  <c r="H7"/>
  <c r="I7"/>
  <c r="J7"/>
  <c r="K7"/>
  <c r="C8"/>
  <c r="C9"/>
  <c r="C10"/>
  <c r="C11"/>
  <c r="C12"/>
  <c r="C13"/>
  <c r="C14"/>
  <c r="C15"/>
  <c r="C16"/>
  <c r="C17"/>
  <c r="C18"/>
  <c r="C19"/>
  <c r="C20"/>
  <c r="C21"/>
  <c r="C25"/>
  <c r="C26"/>
  <c r="C27"/>
  <c r="C28"/>
  <c r="C29"/>
  <c r="C30"/>
  <c r="C31"/>
  <c r="C32"/>
  <c r="C33"/>
  <c r="C34"/>
  <c r="C35"/>
  <c r="C36"/>
  <c r="C37"/>
  <c r="C38"/>
  <c r="C39"/>
  <c r="C40"/>
  <c r="C49"/>
  <c r="C50"/>
  <c r="C51"/>
  <c r="C52"/>
  <c r="C57"/>
  <c r="C7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54"/>
  <c r="E255"/>
  <c r="E256"/>
  <c r="E257"/>
  <c r="E25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54"/>
  <c r="D255"/>
  <c r="D256"/>
  <c r="D257"/>
  <c r="D25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54"/>
  <c r="C255"/>
  <c r="C256"/>
  <c r="C257"/>
  <c r="C25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E203"/>
  <c r="E204"/>
  <c r="E205"/>
  <c r="E206"/>
  <c r="E207"/>
  <c r="E208"/>
  <c r="E209"/>
  <c r="E210"/>
  <c r="E211"/>
  <c r="E212"/>
  <c r="E213"/>
  <c r="E214"/>
  <c r="E215"/>
  <c r="E216"/>
  <c r="E202"/>
  <c r="D203"/>
  <c r="D204"/>
  <c r="D205"/>
  <c r="D206"/>
  <c r="D207"/>
  <c r="D208"/>
  <c r="D209"/>
  <c r="D210"/>
  <c r="D211"/>
  <c r="D212"/>
  <c r="D213"/>
  <c r="D214"/>
  <c r="D215"/>
  <c r="D216"/>
  <c r="D202"/>
  <c r="C203"/>
  <c r="C204"/>
  <c r="C205"/>
  <c r="C206"/>
  <c r="C207"/>
  <c r="C208"/>
  <c r="C209"/>
  <c r="C210"/>
  <c r="C211"/>
  <c r="C212"/>
  <c r="C213"/>
  <c r="C214"/>
  <c r="C215"/>
  <c r="C216"/>
  <c r="C202"/>
  <c r="B212"/>
  <c r="B213"/>
  <c r="B214"/>
  <c r="B215"/>
  <c r="B216"/>
  <c r="B203"/>
  <c r="B204"/>
  <c r="B205"/>
  <c r="B206"/>
  <c r="B207"/>
  <c r="B208"/>
  <c r="B209"/>
  <c r="B210"/>
  <c r="B211"/>
  <c r="B202"/>
  <c r="K93" i="6"/>
  <c r="C93"/>
  <c r="D93"/>
  <c r="E93"/>
  <c r="E60" i="5" s="1"/>
  <c r="F93" i="6"/>
  <c r="F60" i="5" s="1"/>
  <c r="G93" i="6"/>
  <c r="H93"/>
  <c r="I93"/>
  <c r="I60" i="5" s="1"/>
  <c r="J93" i="6"/>
  <c r="J60" i="5" s="1"/>
  <c r="B93" i="6"/>
  <c r="I164" i="5" l="1"/>
  <c r="I169" s="1"/>
  <c r="E164"/>
  <c r="E169" s="1"/>
  <c r="H164"/>
  <c r="H169" s="1"/>
  <c r="D164"/>
  <c r="D169" s="1"/>
  <c r="J164"/>
  <c r="J169" s="1"/>
  <c r="F164"/>
  <c r="F169" s="1"/>
  <c r="E135"/>
  <c r="J135"/>
  <c r="F135"/>
  <c r="K135"/>
  <c r="G135"/>
  <c r="C135"/>
  <c r="I135"/>
  <c r="B135"/>
  <c r="H135"/>
  <c r="D135"/>
  <c r="K120"/>
  <c r="K82"/>
  <c r="G120"/>
  <c r="G82"/>
  <c r="C120"/>
  <c r="C82"/>
  <c r="H120"/>
  <c r="H82"/>
  <c r="H165" s="1"/>
  <c r="H170" s="1"/>
  <c r="D120"/>
  <c r="D82"/>
  <c r="D165" s="1"/>
  <c r="D170" s="1"/>
  <c r="I120"/>
  <c r="I82"/>
  <c r="E120"/>
  <c r="E82"/>
  <c r="E165" s="1"/>
  <c r="E170" s="1"/>
  <c r="B120"/>
  <c r="B82"/>
  <c r="J120"/>
  <c r="J82"/>
  <c r="F120"/>
  <c r="F82"/>
  <c r="G159"/>
  <c r="D159"/>
  <c r="I159"/>
  <c r="E159"/>
  <c r="K60"/>
  <c r="G60"/>
  <c r="H60"/>
  <c r="D60"/>
  <c r="K159"/>
  <c r="C159"/>
  <c r="H159"/>
  <c r="B159"/>
  <c r="J159"/>
  <c r="F159"/>
  <c r="C60"/>
  <c r="B113"/>
  <c r="H113"/>
  <c r="D113"/>
  <c r="K88"/>
  <c r="K93" s="1"/>
  <c r="G88"/>
  <c r="G93" s="1"/>
  <c r="G97" s="1"/>
  <c r="G101" s="1"/>
  <c r="C88"/>
  <c r="C93" s="1"/>
  <c r="C97" s="1"/>
  <c r="C101" s="1"/>
  <c r="I113"/>
  <c r="E113"/>
  <c r="D88"/>
  <c r="D93" s="1"/>
  <c r="D97" s="1"/>
  <c r="D101" s="1"/>
  <c r="J113"/>
  <c r="F113"/>
  <c r="K113"/>
  <c r="G113"/>
  <c r="C113"/>
  <c r="I88"/>
  <c r="I93" s="1"/>
  <c r="I97" s="1"/>
  <c r="I101" s="1"/>
  <c r="E88"/>
  <c r="E93" s="1"/>
  <c r="E97" s="1"/>
  <c r="E101" s="1"/>
  <c r="J88"/>
  <c r="J93" s="1"/>
  <c r="J97" s="1"/>
  <c r="J101" s="1"/>
  <c r="F88"/>
  <c r="F93" s="1"/>
  <c r="F97" s="1"/>
  <c r="F101" s="1"/>
  <c r="B88"/>
  <c r="H88"/>
  <c r="H93" s="1"/>
  <c r="H97" s="1"/>
  <c r="H101" s="1"/>
  <c r="C5" i="1"/>
  <c r="D5"/>
  <c r="E5"/>
  <c r="F5"/>
  <c r="G5"/>
  <c r="H5"/>
  <c r="I5"/>
  <c r="J5"/>
  <c r="K5"/>
  <c r="B5"/>
  <c r="B6" i="6"/>
  <c r="C17" i="2"/>
  <c r="D17"/>
  <c r="E17"/>
  <c r="F17"/>
  <c r="G17"/>
  <c r="H17"/>
  <c r="I17"/>
  <c r="J17"/>
  <c r="K17"/>
  <c r="C18"/>
  <c r="C126" i="5" s="1"/>
  <c r="D18" i="2"/>
  <c r="D126" i="5" s="1"/>
  <c r="E18" i="2"/>
  <c r="E126" i="5" s="1"/>
  <c r="F18" i="2"/>
  <c r="F126" i="5" s="1"/>
  <c r="G18" i="2"/>
  <c r="G126" i="5" s="1"/>
  <c r="H18" i="2"/>
  <c r="H126" i="5" s="1"/>
  <c r="I18" i="2"/>
  <c r="I126" i="5" s="1"/>
  <c r="J18" i="2"/>
  <c r="J126" i="5" s="1"/>
  <c r="K18" i="2"/>
  <c r="K126" i="5" s="1"/>
  <c r="B17" i="2"/>
  <c r="C4"/>
  <c r="D4"/>
  <c r="E4"/>
  <c r="F4"/>
  <c r="G4"/>
  <c r="H4"/>
  <c r="I4"/>
  <c r="J4"/>
  <c r="K4"/>
  <c r="C5"/>
  <c r="D5"/>
  <c r="E5"/>
  <c r="F5"/>
  <c r="G5"/>
  <c r="H5"/>
  <c r="I5"/>
  <c r="J5"/>
  <c r="K5"/>
  <c r="C6"/>
  <c r="D6"/>
  <c r="E6"/>
  <c r="F6"/>
  <c r="G6"/>
  <c r="H6"/>
  <c r="I6"/>
  <c r="J6"/>
  <c r="K6"/>
  <c r="C7"/>
  <c r="D7"/>
  <c r="E7"/>
  <c r="F7"/>
  <c r="G7"/>
  <c r="H7"/>
  <c r="I7"/>
  <c r="J7"/>
  <c r="K7"/>
  <c r="C8"/>
  <c r="D8"/>
  <c r="E8"/>
  <c r="F8"/>
  <c r="G8"/>
  <c r="H8"/>
  <c r="I8"/>
  <c r="J8"/>
  <c r="K8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B14"/>
  <c r="B5"/>
  <c r="B4"/>
  <c r="C4" i="4"/>
  <c r="D4"/>
  <c r="E4"/>
  <c r="F4"/>
  <c r="G4"/>
  <c r="H4"/>
  <c r="I4"/>
  <c r="J4"/>
  <c r="K4"/>
  <c r="C5"/>
  <c r="D5"/>
  <c r="E5"/>
  <c r="F5"/>
  <c r="G5"/>
  <c r="H5"/>
  <c r="I5"/>
  <c r="J5"/>
  <c r="K5"/>
  <c r="C6"/>
  <c r="D6"/>
  <c r="E6"/>
  <c r="F6"/>
  <c r="G6"/>
  <c r="H6"/>
  <c r="I6"/>
  <c r="J6"/>
  <c r="K6"/>
  <c r="C7"/>
  <c r="D7"/>
  <c r="E7"/>
  <c r="F7"/>
  <c r="G7"/>
  <c r="H7"/>
  <c r="I7"/>
  <c r="J7"/>
  <c r="K7"/>
  <c r="C4" i="3"/>
  <c r="D4"/>
  <c r="E4"/>
  <c r="F4"/>
  <c r="G4"/>
  <c r="H4"/>
  <c r="I4"/>
  <c r="J4"/>
  <c r="K4"/>
  <c r="C5"/>
  <c r="D5"/>
  <c r="E5"/>
  <c r="F5"/>
  <c r="G5"/>
  <c r="H5"/>
  <c r="I5"/>
  <c r="J5"/>
  <c r="K5"/>
  <c r="C7"/>
  <c r="D7"/>
  <c r="E7"/>
  <c r="F7"/>
  <c r="G7"/>
  <c r="H7"/>
  <c r="I7"/>
  <c r="J7"/>
  <c r="K7"/>
  <c r="C8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B5"/>
  <c r="C18" i="1"/>
  <c r="D18"/>
  <c r="E18"/>
  <c r="F18"/>
  <c r="G18"/>
  <c r="H18"/>
  <c r="I18"/>
  <c r="J18"/>
  <c r="K18"/>
  <c r="B18"/>
  <c r="C4"/>
  <c r="D4"/>
  <c r="E4"/>
  <c r="F4"/>
  <c r="G4"/>
  <c r="H4"/>
  <c r="I4"/>
  <c r="J4"/>
  <c r="K4"/>
  <c r="C7"/>
  <c r="D7"/>
  <c r="E7"/>
  <c r="F7"/>
  <c r="G7"/>
  <c r="H7"/>
  <c r="I7"/>
  <c r="J7"/>
  <c r="K7"/>
  <c r="C8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C13" s="1"/>
  <c r="D12"/>
  <c r="D13" s="1"/>
  <c r="E12"/>
  <c r="E13" s="1"/>
  <c r="F12"/>
  <c r="F13" s="1"/>
  <c r="G12"/>
  <c r="G13" s="1"/>
  <c r="H12"/>
  <c r="H13" s="1"/>
  <c r="I12"/>
  <c r="I13" s="1"/>
  <c r="J12"/>
  <c r="J13" s="1"/>
  <c r="K12"/>
  <c r="K13" s="1"/>
  <c r="C15"/>
  <c r="D15"/>
  <c r="E15"/>
  <c r="F15"/>
  <c r="G15"/>
  <c r="H15"/>
  <c r="I15"/>
  <c r="J15"/>
  <c r="K15"/>
  <c r="B15"/>
  <c r="B7"/>
  <c r="B4"/>
  <c r="A1"/>
  <c r="E1" i="6"/>
  <c r="I165" i="5" l="1"/>
  <c r="I170" s="1"/>
  <c r="F165"/>
  <c r="F170" s="1"/>
  <c r="G165"/>
  <c r="G170" s="1"/>
  <c r="J165"/>
  <c r="J170" s="1"/>
  <c r="C165"/>
  <c r="C170" s="1"/>
  <c r="K165"/>
  <c r="K170" s="1"/>
  <c r="K115"/>
  <c r="E115"/>
  <c r="G115"/>
  <c r="J115"/>
  <c r="H115"/>
  <c r="D114"/>
  <c r="D115"/>
  <c r="F115"/>
  <c r="I115"/>
  <c r="F89"/>
  <c r="F94" s="1"/>
  <c r="F98" s="1"/>
  <c r="F102" s="1"/>
  <c r="B89"/>
  <c r="B94" s="1"/>
  <c r="B98" s="1"/>
  <c r="B102" s="1"/>
  <c r="I89"/>
  <c r="I94" s="1"/>
  <c r="I98" s="1"/>
  <c r="I102" s="1"/>
  <c r="H89"/>
  <c r="H94" s="1"/>
  <c r="H98" s="1"/>
  <c r="H102" s="1"/>
  <c r="G89"/>
  <c r="G94" s="1"/>
  <c r="G98" s="1"/>
  <c r="G102" s="1"/>
  <c r="J89"/>
  <c r="J94" s="1"/>
  <c r="J98" s="1"/>
  <c r="J102" s="1"/>
  <c r="E89"/>
  <c r="E94" s="1"/>
  <c r="E98" s="1"/>
  <c r="E102" s="1"/>
  <c r="D89"/>
  <c r="D94" s="1"/>
  <c r="D98" s="1"/>
  <c r="D102" s="1"/>
  <c r="C89"/>
  <c r="C94" s="1"/>
  <c r="C98" s="1"/>
  <c r="C102" s="1"/>
  <c r="K89"/>
  <c r="K94" s="1"/>
  <c r="K98" s="1"/>
  <c r="K102" s="1"/>
  <c r="B93"/>
  <c r="B217" s="1"/>
  <c r="F114"/>
  <c r="I114"/>
  <c r="E114"/>
  <c r="C217"/>
  <c r="J114"/>
  <c r="E217"/>
  <c r="D217"/>
  <c r="K97"/>
  <c r="G114"/>
  <c r="H114"/>
  <c r="K114"/>
  <c r="K14" i="1"/>
  <c r="I6" i="3"/>
  <c r="G14" i="1"/>
  <c r="H6" i="3"/>
  <c r="D6"/>
  <c r="I14" i="1"/>
  <c r="E14"/>
  <c r="I23" i="2"/>
  <c r="E23"/>
  <c r="J14" i="1"/>
  <c r="F14"/>
  <c r="J23" i="2"/>
  <c r="C14" i="1"/>
  <c r="H14"/>
  <c r="D14"/>
  <c r="E1" i="2"/>
  <c r="E1" i="4"/>
  <c r="E1" i="3"/>
  <c r="J6"/>
  <c r="F6"/>
  <c r="K6"/>
  <c r="G6"/>
  <c r="C6"/>
  <c r="H16" i="2"/>
  <c r="D16"/>
  <c r="D85" i="5" s="1"/>
  <c r="D123" s="1"/>
  <c r="K23" i="2"/>
  <c r="G16"/>
  <c r="G85" i="5" s="1"/>
  <c r="G123" s="1"/>
  <c r="F23" i="2"/>
  <c r="C23"/>
  <c r="I16"/>
  <c r="I85" i="5" s="1"/>
  <c r="I123" s="1"/>
  <c r="E16" i="2"/>
  <c r="E85" i="5" s="1"/>
  <c r="E123" s="1"/>
  <c r="K16" i="2"/>
  <c r="K85" i="5" s="1"/>
  <c r="K123" s="1"/>
  <c r="C16" i="2"/>
  <c r="C85" i="5" s="1"/>
  <c r="C123" s="1"/>
  <c r="G23" i="2"/>
  <c r="J16"/>
  <c r="J85" i="5" s="1"/>
  <c r="J123" s="1"/>
  <c r="F16" i="2"/>
  <c r="E6" i="1"/>
  <c r="E19" s="1"/>
  <c r="E6" i="3"/>
  <c r="H23" i="2"/>
  <c r="D23"/>
  <c r="I6" i="1"/>
  <c r="I19" s="1"/>
  <c r="J6"/>
  <c r="J19" s="1"/>
  <c r="F6"/>
  <c r="F19" s="1"/>
  <c r="K6"/>
  <c r="K19" s="1"/>
  <c r="G6"/>
  <c r="G19" s="1"/>
  <c r="C6"/>
  <c r="C19" s="1"/>
  <c r="H6"/>
  <c r="H19" s="1"/>
  <c r="D6"/>
  <c r="D19" s="1"/>
  <c r="B6"/>
  <c r="H1"/>
  <c r="B97" i="5" l="1"/>
  <c r="B101" s="1"/>
  <c r="D86"/>
  <c r="J86"/>
  <c r="E86"/>
  <c r="G86"/>
  <c r="C219"/>
  <c r="K101"/>
  <c r="C86"/>
  <c r="I86"/>
  <c r="K86"/>
  <c r="E219"/>
  <c r="D219"/>
  <c r="F24" i="2"/>
  <c r="F110" i="5" s="1"/>
  <c r="F85"/>
  <c r="H24" i="2"/>
  <c r="H110" i="5" s="1"/>
  <c r="H85"/>
  <c r="H123" s="1"/>
  <c r="C223"/>
  <c r="E223"/>
  <c r="D223"/>
  <c r="G24" i="2"/>
  <c r="G110" i="5" s="1"/>
  <c r="E24" i="2"/>
  <c r="E110" i="5" s="1"/>
  <c r="K24" i="2"/>
  <c r="K110" i="5" s="1"/>
  <c r="C24" i="2"/>
  <c r="C110" i="5" s="1"/>
  <c r="I24" i="2"/>
  <c r="I110" i="5" s="1"/>
  <c r="D24" i="2"/>
  <c r="D110" i="5" s="1"/>
  <c r="J24" i="2"/>
  <c r="J110" i="5" s="1"/>
  <c r="C3" i="4"/>
  <c r="D3"/>
  <c r="E3"/>
  <c r="F3"/>
  <c r="G3"/>
  <c r="H3"/>
  <c r="I3"/>
  <c r="J3"/>
  <c r="K3"/>
  <c r="C3" i="2"/>
  <c r="D3"/>
  <c r="E3"/>
  <c r="F3"/>
  <c r="G3"/>
  <c r="H3"/>
  <c r="I3"/>
  <c r="J3"/>
  <c r="K3"/>
  <c r="C3" i="3"/>
  <c r="D3"/>
  <c r="E3"/>
  <c r="F3"/>
  <c r="G3"/>
  <c r="H3"/>
  <c r="I3"/>
  <c r="J3"/>
  <c r="K3"/>
  <c r="C3" i="1"/>
  <c r="D3"/>
  <c r="E3"/>
  <c r="F3"/>
  <c r="G3"/>
  <c r="H3"/>
  <c r="I3"/>
  <c r="J3"/>
  <c r="K3"/>
  <c r="B219" i="5" l="1"/>
  <c r="F123"/>
  <c r="C84"/>
  <c r="C124"/>
  <c r="E84"/>
  <c r="E124"/>
  <c r="D84"/>
  <c r="D124"/>
  <c r="K84"/>
  <c r="K124"/>
  <c r="I84"/>
  <c r="I124"/>
  <c r="G84"/>
  <c r="G124"/>
  <c r="J84"/>
  <c r="J124"/>
  <c r="H86"/>
  <c r="H124" s="1"/>
  <c r="K83"/>
  <c r="C83"/>
  <c r="G83"/>
  <c r="J83"/>
  <c r="F86"/>
  <c r="F124" s="1"/>
  <c r="I83"/>
  <c r="E83"/>
  <c r="D83"/>
  <c r="D224"/>
  <c r="C224"/>
  <c r="E224"/>
  <c r="B7" i="4"/>
  <c r="B6"/>
  <c r="B5"/>
  <c r="B4"/>
  <c r="B3"/>
  <c r="K21" i="2"/>
  <c r="J21"/>
  <c r="I21"/>
  <c r="H21"/>
  <c r="G21"/>
  <c r="F21"/>
  <c r="E21"/>
  <c r="D21"/>
  <c r="C21"/>
  <c r="B18"/>
  <c r="B13"/>
  <c r="B12"/>
  <c r="B11"/>
  <c r="B10"/>
  <c r="B8"/>
  <c r="B7"/>
  <c r="B6"/>
  <c r="B3"/>
  <c r="J14" i="3"/>
  <c r="H14"/>
  <c r="F14"/>
  <c r="D14"/>
  <c r="B12"/>
  <c r="B11"/>
  <c r="B10"/>
  <c r="B9"/>
  <c r="B8"/>
  <c r="B7"/>
  <c r="B4"/>
  <c r="B3"/>
  <c r="L15" i="1"/>
  <c r="B12"/>
  <c r="B11"/>
  <c r="B10"/>
  <c r="B9"/>
  <c r="B8"/>
  <c r="B20" i="2"/>
  <c r="B125" i="5" s="1"/>
  <c r="B3" i="1"/>
  <c r="D121" i="5" l="1"/>
  <c r="D166"/>
  <c r="D171" s="1"/>
  <c r="I121"/>
  <c r="K117"/>
  <c r="J167"/>
  <c r="J172" s="1"/>
  <c r="I91"/>
  <c r="I96" s="1"/>
  <c r="I100" s="1"/>
  <c r="I104" s="1"/>
  <c r="E117"/>
  <c r="D167"/>
  <c r="D172" s="1"/>
  <c r="C91"/>
  <c r="C96" s="1"/>
  <c r="C100" s="1"/>
  <c r="C104" s="1"/>
  <c r="J121"/>
  <c r="J166"/>
  <c r="J171" s="1"/>
  <c r="E121"/>
  <c r="E166"/>
  <c r="E171" s="1"/>
  <c r="G91"/>
  <c r="G96" s="1"/>
  <c r="G100" s="1"/>
  <c r="G104" s="1"/>
  <c r="K91"/>
  <c r="K96" s="1"/>
  <c r="K100" s="1"/>
  <c r="K104" s="1"/>
  <c r="K167"/>
  <c r="K172" s="1"/>
  <c r="K166"/>
  <c r="K171" s="1"/>
  <c r="E167"/>
  <c r="E172" s="1"/>
  <c r="B21" i="2"/>
  <c r="B126" i="5"/>
  <c r="J91"/>
  <c r="J96" s="1"/>
  <c r="J100" s="1"/>
  <c r="J104" s="1"/>
  <c r="D91"/>
  <c r="D96" s="1"/>
  <c r="D100" s="1"/>
  <c r="D104" s="1"/>
  <c r="F117"/>
  <c r="E91"/>
  <c r="E96" s="1"/>
  <c r="E100" s="1"/>
  <c r="E104" s="1"/>
  <c r="G90"/>
  <c r="G95" s="1"/>
  <c r="G99" s="1"/>
  <c r="G103" s="1"/>
  <c r="G121"/>
  <c r="K90"/>
  <c r="K95" s="1"/>
  <c r="K99" s="1"/>
  <c r="K103" s="1"/>
  <c r="K121"/>
  <c r="C90"/>
  <c r="C95" s="1"/>
  <c r="C99" s="1"/>
  <c r="C103" s="1"/>
  <c r="C121"/>
  <c r="F84"/>
  <c r="F167" s="1"/>
  <c r="F172" s="1"/>
  <c r="H84"/>
  <c r="H167" s="1"/>
  <c r="H172" s="1"/>
  <c r="E90"/>
  <c r="E95" s="1"/>
  <c r="E99" s="1"/>
  <c r="E103" s="1"/>
  <c r="F116"/>
  <c r="F83"/>
  <c r="G166" s="1"/>
  <c r="G171" s="1"/>
  <c r="K116"/>
  <c r="J90"/>
  <c r="J95" s="1"/>
  <c r="H83"/>
  <c r="E116"/>
  <c r="D90"/>
  <c r="D95" s="1"/>
  <c r="D99" s="1"/>
  <c r="D103" s="1"/>
  <c r="I90"/>
  <c r="I95" s="1"/>
  <c r="C221"/>
  <c r="E221"/>
  <c r="D221"/>
  <c r="B13" i="1"/>
  <c r="B14" s="1"/>
  <c r="B23" i="2"/>
  <c r="B223" i="5" s="1"/>
  <c r="B16" i="2"/>
  <c r="B85" i="5" s="1"/>
  <c r="B123" s="1"/>
  <c r="B6" i="3"/>
  <c r="B14" s="1"/>
  <c r="E14"/>
  <c r="I14"/>
  <c r="C14"/>
  <c r="G14"/>
  <c r="K14"/>
  <c r="K23" i="1"/>
  <c r="G20" i="2"/>
  <c r="G125" i="5" s="1"/>
  <c r="I20" i="2"/>
  <c r="I125" i="5" s="1"/>
  <c r="K20" i="2"/>
  <c r="K125" i="5" s="1"/>
  <c r="D20" i="2"/>
  <c r="D125" i="5" s="1"/>
  <c r="F20" i="2"/>
  <c r="F125" i="5" s="1"/>
  <c r="H20" i="2"/>
  <c r="H125" i="5" s="1"/>
  <c r="J20" i="2"/>
  <c r="J125" i="5" s="1"/>
  <c r="C20" i="2"/>
  <c r="C125" i="5" s="1"/>
  <c r="E20" i="2"/>
  <c r="E125" i="5" s="1"/>
  <c r="L12" i="1"/>
  <c r="L13" s="1"/>
  <c r="L14" s="1"/>
  <c r="L25" s="1"/>
  <c r="K24"/>
  <c r="L11"/>
  <c r="L10"/>
  <c r="L9"/>
  <c r="M9" s="1"/>
  <c r="L8"/>
  <c r="M8" s="1"/>
  <c r="L7"/>
  <c r="L6"/>
  <c r="L4"/>
  <c r="L23" s="1"/>
  <c r="A1" i="3"/>
  <c r="A1" i="2"/>
  <c r="A1" i="4" s="1"/>
  <c r="H23" i="1"/>
  <c r="I24"/>
  <c r="I23"/>
  <c r="J24"/>
  <c r="J23"/>
  <c r="B19"/>
  <c r="H24" s="1"/>
  <c r="H121" i="5" l="1"/>
  <c r="H166"/>
  <c r="H171" s="1"/>
  <c r="F121"/>
  <c r="F166"/>
  <c r="F171" s="1"/>
  <c r="G167"/>
  <c r="G172" s="1"/>
  <c r="I167"/>
  <c r="I172" s="1"/>
  <c r="I166"/>
  <c r="I171" s="1"/>
  <c r="J116"/>
  <c r="C220"/>
  <c r="C222"/>
  <c r="C218"/>
  <c r="G117"/>
  <c r="H117"/>
  <c r="B24" i="2"/>
  <c r="B110" i="5" s="1"/>
  <c r="B224" s="1"/>
  <c r="I117"/>
  <c r="J117"/>
  <c r="H91"/>
  <c r="H96" s="1"/>
  <c r="H100" s="1"/>
  <c r="H104" s="1"/>
  <c r="F91"/>
  <c r="F96" s="1"/>
  <c r="F100" s="1"/>
  <c r="F104" s="1"/>
  <c r="J99"/>
  <c r="E218"/>
  <c r="I116"/>
  <c r="H90"/>
  <c r="H95" s="1"/>
  <c r="H99" s="1"/>
  <c r="H103" s="1"/>
  <c r="G116"/>
  <c r="H116"/>
  <c r="F90"/>
  <c r="F95" s="1"/>
  <c r="F99" s="1"/>
  <c r="F103" s="1"/>
  <c r="B86"/>
  <c r="B124" s="1"/>
  <c r="I99"/>
  <c r="D218"/>
  <c r="L19" i="1"/>
  <c r="L24" s="1"/>
  <c r="M24" s="1"/>
  <c r="L5"/>
  <c r="N11"/>
  <c r="M11"/>
  <c r="M23"/>
  <c r="M4" s="1"/>
  <c r="N23"/>
  <c r="N4" s="1"/>
  <c r="H25"/>
  <c r="J25"/>
  <c r="K25"/>
  <c r="M25" s="1"/>
  <c r="I25"/>
  <c r="N9"/>
  <c r="N8"/>
  <c r="B84" i="5" l="1"/>
  <c r="B83"/>
  <c r="I103"/>
  <c r="D222" s="1"/>
  <c r="D220"/>
  <c r="J103"/>
  <c r="E222" s="1"/>
  <c r="E220"/>
  <c r="B221"/>
  <c r="N24" i="1"/>
  <c r="N6" s="1"/>
  <c r="N25"/>
  <c r="M6"/>
  <c r="D117" i="5" l="1"/>
  <c r="C167"/>
  <c r="C172" s="1"/>
  <c r="B121"/>
  <c r="C166"/>
  <c r="C171" s="1"/>
  <c r="B91"/>
  <c r="B96" s="1"/>
  <c r="B100" s="1"/>
  <c r="B104" s="1"/>
  <c r="D116"/>
  <c r="B90"/>
  <c r="B95" s="1"/>
  <c r="B218" s="1"/>
  <c r="M10" i="1"/>
  <c r="M12" s="1"/>
  <c r="M13" s="1"/>
  <c r="N10"/>
  <c r="N12" s="1"/>
  <c r="N13" s="1"/>
  <c r="N5"/>
  <c r="M5"/>
  <c r="M14"/>
  <c r="B99" i="5" l="1"/>
  <c r="M15" i="1"/>
  <c r="N14"/>
  <c r="N15" s="1"/>
  <c r="B220" i="5" l="1"/>
  <c r="B103"/>
  <c r="B222" s="1"/>
</calcChain>
</file>

<file path=xl/sharedStrings.xml><?xml version="1.0" encoding="utf-8"?>
<sst xmlns="http://schemas.openxmlformats.org/spreadsheetml/2006/main" count="344" uniqueCount="186">
  <si>
    <t>COMPANY NAME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</si>
  <si>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</si>
  <si>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</si>
  <si>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</si>
  <si>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</si>
  <si>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</si>
  <si>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</si>
  <si>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</si>
  <si>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</si>
  <si>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</si>
  <si>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</si>
  <si>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</si>
  <si>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</si>
  <si>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</si>
  <si>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</si>
  <si>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</si>
  <si>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</si>
  <si>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</si>
  <si>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</si>
  <si>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</si>
  <si>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BEST</t>
  </si>
  <si>
    <t>WORST</t>
  </si>
  <si>
    <t>Sales Growth</t>
  </si>
  <si>
    <t>Price to Earning</t>
  </si>
  <si>
    <t>Equity Share Capital</t>
  </si>
  <si>
    <t>Reserves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</si>
  <si>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</si>
  <si>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</si>
  <si>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</si>
  <si>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</si>
  <si>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</si>
  <si>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</si>
  <si>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</si>
  <si>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</si>
  <si>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</si>
  <si>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</si>
  <si>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</si>
  <si>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</si>
  <si>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</si>
  <si>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</si>
  <si>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</si>
  <si>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</si>
  <si>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</si>
  <si>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</si>
  <si>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Debtors</t>
  </si>
  <si>
    <t>Inventory</t>
  </si>
  <si>
    <t>Debtor Days</t>
  </si>
  <si>
    <t>Inventory Turnover</t>
  </si>
  <si>
    <t>EPS</t>
  </si>
  <si>
    <t>Price</t>
  </si>
  <si>
    <t>Return on Equity</t>
  </si>
  <si>
    <t>Return on Capital Emp</t>
  </si>
  <si>
    <t>LATEST VERSION</t>
  </si>
  <si>
    <t>CURRENT VERSION</t>
  </si>
  <si>
    <t>PODDAR PIGMENTS LTD</t>
  </si>
  <si>
    <t>META</t>
  </si>
  <si>
    <t>10 YEARS</t>
  </si>
  <si>
    <t>7 YEARS</t>
  </si>
  <si>
    <t>5 YEARS</t>
  </si>
  <si>
    <t>3 YEARS</t>
  </si>
  <si>
    <t>RECENT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</si>
  <si>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</si>
  <si>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</si>
  <si>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</si>
  <si>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</si>
  <si>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</si>
  <si>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</si>
  <si>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</si>
  <si>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</si>
  <si>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</si>
  <si>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</si>
  <si>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</si>
  <si>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</si>
  <si>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</si>
  <si>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</si>
  <si>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</si>
  <si>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</si>
  <si>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</si>
  <si>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</si>
  <si>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</si>
  <si>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</si>
  <si>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14.71</t>
  </si>
  <si>
    <t>10 YR CAGR</t>
  </si>
  <si>
    <t>5 YR CAGR</t>
  </si>
  <si>
    <t>3 YR CAGR</t>
  </si>
  <si>
    <t>1 YR CAGR</t>
  </si>
  <si>
    <t>EBIT</t>
  </si>
  <si>
    <t>EBIT/Invested Capital 1</t>
  </si>
  <si>
    <t>EBIT/Invested Capital 2</t>
  </si>
  <si>
    <t>ROIC 1</t>
  </si>
  <si>
    <t>ROIC 2</t>
  </si>
  <si>
    <t>EPA1</t>
  </si>
  <si>
    <t>EPA2</t>
  </si>
  <si>
    <t>EPA1/Sales</t>
  </si>
  <si>
    <t>EPA2/Sales</t>
  </si>
  <si>
    <t>ROE</t>
  </si>
  <si>
    <t>ROCE</t>
  </si>
  <si>
    <t>NOPLAT</t>
  </si>
  <si>
    <t>ROIIC 1</t>
  </si>
  <si>
    <t>ROIIC 2</t>
  </si>
  <si>
    <t>Year On Year Growth %</t>
  </si>
  <si>
    <t>Increase in WC(Without Cash)</t>
  </si>
  <si>
    <t>EBIT/Invested Capital 3</t>
  </si>
  <si>
    <t>ROIC 3</t>
  </si>
  <si>
    <t>EPA 3</t>
  </si>
  <si>
    <t>EPA3/Sales</t>
  </si>
  <si>
    <t>ROIIC 3</t>
  </si>
  <si>
    <t>Fixed Asset Turns</t>
  </si>
  <si>
    <t>Total Asset Turns</t>
  </si>
  <si>
    <t>Capital Turns 1</t>
  </si>
  <si>
    <t>Capital Turns 2</t>
  </si>
  <si>
    <t>Financial Leverage</t>
  </si>
  <si>
    <t>Long term debt/Earning</t>
  </si>
  <si>
    <t>Current liablility/Earning</t>
  </si>
  <si>
    <t>Total liability/Earning</t>
  </si>
  <si>
    <t>Debt/Equity</t>
  </si>
  <si>
    <t>Interest Coverage</t>
  </si>
  <si>
    <t>Inventory Days</t>
  </si>
  <si>
    <t>Inventory turnover</t>
  </si>
  <si>
    <t>WC1 (Current Assets -Current Liabilities)</t>
  </si>
  <si>
    <t>WC 2(Without Cash)</t>
  </si>
  <si>
    <t>Debtors turnover</t>
  </si>
  <si>
    <t>ROA</t>
  </si>
  <si>
    <t>Fixed Asset/Sales</t>
  </si>
  <si>
    <t>Fixed Asset/Sales 10 yrs</t>
  </si>
  <si>
    <t>Fixed Asset/Sales 7 yrs</t>
  </si>
  <si>
    <t>Fixed Asset/Sales 5 yrs</t>
  </si>
  <si>
    <t>Fixed Asset/Sales 3 yrs</t>
  </si>
  <si>
    <t>YoY Increase in Sales</t>
  </si>
  <si>
    <t>Capex</t>
  </si>
  <si>
    <t>Growth Capex-5Yr</t>
  </si>
  <si>
    <t>Maintenance Capex-5yr</t>
  </si>
  <si>
    <t>Growth Capex-3Yr</t>
  </si>
  <si>
    <t>Maintenance Capex-3yr</t>
  </si>
  <si>
    <t>OE5Yr/Sales</t>
  </si>
  <si>
    <t>OE3Yr/Sales</t>
  </si>
  <si>
    <t>Increase in Fixed Asset1(with Capital work in progress)</t>
  </si>
  <si>
    <t>Defensive earnings2</t>
  </si>
  <si>
    <t>Defensive earnings1</t>
  </si>
  <si>
    <t>Capex/Depriciation</t>
  </si>
  <si>
    <t>Owners Earning with capex</t>
  </si>
  <si>
    <t>Owners Earning 5Yr Maintenace Capex</t>
  </si>
  <si>
    <t>Owners Earning 3 Yr  Maintenace Capex</t>
  </si>
  <si>
    <t>OE/Sales</t>
  </si>
  <si>
    <t>NPM</t>
  </si>
  <si>
    <t>Margins % of Sales</t>
  </si>
  <si>
    <t>invested Capital1(Equity + Long Debt)</t>
  </si>
  <si>
    <t>invested Capital2(Equity + Long Debt-Cash)</t>
  </si>
  <si>
    <t>invested Capital3(Net Block + Work in Progress + WC w/o cash)</t>
  </si>
  <si>
    <t>invested Capital4(Net Block  + WC w/o cash)</t>
  </si>
  <si>
    <t>EBIT/Invested Capital 4</t>
  </si>
  <si>
    <t>ROIC 4</t>
  </si>
  <si>
    <t>EPA 2</t>
  </si>
  <si>
    <t>EPA 4</t>
  </si>
  <si>
    <t>EPA 1</t>
  </si>
  <si>
    <t>EPA4/Sales</t>
  </si>
  <si>
    <t>Decomposition of ROE</t>
  </si>
  <si>
    <t>Net Profit</t>
  </si>
  <si>
    <t>ROIIC 4</t>
  </si>
  <si>
    <t>Efficiency Ratio</t>
  </si>
  <si>
    <t>Working Capital1/Sales</t>
  </si>
  <si>
    <t>Working Capital2/Sales</t>
  </si>
  <si>
    <t>Financial Health</t>
  </si>
  <si>
    <t>Owners Earning</t>
  </si>
  <si>
    <t>Increase in Invested Capital 1</t>
  </si>
  <si>
    <t>Increase in Invested Capital 2</t>
  </si>
  <si>
    <t>Increase in Invested Capital 3</t>
  </si>
  <si>
    <t>Defensive earnings3</t>
  </si>
  <si>
    <t>Increase in Invested Capital 4</t>
  </si>
  <si>
    <t>Defensive earnings4</t>
  </si>
  <si>
    <t>Defensive Earning From Balance Sheet</t>
  </si>
  <si>
    <t>Fixed Asset (with Capital work in progress)</t>
  </si>
  <si>
    <t>Current Assets-Cash</t>
  </si>
  <si>
    <t>Inventories</t>
  </si>
  <si>
    <t>Trade Receivables</t>
  </si>
  <si>
    <t>Cash and Bank Balances</t>
  </si>
  <si>
    <t>Short - Term Loans and Advances</t>
  </si>
  <si>
    <t>Other Current Assets</t>
  </si>
  <si>
    <t>Current Liabilities</t>
  </si>
  <si>
    <t>Short - Term Borrowings</t>
  </si>
  <si>
    <t>Trade Payables</t>
  </si>
  <si>
    <t>Other Current Liabilities</t>
  </si>
  <si>
    <t>Short - Term Provisions</t>
  </si>
  <si>
    <t>Defensive earnings</t>
  </si>
  <si>
    <t xml:space="preserve">Kindly Enter Data from Balance sheet in </t>
  </si>
  <si>
    <t>cell</t>
  </si>
</sst>
</file>

<file path=xl/styles.xml><?xml version="1.0" encoding="utf-8"?>
<styleSheet xmlns="http://schemas.openxmlformats.org/spreadsheetml/2006/main">
  <numFmts count="5"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$-409]mmm\-yy;@"/>
    <numFmt numFmtId="166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2">
    <xf numFmtId="0" fontId="0" fillId="0" borderId="0" xfId="0"/>
    <xf numFmtId="43" fontId="1" fillId="0" borderId="0" xfId="1" applyFont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43" fontId="0" fillId="0" borderId="0" xfId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1" fillId="0" borderId="0" xfId="0" applyFont="1" applyBorder="1"/>
    <xf numFmtId="43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  <xf numFmtId="43" fontId="2" fillId="2" borderId="0" xfId="3" applyNumberFormat="1" applyFont="1" applyBorder="1"/>
    <xf numFmtId="43" fontId="2" fillId="3" borderId="0" xfId="4" applyNumberFormat="1" applyFont="1" applyBorder="1"/>
    <xf numFmtId="9" fontId="1" fillId="0" borderId="0" xfId="6" applyFont="1" applyBorder="1"/>
    <xf numFmtId="0" fontId="2" fillId="5" borderId="0" xfId="0" applyFont="1" applyFill="1" applyBorder="1"/>
    <xf numFmtId="165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1" applyNumberFormat="1" applyFont="1" applyBorder="1" applyAlignment="1">
      <alignment horizontal="center"/>
    </xf>
    <xf numFmtId="43" fontId="1" fillId="0" borderId="0" xfId="1" applyNumberFormat="1" applyFont="1" applyBorder="1" applyAlignment="1">
      <alignment horizontal="center"/>
    </xf>
    <xf numFmtId="43" fontId="0" fillId="0" borderId="0" xfId="1" applyNumberFormat="1" applyFont="1" applyBorder="1"/>
    <xf numFmtId="10" fontId="1" fillId="0" borderId="0" xfId="0" applyNumberFormat="1" applyFont="1" applyBorder="1"/>
    <xf numFmtId="165" fontId="2" fillId="5" borderId="0" xfId="1" applyNumberFormat="1" applyFont="1" applyFill="1" applyBorder="1"/>
    <xf numFmtId="165" fontId="7" fillId="0" borderId="0" xfId="1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Font="1" applyFill="1" applyBorder="1"/>
    <xf numFmtId="0" fontId="7" fillId="0" borderId="0" xfId="0" applyFont="1" applyFill="1" applyBorder="1"/>
    <xf numFmtId="164" fontId="0" fillId="0" borderId="0" xfId="1" applyNumberFormat="1" applyFont="1" applyBorder="1"/>
    <xf numFmtId="0" fontId="8" fillId="0" borderId="1" xfId="0" applyFont="1" applyBorder="1" applyAlignment="1">
      <alignment horizontal="right"/>
    </xf>
    <xf numFmtId="10" fontId="0" fillId="0" borderId="0" xfId="6" applyNumberFormat="1" applyFont="1" applyBorder="1"/>
    <xf numFmtId="10" fontId="0" fillId="0" borderId="0" xfId="6" applyNumberFormat="1" applyFont="1" applyBorder="1" applyAlignment="1">
      <alignment horizontal="left"/>
    </xf>
    <xf numFmtId="43" fontId="0" fillId="0" borderId="0" xfId="0" applyNumberFormat="1" applyBorder="1"/>
    <xf numFmtId="2" fontId="0" fillId="0" borderId="0" xfId="0" applyNumberFormat="1" applyBorder="1"/>
    <xf numFmtId="10" fontId="0" fillId="0" borderId="0" xfId="0" applyNumberFormat="1" applyBorder="1"/>
    <xf numFmtId="2" fontId="0" fillId="0" borderId="0" xfId="7" applyNumberFormat="1" applyFont="1" applyBorder="1"/>
    <xf numFmtId="43" fontId="0" fillId="0" borderId="0" xfId="0" applyNumberFormat="1" applyBorder="1" applyAlignment="1">
      <alignment horizontal="left"/>
    </xf>
    <xf numFmtId="0" fontId="8" fillId="6" borderId="1" xfId="0" applyFont="1" applyFill="1" applyBorder="1" applyAlignment="1">
      <alignment horizontal="right"/>
    </xf>
    <xf numFmtId="166" fontId="0" fillId="0" borderId="0" xfId="0" applyNumberFormat="1" applyBorder="1"/>
    <xf numFmtId="10" fontId="8" fillId="0" borderId="1" xfId="6" applyNumberFormat="1" applyFont="1" applyBorder="1" applyAlignment="1">
      <alignment horizontal="right"/>
    </xf>
    <xf numFmtId="0" fontId="10" fillId="0" borderId="0" xfId="0" applyFont="1"/>
    <xf numFmtId="43" fontId="3" fillId="0" borderId="0" xfId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3" fontId="0" fillId="8" borderId="0" xfId="1" applyNumberFormat="1" applyFont="1" applyFill="1" applyBorder="1"/>
    <xf numFmtId="14" fontId="0" fillId="8" borderId="0" xfId="0" applyNumberFormat="1" applyFill="1" applyBorder="1"/>
    <xf numFmtId="0" fontId="1" fillId="0" borderId="0" xfId="0" applyFont="1"/>
    <xf numFmtId="43" fontId="11" fillId="7" borderId="0" xfId="1" applyFont="1" applyFill="1" applyBorder="1"/>
    <xf numFmtId="43" fontId="0" fillId="0" borderId="0" xfId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6" borderId="0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0" xfId="0" applyFill="1" applyBorder="1"/>
    <xf numFmtId="43" fontId="4" fillId="0" borderId="0" xfId="2" applyNumberFormat="1" applyBorder="1" applyAlignment="1" applyProtection="1">
      <alignment horizontal="center"/>
    </xf>
    <xf numFmtId="43" fontId="2" fillId="4" borderId="0" xfId="5" applyNumberFormat="1" applyFont="1" applyBorder="1" applyAlignment="1">
      <alignment horizontal="center"/>
    </xf>
    <xf numFmtId="43" fontId="3" fillId="7" borderId="0" xfId="1" applyFont="1" applyFill="1" applyBorder="1"/>
    <xf numFmtId="10" fontId="0" fillId="7" borderId="0" xfId="6" applyNumberFormat="1" applyFont="1" applyFill="1" applyBorder="1"/>
    <xf numFmtId="10" fontId="0" fillId="7" borderId="0" xfId="6" applyNumberFormat="1" applyFont="1" applyFill="1" applyBorder="1" applyAlignment="1">
      <alignment horizontal="left"/>
    </xf>
    <xf numFmtId="43" fontId="0" fillId="7" borderId="0" xfId="1" applyFont="1" applyFill="1" applyBorder="1"/>
  </cellXfs>
  <cellStyles count="8">
    <cellStyle name="60% - Accent1" xfId="3" builtinId="32"/>
    <cellStyle name="60% - Accent3" xfId="4" builtinId="40"/>
    <cellStyle name="Accent6" xfId="5" builtinId="49"/>
    <cellStyle name="Comma" xfId="1" builtinId="3"/>
    <cellStyle name="Currency" xfId="7" builtinId="4"/>
    <cellStyle name="Hyperlink" xfId="2" builtinId="8"/>
    <cellStyle name="Normal" xfId="0" builtinId="0"/>
    <cellStyle name="Percent" xfId="6" builtinId="5"/>
  </cellStyles>
  <dxfs count="31"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 style="thin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nnual" displayName="Annual" ref="A3:N19" headerRowCount="0" totalsRowShown="0" headerRowDxfId="30">
  <tableColumns count="14">
    <tableColumn id="1" name="Column1" headerRowDxfId="29" dataDxfId="28"/>
    <tableColumn id="2" name="Column2" headerRowDxfId="27"/>
    <tableColumn id="3" name="Column3" headerRowDxfId="26"/>
    <tableColumn id="4" name="Column4" headerRowDxfId="25"/>
    <tableColumn id="5" name="Column5" headerRowDxfId="24"/>
    <tableColumn id="6" name="Column6" headerRowDxfId="23"/>
    <tableColumn id="7" name="Column7" headerRowDxfId="22"/>
    <tableColumn id="8" name="Column8" headerRowDxfId="21"/>
    <tableColumn id="9" name="Column9" headerRowDxfId="20"/>
    <tableColumn id="10" name="Column10" headerRowDxfId="19"/>
    <tableColumn id="11" name="Column11" headerRowDxfId="18"/>
    <tableColumn id="12" name="Column12" headerRowDxfId="17"/>
    <tableColumn id="13" name="Column13" headerRowDxfId="16" dataDxfId="15"/>
    <tableColumn id="14" name="Column14" headerRowDxfId="14" dataDxfId="13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Quarters" displayName="Quarters" ref="A3:K14" headerRowCount="0" totalsRowShown="0" headerRowDxfId="12">
  <tableColumns count="11">
    <tableColumn id="1" name="Column1" headerRowDxfId="11"/>
    <tableColumn id="2" name="Column2" headerRowDxfId="10"/>
    <tableColumn id="3" name="Column3" headerRowDxfId="9"/>
    <tableColumn id="4" name="Column4" headerRowDxfId="8"/>
    <tableColumn id="5" name="Column5" headerRowDxfId="7"/>
    <tableColumn id="6" name="Column6" headerRowDxfId="6"/>
    <tableColumn id="7" name="Column7" headerRowDxfId="5"/>
    <tableColumn id="8" name="Column8" headerRowDxfId="4"/>
    <tableColumn id="9" name="Column9" headerRowDxfId="3"/>
    <tableColumn id="10" name="Column10" headerRowDxfId="2"/>
    <tableColumn id="11" name="Column11" headerRowDxfId="1"/>
  </tableColumns>
  <tableStyleInfo name="TableStyleLight1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reener.in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reener.in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5"/>
  <sheetViews>
    <sheetView zoomScaleSheetLayoutView="100" workbookViewId="0">
      <pane xSplit="1" ySplit="4" topLeftCell="C14" activePane="bottomRight" state="frozen"/>
      <selection activeCell="I2" sqref="I2"/>
      <selection pane="topRight" activeCell="I2" sqref="I2"/>
      <selection pane="bottomLeft" activeCell="I2" sqref="I2"/>
      <selection pane="bottomRight" activeCell="H23" sqref="H23"/>
    </sheetView>
  </sheetViews>
  <sheetFormatPr defaultRowHeight="15"/>
  <cols>
    <col min="1" max="1" width="20.7109375" style="6" customWidth="1"/>
    <col min="2" max="6" width="13.5703125" style="6" customWidth="1"/>
    <col min="7" max="7" width="14.85546875" style="6" bestFit="1" customWidth="1"/>
    <col min="8" max="11" width="13.5703125" style="6" customWidth="1"/>
    <col min="12" max="12" width="13.28515625" style="6" customWidth="1"/>
    <col min="13" max="14" width="12.140625" style="6" customWidth="1"/>
    <col min="15" max="16384" width="9.140625" style="6"/>
  </cols>
  <sheetData>
    <row r="1" spans="1:14" s="8" customFormat="1">
      <c r="A1" s="8" t="str">
        <f>'Data Sheet'!B1</f>
        <v>PODDAR PIGMENTS LTD</v>
      </c>
      <c r="H1" t="str">
        <f>UPDATE</f>
        <v/>
      </c>
      <c r="J1" s="3"/>
      <c r="K1" s="3"/>
      <c r="M1" s="8" t="s">
        <v>1</v>
      </c>
    </row>
    <row r="3" spans="1:14" s="2" customFormat="1">
      <c r="A3" s="15" t="s">
        <v>2</v>
      </c>
      <c r="B3" s="16">
        <f>'Data Sheet'!B16</f>
        <v>38807</v>
      </c>
      <c r="C3" s="16">
        <f>'Data Sheet'!C16</f>
        <v>39172</v>
      </c>
      <c r="D3" s="16">
        <f>'Data Sheet'!D16</f>
        <v>39538</v>
      </c>
      <c r="E3" s="16">
        <f>'Data Sheet'!E16</f>
        <v>39903</v>
      </c>
      <c r="F3" s="16">
        <f>'Data Sheet'!F16</f>
        <v>40268</v>
      </c>
      <c r="G3" s="16">
        <f>'Data Sheet'!G16</f>
        <v>40633</v>
      </c>
      <c r="H3" s="16">
        <f>'Data Sheet'!H16</f>
        <v>40999</v>
      </c>
      <c r="I3" s="16">
        <f>'Data Sheet'!I16</f>
        <v>41364</v>
      </c>
      <c r="J3" s="16">
        <f>'Data Sheet'!J16</f>
        <v>41729</v>
      </c>
      <c r="K3" s="16">
        <f>'Data Sheet'!K16</f>
        <v>42094</v>
      </c>
      <c r="L3" s="17" t="s">
        <v>3</v>
      </c>
      <c r="M3" s="17" t="s">
        <v>4</v>
      </c>
      <c r="N3" s="17" t="s">
        <v>5</v>
      </c>
    </row>
    <row r="4" spans="1:14" s="8" customFormat="1">
      <c r="A4" s="8" t="s">
        <v>6</v>
      </c>
      <c r="B4" s="1">
        <f>'Data Sheet'!B17</f>
        <v>75.38</v>
      </c>
      <c r="C4" s="1">
        <f>'Data Sheet'!C17</f>
        <v>91.69</v>
      </c>
      <c r="D4" s="1">
        <f>'Data Sheet'!D17</f>
        <v>98.74</v>
      </c>
      <c r="E4" s="1">
        <f>'Data Sheet'!E17</f>
        <v>119.73</v>
      </c>
      <c r="F4" s="1">
        <f>'Data Sheet'!F17</f>
        <v>153.09</v>
      </c>
      <c r="G4" s="1">
        <f>'Data Sheet'!G17</f>
        <v>186.48</v>
      </c>
      <c r="H4" s="1">
        <f>'Data Sheet'!H17</f>
        <v>221.92</v>
      </c>
      <c r="I4" s="1">
        <f>'Data Sheet'!I17</f>
        <v>275.55</v>
      </c>
      <c r="J4" s="1">
        <f>'Data Sheet'!J17</f>
        <v>313.23</v>
      </c>
      <c r="K4" s="1">
        <f>'Data Sheet'!K17</f>
        <v>318.31</v>
      </c>
      <c r="L4" s="1">
        <f>SUM(Quarters!H4:K4)</f>
        <v>313.53999999999996</v>
      </c>
      <c r="M4" s="1">
        <f>$K4+M23*K4</f>
        <v>358.97832671804957</v>
      </c>
      <c r="N4" s="1">
        <f>$K4+N23*L4</f>
        <v>323.39502761549022</v>
      </c>
    </row>
    <row r="5" spans="1:14">
      <c r="A5" s="6" t="s">
        <v>7</v>
      </c>
      <c r="B5" s="1">
        <f>SUM('Data Sheet'!B18:B24)</f>
        <v>74.300000000000011</v>
      </c>
      <c r="C5" s="1">
        <f>SUM('Data Sheet'!C18:C24)</f>
        <v>83.06</v>
      </c>
      <c r="D5" s="1">
        <f>SUM('Data Sheet'!D18:D24)</f>
        <v>91.01</v>
      </c>
      <c r="E5" s="1">
        <f>SUM('Data Sheet'!E18:E24)</f>
        <v>109.75</v>
      </c>
      <c r="F5" s="1">
        <f>SUM('Data Sheet'!F18:F24)</f>
        <v>139.59</v>
      </c>
      <c r="G5" s="1">
        <f>SUM('Data Sheet'!G18:G24)</f>
        <v>171.73000000000005</v>
      </c>
      <c r="H5" s="1">
        <f>SUM('Data Sheet'!H18:H24)</f>
        <v>212.62</v>
      </c>
      <c r="I5" s="1">
        <f>SUM('Data Sheet'!I18:I24)</f>
        <v>257.20999999999998</v>
      </c>
      <c r="J5" s="1">
        <f>SUM('Data Sheet'!J18:J24)</f>
        <v>289.62</v>
      </c>
      <c r="K5" s="1">
        <f>SUM('Data Sheet'!K18:K24)</f>
        <v>297.09000000000009</v>
      </c>
      <c r="L5" s="9">
        <f>SUM(Quarters!H5:K5)</f>
        <v>292.01</v>
      </c>
      <c r="M5" s="9">
        <f t="shared" ref="M5:N5" si="0">M4-M6</f>
        <v>333.97897615881158</v>
      </c>
      <c r="N5" s="9">
        <f t="shared" si="0"/>
        <v>301.95319658019309</v>
      </c>
    </row>
    <row r="6" spans="1:14" s="8" customFormat="1">
      <c r="A6" s="8" t="s">
        <v>8</v>
      </c>
      <c r="B6" s="1">
        <f>B4-B5</f>
        <v>1.0799999999999841</v>
      </c>
      <c r="C6" s="1">
        <f t="shared" ref="C6:K6" si="1">C4-C5</f>
        <v>8.6299999999999955</v>
      </c>
      <c r="D6" s="1">
        <f t="shared" si="1"/>
        <v>7.7299999999999898</v>
      </c>
      <c r="E6" s="1">
        <f t="shared" si="1"/>
        <v>9.980000000000004</v>
      </c>
      <c r="F6" s="1">
        <f t="shared" si="1"/>
        <v>13.5</v>
      </c>
      <c r="G6" s="1">
        <f t="shared" si="1"/>
        <v>14.749999999999943</v>
      </c>
      <c r="H6" s="1">
        <f t="shared" si="1"/>
        <v>9.2999999999999829</v>
      </c>
      <c r="I6" s="1">
        <f t="shared" si="1"/>
        <v>18.340000000000032</v>
      </c>
      <c r="J6" s="1">
        <f t="shared" si="1"/>
        <v>23.610000000000014</v>
      </c>
      <c r="K6" s="1">
        <f t="shared" si="1"/>
        <v>21.219999999999914</v>
      </c>
      <c r="L6" s="1">
        <f>SUM(Quarters!H6:K6)</f>
        <v>21.530000000000015</v>
      </c>
      <c r="M6" s="1">
        <f>M4*M24</f>
        <v>24.999350559237982</v>
      </c>
      <c r="N6" s="1">
        <f>N4*N24</f>
        <v>21.441831035297128</v>
      </c>
    </row>
    <row r="7" spans="1:14">
      <c r="A7" s="6" t="s">
        <v>9</v>
      </c>
      <c r="B7" s="9">
        <f>'Data Sheet'!B25</f>
        <v>2.48</v>
      </c>
      <c r="C7" s="9">
        <f>'Data Sheet'!C25</f>
        <v>2.54</v>
      </c>
      <c r="D7" s="9">
        <f>'Data Sheet'!D25</f>
        <v>3.06</v>
      </c>
      <c r="E7" s="9">
        <f>'Data Sheet'!E25</f>
        <v>2.5099999999999998</v>
      </c>
      <c r="F7" s="9">
        <f>'Data Sheet'!F25</f>
        <v>10.01</v>
      </c>
      <c r="G7" s="9">
        <f>'Data Sheet'!G25</f>
        <v>2.5099999999999998</v>
      </c>
      <c r="H7" s="9">
        <f>'Data Sheet'!H25</f>
        <v>1.1299999999999999</v>
      </c>
      <c r="I7" s="9">
        <f>'Data Sheet'!I25</f>
        <v>1.93</v>
      </c>
      <c r="J7" s="9">
        <f>'Data Sheet'!J25</f>
        <v>1.74</v>
      </c>
      <c r="K7" s="9">
        <f>'Data Sheet'!K25</f>
        <v>2.94</v>
      </c>
      <c r="L7" s="9">
        <f>SUM(Quarters!H7:K7)</f>
        <v>4.0600000000000005</v>
      </c>
      <c r="M7" s="9">
        <v>0</v>
      </c>
      <c r="N7" s="9">
        <v>0</v>
      </c>
    </row>
    <row r="8" spans="1:14">
      <c r="A8" s="6" t="s">
        <v>10</v>
      </c>
      <c r="B8" s="9">
        <f>'Data Sheet'!B26</f>
        <v>2.23</v>
      </c>
      <c r="C8" s="9">
        <f>'Data Sheet'!C26</f>
        <v>2.2599999999999998</v>
      </c>
      <c r="D8" s="9">
        <f>'Data Sheet'!D26</f>
        <v>2.35</v>
      </c>
      <c r="E8" s="9">
        <f>'Data Sheet'!E26</f>
        <v>2.16</v>
      </c>
      <c r="F8" s="9">
        <f>'Data Sheet'!F26</f>
        <v>2.16</v>
      </c>
      <c r="G8" s="9">
        <f>'Data Sheet'!G26</f>
        <v>2.33</v>
      </c>
      <c r="H8" s="9">
        <f>'Data Sheet'!H26</f>
        <v>2.7</v>
      </c>
      <c r="I8" s="9">
        <f>'Data Sheet'!I26</f>
        <v>2.65</v>
      </c>
      <c r="J8" s="9">
        <f>'Data Sheet'!J26</f>
        <v>2.6</v>
      </c>
      <c r="K8" s="9">
        <f>'Data Sheet'!K26</f>
        <v>2.85</v>
      </c>
      <c r="L8" s="9">
        <f>SUM(Quarters!H8:K8)</f>
        <v>2.6500000000000004</v>
      </c>
      <c r="M8" s="9">
        <f>+$L8</f>
        <v>2.6500000000000004</v>
      </c>
      <c r="N8" s="9">
        <f>+$L8</f>
        <v>2.6500000000000004</v>
      </c>
    </row>
    <row r="9" spans="1:14">
      <c r="A9" s="6" t="s">
        <v>11</v>
      </c>
      <c r="B9" s="9">
        <f>'Data Sheet'!B27</f>
        <v>1.19</v>
      </c>
      <c r="C9" s="9">
        <f>'Data Sheet'!C27</f>
        <v>1.4</v>
      </c>
      <c r="D9" s="9">
        <f>'Data Sheet'!D27</f>
        <v>1.1499999999999999</v>
      </c>
      <c r="E9" s="9">
        <f>'Data Sheet'!E27</f>
        <v>1.9</v>
      </c>
      <c r="F9" s="9">
        <f>'Data Sheet'!F27</f>
        <v>1.19</v>
      </c>
      <c r="G9" s="9">
        <f>'Data Sheet'!G27</f>
        <v>2.1</v>
      </c>
      <c r="H9" s="9">
        <f>'Data Sheet'!H27</f>
        <v>2.13</v>
      </c>
      <c r="I9" s="9">
        <f>'Data Sheet'!I27</f>
        <v>2.06</v>
      </c>
      <c r="J9" s="9">
        <f>'Data Sheet'!J27</f>
        <v>1.71</v>
      </c>
      <c r="K9" s="9">
        <f>'Data Sheet'!K27</f>
        <v>1.1000000000000001</v>
      </c>
      <c r="L9" s="9">
        <f>SUM(Quarters!H9:K9)</f>
        <v>0.42999999999999994</v>
      </c>
      <c r="M9" s="9">
        <f>+$L9</f>
        <v>0.42999999999999994</v>
      </c>
      <c r="N9" s="9">
        <f>+$L9</f>
        <v>0.42999999999999994</v>
      </c>
    </row>
    <row r="10" spans="1:14">
      <c r="A10" s="6" t="s">
        <v>12</v>
      </c>
      <c r="B10" s="9">
        <f>'Data Sheet'!B28</f>
        <v>1.68</v>
      </c>
      <c r="C10" s="9">
        <f>'Data Sheet'!C28</f>
        <v>3</v>
      </c>
      <c r="D10" s="9">
        <f>'Data Sheet'!D28</f>
        <v>5.29</v>
      </c>
      <c r="E10" s="9">
        <f>'Data Sheet'!E28</f>
        <v>5.97</v>
      </c>
      <c r="F10" s="9">
        <f>'Data Sheet'!F28</f>
        <v>17.16</v>
      </c>
      <c r="G10" s="9">
        <f>'Data Sheet'!G28</f>
        <v>13.99</v>
      </c>
      <c r="H10" s="9">
        <f>'Data Sheet'!H28</f>
        <v>14.42</v>
      </c>
      <c r="I10" s="9">
        <f>'Data Sheet'!I28</f>
        <v>17.53</v>
      </c>
      <c r="J10" s="9">
        <f>'Data Sheet'!J28</f>
        <v>19.100000000000001</v>
      </c>
      <c r="K10" s="9">
        <f>'Data Sheet'!K28</f>
        <v>21.93</v>
      </c>
      <c r="L10" s="9">
        <f>SUM(Quarters!H10:K10)</f>
        <v>22.55</v>
      </c>
      <c r="M10" s="9">
        <f>M6+M7-SUM(M8:M9)</f>
        <v>21.919350559237984</v>
      </c>
      <c r="N10" s="9">
        <f>N6+N7-SUM(N8:N9)</f>
        <v>18.361831035297129</v>
      </c>
    </row>
    <row r="11" spans="1:14">
      <c r="A11" s="6" t="s">
        <v>13</v>
      </c>
      <c r="B11" s="9">
        <f>'Data Sheet'!B29</f>
        <v>0.49</v>
      </c>
      <c r="C11" s="9">
        <f>'Data Sheet'!C29</f>
        <v>1.3</v>
      </c>
      <c r="D11" s="9">
        <f>'Data Sheet'!D29</f>
        <v>1.49</v>
      </c>
      <c r="E11" s="9">
        <f>'Data Sheet'!E29</f>
        <v>2</v>
      </c>
      <c r="F11" s="9">
        <f>'Data Sheet'!F29</f>
        <v>2.97</v>
      </c>
      <c r="G11" s="9">
        <f>'Data Sheet'!G29</f>
        <v>4.4400000000000004</v>
      </c>
      <c r="H11" s="9">
        <f>'Data Sheet'!H29</f>
        <v>4.58</v>
      </c>
      <c r="I11" s="9">
        <f>'Data Sheet'!I29</f>
        <v>4.74</v>
      </c>
      <c r="J11" s="9">
        <f>'Data Sheet'!J29</f>
        <v>5.64</v>
      </c>
      <c r="K11" s="9">
        <f>'Data Sheet'!K29</f>
        <v>5.62</v>
      </c>
      <c r="L11" s="9">
        <f>SUM(Quarters!H11:K11)</f>
        <v>5.6</v>
      </c>
      <c r="M11" s="10">
        <f>IF($L10&gt;0,$L11/$L10,0)</f>
        <v>0.24833702882483369</v>
      </c>
      <c r="N11" s="10">
        <f>IF($L10&gt;0,$L11/$L10,0)</f>
        <v>0.24833702882483369</v>
      </c>
    </row>
    <row r="12" spans="1:14" s="8" customFormat="1">
      <c r="A12" s="8" t="s">
        <v>14</v>
      </c>
      <c r="B12" s="1">
        <f>'Data Sheet'!B30</f>
        <v>1.19</v>
      </c>
      <c r="C12" s="1">
        <f>'Data Sheet'!C30</f>
        <v>1.7</v>
      </c>
      <c r="D12" s="1">
        <f>'Data Sheet'!D30</f>
        <v>3.8</v>
      </c>
      <c r="E12" s="1">
        <f>'Data Sheet'!E30</f>
        <v>3.97</v>
      </c>
      <c r="F12" s="1">
        <f>'Data Sheet'!F30</f>
        <v>14.19</v>
      </c>
      <c r="G12" s="1">
        <f>'Data Sheet'!G30</f>
        <v>9.5500000000000007</v>
      </c>
      <c r="H12" s="1">
        <f>'Data Sheet'!H30</f>
        <v>9.84</v>
      </c>
      <c r="I12" s="1">
        <f>'Data Sheet'!I30</f>
        <v>12.79</v>
      </c>
      <c r="J12" s="1">
        <f>'Data Sheet'!J30</f>
        <v>13.47</v>
      </c>
      <c r="K12" s="1">
        <f>'Data Sheet'!K30</f>
        <v>16.309999999999999</v>
      </c>
      <c r="L12" s="1">
        <f>SUM(Quarters!H12:K12)</f>
        <v>16.97</v>
      </c>
      <c r="M12" s="1">
        <f>M10-M11*M10</f>
        <v>16.475964167586866</v>
      </c>
      <c r="N12" s="1">
        <f>N10-N11*N10</f>
        <v>13.80190847220782</v>
      </c>
    </row>
    <row r="13" spans="1:14">
      <c r="A13" s="11" t="s">
        <v>48</v>
      </c>
      <c r="B13" s="9">
        <f>IF('Data Sheet'!B93&gt;0,B12/'Data Sheet'!B93,0)</f>
        <v>0.97540983606557374</v>
      </c>
      <c r="C13" s="9">
        <f>IF('Data Sheet'!C93&gt;0,C12/'Data Sheet'!C93,0)</f>
        <v>1.3934426229508197</v>
      </c>
      <c r="D13" s="9">
        <f>IF('Data Sheet'!D93&gt;0,D12/'Data Sheet'!D93,0)</f>
        <v>3.1147540983606556</v>
      </c>
      <c r="E13" s="9">
        <f>IF('Data Sheet'!E93&gt;0,E12/'Data Sheet'!E93,0)</f>
        <v>3.2540983606557381</v>
      </c>
      <c r="F13" s="9">
        <f>IF('Data Sheet'!F93&gt;0,F12/'Data Sheet'!F93,0)</f>
        <v>13.374175306314797</v>
      </c>
      <c r="G13" s="9">
        <f>IF('Data Sheet'!G93&gt;0,G12/'Data Sheet'!G93,0)</f>
        <v>9.0009425070688049</v>
      </c>
      <c r="H13" s="9">
        <f>IF('Data Sheet'!H93&gt;0,H12/'Data Sheet'!H93,0)</f>
        <v>9.2742695570216789</v>
      </c>
      <c r="I13" s="9">
        <f>IF('Data Sheet'!I93&gt;0,I12/'Data Sheet'!I93,0)</f>
        <v>12.054665409990575</v>
      </c>
      <c r="J13" s="9">
        <f>IF('Data Sheet'!J93&gt;0,J12/'Data Sheet'!J93,0)</f>
        <v>12.695570216776627</v>
      </c>
      <c r="K13" s="9">
        <f>IF('Data Sheet'!K93&gt;0,K12/'Data Sheet'!K93,0)</f>
        <v>15.37229029217719</v>
      </c>
      <c r="L13" s="9">
        <f>IF('Data Sheet'!$B6&gt;0,'Profit &amp; Loss'!L12/'Data Sheet'!$B6,0)</f>
        <v>15.994072343917685</v>
      </c>
      <c r="M13" s="9">
        <f>IF('Data Sheet'!$B6&gt;0,'Profit &amp; Loss'!M12/'Data Sheet'!$B6,0)</f>
        <v>15.528448016038883</v>
      </c>
      <c r="N13" s="9">
        <f>IF('Data Sheet'!$B6&gt;0,'Profit &amp; Loss'!N12/'Data Sheet'!$B6,0)</f>
        <v>13.008174577997778</v>
      </c>
    </row>
    <row r="14" spans="1:14">
      <c r="A14" s="6" t="s">
        <v>16</v>
      </c>
      <c r="B14" s="9">
        <f>IF(B15&gt;0,B15/B13,"")</f>
        <v>15.080840336134456</v>
      </c>
      <c r="C14" s="9">
        <f t="shared" ref="C14:K14" si="2">IF(C15&gt;0,C15/C13,"")</f>
        <v>21.027058823529412</v>
      </c>
      <c r="D14" s="9">
        <f t="shared" si="2"/>
        <v>9.2655789473684216</v>
      </c>
      <c r="E14" s="9">
        <f t="shared" si="2"/>
        <v>5.3010075566750627</v>
      </c>
      <c r="F14" s="9">
        <f t="shared" si="2"/>
        <v>2.9713981677237493</v>
      </c>
      <c r="G14" s="9">
        <f t="shared" si="2"/>
        <v>4.9483706806282708</v>
      </c>
      <c r="H14" s="9">
        <f t="shared" si="2"/>
        <v>4.1933221544715442</v>
      </c>
      <c r="I14" s="9">
        <f t="shared" si="2"/>
        <v>3.8590867865519942</v>
      </c>
      <c r="J14" s="9">
        <f t="shared" si="2"/>
        <v>3.9116005939123974</v>
      </c>
      <c r="K14" s="9">
        <f t="shared" si="2"/>
        <v>8.7774819129368495</v>
      </c>
      <c r="L14" s="9">
        <f t="shared" ref="L14" si="3">IF(L13&gt;0,L15/L13,0)</f>
        <v>9.3347083087801987</v>
      </c>
      <c r="M14" s="9">
        <f>M25</f>
        <v>9.3347083087801987</v>
      </c>
      <c r="N14" s="9">
        <f>N25</f>
        <v>5.4121220202100089</v>
      </c>
    </row>
    <row r="15" spans="1:14" s="8" customFormat="1">
      <c r="A15" s="8" t="s">
        <v>49</v>
      </c>
      <c r="B15" s="1" t="str">
        <f>'Data Sheet'!B90</f>
        <v>14.71</v>
      </c>
      <c r="C15" s="1">
        <f>'Data Sheet'!C90</f>
        <v>29.3</v>
      </c>
      <c r="D15" s="1">
        <f>'Data Sheet'!D90</f>
        <v>28.86</v>
      </c>
      <c r="E15" s="1">
        <f>'Data Sheet'!E90</f>
        <v>17.25</v>
      </c>
      <c r="F15" s="1">
        <f>'Data Sheet'!F90</f>
        <v>39.74</v>
      </c>
      <c r="G15" s="1">
        <f>'Data Sheet'!G90</f>
        <v>44.54</v>
      </c>
      <c r="H15" s="1">
        <f>'Data Sheet'!H90</f>
        <v>38.89</v>
      </c>
      <c r="I15" s="1">
        <f>'Data Sheet'!I90</f>
        <v>46.52</v>
      </c>
      <c r="J15" s="1">
        <f>'Data Sheet'!J90</f>
        <v>49.66</v>
      </c>
      <c r="K15" s="1">
        <f>'Data Sheet'!K90</f>
        <v>134.93</v>
      </c>
      <c r="L15" s="1">
        <f>'Data Sheet'!B8</f>
        <v>149.30000000000001</v>
      </c>
      <c r="M15" s="12">
        <f>M13*M14</f>
        <v>144.95353271777955</v>
      </c>
      <c r="N15" s="13">
        <f>N13*N14</f>
        <v>70.401828076317813</v>
      </c>
    </row>
    <row r="17" spans="1:14" s="8" customFormat="1">
      <c r="A17" s="8" t="s">
        <v>15</v>
      </c>
    </row>
    <row r="18" spans="1:14">
      <c r="A18" s="6" t="s">
        <v>17</v>
      </c>
      <c r="B18" s="7">
        <f>IF('Data Sheet'!B30&gt;0, 'Data Sheet'!B31/'Data Sheet'!B30, 0)</f>
        <v>0</v>
      </c>
      <c r="C18" s="7">
        <f>IF('Data Sheet'!C30&gt;0, 'Data Sheet'!C31/'Data Sheet'!C30, 0)</f>
        <v>0</v>
      </c>
      <c r="D18" s="7">
        <f>IF('Data Sheet'!D30&gt;0, 'Data Sheet'!D31/'Data Sheet'!D30, 0)</f>
        <v>0</v>
      </c>
      <c r="E18" s="7">
        <f>IF('Data Sheet'!E30&gt;0, 'Data Sheet'!E31/'Data Sheet'!E30, 0)</f>
        <v>0</v>
      </c>
      <c r="F18" s="7">
        <f>IF('Data Sheet'!F30&gt;0, 'Data Sheet'!F31/'Data Sheet'!F30, 0)</f>
        <v>0</v>
      </c>
      <c r="G18" s="7">
        <f>IF('Data Sheet'!G30&gt;0, 'Data Sheet'!G31/'Data Sheet'!G30, 0)</f>
        <v>0.29109947643979056</v>
      </c>
      <c r="H18" s="7">
        <f>IF('Data Sheet'!H30&gt;0, 'Data Sheet'!H31/'Data Sheet'!H30, 0)</f>
        <v>0.21544715447154472</v>
      </c>
      <c r="I18" s="7">
        <f>IF('Data Sheet'!I30&gt;0, 'Data Sheet'!I31/'Data Sheet'!I30, 0)</f>
        <v>0.16575449569976547</v>
      </c>
      <c r="J18" s="7">
        <f>IF('Data Sheet'!J30&gt;0, 'Data Sheet'!J31/'Data Sheet'!J30, 0)</f>
        <v>0.17743132887899035</v>
      </c>
      <c r="K18" s="7">
        <f>IF('Data Sheet'!K30&gt;0, 'Data Sheet'!K31/'Data Sheet'!K30, 0)</f>
        <v>0.16247700797057021</v>
      </c>
    </row>
    <row r="19" spans="1:14">
      <c r="A19" s="6" t="s">
        <v>18</v>
      </c>
      <c r="B19" s="7">
        <f t="shared" ref="B19:L19" si="4">IF(B6&gt;0,B6/B4,0)</f>
        <v>1.432740780047737E-2</v>
      </c>
      <c r="C19" s="7">
        <f t="shared" ref="C19:K19" si="5">IF(C6&gt;0,C6/C4,0)</f>
        <v>9.4121496346384503E-2</v>
      </c>
      <c r="D19" s="7">
        <f t="shared" si="5"/>
        <v>7.8286408750253098E-2</v>
      </c>
      <c r="E19" s="7">
        <f t="shared" si="5"/>
        <v>8.335421364737329E-2</v>
      </c>
      <c r="F19" s="7">
        <f t="shared" si="5"/>
        <v>8.8183421516754845E-2</v>
      </c>
      <c r="G19" s="7">
        <f t="shared" si="5"/>
        <v>7.9096954096953803E-2</v>
      </c>
      <c r="H19" s="7">
        <f t="shared" si="5"/>
        <v>4.1906993511175127E-2</v>
      </c>
      <c r="I19" s="7">
        <f t="shared" si="5"/>
        <v>6.6557793503901397E-2</v>
      </c>
      <c r="J19" s="7">
        <f t="shared" si="5"/>
        <v>7.5375921846566454E-2</v>
      </c>
      <c r="K19" s="7">
        <f t="shared" si="5"/>
        <v>6.6664572272312886E-2</v>
      </c>
      <c r="L19" s="7">
        <f t="shared" si="4"/>
        <v>6.8667474644383553E-2</v>
      </c>
    </row>
    <row r="20" spans="1:1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4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s="2" customFormat="1">
      <c r="A22" s="15"/>
      <c r="B22" s="16"/>
      <c r="C22" s="16"/>
      <c r="D22" s="16"/>
      <c r="E22" s="16"/>
      <c r="F22" s="16"/>
      <c r="G22" s="16" t="s">
        <v>19</v>
      </c>
      <c r="H22" s="16" t="s">
        <v>56</v>
      </c>
      <c r="I22" s="16" t="s">
        <v>57</v>
      </c>
      <c r="J22" s="16" t="s">
        <v>58</v>
      </c>
      <c r="K22" s="16" t="s">
        <v>59</v>
      </c>
      <c r="L22" s="17" t="s">
        <v>60</v>
      </c>
      <c r="M22" s="17" t="s">
        <v>20</v>
      </c>
      <c r="N22" s="17" t="s">
        <v>21</v>
      </c>
    </row>
    <row r="23" spans="1:14" s="8" customFormat="1">
      <c r="A23" s="6"/>
      <c r="B23" s="6"/>
      <c r="C23" s="6"/>
      <c r="D23" s="6"/>
      <c r="E23" s="6"/>
      <c r="F23" s="6"/>
      <c r="G23" s="6" t="s">
        <v>22</v>
      </c>
      <c r="H23" s="7">
        <f>IF(B4=0,"",POWER($K4/B4,1/9)-1)</f>
        <v>0.1735739505729561</v>
      </c>
      <c r="I23" s="7">
        <f>IF(D4=0,"",POWER($K4/D4,1/7)-1)</f>
        <v>0.18201353988396596</v>
      </c>
      <c r="J23" s="7">
        <f>IF(F4=0,"",POWER($K4/F4,1/5)-1)</f>
        <v>0.15765910515622394</v>
      </c>
      <c r="K23" s="7">
        <f>IF(H4=0,"",POWER($K4/H4, 1/3)-1)</f>
        <v>0.1277632707676466</v>
      </c>
      <c r="L23" s="7">
        <f>IF(ISERROR(MAX(IF(J4=0,"",(K4-J4)/J4),IF(K4=0,"",(L4-K4)/K4))),"",MAX(IF(J4=0,"",(K4-J4)/J4),IF(K4=0,"",(L4-K4)/K4)))</f>
        <v>1.6218114484564006E-2</v>
      </c>
      <c r="M23" s="22">
        <f>MAX(K23:L23)</f>
        <v>0.1277632707676466</v>
      </c>
      <c r="N23" s="22">
        <f>MIN(H23:L23)</f>
        <v>1.6218114484564006E-2</v>
      </c>
    </row>
    <row r="24" spans="1:14">
      <c r="G24" s="6" t="s">
        <v>18</v>
      </c>
      <c r="H24" s="7">
        <f>IF(SUM(B4:$K$4)=0,"",SUMPRODUCT(B19:$K$19,B4:$K$4)/SUM(B4:$K$4))</f>
        <v>6.9110952904882034E-2</v>
      </c>
      <c r="I24" s="7">
        <f>IF(SUM(E4:$K$4)=0,"",SUMPRODUCT(E19:$K$19,E4:$K$4)/SUM(E4:$K$4))</f>
        <v>6.9696721672721257E-2</v>
      </c>
      <c r="J24" s="7">
        <f>IF(SUM(G4:$K$4)=0,"",SUMPRODUCT(G19:$K$19,G4:$K$4)/SUM(G4:$K$4))</f>
        <v>6.6302290401295247E-2</v>
      </c>
      <c r="K24" s="7">
        <f>IF(SUM(I4:$K$4)=0, "", SUMPRODUCT(I19:$K$19,I4:$K$4)/SUM(I4:$K$4))</f>
        <v>6.9640278252433574E-2</v>
      </c>
      <c r="L24" s="7">
        <f>L19</f>
        <v>6.8667474644383553E-2</v>
      </c>
      <c r="M24" s="22">
        <f>MAX(K24:L24)</f>
        <v>6.9640278252433574E-2</v>
      </c>
      <c r="N24" s="22">
        <f>MIN(H24:L24)</f>
        <v>6.6302290401295247E-2</v>
      </c>
    </row>
    <row r="25" spans="1:14">
      <c r="G25" s="6" t="s">
        <v>23</v>
      </c>
      <c r="H25" s="9">
        <f>IF(ISERROR(AVERAGEIF(B14:$L14,"&gt;0")),"",AVERAGEIF(B14:$L14,"&gt;0"))</f>
        <v>8.0609503880647591</v>
      </c>
      <c r="I25" s="9">
        <f>IF(ISERROR(AVERAGEIF(E14:$L14,"&gt;0")),"",AVERAGEIF(E14:$L14,"&gt;0"))</f>
        <v>5.4121220202100089</v>
      </c>
      <c r="J25" s="9">
        <f>IF(ISERROR(AVERAGEIF(G14:$L14,"&gt;0")),"",AVERAGEIF(G14:$L14,"&gt;0"))</f>
        <v>5.8374284062135429</v>
      </c>
      <c r="K25" s="9">
        <f>IF(ISERROR(AVERAGEIF(I14:$L14,"&gt;0")),"",AVERAGEIF(I14:$L14,"&gt;0"))</f>
        <v>6.4707194005453594</v>
      </c>
      <c r="L25" s="9">
        <f>L14</f>
        <v>9.3347083087801987</v>
      </c>
      <c r="M25" s="1">
        <f>MAX(K25:L25)</f>
        <v>9.3347083087801987</v>
      </c>
      <c r="N25" s="1">
        <f>MIN(H25:L25)</f>
        <v>5.4121220202100089</v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2"/>
  <sheetViews>
    <sheetView topLeftCell="A13" workbookViewId="0">
      <selection activeCell="K12" sqref="K12"/>
    </sheetView>
  </sheetViews>
  <sheetFormatPr defaultRowHeight="15"/>
  <cols>
    <col min="1" max="1" width="20.7109375" style="6" customWidth="1"/>
    <col min="2" max="11" width="13.5703125" style="6" bestFit="1" customWidth="1"/>
    <col min="12" max="16384" width="9.140625" style="6"/>
  </cols>
  <sheetData>
    <row r="1" spans="1:11" s="8" customFormat="1">
      <c r="A1" s="8" t="str">
        <f>'Profit &amp; Loss'!A1</f>
        <v>PODDAR PIGMENTS LTD</v>
      </c>
      <c r="E1" t="str">
        <f>UPDATE</f>
        <v/>
      </c>
      <c r="J1" s="4" t="s">
        <v>1</v>
      </c>
      <c r="K1" s="4"/>
    </row>
    <row r="3" spans="1:11" s="2" customFormat="1">
      <c r="A3" s="15" t="s">
        <v>2</v>
      </c>
      <c r="B3" s="16">
        <f>'Data Sheet'!B41</f>
        <v>41547</v>
      </c>
      <c r="C3" s="16">
        <f>'Data Sheet'!C41</f>
        <v>41639</v>
      </c>
      <c r="D3" s="16">
        <f>'Data Sheet'!D41</f>
        <v>41729</v>
      </c>
      <c r="E3" s="16">
        <f>'Data Sheet'!E41</f>
        <v>41820</v>
      </c>
      <c r="F3" s="16">
        <f>'Data Sheet'!F41</f>
        <v>41912</v>
      </c>
      <c r="G3" s="16">
        <f>'Data Sheet'!G41</f>
        <v>42004</v>
      </c>
      <c r="H3" s="16">
        <f>'Data Sheet'!H41</f>
        <v>42094</v>
      </c>
      <c r="I3" s="16">
        <f>'Data Sheet'!I41</f>
        <v>42185</v>
      </c>
      <c r="J3" s="16">
        <f>'Data Sheet'!J41</f>
        <v>42277</v>
      </c>
      <c r="K3" s="16">
        <f>'Data Sheet'!K41</f>
        <v>42369</v>
      </c>
    </row>
    <row r="4" spans="1:11" s="8" customFormat="1">
      <c r="A4" s="8" t="s">
        <v>6</v>
      </c>
      <c r="B4" s="1">
        <f>'Data Sheet'!B42</f>
        <v>82.63</v>
      </c>
      <c r="C4" s="1">
        <f>'Data Sheet'!C42</f>
        <v>74.430000000000007</v>
      </c>
      <c r="D4" s="1">
        <f>'Data Sheet'!D42</f>
        <v>85.85</v>
      </c>
      <c r="E4" s="1">
        <f>'Data Sheet'!E42</f>
        <v>85.23</v>
      </c>
      <c r="F4" s="1">
        <f>'Data Sheet'!F42</f>
        <v>76.010000000000005</v>
      </c>
      <c r="G4" s="1">
        <f>'Data Sheet'!G42</f>
        <v>81.62</v>
      </c>
      <c r="H4" s="1">
        <f>'Data Sheet'!H42</f>
        <v>75.41</v>
      </c>
      <c r="I4" s="1">
        <f>'Data Sheet'!I42</f>
        <v>75.31</v>
      </c>
      <c r="J4" s="1">
        <f>'Data Sheet'!J42</f>
        <v>78.98</v>
      </c>
      <c r="K4" s="1">
        <f>'Data Sheet'!K42</f>
        <v>83.84</v>
      </c>
    </row>
    <row r="5" spans="1:11">
      <c r="A5" s="6" t="s">
        <v>7</v>
      </c>
      <c r="B5" s="1">
        <f>'Data Sheet'!B43</f>
        <v>77.19</v>
      </c>
      <c r="C5" s="1">
        <f>'Data Sheet'!C43</f>
        <v>69.59</v>
      </c>
      <c r="D5" s="1">
        <f>'Data Sheet'!D43</f>
        <v>79.849999999999994</v>
      </c>
      <c r="E5" s="1">
        <f>'Data Sheet'!E43</f>
        <v>79.400000000000006</v>
      </c>
      <c r="F5" s="1">
        <f>'Data Sheet'!F43</f>
        <v>70.58</v>
      </c>
      <c r="G5" s="1">
        <f>'Data Sheet'!G43</f>
        <v>75.510000000000005</v>
      </c>
      <c r="H5" s="1">
        <f>'Data Sheet'!H43</f>
        <v>70.39</v>
      </c>
      <c r="I5" s="1">
        <f>'Data Sheet'!I43</f>
        <v>69.989999999999995</v>
      </c>
      <c r="J5" s="1">
        <f>'Data Sheet'!J43</f>
        <v>73.739999999999995</v>
      </c>
      <c r="K5" s="1">
        <f>'Data Sheet'!K43</f>
        <v>77.89</v>
      </c>
    </row>
    <row r="6" spans="1:11" s="8" customFormat="1">
      <c r="A6" s="8" t="s">
        <v>8</v>
      </c>
      <c r="B6" s="1">
        <f>B4-B5</f>
        <v>5.4399999999999977</v>
      </c>
      <c r="C6" s="1">
        <f t="shared" ref="C6:K6" si="0">C4-C5</f>
        <v>4.8400000000000034</v>
      </c>
      <c r="D6" s="1">
        <f t="shared" si="0"/>
        <v>6</v>
      </c>
      <c r="E6" s="1">
        <f t="shared" si="0"/>
        <v>5.8299999999999983</v>
      </c>
      <c r="F6" s="1">
        <f t="shared" si="0"/>
        <v>5.4300000000000068</v>
      </c>
      <c r="G6" s="1">
        <f t="shared" si="0"/>
        <v>6.1099999999999994</v>
      </c>
      <c r="H6" s="1">
        <f t="shared" si="0"/>
        <v>5.019999999999996</v>
      </c>
      <c r="I6" s="1">
        <f t="shared" si="0"/>
        <v>5.3200000000000074</v>
      </c>
      <c r="J6" s="1">
        <f t="shared" si="0"/>
        <v>5.2400000000000091</v>
      </c>
      <c r="K6" s="1">
        <f t="shared" si="0"/>
        <v>5.9500000000000028</v>
      </c>
    </row>
    <row r="7" spans="1:11">
      <c r="A7" s="6" t="s">
        <v>9</v>
      </c>
      <c r="B7" s="9">
        <f>'Data Sheet'!B44</f>
        <v>-0.17</v>
      </c>
      <c r="C7" s="9">
        <f>'Data Sheet'!C44</f>
        <v>1.06</v>
      </c>
      <c r="D7" s="9">
        <f>'Data Sheet'!D44</f>
        <v>0.5</v>
      </c>
      <c r="E7" s="9">
        <f>'Data Sheet'!E44</f>
        <v>0.45</v>
      </c>
      <c r="F7" s="9">
        <f>'Data Sheet'!F44</f>
        <v>0.65</v>
      </c>
      <c r="G7" s="9">
        <f>'Data Sheet'!G44</f>
        <v>0.67</v>
      </c>
      <c r="H7" s="9">
        <f>'Data Sheet'!H44</f>
        <v>1.17</v>
      </c>
      <c r="I7" s="9">
        <f>'Data Sheet'!I44</f>
        <v>0.67</v>
      </c>
      <c r="J7" s="9">
        <f>'Data Sheet'!J44</f>
        <v>1.07</v>
      </c>
      <c r="K7" s="9">
        <f>'Data Sheet'!K44</f>
        <v>1.1499999999999999</v>
      </c>
    </row>
    <row r="8" spans="1:11">
      <c r="A8" s="6" t="s">
        <v>10</v>
      </c>
      <c r="B8" s="9">
        <f>'Data Sheet'!B45</f>
        <v>0.63</v>
      </c>
      <c r="C8" s="9">
        <f>'Data Sheet'!C45</f>
        <v>0.67</v>
      </c>
      <c r="D8" s="9">
        <f>'Data Sheet'!D45</f>
        <v>0.67</v>
      </c>
      <c r="E8" s="9">
        <f>'Data Sheet'!E45</f>
        <v>0.63</v>
      </c>
      <c r="F8" s="9">
        <f>'Data Sheet'!F45</f>
        <v>0.84</v>
      </c>
      <c r="G8" s="9">
        <f>'Data Sheet'!G45</f>
        <v>0.69</v>
      </c>
      <c r="H8" s="9">
        <f>'Data Sheet'!H45</f>
        <v>0.68</v>
      </c>
      <c r="I8" s="9">
        <f>'Data Sheet'!I45</f>
        <v>0.65</v>
      </c>
      <c r="J8" s="9">
        <f>'Data Sheet'!J45</f>
        <v>0.66</v>
      </c>
      <c r="K8" s="9">
        <f>'Data Sheet'!K45</f>
        <v>0.66</v>
      </c>
    </row>
    <row r="9" spans="1:11">
      <c r="A9" s="6" t="s">
        <v>11</v>
      </c>
      <c r="B9" s="9">
        <f>'Data Sheet'!B46</f>
        <v>0.15</v>
      </c>
      <c r="C9" s="9">
        <f>'Data Sheet'!C46</f>
        <v>0.43</v>
      </c>
      <c r="D9" s="9">
        <f>'Data Sheet'!D46</f>
        <v>0.27</v>
      </c>
      <c r="E9" s="9">
        <f>'Data Sheet'!E46</f>
        <v>0.2</v>
      </c>
      <c r="F9" s="9">
        <f>'Data Sheet'!F46</f>
        <v>0.16</v>
      </c>
      <c r="G9" s="9">
        <f>'Data Sheet'!G46</f>
        <v>0.13</v>
      </c>
      <c r="H9" s="9">
        <f>'Data Sheet'!H46</f>
        <v>0.11</v>
      </c>
      <c r="I9" s="9">
        <f>'Data Sheet'!I46</f>
        <v>0.13</v>
      </c>
      <c r="J9" s="9">
        <f>'Data Sheet'!J46</f>
        <v>0.1</v>
      </c>
      <c r="K9" s="9">
        <f>'Data Sheet'!K46</f>
        <v>0.09</v>
      </c>
    </row>
    <row r="10" spans="1:11">
      <c r="A10" s="6" t="s">
        <v>12</v>
      </c>
      <c r="B10" s="9">
        <f>'Data Sheet'!B47</f>
        <v>4.5</v>
      </c>
      <c r="C10" s="9">
        <f>'Data Sheet'!C47</f>
        <v>4.8099999999999996</v>
      </c>
      <c r="D10" s="9">
        <f>'Data Sheet'!D47</f>
        <v>5.2</v>
      </c>
      <c r="E10" s="9">
        <f>'Data Sheet'!E47</f>
        <v>5.47</v>
      </c>
      <c r="F10" s="9">
        <f>'Data Sheet'!F47</f>
        <v>5.0999999999999996</v>
      </c>
      <c r="G10" s="9">
        <f>'Data Sheet'!G47</f>
        <v>5.96</v>
      </c>
      <c r="H10" s="9">
        <f>'Data Sheet'!H47</f>
        <v>5.3</v>
      </c>
      <c r="I10" s="9">
        <f>'Data Sheet'!I47</f>
        <v>5.27</v>
      </c>
      <c r="J10" s="9">
        <f>'Data Sheet'!J47</f>
        <v>5.62</v>
      </c>
      <c r="K10" s="9">
        <f>'Data Sheet'!K47</f>
        <v>6.36</v>
      </c>
    </row>
    <row r="11" spans="1:11">
      <c r="A11" s="6" t="s">
        <v>13</v>
      </c>
      <c r="B11" s="9">
        <f>'Data Sheet'!B48</f>
        <v>1.38</v>
      </c>
      <c r="C11" s="9">
        <f>'Data Sheet'!C48</f>
        <v>1.32</v>
      </c>
      <c r="D11" s="9">
        <f>'Data Sheet'!D48</f>
        <v>1.69</v>
      </c>
      <c r="E11" s="9">
        <f>'Data Sheet'!E48</f>
        <v>1.5</v>
      </c>
      <c r="F11" s="9">
        <f>'Data Sheet'!F48</f>
        <v>1.43</v>
      </c>
      <c r="G11" s="9">
        <f>'Data Sheet'!G48</f>
        <v>1.5</v>
      </c>
      <c r="H11" s="9">
        <f>'Data Sheet'!H48</f>
        <v>1.2</v>
      </c>
      <c r="I11" s="9">
        <f>'Data Sheet'!I48</f>
        <v>1.45</v>
      </c>
      <c r="J11" s="9">
        <f>'Data Sheet'!J48</f>
        <v>1.45</v>
      </c>
      <c r="K11" s="9">
        <f>'Data Sheet'!K48</f>
        <v>1.5</v>
      </c>
    </row>
    <row r="12" spans="1:11" s="8" customFormat="1">
      <c r="A12" s="8" t="s">
        <v>14</v>
      </c>
      <c r="B12" s="1">
        <f>'Data Sheet'!B49</f>
        <v>3.12</v>
      </c>
      <c r="C12" s="1">
        <f>'Data Sheet'!C49</f>
        <v>3.49</v>
      </c>
      <c r="D12" s="1">
        <f>'Data Sheet'!D49</f>
        <v>3.9</v>
      </c>
      <c r="E12" s="1">
        <f>'Data Sheet'!E49</f>
        <v>3.97</v>
      </c>
      <c r="F12" s="1">
        <f>'Data Sheet'!F49</f>
        <v>3.65</v>
      </c>
      <c r="G12" s="1">
        <f>'Data Sheet'!G49</f>
        <v>4.4800000000000004</v>
      </c>
      <c r="H12" s="1">
        <f>'Data Sheet'!H49</f>
        <v>4.22</v>
      </c>
      <c r="I12" s="1">
        <f>'Data Sheet'!I49</f>
        <v>3.77</v>
      </c>
      <c r="J12" s="1">
        <f>'Data Sheet'!J49</f>
        <v>4.12</v>
      </c>
      <c r="K12" s="1">
        <f>'Data Sheet'!K49</f>
        <v>4.8600000000000003</v>
      </c>
    </row>
    <row r="14" spans="1:11" s="8" customFormat="1">
      <c r="A14" s="2" t="s">
        <v>18</v>
      </c>
      <c r="B14" s="14">
        <f>IF(B4&gt;0,B6/B4,"")</f>
        <v>6.5835652910565146E-2</v>
      </c>
      <c r="C14" s="14">
        <f t="shared" ref="C14:K14" si="1">IF(C4&gt;0,C6/C4,"")</f>
        <v>6.5027542657530607E-2</v>
      </c>
      <c r="D14" s="14">
        <f t="shared" si="1"/>
        <v>6.9889341875364011E-2</v>
      </c>
      <c r="E14" s="14">
        <f t="shared" si="1"/>
        <v>6.8403144432711463E-2</v>
      </c>
      <c r="F14" s="14">
        <f t="shared" si="1"/>
        <v>7.1437968688330564E-2</v>
      </c>
      <c r="G14" s="14">
        <f t="shared" si="1"/>
        <v>7.485910316098994E-2</v>
      </c>
      <c r="H14" s="14">
        <f t="shared" si="1"/>
        <v>6.6569420501259732E-2</v>
      </c>
      <c r="I14" s="14">
        <f t="shared" si="1"/>
        <v>7.0641349090426339E-2</v>
      </c>
      <c r="J14" s="14">
        <f t="shared" si="1"/>
        <v>6.6345910357052534E-2</v>
      </c>
      <c r="K14" s="14">
        <f t="shared" si="1"/>
        <v>7.0968511450381716E-2</v>
      </c>
    </row>
    <row r="22" s="27" customFormat="1"/>
  </sheetData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5"/>
  <sheetViews>
    <sheetView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B20" sqref="B20"/>
    </sheetView>
  </sheetViews>
  <sheetFormatPr defaultRowHeight="15"/>
  <cols>
    <col min="1" max="1" width="22.85546875" style="11" bestFit="1" customWidth="1"/>
    <col min="2" max="2" width="13.5703125" style="11" customWidth="1"/>
    <col min="3" max="11" width="15.5703125" style="11" customWidth="1"/>
    <col min="12" max="16384" width="9.140625" style="11"/>
  </cols>
  <sheetData>
    <row r="1" spans="1:11" s="8" customFormat="1">
      <c r="A1" s="8" t="str">
        <f>'Profit &amp; Loss'!A1</f>
        <v>PODDAR PIGMENTS LTD</v>
      </c>
      <c r="E1" t="str">
        <f>UPDATE</f>
        <v/>
      </c>
      <c r="G1"/>
      <c r="J1" s="4" t="s">
        <v>1</v>
      </c>
      <c r="K1" s="4"/>
    </row>
    <row r="2" spans="1:11">
      <c r="G2" s="8"/>
      <c r="H2" s="8"/>
    </row>
    <row r="3" spans="1:11" s="18" customFormat="1">
      <c r="A3" s="15" t="s">
        <v>2</v>
      </c>
      <c r="B3" s="16">
        <f>'Data Sheet'!B56</f>
        <v>38807</v>
      </c>
      <c r="C3" s="16">
        <f>'Data Sheet'!C56</f>
        <v>39172</v>
      </c>
      <c r="D3" s="16">
        <f>'Data Sheet'!D56</f>
        <v>39538</v>
      </c>
      <c r="E3" s="16">
        <f>'Data Sheet'!E56</f>
        <v>39903</v>
      </c>
      <c r="F3" s="16">
        <f>'Data Sheet'!F56</f>
        <v>40268</v>
      </c>
      <c r="G3" s="16">
        <f>'Data Sheet'!G56</f>
        <v>40633</v>
      </c>
      <c r="H3" s="16">
        <f>'Data Sheet'!H56</f>
        <v>40999</v>
      </c>
      <c r="I3" s="16">
        <f>'Data Sheet'!I56</f>
        <v>41364</v>
      </c>
      <c r="J3" s="16">
        <f>'Data Sheet'!J56</f>
        <v>41729</v>
      </c>
      <c r="K3" s="16">
        <f>'Data Sheet'!K56</f>
        <v>42094</v>
      </c>
    </row>
    <row r="4" spans="1:11">
      <c r="A4" s="6" t="s">
        <v>24</v>
      </c>
      <c r="B4" s="19">
        <f>'Data Sheet'!B57</f>
        <v>12.2</v>
      </c>
      <c r="C4" s="19">
        <f>'Data Sheet'!C57</f>
        <v>12.2</v>
      </c>
      <c r="D4" s="19">
        <f>'Data Sheet'!D57</f>
        <v>12.2</v>
      </c>
      <c r="E4" s="19">
        <f>'Data Sheet'!E57</f>
        <v>12.2</v>
      </c>
      <c r="F4" s="19">
        <f>'Data Sheet'!F57</f>
        <v>10.61</v>
      </c>
      <c r="G4" s="19">
        <f>'Data Sheet'!G57</f>
        <v>10.61</v>
      </c>
      <c r="H4" s="19">
        <f>'Data Sheet'!H57</f>
        <v>10.61</v>
      </c>
      <c r="I4" s="19">
        <f>'Data Sheet'!I57</f>
        <v>10.61</v>
      </c>
      <c r="J4" s="19">
        <f>'Data Sheet'!J57</f>
        <v>10.61</v>
      </c>
      <c r="K4" s="19">
        <f>'Data Sheet'!K57</f>
        <v>10.61</v>
      </c>
    </row>
    <row r="5" spans="1:11" s="6" customFormat="1">
      <c r="A5" s="6" t="s">
        <v>25</v>
      </c>
      <c r="B5" s="19">
        <f>'Data Sheet'!B58</f>
        <v>16.52</v>
      </c>
      <c r="C5" s="19">
        <f>'Data Sheet'!C58</f>
        <v>18.22</v>
      </c>
      <c r="D5" s="19">
        <f>'Data Sheet'!D58</f>
        <v>22.02</v>
      </c>
      <c r="E5" s="19">
        <f>'Data Sheet'!E58</f>
        <v>25.99</v>
      </c>
      <c r="F5" s="19">
        <f>'Data Sheet'!F58</f>
        <v>36.1</v>
      </c>
      <c r="G5" s="19">
        <f>'Data Sheet'!G58</f>
        <v>42.87</v>
      </c>
      <c r="H5" s="19">
        <f>'Data Sheet'!H58</f>
        <v>50.24</v>
      </c>
      <c r="I5" s="19">
        <f>'Data Sheet'!I58</f>
        <v>60.55</v>
      </c>
      <c r="J5" s="19">
        <f>'Data Sheet'!J58</f>
        <v>71.23</v>
      </c>
      <c r="K5" s="19">
        <f>'Data Sheet'!K58</f>
        <v>84.03</v>
      </c>
    </row>
    <row r="6" spans="1:11">
      <c r="A6" s="11" t="s">
        <v>62</v>
      </c>
      <c r="B6" s="19">
        <f>'Data Sheet'!B59</f>
        <v>7.56</v>
      </c>
      <c r="C6" s="19">
        <f>'Data Sheet'!C59</f>
        <v>6.1</v>
      </c>
      <c r="D6" s="19">
        <f>'Data Sheet'!D59</f>
        <v>13.27</v>
      </c>
      <c r="E6" s="19">
        <f>'Data Sheet'!E59</f>
        <v>10.95</v>
      </c>
      <c r="F6" s="19">
        <f>'Data Sheet'!F59</f>
        <v>9.07</v>
      </c>
      <c r="G6" s="19">
        <f>'Data Sheet'!G59</f>
        <v>23.99</v>
      </c>
      <c r="H6" s="19">
        <f>'Data Sheet'!H59</f>
        <v>21.64</v>
      </c>
      <c r="I6" s="19">
        <f>'Data Sheet'!I59</f>
        <v>14.73</v>
      </c>
      <c r="J6" s="19">
        <f>'Data Sheet'!J59</f>
        <v>6.37</v>
      </c>
      <c r="K6" s="19">
        <f>'Data Sheet'!K59</f>
        <v>0.75</v>
      </c>
    </row>
    <row r="7" spans="1:11" s="6" customFormat="1">
      <c r="A7" s="11" t="s">
        <v>63</v>
      </c>
      <c r="B7" s="19">
        <f>'Data Sheet'!B60</f>
        <v>16.7</v>
      </c>
      <c r="C7" s="19">
        <f>'Data Sheet'!C60</f>
        <v>19.670000000000002</v>
      </c>
      <c r="D7" s="19">
        <f>'Data Sheet'!D60</f>
        <v>16.53</v>
      </c>
      <c r="E7" s="19">
        <f>'Data Sheet'!E60</f>
        <v>20.81</v>
      </c>
      <c r="F7" s="19">
        <f>'Data Sheet'!F60</f>
        <v>26.7</v>
      </c>
      <c r="G7" s="19">
        <f>'Data Sheet'!G60</f>
        <v>36.11</v>
      </c>
      <c r="H7" s="19">
        <f>'Data Sheet'!H60</f>
        <v>20.9</v>
      </c>
      <c r="I7" s="19">
        <f>'Data Sheet'!I60</f>
        <v>28.21</v>
      </c>
      <c r="J7" s="19">
        <f>'Data Sheet'!J60</f>
        <v>32.54</v>
      </c>
      <c r="K7" s="19">
        <f>'Data Sheet'!K60</f>
        <v>27.87</v>
      </c>
    </row>
    <row r="8" spans="1:11" s="8" customFormat="1">
      <c r="A8" s="8" t="s">
        <v>26</v>
      </c>
      <c r="B8" s="20">
        <f>'Data Sheet'!B61</f>
        <v>52.98</v>
      </c>
      <c r="C8" s="20">
        <f>'Data Sheet'!C61</f>
        <v>56.19</v>
      </c>
      <c r="D8" s="20">
        <f>'Data Sheet'!D61</f>
        <v>64.02</v>
      </c>
      <c r="E8" s="20">
        <f>'Data Sheet'!E61</f>
        <v>69.95</v>
      </c>
      <c r="F8" s="20">
        <f>'Data Sheet'!F61</f>
        <v>82.48</v>
      </c>
      <c r="G8" s="20">
        <f>'Data Sheet'!G61</f>
        <v>113.58</v>
      </c>
      <c r="H8" s="20">
        <f>'Data Sheet'!H61</f>
        <v>103.39</v>
      </c>
      <c r="I8" s="20">
        <f>'Data Sheet'!I61</f>
        <v>114.1</v>
      </c>
      <c r="J8" s="20">
        <f>'Data Sheet'!J61</f>
        <v>120.75</v>
      </c>
      <c r="K8" s="20">
        <f>'Data Sheet'!K61</f>
        <v>123.26</v>
      </c>
    </row>
    <row r="9" spans="1:11" s="8" customFormat="1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>
      <c r="A10" s="6" t="s">
        <v>27</v>
      </c>
      <c r="B10" s="19">
        <f>'Data Sheet'!B62</f>
        <v>18.760000000000002</v>
      </c>
      <c r="C10" s="19">
        <f>'Data Sheet'!C62</f>
        <v>16.399999999999999</v>
      </c>
      <c r="D10" s="19">
        <f>'Data Sheet'!D62</f>
        <v>18.71</v>
      </c>
      <c r="E10" s="19">
        <f>'Data Sheet'!E62</f>
        <v>18.440000000000001</v>
      </c>
      <c r="F10" s="19">
        <f>'Data Sheet'!F62</f>
        <v>20.09</v>
      </c>
      <c r="G10" s="19">
        <f>'Data Sheet'!G62</f>
        <v>30.87</v>
      </c>
      <c r="H10" s="19">
        <f>'Data Sheet'!H62</f>
        <v>31.75</v>
      </c>
      <c r="I10" s="19">
        <f>'Data Sheet'!I62</f>
        <v>30.33</v>
      </c>
      <c r="J10" s="19">
        <f>'Data Sheet'!J62</f>
        <v>28.15</v>
      </c>
      <c r="K10" s="19">
        <f>'Data Sheet'!K62</f>
        <v>26.19</v>
      </c>
    </row>
    <row r="11" spans="1:11">
      <c r="A11" s="6" t="s">
        <v>28</v>
      </c>
      <c r="B11" s="19">
        <f>'Data Sheet'!B63</f>
        <v>0.03</v>
      </c>
      <c r="C11" s="19">
        <f>'Data Sheet'!C63</f>
        <v>0</v>
      </c>
      <c r="D11" s="19">
        <f>'Data Sheet'!D63</f>
        <v>0</v>
      </c>
      <c r="E11" s="19">
        <f>'Data Sheet'!E63</f>
        <v>1.45</v>
      </c>
      <c r="F11" s="19">
        <f>'Data Sheet'!F63</f>
        <v>0.02</v>
      </c>
      <c r="G11" s="19">
        <f>'Data Sheet'!G63</f>
        <v>0.05</v>
      </c>
      <c r="H11" s="19">
        <f>'Data Sheet'!H63</f>
        <v>0</v>
      </c>
      <c r="I11" s="19">
        <f>'Data Sheet'!I63</f>
        <v>0.01</v>
      </c>
      <c r="J11" s="19">
        <f>'Data Sheet'!J63</f>
        <v>0</v>
      </c>
      <c r="K11" s="19">
        <f>'Data Sheet'!K63</f>
        <v>0</v>
      </c>
    </row>
    <row r="12" spans="1:11">
      <c r="A12" s="6" t="s">
        <v>29</v>
      </c>
      <c r="B12" s="19">
        <f>'Data Sheet'!B64</f>
        <v>1</v>
      </c>
      <c r="C12" s="19">
        <f>'Data Sheet'!C64</f>
        <v>0</v>
      </c>
      <c r="D12" s="19">
        <f>'Data Sheet'!D64</f>
        <v>0</v>
      </c>
      <c r="E12" s="19">
        <f>'Data Sheet'!E64</f>
        <v>3.8</v>
      </c>
      <c r="F12" s="19">
        <f>'Data Sheet'!F64</f>
        <v>6.26</v>
      </c>
      <c r="G12" s="19">
        <f>'Data Sheet'!G64</f>
        <v>6.68</v>
      </c>
      <c r="H12" s="19">
        <f>'Data Sheet'!H64</f>
        <v>4.08</v>
      </c>
      <c r="I12" s="19">
        <f>'Data Sheet'!I64</f>
        <v>3.59</v>
      </c>
      <c r="J12" s="19">
        <f>'Data Sheet'!J64</f>
        <v>0</v>
      </c>
      <c r="K12" s="19">
        <f>'Data Sheet'!K64</f>
        <v>6.01</v>
      </c>
    </row>
    <row r="13" spans="1:11">
      <c r="A13" s="11" t="s">
        <v>64</v>
      </c>
      <c r="B13" s="19">
        <f>'Data Sheet'!B65</f>
        <v>33.19</v>
      </c>
      <c r="C13" s="19">
        <f>'Data Sheet'!C65</f>
        <v>39.79</v>
      </c>
      <c r="D13" s="19">
        <f>'Data Sheet'!D65</f>
        <v>45.31</v>
      </c>
      <c r="E13" s="19">
        <f>'Data Sheet'!E65</f>
        <v>46.26</v>
      </c>
      <c r="F13" s="19">
        <f>'Data Sheet'!F65</f>
        <v>56.11</v>
      </c>
      <c r="G13" s="19">
        <f>'Data Sheet'!G65</f>
        <v>75.98</v>
      </c>
      <c r="H13" s="19">
        <f>'Data Sheet'!H65</f>
        <v>67.56</v>
      </c>
      <c r="I13" s="19">
        <f>'Data Sheet'!I65</f>
        <v>80.17</v>
      </c>
      <c r="J13" s="19">
        <f>'Data Sheet'!J65</f>
        <v>92.6</v>
      </c>
      <c r="K13" s="19">
        <f>'Data Sheet'!K65</f>
        <v>91.06</v>
      </c>
    </row>
    <row r="14" spans="1:11" s="8" customFormat="1">
      <c r="A14" s="8" t="s">
        <v>26</v>
      </c>
      <c r="B14" s="19">
        <f>'Data Sheet'!B66</f>
        <v>52.98</v>
      </c>
      <c r="C14" s="19">
        <f>'Data Sheet'!C66</f>
        <v>56.19</v>
      </c>
      <c r="D14" s="19">
        <f>'Data Sheet'!D66</f>
        <v>64.02</v>
      </c>
      <c r="E14" s="19">
        <f>'Data Sheet'!E66</f>
        <v>69.95</v>
      </c>
      <c r="F14" s="19">
        <f>'Data Sheet'!F66</f>
        <v>82.48</v>
      </c>
      <c r="G14" s="19">
        <f>'Data Sheet'!G66</f>
        <v>113.58</v>
      </c>
      <c r="H14" s="19">
        <f>'Data Sheet'!H66</f>
        <v>103.39</v>
      </c>
      <c r="I14" s="19">
        <f>'Data Sheet'!I66</f>
        <v>114.1</v>
      </c>
      <c r="J14" s="19">
        <f>'Data Sheet'!J66</f>
        <v>120.75</v>
      </c>
      <c r="K14" s="19">
        <f>'Data Sheet'!K66</f>
        <v>123.26</v>
      </c>
    </row>
    <row r="15" spans="1:11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>
      <c r="A16" s="26" t="s">
        <v>30</v>
      </c>
      <c r="B16" s="21">
        <f>B13-B7</f>
        <v>16.489999999999998</v>
      </c>
      <c r="C16" s="21">
        <f t="shared" ref="C16:K16" si="0">C13-C7</f>
        <v>20.119999999999997</v>
      </c>
      <c r="D16" s="21">
        <f t="shared" si="0"/>
        <v>28.78</v>
      </c>
      <c r="E16" s="21">
        <f t="shared" si="0"/>
        <v>25.45</v>
      </c>
      <c r="F16" s="21">
        <f t="shared" si="0"/>
        <v>29.41</v>
      </c>
      <c r="G16" s="21">
        <f t="shared" si="0"/>
        <v>39.870000000000005</v>
      </c>
      <c r="H16" s="21">
        <f t="shared" si="0"/>
        <v>46.660000000000004</v>
      </c>
      <c r="I16" s="21">
        <f t="shared" si="0"/>
        <v>51.96</v>
      </c>
      <c r="J16" s="21">
        <f t="shared" si="0"/>
        <v>60.059999999999995</v>
      </c>
      <c r="K16" s="21">
        <f t="shared" si="0"/>
        <v>63.19</v>
      </c>
    </row>
    <row r="17" spans="1:11">
      <c r="A17" s="11" t="s">
        <v>44</v>
      </c>
      <c r="B17" s="21">
        <f>'Data Sheet'!B67</f>
        <v>8.9600000000000009</v>
      </c>
      <c r="C17" s="21">
        <f>'Data Sheet'!C67</f>
        <v>11.71</v>
      </c>
      <c r="D17" s="21">
        <f>'Data Sheet'!D67</f>
        <v>15.14</v>
      </c>
      <c r="E17" s="21">
        <f>'Data Sheet'!E67</f>
        <v>18.54</v>
      </c>
      <c r="F17" s="21">
        <f>'Data Sheet'!F67</f>
        <v>19.16</v>
      </c>
      <c r="G17" s="21">
        <f>'Data Sheet'!G67</f>
        <v>25.52</v>
      </c>
      <c r="H17" s="21">
        <f>'Data Sheet'!H67</f>
        <v>28.85</v>
      </c>
      <c r="I17" s="21">
        <f>'Data Sheet'!I67</f>
        <v>39.06</v>
      </c>
      <c r="J17" s="21">
        <f>'Data Sheet'!J67</f>
        <v>42.46</v>
      </c>
      <c r="K17" s="21">
        <f>'Data Sheet'!K67</f>
        <v>33.869999999999997</v>
      </c>
    </row>
    <row r="18" spans="1:11">
      <c r="A18" s="11" t="s">
        <v>45</v>
      </c>
      <c r="B18" s="21">
        <f>'Data Sheet'!B68</f>
        <v>18.61</v>
      </c>
      <c r="C18" s="21">
        <f>'Data Sheet'!C68</f>
        <v>19.13</v>
      </c>
      <c r="D18" s="21">
        <f>'Data Sheet'!D68</f>
        <v>16.63</v>
      </c>
      <c r="E18" s="21">
        <f>'Data Sheet'!E68</f>
        <v>17.11</v>
      </c>
      <c r="F18" s="21">
        <f>'Data Sheet'!F68</f>
        <v>19.760000000000002</v>
      </c>
      <c r="G18" s="21">
        <f>'Data Sheet'!G68</f>
        <v>29.58</v>
      </c>
      <c r="H18" s="21">
        <f>'Data Sheet'!H68</f>
        <v>30.04</v>
      </c>
      <c r="I18" s="21">
        <f>'Data Sheet'!I68</f>
        <v>35.28</v>
      </c>
      <c r="J18" s="21">
        <f>'Data Sheet'!J68</f>
        <v>37.83</v>
      </c>
      <c r="K18" s="21">
        <f>'Data Sheet'!K68</f>
        <v>39.479999999999997</v>
      </c>
    </row>
    <row r="20" spans="1:11">
      <c r="A20" s="11" t="s">
        <v>46</v>
      </c>
      <c r="B20" s="5">
        <f>IF('Profit &amp; Loss'!B4&gt;0,'Balance Sheet'!B17/('Profit &amp; Loss'!B4/365),0)</f>
        <v>43.385513398779523</v>
      </c>
      <c r="C20" s="5">
        <f>IF('Profit &amp; Loss'!C4&gt;0,'Balance Sheet'!C17/('Profit &amp; Loss'!C4/365),0)</f>
        <v>46.615225215399718</v>
      </c>
      <c r="D20" s="5">
        <f>IF('Profit &amp; Loss'!D4&gt;0,'Balance Sheet'!D17/('Profit &amp; Loss'!D4/365),0)</f>
        <v>55.966173789750862</v>
      </c>
      <c r="E20" s="5">
        <f>IF('Profit &amp; Loss'!E4&gt;0,'Balance Sheet'!E17/('Profit &amp; Loss'!E4/365),0)</f>
        <v>56.519669255825605</v>
      </c>
      <c r="F20" s="5">
        <f>IF('Profit &amp; Loss'!F4&gt;0,'Balance Sheet'!F17/('Profit &amp; Loss'!F4/365),0)</f>
        <v>45.681625187798026</v>
      </c>
      <c r="G20" s="5">
        <f>IF('Profit &amp; Loss'!G4&gt;0,'Balance Sheet'!G17/('Profit &amp; Loss'!G4/365),0)</f>
        <v>49.950664950664951</v>
      </c>
      <c r="H20" s="5">
        <f>IF('Profit &amp; Loss'!H4&gt;0,'Balance Sheet'!H17/('Profit &amp; Loss'!H4/365),0)</f>
        <v>47.450657894736842</v>
      </c>
      <c r="I20" s="5">
        <f>IF('Profit &amp; Loss'!I4&gt;0,'Balance Sheet'!I17/('Profit &amp; Loss'!I4/365),0)</f>
        <v>51.739793140990749</v>
      </c>
      <c r="J20" s="5">
        <f>IF('Profit &amp; Loss'!J4&gt;0,'Balance Sheet'!J17/('Profit &amp; Loss'!J4/365),0)</f>
        <v>49.477700092583717</v>
      </c>
      <c r="K20" s="5">
        <f>IF('Profit &amp; Loss'!K4&gt;0,'Balance Sheet'!K17/('Profit &amp; Loss'!K4/365),0)</f>
        <v>38.838082372529918</v>
      </c>
    </row>
    <row r="21" spans="1:11">
      <c r="A21" s="11" t="s">
        <v>47</v>
      </c>
      <c r="B21" s="5">
        <f>IF('Balance Sheet'!B18&gt;0,'Profit &amp; Loss'!B4/'Balance Sheet'!B18,0)</f>
        <v>4.0505104782375065</v>
      </c>
      <c r="C21" s="5">
        <f>IF('Balance Sheet'!C18&gt;0,'Profit &amp; Loss'!C4/'Balance Sheet'!C18,0)</f>
        <v>4.7929952953476214</v>
      </c>
      <c r="D21" s="5">
        <f>IF('Balance Sheet'!D18&gt;0,'Profit &amp; Loss'!D4/'Balance Sheet'!D18,0)</f>
        <v>5.9374624173181001</v>
      </c>
      <c r="E21" s="5">
        <f>IF('Balance Sheet'!E18&gt;0,'Profit &amp; Loss'!E4/'Balance Sheet'!E18,0)</f>
        <v>6.9976621858562247</v>
      </c>
      <c r="F21" s="5">
        <f>IF('Balance Sheet'!F18&gt;0,'Profit &amp; Loss'!F4/'Balance Sheet'!F18,0)</f>
        <v>7.7474696356275299</v>
      </c>
      <c r="G21" s="5">
        <f>IF('Balance Sheet'!G18&gt;0,'Profit &amp; Loss'!G4/'Balance Sheet'!G18,0)</f>
        <v>6.3042596348884379</v>
      </c>
      <c r="H21" s="5">
        <f>IF('Balance Sheet'!H18&gt;0,'Profit &amp; Loss'!H4/'Balance Sheet'!H18,0)</f>
        <v>7.3874833555259656</v>
      </c>
      <c r="I21" s="5">
        <f>IF('Balance Sheet'!I18&gt;0,'Profit &amp; Loss'!I4/'Balance Sheet'!I18,0)</f>
        <v>7.8103741496598644</v>
      </c>
      <c r="J21" s="5">
        <f>IF('Balance Sheet'!J18&gt;0,'Profit &amp; Loss'!J4/'Balance Sheet'!J18,0)</f>
        <v>8.2799365582870745</v>
      </c>
      <c r="K21" s="5">
        <f>IF('Balance Sheet'!K18&gt;0,'Profit &amp; Loss'!K4/'Balance Sheet'!K18,0)</f>
        <v>8.0625633232016209</v>
      </c>
    </row>
    <row r="23" spans="1:11" s="8" customFormat="1">
      <c r="A23" s="8" t="s">
        <v>50</v>
      </c>
      <c r="B23" s="14">
        <f>IF(SUM('Balance Sheet'!B4:B5)&gt;0,'Profit &amp; Loss'!B12/SUM('Balance Sheet'!B4:B5),"")</f>
        <v>4.1434540389972144E-2</v>
      </c>
      <c r="C23" s="14">
        <f>IF(SUM('Balance Sheet'!C4:C5)&gt;0,'Profit &amp; Loss'!C12/SUM('Balance Sheet'!C4:C5),"")</f>
        <v>5.5884286653517426E-2</v>
      </c>
      <c r="D23" s="14">
        <f>IF(SUM('Balance Sheet'!D4:D5)&gt;0,'Profit &amp; Loss'!D12/SUM('Balance Sheet'!D4:D5),"")</f>
        <v>0.11104617182933957</v>
      </c>
      <c r="E23" s="14">
        <f>IF(SUM('Balance Sheet'!E4:E5)&gt;0,'Profit &amp; Loss'!E12/SUM('Balance Sheet'!E4:E5),"")</f>
        <v>0.10395391463733963</v>
      </c>
      <c r="F23" s="14">
        <f>IF(SUM('Balance Sheet'!F4:F5)&gt;0,'Profit &amp; Loss'!F12/SUM('Balance Sheet'!F4:F5),"")</f>
        <v>0.30378933847141937</v>
      </c>
      <c r="G23" s="14">
        <f>IF(SUM('Balance Sheet'!G4:G5)&gt;0,'Profit &amp; Loss'!G12/SUM('Balance Sheet'!G4:G5),"")</f>
        <v>0.1785714285714286</v>
      </c>
      <c r="H23" s="14">
        <f>IF(SUM('Balance Sheet'!H4:H5)&gt;0,'Profit &amp; Loss'!H12/SUM('Balance Sheet'!H4:H5),"")</f>
        <v>0.16170912078882496</v>
      </c>
      <c r="I23" s="14">
        <f>IF(SUM('Balance Sheet'!I4:I5)&gt;0,'Profit &amp; Loss'!I12/SUM('Balance Sheet'!I4:I5),"")</f>
        <v>0.17973580663293984</v>
      </c>
      <c r="J23" s="14">
        <f>IF(SUM('Balance Sheet'!J4:J5)&gt;0,'Profit &amp; Loss'!J12/SUM('Balance Sheet'!J4:J5),"")</f>
        <v>0.16458944281524926</v>
      </c>
      <c r="K23" s="14">
        <f>IF(SUM('Balance Sheet'!K4:K5)&gt;0,'Profit &amp; Loss'!K12/SUM('Balance Sheet'!K4:K5),"")</f>
        <v>0.17233727810650887</v>
      </c>
    </row>
    <row r="24" spans="1:11" s="8" customFormat="1">
      <c r="A24" s="8" t="s">
        <v>51</v>
      </c>
      <c r="B24" s="14">
        <f>IF(('Balance Sheet'!B10+'Balance Sheet'!B16)&gt;0,('Profit &amp; Loss'!B6-'Profit &amp; Loss'!B8-'Profit &amp; Loss'!B11)/('Balance Sheet'!B10+'Balance Sheet'!B16),"")</f>
        <v>-4.6524822695035911E-2</v>
      </c>
      <c r="C24" s="14">
        <f>IF(('Balance Sheet'!C10+'Balance Sheet'!C16)&gt;0,('Profit &amp; Loss'!C6-'Profit &amp; Loss'!C8-'Profit &amp; Loss'!C11)/('Balance Sheet'!C10+'Balance Sheet'!C16),"")</f>
        <v>0.13882803943044897</v>
      </c>
      <c r="D24" s="14">
        <f>IF(('Balance Sheet'!D10+'Balance Sheet'!D16)&gt;0,('Profit &amp; Loss'!D6-'Profit &amp; Loss'!D8-'Profit &amp; Loss'!D11)/('Balance Sheet'!D10+'Balance Sheet'!D16),"")</f>
        <v>8.1911981469782902E-2</v>
      </c>
      <c r="E24" s="14">
        <f>IF(('Balance Sheet'!E10+'Balance Sheet'!E16)&gt;0,('Profit &amp; Loss'!E6-'Profit &amp; Loss'!E8-'Profit &amp; Loss'!E11)/('Balance Sheet'!E10+'Balance Sheet'!E16),"")</f>
        <v>0.13260423786739584</v>
      </c>
      <c r="F24" s="14">
        <f>IF(('Balance Sheet'!F10+'Balance Sheet'!F16)&gt;0,('Profit &amp; Loss'!F6-'Profit &amp; Loss'!F8-'Profit &amp; Loss'!F11)/('Balance Sheet'!F10+'Balance Sheet'!F16),"")</f>
        <v>0.16909090909090907</v>
      </c>
      <c r="G24" s="14">
        <f>IF(('Balance Sheet'!G10+'Balance Sheet'!G16)&gt;0,('Profit &amp; Loss'!G6-'Profit &amp; Loss'!G8-'Profit &amp; Loss'!G11)/('Balance Sheet'!G10+'Balance Sheet'!G16),"")</f>
        <v>0.1128074639525013</v>
      </c>
      <c r="H24" s="14">
        <f>IF(('Balance Sheet'!H10+'Balance Sheet'!H16)&gt;0,('Profit &amp; Loss'!H6-'Profit &amp; Loss'!H8-'Profit &amp; Loss'!H11)/('Balance Sheet'!H10+'Balance Sheet'!H16),"")</f>
        <v>2.576202015049079E-2</v>
      </c>
      <c r="I24" s="14">
        <f>IF(('Balance Sheet'!I10+'Balance Sheet'!I16)&gt;0,('Profit &amp; Loss'!I6-'Profit &amp; Loss'!I8-'Profit &amp; Loss'!I11)/('Balance Sheet'!I10+'Balance Sheet'!I16),"")</f>
        <v>0.13306598614655527</v>
      </c>
      <c r="J24" s="14">
        <f>IF(('Balance Sheet'!J10+'Balance Sheet'!J16)&gt;0,('Profit &amp; Loss'!J6-'Profit &amp; Loss'!J8-'Profit &amp; Loss'!J11)/('Balance Sheet'!J10+'Balance Sheet'!J16),"")</f>
        <v>0.1742432830744815</v>
      </c>
      <c r="K24" s="14">
        <f>IF(('Balance Sheet'!K10+'Balance Sheet'!K16)&gt;0,('Profit &amp; Loss'!K6-'Profit &amp; Loss'!K8-'Profit &amp; Loss'!K11)/('Balance Sheet'!K10+'Balance Sheet'!K16),"")</f>
        <v>0.14264936227343827</v>
      </c>
    </row>
    <row r="25" spans="1:11" s="18" customFormat="1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4"/>
  <sheetViews>
    <sheetView workbookViewId="0">
      <selection activeCell="K7" sqref="K7"/>
    </sheetView>
  </sheetViews>
  <sheetFormatPr defaultRowHeight="15"/>
  <cols>
    <col min="1" max="1" width="26.85546875" style="6" bestFit="1" customWidth="1"/>
    <col min="2" max="6" width="13.5703125" style="6" customWidth="1"/>
    <col min="7" max="11" width="13.5703125" style="6" bestFit="1" customWidth="1"/>
    <col min="12" max="16384" width="9.140625" style="6"/>
  </cols>
  <sheetData>
    <row r="1" spans="1:11" s="8" customFormat="1">
      <c r="A1" s="8" t="str">
        <f>'Balance Sheet'!A1</f>
        <v>PODDAR PIGMENTS LTD</v>
      </c>
      <c r="E1" t="str">
        <f>UPDATE</f>
        <v/>
      </c>
      <c r="F1"/>
      <c r="J1" s="4" t="s">
        <v>1</v>
      </c>
      <c r="K1" s="4"/>
    </row>
    <row r="3" spans="1:11" s="2" customFormat="1">
      <c r="A3" s="15" t="s">
        <v>2</v>
      </c>
      <c r="B3" s="16">
        <f>'Data Sheet'!B81</f>
        <v>38807</v>
      </c>
      <c r="C3" s="16">
        <f>'Data Sheet'!C81</f>
        <v>39172</v>
      </c>
      <c r="D3" s="16">
        <f>'Data Sheet'!D81</f>
        <v>39538</v>
      </c>
      <c r="E3" s="16">
        <f>'Data Sheet'!E81</f>
        <v>39903</v>
      </c>
      <c r="F3" s="16">
        <f>'Data Sheet'!F81</f>
        <v>40268</v>
      </c>
      <c r="G3" s="16">
        <f>'Data Sheet'!G81</f>
        <v>40633</v>
      </c>
      <c r="H3" s="16">
        <f>'Data Sheet'!H81</f>
        <v>40999</v>
      </c>
      <c r="I3" s="16">
        <f>'Data Sheet'!I81</f>
        <v>41364</v>
      </c>
      <c r="J3" s="16">
        <f>'Data Sheet'!J81</f>
        <v>41729</v>
      </c>
      <c r="K3" s="16">
        <f>'Data Sheet'!K81</f>
        <v>42094</v>
      </c>
    </row>
    <row r="4" spans="1:11" s="8" customFormat="1">
      <c r="A4" s="8" t="s">
        <v>32</v>
      </c>
      <c r="B4" s="1">
        <f>'Data Sheet'!B82</f>
        <v>1.56</v>
      </c>
      <c r="C4" s="1">
        <f>'Data Sheet'!C82</f>
        <v>1.95</v>
      </c>
      <c r="D4" s="1">
        <f>'Data Sheet'!D82</f>
        <v>-0.11</v>
      </c>
      <c r="E4" s="1">
        <f>'Data Sheet'!E82</f>
        <v>6.51</v>
      </c>
      <c r="F4" s="1">
        <f>'Data Sheet'!F82</f>
        <v>6.6</v>
      </c>
      <c r="G4" s="1">
        <f>'Data Sheet'!G82</f>
        <v>2.0299999999999998</v>
      </c>
      <c r="H4" s="1">
        <f>'Data Sheet'!H82</f>
        <v>18.71</v>
      </c>
      <c r="I4" s="1">
        <f>'Data Sheet'!I82</f>
        <v>9.76</v>
      </c>
      <c r="J4" s="1">
        <f>'Data Sheet'!J82</f>
        <v>13.98</v>
      </c>
      <c r="K4" s="1">
        <f>'Data Sheet'!K82</f>
        <v>19.329999999999998</v>
      </c>
    </row>
    <row r="5" spans="1:11">
      <c r="A5" s="6" t="s">
        <v>33</v>
      </c>
      <c r="B5" s="9">
        <f>'Data Sheet'!B83</f>
        <v>-0.85</v>
      </c>
      <c r="C5" s="9">
        <f>'Data Sheet'!C83</f>
        <v>1.68</v>
      </c>
      <c r="D5" s="9">
        <f>'Data Sheet'!D83</f>
        <v>-3.48</v>
      </c>
      <c r="E5" s="9">
        <f>'Data Sheet'!E83</f>
        <v>-6.91</v>
      </c>
      <c r="F5" s="9">
        <f>'Data Sheet'!F83</f>
        <v>2.0499999999999998</v>
      </c>
      <c r="G5" s="9">
        <f>'Data Sheet'!G83</f>
        <v>-13.58</v>
      </c>
      <c r="H5" s="9">
        <f>'Data Sheet'!H83</f>
        <v>-2.5299999999999998</v>
      </c>
      <c r="I5" s="9">
        <f>'Data Sheet'!I83</f>
        <v>-0.76</v>
      </c>
      <c r="J5" s="9">
        <f>'Data Sheet'!J83</f>
        <v>2.42</v>
      </c>
      <c r="K5" s="9">
        <f>'Data Sheet'!K83</f>
        <v>-7.12</v>
      </c>
    </row>
    <row r="6" spans="1:11">
      <c r="A6" s="6" t="s">
        <v>34</v>
      </c>
      <c r="B6" s="9">
        <f>'Data Sheet'!B84</f>
        <v>-0.15</v>
      </c>
      <c r="C6" s="9">
        <f>'Data Sheet'!C84</f>
        <v>-2.46</v>
      </c>
      <c r="D6" s="9">
        <f>'Data Sheet'!D84</f>
        <v>6.43</v>
      </c>
      <c r="E6" s="9">
        <f>'Data Sheet'!E84</f>
        <v>-3.53</v>
      </c>
      <c r="F6" s="9">
        <f>'Data Sheet'!F84</f>
        <v>-9.3000000000000007</v>
      </c>
      <c r="G6" s="9">
        <f>'Data Sheet'!G84</f>
        <v>11.61</v>
      </c>
      <c r="H6" s="9">
        <f>'Data Sheet'!H84</f>
        <v>-14.99</v>
      </c>
      <c r="I6" s="9">
        <f>'Data Sheet'!I84</f>
        <v>-10.89</v>
      </c>
      <c r="J6" s="9">
        <f>'Data Sheet'!J84</f>
        <v>-12.38</v>
      </c>
      <c r="K6" s="9">
        <f>'Data Sheet'!K84</f>
        <v>-9.41</v>
      </c>
    </row>
    <row r="7" spans="1:11" s="8" customFormat="1">
      <c r="A7" s="8" t="s">
        <v>35</v>
      </c>
      <c r="B7" s="1">
        <f>'Data Sheet'!B85</f>
        <v>0.56000000000000005</v>
      </c>
      <c r="C7" s="1">
        <f>'Data Sheet'!C85</f>
        <v>1.17</v>
      </c>
      <c r="D7" s="1">
        <f>'Data Sheet'!D85</f>
        <v>2.84</v>
      </c>
      <c r="E7" s="1">
        <f>'Data Sheet'!E85</f>
        <v>-3.93</v>
      </c>
      <c r="F7" s="1">
        <f>'Data Sheet'!F85</f>
        <v>-0.65</v>
      </c>
      <c r="G7" s="1">
        <f>'Data Sheet'!G85</f>
        <v>0.06</v>
      </c>
      <c r="H7" s="1">
        <f>'Data Sheet'!H85</f>
        <v>1.19</v>
      </c>
      <c r="I7" s="1">
        <f>'Data Sheet'!I85</f>
        <v>-1.89</v>
      </c>
      <c r="J7" s="1">
        <f>'Data Sheet'!J85</f>
        <v>4.0199999999999996</v>
      </c>
      <c r="K7" s="1">
        <f>'Data Sheet'!K85</f>
        <v>2.8</v>
      </c>
    </row>
    <row r="8" spans="1:11">
      <c r="A8" s="26"/>
      <c r="B8" s="9"/>
      <c r="C8" s="9"/>
      <c r="D8" s="9"/>
      <c r="E8" s="9"/>
      <c r="F8" s="9"/>
      <c r="G8" s="9"/>
      <c r="H8" s="9"/>
      <c r="I8" s="9"/>
      <c r="J8" s="9"/>
      <c r="K8" s="9"/>
    </row>
    <row r="24" s="26" customFormat="1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401"/>
  <sheetViews>
    <sheetView tabSelected="1" zoomScale="112" zoomScaleNormal="112" workbookViewId="0">
      <pane xSplit="1" ySplit="1" topLeftCell="B134" activePane="bottomRight" state="frozen"/>
      <selection pane="topRight" activeCell="B1" sqref="B1"/>
      <selection pane="bottomLeft" activeCell="A4" sqref="A4"/>
      <selection pane="bottomRight" activeCell="B116" sqref="B116"/>
    </sheetView>
  </sheetViews>
  <sheetFormatPr defaultRowHeight="15"/>
  <cols>
    <col min="1" max="1" width="40.85546875" style="8" customWidth="1"/>
    <col min="2" max="2" width="10.5703125" style="11" customWidth="1"/>
    <col min="3" max="3" width="13.28515625" style="25" customWidth="1"/>
    <col min="4" max="7" width="12.28515625" style="11" bestFit="1" customWidth="1"/>
    <col min="8" max="9" width="11.5703125" style="11" bestFit="1" customWidth="1"/>
    <col min="10" max="11" width="12.5703125" style="11" bestFit="1" customWidth="1"/>
    <col min="12" max="16384" width="9.140625" style="11"/>
  </cols>
  <sheetData>
    <row r="1" spans="1:11" s="45" customFormat="1">
      <c r="A1" s="44" t="str">
        <f>'Data Sheet'!B1</f>
        <v>PODDAR PIGMENTS LTD</v>
      </c>
      <c r="B1" s="45">
        <f>'Data Sheet'!B56</f>
        <v>38807</v>
      </c>
      <c r="C1" s="45">
        <f>'Data Sheet'!C56</f>
        <v>39172</v>
      </c>
      <c r="D1" s="45">
        <f>'Data Sheet'!D56</f>
        <v>39538</v>
      </c>
      <c r="E1" s="45">
        <f>'Data Sheet'!E56</f>
        <v>39903</v>
      </c>
      <c r="F1" s="45">
        <f>'Data Sheet'!F56</f>
        <v>40268</v>
      </c>
      <c r="G1" s="45">
        <f>'Data Sheet'!G56</f>
        <v>40633</v>
      </c>
      <c r="H1" s="45">
        <f>'Data Sheet'!H56</f>
        <v>40999</v>
      </c>
      <c r="I1" s="45">
        <f>'Data Sheet'!I56</f>
        <v>41364</v>
      </c>
      <c r="J1" s="45">
        <f>'Data Sheet'!J56</f>
        <v>41729</v>
      </c>
      <c r="K1" s="45">
        <f>'Data Sheet'!K56</f>
        <v>42094</v>
      </c>
    </row>
    <row r="2" spans="1:11">
      <c r="A2" s="9"/>
      <c r="C2" s="30"/>
      <c r="D2" s="30"/>
      <c r="E2" s="30"/>
    </row>
    <row r="3" spans="1:11">
      <c r="A3" s="9"/>
      <c r="C3" s="30"/>
      <c r="D3" s="30"/>
      <c r="E3" s="30"/>
    </row>
    <row r="4" spans="1:11">
      <c r="A4" s="9"/>
      <c r="C4" s="30"/>
      <c r="D4" s="30"/>
      <c r="E4" s="30"/>
    </row>
    <row r="5" spans="1:11">
      <c r="A5" s="1" t="s">
        <v>100</v>
      </c>
      <c r="D5" s="30"/>
    </row>
    <row r="6" spans="1:11">
      <c r="A6" s="1" t="s">
        <v>37</v>
      </c>
      <c r="D6" s="30"/>
    </row>
    <row r="7" spans="1:11">
      <c r="A7" s="58" t="s">
        <v>6</v>
      </c>
      <c r="B7" s="59"/>
      <c r="C7" s="60">
        <f>('Data Sheet'!C17-'Data Sheet'!B17)/'Data Sheet'!B17</f>
        <v>0.21637039002387906</v>
      </c>
      <c r="D7" s="60">
        <f>('Data Sheet'!D17-'Data Sheet'!C17)/'Data Sheet'!C17</f>
        <v>7.6889519031519221E-2</v>
      </c>
      <c r="E7" s="60">
        <f>('Data Sheet'!E17-'Data Sheet'!D17)/'Data Sheet'!D17</f>
        <v>0.21257848896090753</v>
      </c>
      <c r="F7" s="60">
        <f>('Data Sheet'!F17-'Data Sheet'!E17)/'Data Sheet'!E17</f>
        <v>0.27862691054873462</v>
      </c>
      <c r="G7" s="60">
        <f>('Data Sheet'!G17-'Data Sheet'!F17)/'Data Sheet'!F17</f>
        <v>0.21810699588477356</v>
      </c>
      <c r="H7" s="60">
        <f>('Data Sheet'!H17-'Data Sheet'!G17)/'Data Sheet'!G17</f>
        <v>0.19004719004719003</v>
      </c>
      <c r="I7" s="60">
        <f>('Data Sheet'!I17-'Data Sheet'!H17)/'Data Sheet'!H17</f>
        <v>0.24166366258111044</v>
      </c>
      <c r="J7" s="60">
        <f>('Data Sheet'!J17-'Data Sheet'!I17)/'Data Sheet'!I17</f>
        <v>0.13674469243331522</v>
      </c>
      <c r="K7" s="60">
        <f>('Data Sheet'!K17-'Data Sheet'!J17)/'Data Sheet'!J17</f>
        <v>1.6218114484564006E-2</v>
      </c>
    </row>
    <row r="8" spans="1:11">
      <c r="A8" s="61" t="s">
        <v>71</v>
      </c>
      <c r="B8" s="59"/>
      <c r="C8" s="60">
        <f>('Data Sheet'!C18-'Data Sheet'!B18)/'Data Sheet'!B18</f>
        <v>0.17416595380667224</v>
      </c>
      <c r="D8" s="60">
        <f>('Data Sheet'!D18-'Data Sheet'!C18)/'Data Sheet'!C18</f>
        <v>7.5331487687600202E-2</v>
      </c>
      <c r="E8" s="60">
        <f>('Data Sheet'!E18-'Data Sheet'!D18)/'Data Sheet'!D18</f>
        <v>0.21869918699186994</v>
      </c>
      <c r="F8" s="60">
        <f>('Data Sheet'!F18-'Data Sheet'!E18)/'Data Sheet'!E18</f>
        <v>0.30097843006448755</v>
      </c>
      <c r="G8" s="60">
        <f>('Data Sheet'!G18-'Data Sheet'!F18)/'Data Sheet'!F18</f>
        <v>0.25168788992393815</v>
      </c>
      <c r="H8" s="60">
        <f>('Data Sheet'!H18-'Data Sheet'!G18)/'Data Sheet'!G18</f>
        <v>0.21063771678273926</v>
      </c>
      <c r="I8" s="60">
        <f>('Data Sheet'!I18-'Data Sheet'!H18)/'Data Sheet'!H18</f>
        <v>0.25294681631041677</v>
      </c>
      <c r="J8" s="60">
        <f>('Data Sheet'!J18-'Data Sheet'!I18)/'Data Sheet'!I18</f>
        <v>0.13206697875405116</v>
      </c>
      <c r="K8" s="60">
        <f>('Data Sheet'!K18-'Data Sheet'!J18)/'Data Sheet'!J18</f>
        <v>1.2246520874751541E-2</v>
      </c>
    </row>
    <row r="9" spans="1:11">
      <c r="A9" s="5" t="s">
        <v>72</v>
      </c>
      <c r="B9" s="30"/>
      <c r="C9" s="31">
        <f>('Data Sheet'!C19-'Data Sheet'!B19)/'Data Sheet'!B19</f>
        <v>-1.8920454545454546</v>
      </c>
      <c r="D9" s="31">
        <f>('Data Sheet'!D19-'Data Sheet'!C19)/'Data Sheet'!C19</f>
        <v>-0.73885350318471343</v>
      </c>
      <c r="E9" s="31">
        <f>('Data Sheet'!E19-'Data Sheet'!D19)/'Data Sheet'!D19</f>
        <v>0.19512195121951226</v>
      </c>
      <c r="F9" s="31">
        <f>('Data Sheet'!F19-'Data Sheet'!E19)/'Data Sheet'!E19</f>
        <v>0.3061224489795919</v>
      </c>
      <c r="G9" s="31">
        <f>('Data Sheet'!G19-'Data Sheet'!F19)/'Data Sheet'!F19</f>
        <v>-1.90625</v>
      </c>
      <c r="H9" s="31">
        <f>('Data Sheet'!H19-'Data Sheet'!G19)/'Data Sheet'!G19</f>
        <v>6.6034482758620694</v>
      </c>
      <c r="I9" s="31">
        <f>('Data Sheet'!I19-'Data Sheet'!H19)/'Data Sheet'!H19</f>
        <v>-0.77777777777777779</v>
      </c>
      <c r="J9" s="31">
        <f>('Data Sheet'!J19-'Data Sheet'!I19)/'Data Sheet'!I19</f>
        <v>-1.989795918367347</v>
      </c>
      <c r="K9" s="31">
        <f>('Data Sheet'!K19-'Data Sheet'!J19)/'Data Sheet'!J19</f>
        <v>-1.8865979381443301</v>
      </c>
    </row>
    <row r="10" spans="1:11">
      <c r="A10" s="5" t="s">
        <v>73</v>
      </c>
      <c r="B10" s="30"/>
      <c r="C10" s="31">
        <f>('Data Sheet'!C20-'Data Sheet'!B20)/'Data Sheet'!B20</f>
        <v>-2.2522522522522639E-2</v>
      </c>
      <c r="D10" s="31">
        <f>('Data Sheet'!D20-'Data Sheet'!C20)/'Data Sheet'!C20</f>
        <v>4.6082949308756827E-3</v>
      </c>
      <c r="E10" s="31">
        <f>('Data Sheet'!E20-'Data Sheet'!D20)/'Data Sheet'!D20</f>
        <v>9.1743119266054912E-2</v>
      </c>
      <c r="F10" s="31">
        <f>('Data Sheet'!F20-'Data Sheet'!E20)/'Data Sheet'!E20</f>
        <v>0.19747899159663876</v>
      </c>
      <c r="G10" s="31">
        <f>('Data Sheet'!G20-'Data Sheet'!F20)/'Data Sheet'!F20</f>
        <v>0.1333333333333333</v>
      </c>
      <c r="H10" s="31">
        <f>('Data Sheet'!H20-'Data Sheet'!G20)/'Data Sheet'!G20</f>
        <v>0.15170278637770904</v>
      </c>
      <c r="I10" s="31">
        <f>('Data Sheet'!I20-'Data Sheet'!H20)/'Data Sheet'!H20</f>
        <v>0.19354838709677424</v>
      </c>
      <c r="J10" s="31">
        <f>('Data Sheet'!J20-'Data Sheet'!I20)/'Data Sheet'!I20</f>
        <v>-6.3063063063063113E-2</v>
      </c>
      <c r="K10" s="31">
        <f>('Data Sheet'!K20-'Data Sheet'!J20)/'Data Sheet'!J20</f>
        <v>6.9711538461538464E-2</v>
      </c>
    </row>
    <row r="11" spans="1:11">
      <c r="A11" s="5" t="s">
        <v>74</v>
      </c>
      <c r="B11" s="30"/>
      <c r="C11" s="31">
        <f>('Data Sheet'!C21-'Data Sheet'!B21)/'Data Sheet'!B21</f>
        <v>6.7999999999999977E-2</v>
      </c>
      <c r="D11" s="31">
        <f>('Data Sheet'!D21-'Data Sheet'!C21)/'Data Sheet'!C21</f>
        <v>0.12359550561797755</v>
      </c>
      <c r="E11" s="31">
        <f>('Data Sheet'!E21-'Data Sheet'!D21)/'Data Sheet'!D21</f>
        <v>0.29000000000000004</v>
      </c>
      <c r="F11" s="31">
        <f>('Data Sheet'!F21-'Data Sheet'!E21)/'Data Sheet'!E21</f>
        <v>0.22739018087855295</v>
      </c>
      <c r="G11" s="31">
        <f>('Data Sheet'!G21-'Data Sheet'!F21)/'Data Sheet'!F21</f>
        <v>-0.45052631578947372</v>
      </c>
      <c r="H11" s="31">
        <f>('Data Sheet'!H21-'Data Sheet'!G21)/'Data Sheet'!G21</f>
        <v>0.43295019157088138</v>
      </c>
      <c r="I11" s="31">
        <f>('Data Sheet'!I21-'Data Sheet'!H21)/'Data Sheet'!H21</f>
        <v>6.6844919786096246E-2</v>
      </c>
      <c r="J11" s="31">
        <f>('Data Sheet'!J21-'Data Sheet'!I21)/'Data Sheet'!I21</f>
        <v>3.5087719298245529E-2</v>
      </c>
      <c r="K11" s="31">
        <f>('Data Sheet'!K21-'Data Sheet'!J21)/'Data Sheet'!J21</f>
        <v>-3.6319612590799008E-2</v>
      </c>
    </row>
    <row r="12" spans="1:11">
      <c r="A12" s="5" t="s">
        <v>75</v>
      </c>
      <c r="B12" s="30"/>
      <c r="C12" s="31">
        <f>('Data Sheet'!C22-'Data Sheet'!B22)/'Data Sheet'!B22</f>
        <v>0.14444444444444446</v>
      </c>
      <c r="D12" s="31">
        <f>('Data Sheet'!D22-'Data Sheet'!C22)/'Data Sheet'!C22</f>
        <v>0.20631067961165039</v>
      </c>
      <c r="E12" s="31">
        <f>('Data Sheet'!E22-'Data Sheet'!D22)/'Data Sheet'!D22</f>
        <v>0.25754527162977875</v>
      </c>
      <c r="F12" s="31">
        <f>('Data Sheet'!F22-'Data Sheet'!E22)/'Data Sheet'!E22</f>
        <v>0.12959999999999994</v>
      </c>
      <c r="G12" s="31">
        <f>('Data Sheet'!G22-'Data Sheet'!F22)/'Data Sheet'!F22</f>
        <v>0.22237960339943361</v>
      </c>
      <c r="H12" s="31">
        <f>('Data Sheet'!H22-'Data Sheet'!G22)/'Data Sheet'!G22</f>
        <v>3.3603707995364905E-2</v>
      </c>
      <c r="I12" s="31">
        <f>('Data Sheet'!I22-'Data Sheet'!H22)/'Data Sheet'!H22</f>
        <v>0.18497757847533636</v>
      </c>
      <c r="J12" s="31">
        <f>('Data Sheet'!J22-'Data Sheet'!I22)/'Data Sheet'!I22</f>
        <v>0.19962157048249757</v>
      </c>
      <c r="K12" s="31">
        <f>('Data Sheet'!K22-'Data Sheet'!J22)/'Data Sheet'!J22</f>
        <v>0.18217665615141959</v>
      </c>
    </row>
    <row r="13" spans="1:11">
      <c r="A13" s="61" t="s">
        <v>76</v>
      </c>
      <c r="B13" s="59"/>
      <c r="C13" s="60">
        <f>('Data Sheet'!C23-'Data Sheet'!B23)/'Data Sheet'!B23</f>
        <v>0.15339805825242719</v>
      </c>
      <c r="D13" s="60">
        <f>('Data Sheet'!D23-'Data Sheet'!C23)/'Data Sheet'!C23</f>
        <v>5.0505050505049425E-3</v>
      </c>
      <c r="E13" s="60">
        <f>('Data Sheet'!E23-'Data Sheet'!D23)/'Data Sheet'!D23</f>
        <v>-2.3450586264656563E-2</v>
      </c>
      <c r="F13" s="60">
        <f>('Data Sheet'!F23-'Data Sheet'!E23)/'Data Sheet'!E23</f>
        <v>0.30531732418524876</v>
      </c>
      <c r="G13" s="60">
        <f>('Data Sheet'!G23-'Data Sheet'!F23)/'Data Sheet'!F23</f>
        <v>0.13534822601839688</v>
      </c>
      <c r="H13" s="60">
        <f>('Data Sheet'!H23-'Data Sheet'!G23)/'Data Sheet'!G23</f>
        <v>0.2627314814814814</v>
      </c>
      <c r="I13" s="60">
        <f>('Data Sheet'!I23-'Data Sheet'!H23)/'Data Sheet'!H23</f>
        <v>0.19706691109074248</v>
      </c>
      <c r="J13" s="60">
        <f>('Data Sheet'!J23-'Data Sheet'!I23)/'Data Sheet'!I23</f>
        <v>0.15773353751914232</v>
      </c>
      <c r="K13" s="60">
        <f>('Data Sheet'!K23-'Data Sheet'!J23)/'Data Sheet'!J23</f>
        <v>8.3333333333333329E-2</v>
      </c>
    </row>
    <row r="14" spans="1:11">
      <c r="A14" s="5" t="s">
        <v>77</v>
      </c>
      <c r="B14" s="30"/>
      <c r="C14" s="31">
        <f>('Data Sheet'!C24-'Data Sheet'!B24)/'Data Sheet'!B24</f>
        <v>0.77419354838709697</v>
      </c>
      <c r="D14" s="31">
        <f>('Data Sheet'!D24-'Data Sheet'!C24)/'Data Sheet'!C24</f>
        <v>0.36363636363636354</v>
      </c>
      <c r="E14" s="31">
        <f>('Data Sheet'!E24-'Data Sheet'!D24)/'Data Sheet'!D24</f>
        <v>0.3133333333333333</v>
      </c>
      <c r="F14" s="31">
        <f>('Data Sheet'!F24-'Data Sheet'!E24)/'Data Sheet'!E24</f>
        <v>-0.51776649746192893</v>
      </c>
      <c r="G14" s="31">
        <f>('Data Sheet'!G24-'Data Sheet'!F24)/'Data Sheet'!F24</f>
        <v>0.66315789473684228</v>
      </c>
      <c r="H14" s="31">
        <f>('Data Sheet'!H24-'Data Sheet'!G24)/'Data Sheet'!G24</f>
        <v>1.2848101265822782</v>
      </c>
      <c r="I14" s="31">
        <f>('Data Sheet'!I24-'Data Sheet'!H24)/'Data Sheet'!H24</f>
        <v>-0.44321329639889201</v>
      </c>
      <c r="J14" s="31">
        <f>('Data Sheet'!J24-'Data Sheet'!I24)/'Data Sheet'!I24</f>
        <v>0.49253731343283597</v>
      </c>
      <c r="K14" s="31">
        <f>('Data Sheet'!K24-'Data Sheet'!J24)/'Data Sheet'!J24</f>
        <v>-0.3833333333333333</v>
      </c>
    </row>
    <row r="15" spans="1:11">
      <c r="A15" s="9" t="s">
        <v>9</v>
      </c>
      <c r="B15" s="30"/>
      <c r="C15" s="31">
        <f>('Data Sheet'!C25-'Data Sheet'!B25)/'Data Sheet'!B25</f>
        <v>2.4193548387096794E-2</v>
      </c>
      <c r="D15" s="31">
        <f>('Data Sheet'!D25-'Data Sheet'!C25)/'Data Sheet'!C25</f>
        <v>0.20472440944881889</v>
      </c>
      <c r="E15" s="31">
        <f>('Data Sheet'!E25-'Data Sheet'!D25)/'Data Sheet'!D25</f>
        <v>-0.17973856209150335</v>
      </c>
      <c r="F15" s="31">
        <f>('Data Sheet'!F25-'Data Sheet'!E25)/'Data Sheet'!E25</f>
        <v>2.9880478087649407</v>
      </c>
      <c r="G15" s="31">
        <f>('Data Sheet'!G25-'Data Sheet'!F25)/'Data Sheet'!F25</f>
        <v>-0.7492507492507493</v>
      </c>
      <c r="H15" s="31">
        <f>('Data Sheet'!H25-'Data Sheet'!G25)/'Data Sheet'!G25</f>
        <v>-0.54980079681274896</v>
      </c>
      <c r="I15" s="31">
        <f>('Data Sheet'!I25-'Data Sheet'!H25)/'Data Sheet'!H25</f>
        <v>0.70796460176991161</v>
      </c>
      <c r="J15" s="31">
        <f>('Data Sheet'!J25-'Data Sheet'!I25)/'Data Sheet'!I25</f>
        <v>-9.8445595854922255E-2</v>
      </c>
      <c r="K15" s="31">
        <f>('Data Sheet'!K25-'Data Sheet'!J25)/'Data Sheet'!J25</f>
        <v>0.68965517241379304</v>
      </c>
    </row>
    <row r="16" spans="1:11">
      <c r="A16" s="9" t="s">
        <v>10</v>
      </c>
      <c r="B16" s="30"/>
      <c r="C16" s="31">
        <f>('Data Sheet'!C26-'Data Sheet'!B26)/'Data Sheet'!B26</f>
        <v>1.345291479820619E-2</v>
      </c>
      <c r="D16" s="31">
        <f>('Data Sheet'!D26-'Data Sheet'!C26)/'Data Sheet'!C26</f>
        <v>3.982300884955766E-2</v>
      </c>
      <c r="E16" s="31">
        <f>('Data Sheet'!E26-'Data Sheet'!D26)/'Data Sheet'!D26</f>
        <v>-8.0851063829787212E-2</v>
      </c>
      <c r="F16" s="31">
        <f>('Data Sheet'!F26-'Data Sheet'!E26)/'Data Sheet'!E26</f>
        <v>0</v>
      </c>
      <c r="G16" s="31">
        <f>('Data Sheet'!G26-'Data Sheet'!F26)/'Data Sheet'!F26</f>
        <v>7.8703703703703665E-2</v>
      </c>
      <c r="H16" s="31">
        <f>('Data Sheet'!H26-'Data Sheet'!G26)/'Data Sheet'!G26</f>
        <v>0.15879828326180262</v>
      </c>
      <c r="I16" s="31">
        <f>('Data Sheet'!I26-'Data Sheet'!H26)/'Data Sheet'!H26</f>
        <v>-1.8518518518518615E-2</v>
      </c>
      <c r="J16" s="31">
        <f>('Data Sheet'!J26-'Data Sheet'!I26)/'Data Sheet'!I26</f>
        <v>-1.886792452830182E-2</v>
      </c>
      <c r="K16" s="31">
        <f>('Data Sheet'!K26-'Data Sheet'!J26)/'Data Sheet'!J26</f>
        <v>9.6153846153846145E-2</v>
      </c>
    </row>
    <row r="17" spans="1:11">
      <c r="A17" s="9" t="s">
        <v>11</v>
      </c>
      <c r="B17" s="30"/>
      <c r="C17" s="31">
        <f>('Data Sheet'!C27-'Data Sheet'!B27)/'Data Sheet'!B27</f>
        <v>0.1764705882352941</v>
      </c>
      <c r="D17" s="31">
        <f>('Data Sheet'!D27-'Data Sheet'!C27)/'Data Sheet'!C27</f>
        <v>-0.17857142857142858</v>
      </c>
      <c r="E17" s="31">
        <f>('Data Sheet'!E27-'Data Sheet'!D27)/'Data Sheet'!D27</f>
        <v>0.65217391304347827</v>
      </c>
      <c r="F17" s="31">
        <f>('Data Sheet'!F27-'Data Sheet'!E27)/'Data Sheet'!E27</f>
        <v>-0.37368421052631579</v>
      </c>
      <c r="G17" s="31">
        <f>('Data Sheet'!G27-'Data Sheet'!F27)/'Data Sheet'!F27</f>
        <v>0.76470588235294135</v>
      </c>
      <c r="H17" s="31">
        <f>('Data Sheet'!H27-'Data Sheet'!G27)/'Data Sheet'!G27</f>
        <v>1.4285714285714192E-2</v>
      </c>
      <c r="I17" s="31">
        <f>('Data Sheet'!I27-'Data Sheet'!H27)/'Data Sheet'!H27</f>
        <v>-3.2863849765258142E-2</v>
      </c>
      <c r="J17" s="31">
        <f>('Data Sheet'!J27-'Data Sheet'!I27)/'Data Sheet'!I27</f>
        <v>-0.16990291262135926</v>
      </c>
      <c r="K17" s="31">
        <f>('Data Sheet'!K27-'Data Sheet'!J27)/'Data Sheet'!J27</f>
        <v>-0.35672514619883033</v>
      </c>
    </row>
    <row r="18" spans="1:11">
      <c r="A18" s="9" t="s">
        <v>12</v>
      </c>
      <c r="B18" s="30"/>
      <c r="C18" s="31">
        <f>('Data Sheet'!C28-'Data Sheet'!B28)/'Data Sheet'!B28</f>
        <v>0.78571428571428581</v>
      </c>
      <c r="D18" s="31">
        <f>('Data Sheet'!D28-'Data Sheet'!C28)/'Data Sheet'!C28</f>
        <v>0.76333333333333331</v>
      </c>
      <c r="E18" s="31">
        <f>('Data Sheet'!E28-'Data Sheet'!D28)/'Data Sheet'!D28</f>
        <v>0.12854442344045364</v>
      </c>
      <c r="F18" s="31">
        <f>('Data Sheet'!F28-'Data Sheet'!E28)/'Data Sheet'!E28</f>
        <v>1.8743718592964826</v>
      </c>
      <c r="G18" s="31">
        <f>('Data Sheet'!G28-'Data Sheet'!F28)/'Data Sheet'!F28</f>
        <v>-0.18473193473193472</v>
      </c>
      <c r="H18" s="31">
        <f>('Data Sheet'!H28-'Data Sheet'!G28)/'Data Sheet'!G28</f>
        <v>3.0736240171551087E-2</v>
      </c>
      <c r="I18" s="31">
        <f>('Data Sheet'!I28-'Data Sheet'!H28)/'Data Sheet'!H28</f>
        <v>0.21567267683772548</v>
      </c>
      <c r="J18" s="31">
        <f>('Data Sheet'!J28-'Data Sheet'!I28)/'Data Sheet'!I28</f>
        <v>8.9560752994865961E-2</v>
      </c>
      <c r="K18" s="31">
        <f>('Data Sheet'!K28-'Data Sheet'!J28)/'Data Sheet'!J28</f>
        <v>0.14816753926701562</v>
      </c>
    </row>
    <row r="19" spans="1:11">
      <c r="A19" s="9" t="s">
        <v>13</v>
      </c>
      <c r="B19" s="30"/>
      <c r="C19" s="31">
        <f>('Data Sheet'!C29-'Data Sheet'!B29)/'Data Sheet'!B29</f>
        <v>1.653061224489796</v>
      </c>
      <c r="D19" s="31">
        <f>('Data Sheet'!D29-'Data Sheet'!C29)/'Data Sheet'!C29</f>
        <v>0.14615384615384611</v>
      </c>
      <c r="E19" s="31">
        <f>('Data Sheet'!E29-'Data Sheet'!D29)/'Data Sheet'!D29</f>
        <v>0.34228187919463088</v>
      </c>
      <c r="F19" s="31">
        <f>('Data Sheet'!F29-'Data Sheet'!E29)/'Data Sheet'!E29</f>
        <v>0.4850000000000001</v>
      </c>
      <c r="G19" s="31">
        <f>('Data Sheet'!G29-'Data Sheet'!F29)/'Data Sheet'!F29</f>
        <v>0.49494949494949497</v>
      </c>
      <c r="H19" s="31">
        <f>('Data Sheet'!H29-'Data Sheet'!G29)/'Data Sheet'!G29</f>
        <v>3.1531531531531459E-2</v>
      </c>
      <c r="I19" s="31">
        <f>('Data Sheet'!I29-'Data Sheet'!H29)/'Data Sheet'!H29</f>
        <v>3.4934497816593919E-2</v>
      </c>
      <c r="J19" s="31">
        <f>('Data Sheet'!J29-'Data Sheet'!I29)/'Data Sheet'!I29</f>
        <v>0.18987341772151886</v>
      </c>
      <c r="K19" s="31">
        <f>('Data Sheet'!K29-'Data Sheet'!J29)/'Data Sheet'!J29</f>
        <v>-3.5460992907800663E-3</v>
      </c>
    </row>
    <row r="20" spans="1:11">
      <c r="A20" s="58" t="s">
        <v>14</v>
      </c>
      <c r="B20" s="59"/>
      <c r="C20" s="60">
        <f>('Data Sheet'!C30-'Data Sheet'!B30)/'Data Sheet'!B30</f>
        <v>0.4285714285714286</v>
      </c>
      <c r="D20" s="60">
        <f>('Data Sheet'!D30-'Data Sheet'!C30)/'Data Sheet'!C30</f>
        <v>1.2352941176470587</v>
      </c>
      <c r="E20" s="60">
        <f>('Data Sheet'!E30-'Data Sheet'!D30)/'Data Sheet'!D30</f>
        <v>4.4736842105263255E-2</v>
      </c>
      <c r="F20" s="60">
        <f>('Data Sheet'!F30-'Data Sheet'!E30)/'Data Sheet'!E30</f>
        <v>2.574307304785894</v>
      </c>
      <c r="G20" s="60">
        <f>('Data Sheet'!G30-'Data Sheet'!F30)/'Data Sheet'!F30</f>
        <v>-0.32699083861874551</v>
      </c>
      <c r="H20" s="60">
        <f>('Data Sheet'!H30-'Data Sheet'!G30)/'Data Sheet'!G30</f>
        <v>3.0366492146596768E-2</v>
      </c>
      <c r="I20" s="60">
        <f>('Data Sheet'!I30-'Data Sheet'!H30)/'Data Sheet'!H30</f>
        <v>0.29979674796747963</v>
      </c>
      <c r="J20" s="60">
        <f>('Data Sheet'!J30-'Data Sheet'!I30)/'Data Sheet'!I30</f>
        <v>5.3166536356528661E-2</v>
      </c>
      <c r="K20" s="60">
        <f>('Data Sheet'!K30-'Data Sheet'!J30)/'Data Sheet'!J30</f>
        <v>0.2108389012620637</v>
      </c>
    </row>
    <row r="21" spans="1:11">
      <c r="A21" s="9" t="s">
        <v>61</v>
      </c>
      <c r="B21" s="30"/>
      <c r="C21" s="31" t="e">
        <f>('Data Sheet'!C31-'Data Sheet'!B31)/'Data Sheet'!B31</f>
        <v>#DIV/0!</v>
      </c>
      <c r="D21" s="31" t="e">
        <f>('Data Sheet'!D31-'Data Sheet'!C31)/'Data Sheet'!C31</f>
        <v>#DIV/0!</v>
      </c>
      <c r="E21" s="31" t="e">
        <f>('Data Sheet'!E31-'Data Sheet'!D31)/'Data Sheet'!D31</f>
        <v>#DIV/0!</v>
      </c>
      <c r="F21" s="31" t="e">
        <f>('Data Sheet'!F31-'Data Sheet'!E31)/'Data Sheet'!E31</f>
        <v>#DIV/0!</v>
      </c>
      <c r="G21" s="31" t="e">
        <f>('Data Sheet'!G31-'Data Sheet'!F31)/'Data Sheet'!F31</f>
        <v>#DIV/0!</v>
      </c>
      <c r="H21" s="31">
        <f>('Data Sheet'!H31-'Data Sheet'!G31)/'Data Sheet'!G31</f>
        <v>-0.23741007194244595</v>
      </c>
      <c r="I21" s="31">
        <f>('Data Sheet'!I31-'Data Sheet'!H31)/'Data Sheet'!H31</f>
        <v>0</v>
      </c>
      <c r="J21" s="31">
        <f>('Data Sheet'!J31-'Data Sheet'!I31)/'Data Sheet'!I31</f>
        <v>0.12735849056603774</v>
      </c>
      <c r="K21" s="31">
        <f>('Data Sheet'!K31-'Data Sheet'!J31)/'Data Sheet'!J31</f>
        <v>0.108786610878661</v>
      </c>
    </row>
    <row r="22" spans="1:11">
      <c r="A22" s="9"/>
      <c r="B22" s="30"/>
      <c r="C22" s="31"/>
      <c r="D22" s="31"/>
      <c r="E22" s="31"/>
      <c r="F22" s="31"/>
      <c r="G22" s="31"/>
      <c r="H22" s="31"/>
      <c r="I22" s="31"/>
      <c r="J22" s="31"/>
      <c r="K22" s="31"/>
    </row>
    <row r="23" spans="1:11">
      <c r="A23" s="1" t="s">
        <v>100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</row>
    <row r="24" spans="1:11">
      <c r="A24" s="1" t="s">
        <v>40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</row>
    <row r="25" spans="1:11">
      <c r="A25" s="9" t="s">
        <v>24</v>
      </c>
      <c r="B25" s="30"/>
      <c r="C25" s="31">
        <f>('Data Sheet'!C57-'Data Sheet'!B57)/'Data Sheet'!B57</f>
        <v>0</v>
      </c>
      <c r="D25" s="31">
        <f>('Data Sheet'!D57-'Data Sheet'!C57)/'Data Sheet'!C57</f>
        <v>0</v>
      </c>
      <c r="E25" s="31">
        <f>('Data Sheet'!E57-'Data Sheet'!D57)/'Data Sheet'!D57</f>
        <v>0</v>
      </c>
      <c r="F25" s="31">
        <f>('Data Sheet'!F57-'Data Sheet'!E57)/'Data Sheet'!E57</f>
        <v>-0.13032786885245901</v>
      </c>
      <c r="G25" s="31">
        <f>('Data Sheet'!G57-'Data Sheet'!F57)/'Data Sheet'!F57</f>
        <v>0</v>
      </c>
      <c r="H25" s="31">
        <f>('Data Sheet'!H57-'Data Sheet'!G57)/'Data Sheet'!G57</f>
        <v>0</v>
      </c>
      <c r="I25" s="31">
        <f>('Data Sheet'!I57-'Data Sheet'!H57)/'Data Sheet'!H57</f>
        <v>0</v>
      </c>
      <c r="J25" s="31">
        <f>('Data Sheet'!J57-'Data Sheet'!I57)/'Data Sheet'!I57</f>
        <v>0</v>
      </c>
      <c r="K25" s="31">
        <f>('Data Sheet'!K57-'Data Sheet'!J57)/'Data Sheet'!J57</f>
        <v>0</v>
      </c>
    </row>
    <row r="26" spans="1:11">
      <c r="A26" s="58" t="s">
        <v>25</v>
      </c>
      <c r="B26" s="59"/>
      <c r="C26" s="60">
        <f>('Data Sheet'!C58-'Data Sheet'!B58)/'Data Sheet'!B58</f>
        <v>0.10290556900726389</v>
      </c>
      <c r="D26" s="60">
        <f>('Data Sheet'!D58-'Data Sheet'!C58)/'Data Sheet'!C58</f>
        <v>0.20856201975850719</v>
      </c>
      <c r="E26" s="60">
        <f>('Data Sheet'!E58-'Data Sheet'!D58)/'Data Sheet'!D58</f>
        <v>0.18029064486830149</v>
      </c>
      <c r="F26" s="60">
        <f>('Data Sheet'!F58-'Data Sheet'!E58)/'Data Sheet'!E58</f>
        <v>0.38899576760292431</v>
      </c>
      <c r="G26" s="60">
        <f>('Data Sheet'!G58-'Data Sheet'!F58)/'Data Sheet'!F58</f>
        <v>0.18753462603878104</v>
      </c>
      <c r="H26" s="60">
        <f>('Data Sheet'!H58-'Data Sheet'!G58)/'Data Sheet'!G58</f>
        <v>0.17191509213902509</v>
      </c>
      <c r="I26" s="60">
        <f>('Data Sheet'!I58-'Data Sheet'!H58)/'Data Sheet'!H58</f>
        <v>0.20521496815286613</v>
      </c>
      <c r="J26" s="60">
        <f>('Data Sheet'!J58-'Data Sheet'!I58)/'Data Sheet'!I58</f>
        <v>0.17638315441783661</v>
      </c>
      <c r="K26" s="60">
        <f>('Data Sheet'!K58-'Data Sheet'!J58)/'Data Sheet'!J58</f>
        <v>0.17969956479011648</v>
      </c>
    </row>
    <row r="27" spans="1:11">
      <c r="A27" s="9" t="s">
        <v>62</v>
      </c>
      <c r="B27" s="30"/>
      <c r="C27" s="31">
        <f>('Data Sheet'!C59-'Data Sheet'!B59)/'Data Sheet'!B59</f>
        <v>-0.19312169312169314</v>
      </c>
      <c r="D27" s="31">
        <f>('Data Sheet'!D59-'Data Sheet'!C59)/'Data Sheet'!C59</f>
        <v>1.1754098360655738</v>
      </c>
      <c r="E27" s="31">
        <f>('Data Sheet'!E59-'Data Sheet'!D59)/'Data Sheet'!D59</f>
        <v>-0.17483044461190658</v>
      </c>
      <c r="F27" s="31">
        <f>('Data Sheet'!F59-'Data Sheet'!E59)/'Data Sheet'!E59</f>
        <v>-0.1716894977168949</v>
      </c>
      <c r="G27" s="31">
        <f>('Data Sheet'!G59-'Data Sheet'!F59)/'Data Sheet'!F59</f>
        <v>1.6449834619625134</v>
      </c>
      <c r="H27" s="31">
        <f>('Data Sheet'!H59-'Data Sheet'!G59)/'Data Sheet'!G59</f>
        <v>-9.7957482284285038E-2</v>
      </c>
      <c r="I27" s="31">
        <f>('Data Sheet'!I59-'Data Sheet'!H59)/'Data Sheet'!H59</f>
        <v>-0.31931608133086875</v>
      </c>
      <c r="J27" s="31">
        <f>('Data Sheet'!J59-'Data Sheet'!I59)/'Data Sheet'!I59</f>
        <v>-0.56754921928038016</v>
      </c>
      <c r="K27" s="31">
        <f>('Data Sheet'!K59-'Data Sheet'!J59)/'Data Sheet'!J59</f>
        <v>-0.88226059654631084</v>
      </c>
    </row>
    <row r="28" spans="1:11">
      <c r="A28" s="9" t="s">
        <v>63</v>
      </c>
      <c r="B28" s="30"/>
      <c r="C28" s="31">
        <f>('Data Sheet'!C60-'Data Sheet'!B60)/'Data Sheet'!B60</f>
        <v>0.17784431137724566</v>
      </c>
      <c r="D28" s="31">
        <f>('Data Sheet'!D60-'Data Sheet'!C60)/'Data Sheet'!C60</f>
        <v>-0.15963396034570412</v>
      </c>
      <c r="E28" s="31">
        <f>('Data Sheet'!E60-'Data Sheet'!D60)/'Data Sheet'!D60</f>
        <v>0.25892316999395021</v>
      </c>
      <c r="F28" s="31">
        <f>('Data Sheet'!F60-'Data Sheet'!E60)/'Data Sheet'!E60</f>
        <v>0.28303700144161464</v>
      </c>
      <c r="G28" s="31">
        <f>('Data Sheet'!G60-'Data Sheet'!F60)/'Data Sheet'!F60</f>
        <v>0.35243445692883896</v>
      </c>
      <c r="H28" s="31">
        <f>('Data Sheet'!H60-'Data Sheet'!G60)/'Data Sheet'!G60</f>
        <v>-0.42121296039878153</v>
      </c>
      <c r="I28" s="31">
        <f>('Data Sheet'!I60-'Data Sheet'!H60)/'Data Sheet'!H60</f>
        <v>0.34976076555023938</v>
      </c>
      <c r="J28" s="31">
        <f>('Data Sheet'!J60-'Data Sheet'!I60)/'Data Sheet'!I60</f>
        <v>0.15349166962070182</v>
      </c>
      <c r="K28" s="31">
        <f>('Data Sheet'!K60-'Data Sheet'!J60)/'Data Sheet'!J60</f>
        <v>-0.14351567301782417</v>
      </c>
    </row>
    <row r="29" spans="1:11">
      <c r="A29" s="1" t="s">
        <v>26</v>
      </c>
      <c r="B29" s="30"/>
      <c r="C29" s="31">
        <f>('Data Sheet'!C61-'Data Sheet'!B61)/'Data Sheet'!B61</f>
        <v>6.0588901472253702E-2</v>
      </c>
      <c r="D29" s="31">
        <f>('Data Sheet'!D61-'Data Sheet'!C61)/'Data Sheet'!C61</f>
        <v>0.13934863854778429</v>
      </c>
      <c r="E29" s="31">
        <f>('Data Sheet'!E61-'Data Sheet'!D61)/'Data Sheet'!D61</f>
        <v>9.2627303967510261E-2</v>
      </c>
      <c r="F29" s="31">
        <f>('Data Sheet'!F61-'Data Sheet'!E61)/'Data Sheet'!E61</f>
        <v>0.17912794853466762</v>
      </c>
      <c r="G29" s="31">
        <f>('Data Sheet'!G61-'Data Sheet'!F61)/'Data Sheet'!F61</f>
        <v>0.37706110572259932</v>
      </c>
      <c r="H29" s="31">
        <f>('Data Sheet'!H61-'Data Sheet'!G61)/'Data Sheet'!G61</f>
        <v>-8.971649938369429E-2</v>
      </c>
      <c r="I29" s="31">
        <f>('Data Sheet'!I61-'Data Sheet'!H61)/'Data Sheet'!H61</f>
        <v>0.10358835477318884</v>
      </c>
      <c r="J29" s="31">
        <f>('Data Sheet'!J61-'Data Sheet'!I61)/'Data Sheet'!I61</f>
        <v>5.8282208588957107E-2</v>
      </c>
      <c r="K29" s="31">
        <f>('Data Sheet'!K61-'Data Sheet'!J61)/'Data Sheet'!J61</f>
        <v>2.0786749482401699E-2</v>
      </c>
    </row>
    <row r="30" spans="1:11">
      <c r="A30" s="9" t="s">
        <v>27</v>
      </c>
      <c r="B30" s="30"/>
      <c r="C30" s="31">
        <f>('Data Sheet'!C62-'Data Sheet'!B62)/'Data Sheet'!B62</f>
        <v>-0.12579957356076774</v>
      </c>
      <c r="D30" s="31">
        <f>('Data Sheet'!D62-'Data Sheet'!C62)/'Data Sheet'!C62</f>
        <v>0.14085365853658552</v>
      </c>
      <c r="E30" s="31">
        <f>('Data Sheet'!E62-'Data Sheet'!D62)/'Data Sheet'!D62</f>
        <v>-1.4430785676109009E-2</v>
      </c>
      <c r="F30" s="31">
        <f>('Data Sheet'!F62-'Data Sheet'!E62)/'Data Sheet'!E62</f>
        <v>8.9479392624728774E-2</v>
      </c>
      <c r="G30" s="31">
        <f>('Data Sheet'!G62-'Data Sheet'!F62)/'Data Sheet'!F62</f>
        <v>0.53658536585365857</v>
      </c>
      <c r="H30" s="31">
        <f>('Data Sheet'!H62-'Data Sheet'!G62)/'Data Sheet'!G62</f>
        <v>2.8506640751538678E-2</v>
      </c>
      <c r="I30" s="31">
        <f>('Data Sheet'!I62-'Data Sheet'!H62)/'Data Sheet'!H62</f>
        <v>-4.4724409448818954E-2</v>
      </c>
      <c r="J30" s="31">
        <f>('Data Sheet'!J62-'Data Sheet'!I62)/'Data Sheet'!I62</f>
        <v>-7.1876030333003618E-2</v>
      </c>
      <c r="K30" s="31">
        <f>('Data Sheet'!K62-'Data Sheet'!J62)/'Data Sheet'!J62</f>
        <v>-6.9626998223800973E-2</v>
      </c>
    </row>
    <row r="31" spans="1:11">
      <c r="A31" s="9" t="s">
        <v>28</v>
      </c>
      <c r="B31" s="30"/>
      <c r="C31" s="31">
        <f>('Data Sheet'!C63-'Data Sheet'!B63)/'Data Sheet'!B63</f>
        <v>-1</v>
      </c>
      <c r="D31" s="31" t="e">
        <f>('Data Sheet'!D63-'Data Sheet'!C63)/'Data Sheet'!C63</f>
        <v>#DIV/0!</v>
      </c>
      <c r="E31" s="31" t="e">
        <f>('Data Sheet'!E63-'Data Sheet'!D63)/'Data Sheet'!D63</f>
        <v>#DIV/0!</v>
      </c>
      <c r="F31" s="31">
        <f>('Data Sheet'!F63-'Data Sheet'!E63)/'Data Sheet'!E63</f>
        <v>-0.98620689655172411</v>
      </c>
      <c r="G31" s="31">
        <f>('Data Sheet'!G63-'Data Sheet'!F63)/'Data Sheet'!F63</f>
        <v>1.5</v>
      </c>
      <c r="H31" s="31">
        <f>('Data Sheet'!H63-'Data Sheet'!G63)/'Data Sheet'!G63</f>
        <v>-1</v>
      </c>
      <c r="I31" s="31" t="e">
        <f>('Data Sheet'!I63-'Data Sheet'!H63)/'Data Sheet'!H63</f>
        <v>#DIV/0!</v>
      </c>
      <c r="J31" s="31">
        <f>('Data Sheet'!J63-'Data Sheet'!I63)/'Data Sheet'!I63</f>
        <v>-1</v>
      </c>
      <c r="K31" s="31" t="e">
        <f>('Data Sheet'!K63-'Data Sheet'!J63)/'Data Sheet'!J63</f>
        <v>#DIV/0!</v>
      </c>
    </row>
    <row r="32" spans="1:11">
      <c r="A32" s="9" t="s">
        <v>29</v>
      </c>
      <c r="B32" s="30"/>
      <c r="C32" s="31">
        <f>('Data Sheet'!C64-'Data Sheet'!B64)/'Data Sheet'!B64</f>
        <v>-1</v>
      </c>
      <c r="D32" s="31" t="e">
        <f>('Data Sheet'!D64-'Data Sheet'!C64)/'Data Sheet'!C64</f>
        <v>#DIV/0!</v>
      </c>
      <c r="E32" s="31" t="e">
        <f>('Data Sheet'!E64-'Data Sheet'!D64)/'Data Sheet'!D64</f>
        <v>#DIV/0!</v>
      </c>
      <c r="F32" s="31">
        <f>('Data Sheet'!F64-'Data Sheet'!E64)/'Data Sheet'!E64</f>
        <v>0.64736842105263159</v>
      </c>
      <c r="G32" s="31">
        <f>('Data Sheet'!G64-'Data Sheet'!F64)/'Data Sheet'!F64</f>
        <v>6.7092651757188496E-2</v>
      </c>
      <c r="H32" s="31">
        <f>('Data Sheet'!H64-'Data Sheet'!G64)/'Data Sheet'!G64</f>
        <v>-0.3892215568862275</v>
      </c>
      <c r="I32" s="31">
        <f>('Data Sheet'!I64-'Data Sheet'!H64)/'Data Sheet'!H64</f>
        <v>-0.12009803921568632</v>
      </c>
      <c r="J32" s="31">
        <f>('Data Sheet'!J64-'Data Sheet'!I64)/'Data Sheet'!I64</f>
        <v>-1</v>
      </c>
      <c r="K32" s="31" t="e">
        <f>('Data Sheet'!K64-'Data Sheet'!J64)/'Data Sheet'!J64</f>
        <v>#DIV/0!</v>
      </c>
    </row>
    <row r="33" spans="1:11">
      <c r="A33" s="9" t="s">
        <v>64</v>
      </c>
      <c r="B33" s="30"/>
      <c r="C33" s="31">
        <f>('Data Sheet'!C65-'Data Sheet'!B65)/'Data Sheet'!B65</f>
        <v>0.19885507683037065</v>
      </c>
      <c r="D33" s="31">
        <f>('Data Sheet'!D65-'Data Sheet'!C65)/'Data Sheet'!C65</f>
        <v>0.13872832369942203</v>
      </c>
      <c r="E33" s="31">
        <f>('Data Sheet'!E65-'Data Sheet'!D65)/'Data Sheet'!D65</f>
        <v>2.0966674023394298E-2</v>
      </c>
      <c r="F33" s="31">
        <f>('Data Sheet'!F65-'Data Sheet'!E65)/'Data Sheet'!E65</f>
        <v>0.21292693471681803</v>
      </c>
      <c r="G33" s="31">
        <f>('Data Sheet'!G65-'Data Sheet'!F65)/'Data Sheet'!F65</f>
        <v>0.35412582427374806</v>
      </c>
      <c r="H33" s="31">
        <f>('Data Sheet'!H65-'Data Sheet'!G65)/'Data Sheet'!G65</f>
        <v>-0.11081863648328509</v>
      </c>
      <c r="I33" s="31">
        <f>('Data Sheet'!I65-'Data Sheet'!H65)/'Data Sheet'!H65</f>
        <v>0.18664890467732384</v>
      </c>
      <c r="J33" s="31">
        <f>('Data Sheet'!J65-'Data Sheet'!I65)/'Data Sheet'!I65</f>
        <v>0.15504552825246343</v>
      </c>
      <c r="K33" s="31">
        <f>('Data Sheet'!K65-'Data Sheet'!J65)/'Data Sheet'!J65</f>
        <v>-1.6630669546436199E-2</v>
      </c>
    </row>
    <row r="34" spans="1:11">
      <c r="A34" s="1" t="s">
        <v>26</v>
      </c>
      <c r="B34" s="30"/>
      <c r="C34" s="31">
        <f>('Data Sheet'!C66-'Data Sheet'!B66)/'Data Sheet'!B66</f>
        <v>6.0588901472253702E-2</v>
      </c>
      <c r="D34" s="31">
        <f>('Data Sheet'!D66-'Data Sheet'!C66)/'Data Sheet'!C66</f>
        <v>0.13934863854778429</v>
      </c>
      <c r="E34" s="31">
        <f>('Data Sheet'!E66-'Data Sheet'!D66)/'Data Sheet'!D66</f>
        <v>9.2627303967510261E-2</v>
      </c>
      <c r="F34" s="31">
        <f>('Data Sheet'!F66-'Data Sheet'!E66)/'Data Sheet'!E66</f>
        <v>0.17912794853466762</v>
      </c>
      <c r="G34" s="31">
        <f>('Data Sheet'!G66-'Data Sheet'!F66)/'Data Sheet'!F66</f>
        <v>0.37706110572259932</v>
      </c>
      <c r="H34" s="31">
        <f>('Data Sheet'!H66-'Data Sheet'!G66)/'Data Sheet'!G66</f>
        <v>-8.971649938369429E-2</v>
      </c>
      <c r="I34" s="31">
        <f>('Data Sheet'!I66-'Data Sheet'!H66)/'Data Sheet'!H66</f>
        <v>0.10358835477318884</v>
      </c>
      <c r="J34" s="31">
        <f>('Data Sheet'!J66-'Data Sheet'!I66)/'Data Sheet'!I66</f>
        <v>5.8282208588957107E-2</v>
      </c>
      <c r="K34" s="31">
        <f>('Data Sheet'!K66-'Data Sheet'!J66)/'Data Sheet'!J66</f>
        <v>2.0786749482401699E-2</v>
      </c>
    </row>
    <row r="35" spans="1:11">
      <c r="A35" s="58" t="s">
        <v>69</v>
      </c>
      <c r="B35" s="59"/>
      <c r="C35" s="60">
        <f>('Data Sheet'!C67-'Data Sheet'!B67)/'Data Sheet'!B67</f>
        <v>0.30691964285714285</v>
      </c>
      <c r="D35" s="60">
        <f>('Data Sheet'!D67-'Data Sheet'!C67)/'Data Sheet'!C67</f>
        <v>0.29291204099060625</v>
      </c>
      <c r="E35" s="60">
        <f>('Data Sheet'!E67-'Data Sheet'!D67)/'Data Sheet'!D67</f>
        <v>0.22457067371202102</v>
      </c>
      <c r="F35" s="60">
        <f>('Data Sheet'!F67-'Data Sheet'!E67)/'Data Sheet'!E67</f>
        <v>3.3441208198489808E-2</v>
      </c>
      <c r="G35" s="60">
        <f>('Data Sheet'!G67-'Data Sheet'!F67)/'Data Sheet'!F67</f>
        <v>0.33194154488517741</v>
      </c>
      <c r="H35" s="60">
        <f>('Data Sheet'!H67-'Data Sheet'!G67)/'Data Sheet'!G67</f>
        <v>0.13048589341692798</v>
      </c>
      <c r="I35" s="60">
        <f>('Data Sheet'!I67-'Data Sheet'!H67)/'Data Sheet'!H67</f>
        <v>0.35389948006932409</v>
      </c>
      <c r="J35" s="60">
        <f>('Data Sheet'!J67-'Data Sheet'!I67)/'Data Sheet'!I67</f>
        <v>8.7045570916538612E-2</v>
      </c>
      <c r="K35" s="60">
        <f>('Data Sheet'!K67-'Data Sheet'!J67)/'Data Sheet'!J67</f>
        <v>-0.20230805463966092</v>
      </c>
    </row>
    <row r="36" spans="1:11">
      <c r="A36" s="58" t="s">
        <v>45</v>
      </c>
      <c r="B36" s="59"/>
      <c r="C36" s="60">
        <f>('Data Sheet'!C68-'Data Sheet'!B68)/'Data Sheet'!B68</f>
        <v>2.794196668457816E-2</v>
      </c>
      <c r="D36" s="60">
        <f>('Data Sheet'!D68-'Data Sheet'!C68)/'Data Sheet'!C68</f>
        <v>-0.13068478829064298</v>
      </c>
      <c r="E36" s="60">
        <f>('Data Sheet'!E68-'Data Sheet'!D68)/'Data Sheet'!D68</f>
        <v>2.886349969933857E-2</v>
      </c>
      <c r="F36" s="60">
        <f>('Data Sheet'!F68-'Data Sheet'!E68)/'Data Sheet'!E68</f>
        <v>0.15488018702513162</v>
      </c>
      <c r="G36" s="60">
        <f>('Data Sheet'!G68-'Data Sheet'!F68)/'Data Sheet'!F68</f>
        <v>0.49696356275303621</v>
      </c>
      <c r="H36" s="60">
        <f>('Data Sheet'!H68-'Data Sheet'!G68)/'Data Sheet'!G68</f>
        <v>1.5551048005409089E-2</v>
      </c>
      <c r="I36" s="60">
        <f>('Data Sheet'!I68-'Data Sheet'!H68)/'Data Sheet'!H68</f>
        <v>0.17443408788282297</v>
      </c>
      <c r="J36" s="60">
        <f>('Data Sheet'!J68-'Data Sheet'!I68)/'Data Sheet'!I68</f>
        <v>7.2278911564625764E-2</v>
      </c>
      <c r="K36" s="60">
        <f>('Data Sheet'!K68-'Data Sheet'!J68)/'Data Sheet'!J68</f>
        <v>4.3616177636796157E-2</v>
      </c>
    </row>
    <row r="37" spans="1:11">
      <c r="A37" s="5" t="s">
        <v>78</v>
      </c>
      <c r="B37" s="30"/>
      <c r="C37" s="31">
        <f>('Data Sheet'!C69-'Data Sheet'!B69)/'Data Sheet'!B69</f>
        <v>0.71341463414634165</v>
      </c>
      <c r="D37" s="31">
        <f>('Data Sheet'!D69-'Data Sheet'!C69)/'Data Sheet'!C69</f>
        <v>1.0071174377224197</v>
      </c>
      <c r="E37" s="31">
        <f>('Data Sheet'!E69-'Data Sheet'!D69)/'Data Sheet'!D69</f>
        <v>-0.69503546099290781</v>
      </c>
      <c r="F37" s="31">
        <f>('Data Sheet'!F69-'Data Sheet'!E69)/'Data Sheet'!E69</f>
        <v>-0.377906976744186</v>
      </c>
      <c r="G37" s="31">
        <f>('Data Sheet'!G69-'Data Sheet'!F69)/'Data Sheet'!F69</f>
        <v>0.1682242990654205</v>
      </c>
      <c r="H37" s="31">
        <f>('Data Sheet'!H69-'Data Sheet'!G69)/'Data Sheet'!G69</f>
        <v>0.99200000000000021</v>
      </c>
      <c r="I37" s="31">
        <f>('Data Sheet'!I69-'Data Sheet'!H69)/'Data Sheet'!H69</f>
        <v>-0.69477911646586343</v>
      </c>
      <c r="J37" s="31">
        <f>('Data Sheet'!J69-'Data Sheet'!I69)/'Data Sheet'!I69</f>
        <v>5.4473684210526319</v>
      </c>
      <c r="K37" s="31">
        <f>('Data Sheet'!K69-'Data Sheet'!J69)/'Data Sheet'!J69</f>
        <v>0.60204081632653039</v>
      </c>
    </row>
    <row r="38" spans="1:11">
      <c r="A38" s="5" t="s">
        <v>65</v>
      </c>
      <c r="B38" s="30"/>
      <c r="C38" s="31">
        <f>('Data Sheet'!C70-'Data Sheet'!B70)/'Data Sheet'!B70</f>
        <v>0</v>
      </c>
      <c r="D38" s="31">
        <f>('Data Sheet'!D70-'Data Sheet'!C70)/'Data Sheet'!C70</f>
        <v>0</v>
      </c>
      <c r="E38" s="31">
        <f>('Data Sheet'!E70-'Data Sheet'!D70)/'Data Sheet'!D70</f>
        <v>0</v>
      </c>
      <c r="F38" s="31">
        <f>('Data Sheet'!F70-'Data Sheet'!E70)/'Data Sheet'!E70</f>
        <v>-0.13032786885245901</v>
      </c>
      <c r="G38" s="31">
        <f>('Data Sheet'!G70-'Data Sheet'!F70)/'Data Sheet'!F70</f>
        <v>0</v>
      </c>
      <c r="H38" s="31">
        <f>('Data Sheet'!H70-'Data Sheet'!G70)/'Data Sheet'!G70</f>
        <v>0</v>
      </c>
      <c r="I38" s="31">
        <f>('Data Sheet'!I70-'Data Sheet'!H70)/'Data Sheet'!H70</f>
        <v>0</v>
      </c>
      <c r="J38" s="31">
        <f>('Data Sheet'!J70-'Data Sheet'!I70)/'Data Sheet'!I70</f>
        <v>0</v>
      </c>
      <c r="K38" s="31">
        <f>('Data Sheet'!K70-'Data Sheet'!J70)/'Data Sheet'!J70</f>
        <v>0</v>
      </c>
    </row>
    <row r="39" spans="1:11">
      <c r="A39" s="5" t="s">
        <v>66</v>
      </c>
      <c r="B39" s="30"/>
      <c r="C39" s="31" t="e">
        <f>('Data Sheet'!C71-'Data Sheet'!B71)/'Data Sheet'!B71</f>
        <v>#DIV/0!</v>
      </c>
      <c r="D39" s="31" t="e">
        <f>('Data Sheet'!D71-'Data Sheet'!C71)/'Data Sheet'!C71</f>
        <v>#DIV/0!</v>
      </c>
      <c r="E39" s="31" t="e">
        <f>('Data Sheet'!E71-'Data Sheet'!D71)/'Data Sheet'!D71</f>
        <v>#DIV/0!</v>
      </c>
      <c r="F39" s="31" t="e">
        <f>('Data Sheet'!F71-'Data Sheet'!E71)/'Data Sheet'!E71</f>
        <v>#DIV/0!</v>
      </c>
      <c r="G39" s="31" t="e">
        <f>('Data Sheet'!G71-'Data Sheet'!F71)/'Data Sheet'!F71</f>
        <v>#DIV/0!</v>
      </c>
      <c r="H39" s="31" t="e">
        <f>('Data Sheet'!H71-'Data Sheet'!G71)/'Data Sheet'!G71</f>
        <v>#DIV/0!</v>
      </c>
      <c r="I39" s="31" t="e">
        <f>('Data Sheet'!I71-'Data Sheet'!H71)/'Data Sheet'!H71</f>
        <v>#DIV/0!</v>
      </c>
      <c r="J39" s="31" t="e">
        <f>('Data Sheet'!J71-'Data Sheet'!I71)/'Data Sheet'!I71</f>
        <v>#DIV/0!</v>
      </c>
      <c r="K39" s="31" t="e">
        <f>('Data Sheet'!K71-'Data Sheet'!J71)/'Data Sheet'!J71</f>
        <v>#DIV/0!</v>
      </c>
    </row>
    <row r="40" spans="1:11">
      <c r="A40" s="5" t="s">
        <v>79</v>
      </c>
      <c r="B40" s="30"/>
      <c r="C40" s="31">
        <f>('Data Sheet'!C72-'Data Sheet'!B72)/'Data Sheet'!B72</f>
        <v>0</v>
      </c>
      <c r="D40" s="31">
        <f>('Data Sheet'!D72-'Data Sheet'!C72)/'Data Sheet'!C72</f>
        <v>0</v>
      </c>
      <c r="E40" s="31">
        <f>('Data Sheet'!E72-'Data Sheet'!D72)/'Data Sheet'!D72</f>
        <v>0</v>
      </c>
      <c r="F40" s="31">
        <f>('Data Sheet'!F72-'Data Sheet'!E72)/'Data Sheet'!E72</f>
        <v>0</v>
      </c>
      <c r="G40" s="31">
        <f>('Data Sheet'!G72-'Data Sheet'!F72)/'Data Sheet'!F72</f>
        <v>0</v>
      </c>
      <c r="H40" s="31">
        <f>('Data Sheet'!H72-'Data Sheet'!G72)/'Data Sheet'!G72</f>
        <v>0</v>
      </c>
      <c r="I40" s="31">
        <f>('Data Sheet'!I72-'Data Sheet'!H72)/'Data Sheet'!H72</f>
        <v>0</v>
      </c>
      <c r="J40" s="31">
        <f>('Data Sheet'!J72-'Data Sheet'!I72)/'Data Sheet'!I72</f>
        <v>0</v>
      </c>
      <c r="K40" s="31">
        <f>('Data Sheet'!K72-'Data Sheet'!J72)/'Data Sheet'!J72</f>
        <v>0</v>
      </c>
    </row>
    <row r="41" spans="1:11">
      <c r="A41" s="5"/>
      <c r="B41" s="30"/>
      <c r="C41" s="31"/>
      <c r="D41" s="31"/>
      <c r="E41" s="31"/>
      <c r="F41" s="31"/>
      <c r="G41" s="31"/>
      <c r="H41" s="31"/>
      <c r="I41" s="31"/>
      <c r="J41" s="31"/>
      <c r="K41" s="31"/>
    </row>
    <row r="42" spans="1:11">
      <c r="A42" s="9"/>
      <c r="B42" s="30"/>
      <c r="C42" s="31"/>
      <c r="D42" s="31"/>
      <c r="E42" s="31"/>
      <c r="F42" s="31"/>
      <c r="G42" s="31"/>
      <c r="H42" s="31"/>
      <c r="I42" s="31"/>
      <c r="J42" s="31"/>
      <c r="K42" s="31"/>
    </row>
    <row r="43" spans="1:11">
      <c r="A43" s="9"/>
      <c r="B43" s="30"/>
      <c r="C43" s="31"/>
      <c r="D43" s="31"/>
      <c r="E43" s="31"/>
      <c r="F43" s="31"/>
      <c r="G43" s="31"/>
      <c r="H43" s="31"/>
      <c r="I43" s="31"/>
      <c r="J43" s="31"/>
      <c r="K43" s="31"/>
    </row>
    <row r="44" spans="1:11">
      <c r="A44" s="9"/>
      <c r="B44" s="30"/>
      <c r="C44" s="31"/>
      <c r="D44" s="31"/>
      <c r="E44" s="31"/>
      <c r="F44" s="31"/>
      <c r="G44" s="31"/>
      <c r="H44" s="31"/>
      <c r="I44" s="31"/>
      <c r="J44" s="31"/>
      <c r="K44" s="31"/>
    </row>
    <row r="45" spans="1:11">
      <c r="A45" s="9"/>
      <c r="B45" s="30"/>
      <c r="C45" s="31"/>
      <c r="D45" s="31"/>
      <c r="E45" s="31"/>
      <c r="F45" s="31"/>
      <c r="G45" s="31"/>
      <c r="H45" s="31"/>
      <c r="I45" s="31"/>
      <c r="J45" s="31"/>
      <c r="K45" s="31"/>
    </row>
    <row r="46" spans="1:11">
      <c r="A46" s="9"/>
      <c r="B46" s="30"/>
      <c r="C46" s="31"/>
      <c r="D46" s="31"/>
      <c r="E46" s="31"/>
      <c r="F46" s="31"/>
      <c r="G46" s="31"/>
      <c r="H46" s="31"/>
      <c r="I46" s="31"/>
      <c r="J46" s="31"/>
      <c r="K46" s="31"/>
    </row>
    <row r="47" spans="1:11">
      <c r="A47" s="1" t="s">
        <v>100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</row>
    <row r="48" spans="1:11">
      <c r="A48" s="1" t="s">
        <v>41</v>
      </c>
      <c r="B48" s="30"/>
      <c r="C48" s="31"/>
      <c r="D48" s="31"/>
      <c r="E48" s="31"/>
      <c r="F48" s="31"/>
      <c r="G48" s="31"/>
      <c r="H48" s="31"/>
      <c r="I48" s="31"/>
      <c r="J48" s="31"/>
      <c r="K48" s="31"/>
    </row>
    <row r="49" spans="1:12">
      <c r="A49" s="9" t="s">
        <v>32</v>
      </c>
      <c r="B49" s="30"/>
      <c r="C49" s="31">
        <f>('Data Sheet'!C82-'Data Sheet'!B82)/'Data Sheet'!B82</f>
        <v>0.24999999999999992</v>
      </c>
      <c r="D49" s="31">
        <f>('Data Sheet'!D82-'Data Sheet'!C82)/'Data Sheet'!C82</f>
        <v>-1.0564102564102564</v>
      </c>
      <c r="E49" s="31">
        <f>('Data Sheet'!E82-'Data Sheet'!D82)/'Data Sheet'!D82</f>
        <v>-60.18181818181818</v>
      </c>
      <c r="F49" s="31">
        <f>('Data Sheet'!F82-'Data Sheet'!E82)/'Data Sheet'!E82</f>
        <v>1.3824884792626706E-2</v>
      </c>
      <c r="G49" s="31">
        <f>('Data Sheet'!G82-'Data Sheet'!F82)/'Data Sheet'!F82</f>
        <v>-0.6924242424242425</v>
      </c>
      <c r="H49" s="31">
        <f>('Data Sheet'!H82-'Data Sheet'!G82)/'Data Sheet'!G82</f>
        <v>8.2167487684729075</v>
      </c>
      <c r="I49" s="31">
        <f>('Data Sheet'!I82-'Data Sheet'!H82)/'Data Sheet'!H82</f>
        <v>-0.47835382148583649</v>
      </c>
      <c r="J49" s="31">
        <f>('Data Sheet'!J82-'Data Sheet'!I82)/'Data Sheet'!I82</f>
        <v>0.43237704918032793</v>
      </c>
      <c r="K49" s="31">
        <f>('Data Sheet'!K82-'Data Sheet'!J82)/'Data Sheet'!J82</f>
        <v>0.38268955650929881</v>
      </c>
    </row>
    <row r="50" spans="1:12">
      <c r="A50" s="9" t="s">
        <v>33</v>
      </c>
      <c r="B50" s="30"/>
      <c r="C50" s="31">
        <f>('Data Sheet'!C83-'Data Sheet'!B83)/'Data Sheet'!B83</f>
        <v>-2.9764705882352938</v>
      </c>
      <c r="D50" s="31">
        <f>('Data Sheet'!D83-'Data Sheet'!C83)/'Data Sheet'!C83</f>
        <v>-3.0714285714285716</v>
      </c>
      <c r="E50" s="31">
        <f>('Data Sheet'!E83-'Data Sheet'!D83)/'Data Sheet'!D83</f>
        <v>0.98563218390804608</v>
      </c>
      <c r="F50" s="31">
        <f>('Data Sheet'!F83-'Data Sheet'!E83)/'Data Sheet'!E83</f>
        <v>-1.296671490593343</v>
      </c>
      <c r="G50" s="31">
        <f>('Data Sheet'!G83-'Data Sheet'!F83)/'Data Sheet'!F83</f>
        <v>-7.6243902439024396</v>
      </c>
      <c r="H50" s="31">
        <f>('Data Sheet'!H83-'Data Sheet'!G83)/'Data Sheet'!G83</f>
        <v>-0.81369661266568483</v>
      </c>
      <c r="I50" s="31">
        <f>('Data Sheet'!I83-'Data Sheet'!H83)/'Data Sheet'!H83</f>
        <v>-0.69960474308300391</v>
      </c>
      <c r="J50" s="31">
        <f>('Data Sheet'!J83-'Data Sheet'!I83)/'Data Sheet'!I83</f>
        <v>-4.1842105263157894</v>
      </c>
      <c r="K50" s="31">
        <f>('Data Sheet'!K83-'Data Sheet'!J83)/'Data Sheet'!J83</f>
        <v>-3.9421487603305785</v>
      </c>
    </row>
    <row r="51" spans="1:12">
      <c r="A51" s="9" t="s">
        <v>34</v>
      </c>
      <c r="B51" s="30"/>
      <c r="C51" s="31">
        <f>('Data Sheet'!C84-'Data Sheet'!B84)/'Data Sheet'!B84</f>
        <v>15.4</v>
      </c>
      <c r="D51" s="31">
        <f>('Data Sheet'!D84-'Data Sheet'!C84)/'Data Sheet'!C84</f>
        <v>-3.6138211382113825</v>
      </c>
      <c r="E51" s="31">
        <f>('Data Sheet'!E84-'Data Sheet'!D84)/'Data Sheet'!D84</f>
        <v>-1.5489891135303264</v>
      </c>
      <c r="F51" s="31">
        <f>('Data Sheet'!F84-'Data Sheet'!E84)/'Data Sheet'!E84</f>
        <v>1.6345609065155813</v>
      </c>
      <c r="G51" s="31">
        <f>('Data Sheet'!G84-'Data Sheet'!F84)/'Data Sheet'!F84</f>
        <v>-2.2483870967741932</v>
      </c>
      <c r="H51" s="31">
        <f>('Data Sheet'!H84-'Data Sheet'!G84)/'Data Sheet'!G84</f>
        <v>-2.2911283376399658</v>
      </c>
      <c r="I51" s="31">
        <f>('Data Sheet'!I84-'Data Sheet'!H84)/'Data Sheet'!H84</f>
        <v>-0.27351567711807867</v>
      </c>
      <c r="J51" s="31">
        <f>('Data Sheet'!J84-'Data Sheet'!I84)/'Data Sheet'!I84</f>
        <v>0.13682277318640956</v>
      </c>
      <c r="K51" s="31">
        <f>('Data Sheet'!K84-'Data Sheet'!J84)/'Data Sheet'!J84</f>
        <v>-0.23990306946688211</v>
      </c>
    </row>
    <row r="52" spans="1:12">
      <c r="A52" s="9" t="s">
        <v>35</v>
      </c>
      <c r="B52" s="30"/>
      <c r="C52" s="31">
        <f>('Data Sheet'!C85-'Data Sheet'!B85)/'Data Sheet'!B85</f>
        <v>1.089285714285714</v>
      </c>
      <c r="D52" s="31">
        <f>('Data Sheet'!D85-'Data Sheet'!C85)/'Data Sheet'!C85</f>
        <v>1.4273504273504274</v>
      </c>
      <c r="E52" s="31">
        <f>('Data Sheet'!E85-'Data Sheet'!D85)/'Data Sheet'!D85</f>
        <v>-2.3838028169014085</v>
      </c>
      <c r="F52" s="31">
        <f>('Data Sheet'!F85-'Data Sheet'!E85)/'Data Sheet'!E85</f>
        <v>-0.83460559796437661</v>
      </c>
      <c r="G52" s="31">
        <f>('Data Sheet'!G85-'Data Sheet'!F85)/'Data Sheet'!F85</f>
        <v>-1.0923076923076922</v>
      </c>
      <c r="H52" s="31">
        <f>('Data Sheet'!H85-'Data Sheet'!G85)/'Data Sheet'!G85</f>
        <v>18.833333333333332</v>
      </c>
      <c r="I52" s="31">
        <f>('Data Sheet'!I85-'Data Sheet'!H85)/'Data Sheet'!H85</f>
        <v>-2.5882352941176472</v>
      </c>
      <c r="J52" s="31">
        <f>('Data Sheet'!J85-'Data Sheet'!I85)/'Data Sheet'!I85</f>
        <v>-3.1269841269841265</v>
      </c>
      <c r="K52" s="31">
        <f>('Data Sheet'!K85-'Data Sheet'!J85)/'Data Sheet'!J85</f>
        <v>-0.30348258706467657</v>
      </c>
    </row>
    <row r="53" spans="1:12">
      <c r="A53" s="9"/>
      <c r="B53" s="30"/>
      <c r="C53" s="31"/>
      <c r="D53" s="31"/>
      <c r="E53" s="31"/>
      <c r="F53" s="31"/>
      <c r="G53" s="31"/>
      <c r="H53" s="31"/>
      <c r="I53" s="31"/>
      <c r="J53" s="31"/>
      <c r="K53" s="31"/>
    </row>
    <row r="54" spans="1:12">
      <c r="A54" s="9"/>
      <c r="B54" s="30"/>
      <c r="C54" s="31"/>
      <c r="D54" s="31"/>
      <c r="E54" s="31"/>
      <c r="F54" s="31"/>
      <c r="G54" s="31"/>
      <c r="H54" s="31"/>
      <c r="I54" s="31"/>
      <c r="J54" s="31"/>
      <c r="K54" s="31"/>
    </row>
    <row r="55" spans="1:12">
      <c r="A55" s="9"/>
      <c r="B55" s="30"/>
      <c r="C55" s="31"/>
      <c r="D55" s="31"/>
      <c r="E55" s="31"/>
      <c r="F55" s="31"/>
      <c r="G55" s="31"/>
      <c r="H55" s="31"/>
      <c r="I55" s="31"/>
      <c r="J55" s="31"/>
      <c r="K55" s="31"/>
    </row>
    <row r="56" spans="1:12">
      <c r="A56" s="9"/>
      <c r="B56" s="30"/>
      <c r="C56" s="31"/>
      <c r="D56" s="31"/>
      <c r="E56" s="31"/>
      <c r="F56" s="31"/>
      <c r="G56" s="31"/>
      <c r="H56" s="31"/>
      <c r="I56" s="31"/>
      <c r="J56" s="31"/>
      <c r="K56" s="31"/>
    </row>
    <row r="57" spans="1:12">
      <c r="A57" s="1" t="s">
        <v>68</v>
      </c>
      <c r="B57" s="30"/>
      <c r="C57" s="31">
        <f>('Data Sheet'!C90-'Data Sheet'!B90)/'Data Sheet'!B90</f>
        <v>0.99184228416043496</v>
      </c>
      <c r="D57" s="31">
        <f>('Data Sheet'!D90-'Data Sheet'!C90)/'Data Sheet'!C90</f>
        <v>-1.5017064846416425E-2</v>
      </c>
      <c r="E57" s="31">
        <f>('Data Sheet'!E90-'Data Sheet'!D90)/'Data Sheet'!D90</f>
        <v>-0.40228690228690228</v>
      </c>
      <c r="F57" s="31">
        <f>('Data Sheet'!F90-'Data Sheet'!E90)/'Data Sheet'!E90</f>
        <v>1.3037681159420291</v>
      </c>
      <c r="G57" s="31">
        <f>('Data Sheet'!G90-'Data Sheet'!F90)/'Data Sheet'!F90</f>
        <v>0.12078510317060888</v>
      </c>
      <c r="H57" s="31">
        <f>('Data Sheet'!H90-'Data Sheet'!G90)/'Data Sheet'!G90</f>
        <v>-0.12685226762460708</v>
      </c>
      <c r="I57" s="31">
        <f>('Data Sheet'!I90-'Data Sheet'!H90)/'Data Sheet'!H90</f>
        <v>0.19619439444587303</v>
      </c>
      <c r="J57" s="31">
        <f>('Data Sheet'!J90-'Data Sheet'!I90)/'Data Sheet'!I90</f>
        <v>6.7497850386930208E-2</v>
      </c>
      <c r="K57" s="31">
        <f>('Data Sheet'!K90-'Data Sheet'!J90)/'Data Sheet'!J90</f>
        <v>1.717076117599678</v>
      </c>
    </row>
    <row r="58" spans="1:12">
      <c r="A58" s="5"/>
      <c r="B58" s="30"/>
      <c r="C58" s="31"/>
      <c r="D58" s="31"/>
      <c r="E58" s="31"/>
      <c r="F58" s="31"/>
      <c r="G58" s="31"/>
      <c r="H58" s="31"/>
      <c r="I58" s="31"/>
      <c r="J58" s="31"/>
      <c r="K58" s="31"/>
    </row>
    <row r="59" spans="1:12">
      <c r="A59" s="1" t="s">
        <v>67</v>
      </c>
      <c r="B59" s="30"/>
      <c r="C59" s="31"/>
      <c r="D59" s="31"/>
      <c r="E59" s="31"/>
      <c r="F59" s="31"/>
      <c r="G59" s="31"/>
      <c r="H59" s="31"/>
      <c r="I59" s="31"/>
      <c r="J59" s="31"/>
      <c r="K59" s="31"/>
    </row>
    <row r="60" spans="1:12">
      <c r="A60" s="5" t="s">
        <v>80</v>
      </c>
      <c r="B60" s="30"/>
      <c r="C60" s="31">
        <f>('Data Sheet'!C93-'Data Sheet'!B93)/'Data Sheet'!B93</f>
        <v>0</v>
      </c>
      <c r="D60" s="31">
        <f>('Data Sheet'!D93-'Data Sheet'!C93)/'Data Sheet'!C93</f>
        <v>0</v>
      </c>
      <c r="E60" s="31">
        <f>('Data Sheet'!E93-'Data Sheet'!D93)/'Data Sheet'!D93</f>
        <v>0</v>
      </c>
      <c r="F60" s="31">
        <f>('Data Sheet'!F93-'Data Sheet'!E93)/'Data Sheet'!E93</f>
        <v>-0.13032786885245903</v>
      </c>
      <c r="G60" s="31">
        <f>('Data Sheet'!G93-'Data Sheet'!F93)/'Data Sheet'!F93</f>
        <v>0</v>
      </c>
      <c r="H60" s="31">
        <f>('Data Sheet'!H93-'Data Sheet'!G93)/'Data Sheet'!G93</f>
        <v>0</v>
      </c>
      <c r="I60" s="31">
        <f>('Data Sheet'!I93-'Data Sheet'!H93)/'Data Sheet'!H93</f>
        <v>0</v>
      </c>
      <c r="J60" s="31">
        <f>('Data Sheet'!J93-'Data Sheet'!I93)/'Data Sheet'!I93</f>
        <v>0</v>
      </c>
      <c r="K60" s="31">
        <f>('Data Sheet'!K93-'Data Sheet'!J93)/'Data Sheet'!J93</f>
        <v>0</v>
      </c>
    </row>
    <row r="61" spans="1:12">
      <c r="A61" s="5"/>
      <c r="B61" s="30"/>
      <c r="C61" s="31"/>
      <c r="D61" s="30"/>
      <c r="E61" s="30"/>
      <c r="F61" s="30"/>
      <c r="G61" s="30"/>
      <c r="H61" s="30"/>
      <c r="I61" s="30"/>
      <c r="J61" s="30"/>
      <c r="K61" s="30"/>
    </row>
    <row r="62" spans="1:12">
      <c r="A62" s="5"/>
    </row>
    <row r="63" spans="1:12">
      <c r="A63" s="46" t="s">
        <v>145</v>
      </c>
    </row>
    <row r="64" spans="1:12">
      <c r="A64" s="9" t="s">
        <v>6</v>
      </c>
      <c r="B64" s="30">
        <f>'Data Sheet'!B17/'Data Sheet'!B17</f>
        <v>1</v>
      </c>
      <c r="C64" s="30">
        <f>'Data Sheet'!C17/'Data Sheet'!C17</f>
        <v>1</v>
      </c>
      <c r="D64" s="30">
        <f>'Data Sheet'!D17/'Data Sheet'!D17</f>
        <v>1</v>
      </c>
      <c r="E64" s="30">
        <f>'Data Sheet'!E17/'Data Sheet'!E17</f>
        <v>1</v>
      </c>
      <c r="F64" s="30">
        <f>'Data Sheet'!F17/'Data Sheet'!F17</f>
        <v>1</v>
      </c>
      <c r="G64" s="30">
        <f>'Data Sheet'!G17/'Data Sheet'!G17</f>
        <v>1</v>
      </c>
      <c r="H64" s="30">
        <f>'Data Sheet'!H17/'Data Sheet'!H17</f>
        <v>1</v>
      </c>
      <c r="I64" s="30">
        <f>'Data Sheet'!I17/'Data Sheet'!I17</f>
        <v>1</v>
      </c>
      <c r="J64" s="30">
        <f>'Data Sheet'!J17/'Data Sheet'!J17</f>
        <v>1</v>
      </c>
      <c r="K64" s="30">
        <f>'Data Sheet'!K17/'Data Sheet'!K17</f>
        <v>1</v>
      </c>
      <c r="L64" s="30"/>
    </row>
    <row r="65" spans="1:12">
      <c r="A65" s="61" t="s">
        <v>71</v>
      </c>
      <c r="B65" s="59">
        <f>'Data Sheet'!B18/'Data Sheet'!B17</f>
        <v>0.77540461660918025</v>
      </c>
      <c r="C65" s="59">
        <f>'Data Sheet'!C18/'Data Sheet'!C17</f>
        <v>0.74850038172101641</v>
      </c>
      <c r="D65" s="59">
        <f>'Data Sheet'!D18/'Data Sheet'!D17</f>
        <v>0.747417459995949</v>
      </c>
      <c r="E65" s="59">
        <f>'Data Sheet'!E18/'Data Sheet'!E17</f>
        <v>0.75119017790027554</v>
      </c>
      <c r="F65" s="59">
        <f>'Data Sheet'!F18/'Data Sheet'!F17</f>
        <v>0.76432164086485077</v>
      </c>
      <c r="G65" s="59">
        <f>'Data Sheet'!G18/'Data Sheet'!G17</f>
        <v>0.78539253539253551</v>
      </c>
      <c r="H65" s="59">
        <f>'Data Sheet'!H18/'Data Sheet'!H17</f>
        <v>0.7989816149963952</v>
      </c>
      <c r="I65" s="59">
        <f>'Data Sheet'!I18/'Data Sheet'!I17</f>
        <v>0.8062420613318817</v>
      </c>
      <c r="J65" s="59">
        <f>'Data Sheet'!J18/'Data Sheet'!J17</f>
        <v>0.80292436867477568</v>
      </c>
      <c r="K65" s="59">
        <f>'Data Sheet'!K18/'Data Sheet'!K17</f>
        <v>0.7997863717759417</v>
      </c>
      <c r="L65" s="30"/>
    </row>
    <row r="66" spans="1:12">
      <c r="A66" s="5" t="s">
        <v>72</v>
      </c>
      <c r="B66" s="30">
        <f>'Data Sheet'!B19/'Data Sheet'!B17</f>
        <v>2.3348368267444946E-2</v>
      </c>
      <c r="C66" s="30">
        <f>'Data Sheet'!C19/'Data Sheet'!C17</f>
        <v>-1.7122914167302869E-2</v>
      </c>
      <c r="D66" s="30">
        <f>'Data Sheet'!D19/'Data Sheet'!D17</f>
        <v>-4.1523192221997168E-3</v>
      </c>
      <c r="E66" s="30">
        <f>'Data Sheet'!E19/'Data Sheet'!E17</f>
        <v>-4.0925415518249389E-3</v>
      </c>
      <c r="F66" s="30">
        <f>'Data Sheet'!F19/'Data Sheet'!F17</f>
        <v>-4.1805473904239334E-3</v>
      </c>
      <c r="G66" s="30">
        <f>'Data Sheet'!G19/'Data Sheet'!G17</f>
        <v>3.1102531102531104E-3</v>
      </c>
      <c r="H66" s="30">
        <f>'Data Sheet'!H19/'Data Sheet'!H17</f>
        <v>1.9872025955299209E-2</v>
      </c>
      <c r="I66" s="30">
        <f>'Data Sheet'!I19/'Data Sheet'!I17</f>
        <v>3.5565233170023586E-3</v>
      </c>
      <c r="J66" s="30">
        <f>'Data Sheet'!J19/'Data Sheet'!J17</f>
        <v>-3.096765954729751E-3</v>
      </c>
      <c r="K66" s="30">
        <f>'Data Sheet'!K19/'Data Sheet'!K17</f>
        <v>2.7017687160315416E-3</v>
      </c>
      <c r="L66" s="30"/>
    </row>
    <row r="67" spans="1:12">
      <c r="A67" s="5" t="s">
        <v>73</v>
      </c>
      <c r="B67" s="30">
        <f>'Data Sheet'!B20/'Data Sheet'!B17</f>
        <v>2.9450782700981698E-2</v>
      </c>
      <c r="C67" s="30">
        <f>'Data Sheet'!C20/'Data Sheet'!C17</f>
        <v>2.3666703021049187E-2</v>
      </c>
      <c r="D67" s="30">
        <f>'Data Sheet'!D20/'Data Sheet'!D17</f>
        <v>2.2078185132671665E-2</v>
      </c>
      <c r="E67" s="30">
        <f>'Data Sheet'!E20/'Data Sheet'!E17</f>
        <v>1.9878058966006848E-2</v>
      </c>
      <c r="F67" s="30">
        <f>'Data Sheet'!F20/'Data Sheet'!F17</f>
        <v>1.8616500097981579E-2</v>
      </c>
      <c r="G67" s="30">
        <f>'Data Sheet'!G20/'Data Sheet'!G17</f>
        <v>1.7320892320892321E-2</v>
      </c>
      <c r="H67" s="30">
        <f>'Data Sheet'!H20/'Data Sheet'!H17</f>
        <v>1.6762797404470082E-2</v>
      </c>
      <c r="I67" s="30">
        <f>'Data Sheet'!I20/'Data Sheet'!I17</f>
        <v>1.6113228089275993E-2</v>
      </c>
      <c r="J67" s="30">
        <f>'Data Sheet'!J20/'Data Sheet'!J17</f>
        <v>1.328097564090285E-2</v>
      </c>
      <c r="K67" s="30">
        <f>'Data Sheet'!K20/'Data Sheet'!K17</f>
        <v>1.3980082309698093E-2</v>
      </c>
      <c r="L67" s="30"/>
    </row>
    <row r="68" spans="1:12">
      <c r="A68" s="5" t="s">
        <v>74</v>
      </c>
      <c r="B68" s="30">
        <f>'Data Sheet'!B21/'Data Sheet'!B17</f>
        <v>3.3165295834438842E-2</v>
      </c>
      <c r="C68" s="30">
        <f>'Data Sheet'!C21/'Data Sheet'!C17</f>
        <v>2.9119860399171121E-2</v>
      </c>
      <c r="D68" s="30">
        <f>'Data Sheet'!D21/'Data Sheet'!D17</f>
        <v>3.0382823577071099E-2</v>
      </c>
      <c r="E68" s="30">
        <f>'Data Sheet'!E21/'Data Sheet'!E17</f>
        <v>3.232272613380105E-2</v>
      </c>
      <c r="F68" s="30">
        <f>'Data Sheet'!F21/'Data Sheet'!F17</f>
        <v>3.1027500163302631E-2</v>
      </c>
      <c r="G68" s="30">
        <f>'Data Sheet'!G21/'Data Sheet'!G17</f>
        <v>1.3996138996138996E-2</v>
      </c>
      <c r="H68" s="30">
        <f>'Data Sheet'!H21/'Data Sheet'!H17</f>
        <v>1.6852919971160781E-2</v>
      </c>
      <c r="I68" s="30">
        <f>'Data Sheet'!I21/'Data Sheet'!I17</f>
        <v>1.4480130647795318E-2</v>
      </c>
      <c r="J68" s="30">
        <f>'Data Sheet'!J21/'Data Sheet'!J17</f>
        <v>1.3185199374261724E-2</v>
      </c>
      <c r="K68" s="30">
        <f>'Data Sheet'!K21/'Data Sheet'!K17</f>
        <v>1.2503534290471553E-2</v>
      </c>
      <c r="L68" s="30"/>
    </row>
    <row r="69" spans="1:12">
      <c r="A69" s="5" t="s">
        <v>75</v>
      </c>
      <c r="B69" s="30">
        <f>'Data Sheet'!B22/'Data Sheet'!B17</f>
        <v>4.7758026001591937E-2</v>
      </c>
      <c r="C69" s="30">
        <f>'Data Sheet'!C22/'Data Sheet'!C17</f>
        <v>4.4934016795724729E-2</v>
      </c>
      <c r="D69" s="30">
        <f>'Data Sheet'!D22/'Data Sheet'!D17</f>
        <v>5.033421105934778E-2</v>
      </c>
      <c r="E69" s="30">
        <f>'Data Sheet'!E22/'Data Sheet'!E17</f>
        <v>5.2200785099807898E-2</v>
      </c>
      <c r="F69" s="30">
        <f>'Data Sheet'!F22/'Data Sheet'!F17</f>
        <v>4.6116663400614016E-2</v>
      </c>
      <c r="G69" s="30">
        <f>'Data Sheet'!G22/'Data Sheet'!G17</f>
        <v>4.6278421278421286E-2</v>
      </c>
      <c r="H69" s="30">
        <f>'Data Sheet'!H22/'Data Sheet'!H17</f>
        <v>4.0194664744051915E-2</v>
      </c>
      <c r="I69" s="30">
        <f>'Data Sheet'!I22/'Data Sheet'!I17</f>
        <v>3.8359644347668302E-2</v>
      </c>
      <c r="J69" s="30">
        <f>'Data Sheet'!J22/'Data Sheet'!J17</f>
        <v>4.0481435366982725E-2</v>
      </c>
      <c r="K69" s="30">
        <f>'Data Sheet'!K22/'Data Sheet'!K17</f>
        <v>4.7092457038735824E-2</v>
      </c>
      <c r="L69" s="30"/>
    </row>
    <row r="70" spans="1:12">
      <c r="A70" s="61" t="s">
        <v>76</v>
      </c>
      <c r="B70" s="59">
        <f>'Data Sheet'!B23/'Data Sheet'!B17</f>
        <v>6.832050941894402E-2</v>
      </c>
      <c r="C70" s="59">
        <f>'Data Sheet'!C23/'Data Sheet'!C17</f>
        <v>6.4783509652088567E-2</v>
      </c>
      <c r="D70" s="59">
        <f>'Data Sheet'!D23/'Data Sheet'!D17</f>
        <v>6.0461818918371484E-2</v>
      </c>
      <c r="E70" s="59">
        <f>'Data Sheet'!E23/'Data Sheet'!E17</f>
        <v>4.8692892341100809E-2</v>
      </c>
      <c r="F70" s="59">
        <f>'Data Sheet'!F23/'Data Sheet'!F17</f>
        <v>4.9709321314259584E-2</v>
      </c>
      <c r="G70" s="59">
        <f>'Data Sheet'!G23/'Data Sheet'!G17</f>
        <v>4.6332046332046337E-2</v>
      </c>
      <c r="H70" s="59">
        <f>'Data Sheet'!H23/'Data Sheet'!H17</f>
        <v>4.9161860129776497E-2</v>
      </c>
      <c r="I70" s="59">
        <f>'Data Sheet'!I23/'Data Sheet'!I17</f>
        <v>4.7396116857194699E-2</v>
      </c>
      <c r="J70" s="59">
        <f>'Data Sheet'!J23/'Data Sheet'!J17</f>
        <v>4.8271238387127664E-2</v>
      </c>
      <c r="K70" s="59">
        <f>'Data Sheet'!K23/'Data Sheet'!K17</f>
        <v>5.1459269265810056E-2</v>
      </c>
      <c r="L70" s="30"/>
    </row>
    <row r="71" spans="1:12">
      <c r="A71" s="5" t="s">
        <v>77</v>
      </c>
      <c r="B71" s="30">
        <f>'Data Sheet'!B24/'Data Sheet'!B17</f>
        <v>8.2249933669408335E-3</v>
      </c>
      <c r="C71" s="30">
        <f>'Data Sheet'!C24/'Data Sheet'!C17</f>
        <v>1.1996946231868253E-2</v>
      </c>
      <c r="D71" s="30">
        <f>'Data Sheet'!D24/'Data Sheet'!D17</f>
        <v>1.519141178853555E-2</v>
      </c>
      <c r="E71" s="30">
        <f>'Data Sheet'!E24/'Data Sheet'!E17</f>
        <v>1.6453687463459449E-2</v>
      </c>
      <c r="F71" s="30">
        <f>'Data Sheet'!F24/'Data Sheet'!F17</f>
        <v>6.2055000326605263E-3</v>
      </c>
      <c r="G71" s="30">
        <f>'Data Sheet'!G24/'Data Sheet'!G17</f>
        <v>8.4727584727584734E-3</v>
      </c>
      <c r="H71" s="30">
        <f>'Data Sheet'!H24/'Data Sheet'!H17</f>
        <v>1.6267123287671232E-2</v>
      </c>
      <c r="I71" s="30">
        <f>'Data Sheet'!I24/'Data Sheet'!I17</f>
        <v>7.2945019052803473E-3</v>
      </c>
      <c r="J71" s="30">
        <f>'Data Sheet'!J24/'Data Sheet'!J17</f>
        <v>9.5776266641126317E-3</v>
      </c>
      <c r="K71" s="30">
        <f>'Data Sheet'!K24/'Data Sheet'!K17</f>
        <v>5.8119443309980843E-3</v>
      </c>
      <c r="L71" s="30"/>
    </row>
    <row r="72" spans="1:12">
      <c r="A72" s="9" t="s">
        <v>9</v>
      </c>
      <c r="B72" s="30">
        <f>'Data Sheet'!B25/'Data Sheet'!B17</f>
        <v>3.2899973467763334E-2</v>
      </c>
      <c r="C72" s="30">
        <f>'Data Sheet'!C25/'Data Sheet'!C17</f>
        <v>2.7702039480859419E-2</v>
      </c>
      <c r="D72" s="30">
        <f>'Data Sheet'!D25/'Data Sheet'!D17</f>
        <v>3.0990480048612521E-2</v>
      </c>
      <c r="E72" s="30">
        <f>'Data Sheet'!E25/'Data Sheet'!E17</f>
        <v>2.0963835296082849E-2</v>
      </c>
      <c r="F72" s="30">
        <f>'Data Sheet'!F25/'Data Sheet'!F17</f>
        <v>6.5386374028349334E-2</v>
      </c>
      <c r="G72" s="30">
        <f>'Data Sheet'!G25/'Data Sheet'!G17</f>
        <v>1.3459888459888459E-2</v>
      </c>
      <c r="H72" s="30">
        <f>'Data Sheet'!H25/'Data Sheet'!H17</f>
        <v>5.0919250180245131E-3</v>
      </c>
      <c r="I72" s="30">
        <f>'Data Sheet'!I25/'Data Sheet'!I17</f>
        <v>7.004173471239339E-3</v>
      </c>
      <c r="J72" s="30">
        <f>'Data Sheet'!J25/'Data Sheet'!J17</f>
        <v>5.555023465185327E-3</v>
      </c>
      <c r="K72" s="30">
        <f>'Data Sheet'!K25/'Data Sheet'!K17</f>
        <v>9.2362790989915493E-3</v>
      </c>
      <c r="L72" s="30"/>
    </row>
    <row r="73" spans="1:12">
      <c r="A73" s="9" t="s">
        <v>10</v>
      </c>
      <c r="B73" s="30">
        <f>'Data Sheet'!B26/'Data Sheet'!B17</f>
        <v>2.9583443884319448E-2</v>
      </c>
      <c r="C73" s="30">
        <f>'Data Sheet'!C26/'Data Sheet'!C17</f>
        <v>2.4648271349111135E-2</v>
      </c>
      <c r="D73" s="30">
        <f>'Data Sheet'!D26/'Data Sheet'!D17</f>
        <v>2.3799878468705692E-2</v>
      </c>
      <c r="E73" s="30">
        <f>'Data Sheet'!E26/'Data Sheet'!E17</f>
        <v>1.804059133049361E-2</v>
      </c>
      <c r="F73" s="30">
        <f>'Data Sheet'!F26/'Data Sheet'!F17</f>
        <v>1.4109347442680777E-2</v>
      </c>
      <c r="G73" s="30">
        <f>'Data Sheet'!G26/'Data Sheet'!G17</f>
        <v>1.2494637494637495E-2</v>
      </c>
      <c r="H73" s="30">
        <f>'Data Sheet'!H26/'Data Sheet'!H17</f>
        <v>1.2166546503244413E-2</v>
      </c>
      <c r="I73" s="30">
        <f>'Data Sheet'!I26/'Data Sheet'!I17</f>
        <v>9.6171293776084188E-3</v>
      </c>
      <c r="J73" s="30">
        <f>'Data Sheet'!J26/'Data Sheet'!J17</f>
        <v>8.3006097755642817E-3</v>
      </c>
      <c r="K73" s="30">
        <f>'Data Sheet'!K26/'Data Sheet'!K17</f>
        <v>8.9535358612673182E-3</v>
      </c>
      <c r="L73" s="30"/>
    </row>
    <row r="74" spans="1:12">
      <c r="A74" s="9" t="s">
        <v>11</v>
      </c>
      <c r="B74" s="30">
        <f>'Data Sheet'!B27/'Data Sheet'!B17</f>
        <v>1.5786680817192891E-2</v>
      </c>
      <c r="C74" s="30">
        <f>'Data Sheet'!C27/'Data Sheet'!C17</f>
        <v>1.5268840658741411E-2</v>
      </c>
      <c r="D74" s="30">
        <f>'Data Sheet'!D27/'Data Sheet'!D17</f>
        <v>1.1646749037877253E-2</v>
      </c>
      <c r="E74" s="30">
        <f>'Data Sheet'!E27/'Data Sheet'!E17</f>
        <v>1.58690386703416E-2</v>
      </c>
      <c r="F74" s="30">
        <f>'Data Sheet'!F27/'Data Sheet'!F17</f>
        <v>7.7732053040695014E-3</v>
      </c>
      <c r="G74" s="30">
        <f>'Data Sheet'!G27/'Data Sheet'!G17</f>
        <v>1.1261261261261262E-2</v>
      </c>
      <c r="H74" s="30">
        <f>'Data Sheet'!H27/'Data Sheet'!H17</f>
        <v>9.5980533525594804E-3</v>
      </c>
      <c r="I74" s="30">
        <f>'Data Sheet'!I27/'Data Sheet'!I17</f>
        <v>7.4759571765559791E-3</v>
      </c>
      <c r="J74" s="30">
        <f>'Data Sheet'!J27/'Data Sheet'!J17</f>
        <v>5.4592471985442006E-3</v>
      </c>
      <c r="K74" s="30">
        <f>'Data Sheet'!K27/'Data Sheet'!K17</f>
        <v>3.455750683296158E-3</v>
      </c>
      <c r="L74" s="30"/>
    </row>
    <row r="75" spans="1:12">
      <c r="A75" s="9" t="s">
        <v>12</v>
      </c>
      <c r="B75" s="30">
        <f>'Data Sheet'!B28/'Data Sheet'!B17</f>
        <v>2.2287078800742904E-2</v>
      </c>
      <c r="C75" s="30">
        <f>'Data Sheet'!C28/'Data Sheet'!C17</f>
        <v>3.2718944268731599E-2</v>
      </c>
      <c r="D75" s="30">
        <f>'Data Sheet'!D28/'Data Sheet'!D17</f>
        <v>5.3575045574235369E-2</v>
      </c>
      <c r="E75" s="30">
        <f>'Data Sheet'!E28/'Data Sheet'!E17</f>
        <v>4.98621899273365E-2</v>
      </c>
      <c r="F75" s="30">
        <f>'Data Sheet'!F28/'Data Sheet'!F17</f>
        <v>0.11209092690574173</v>
      </c>
      <c r="G75" s="30">
        <f>'Data Sheet'!G28/'Data Sheet'!G17</f>
        <v>7.5021450021450026E-2</v>
      </c>
      <c r="H75" s="30">
        <f>'Data Sheet'!H28/'Data Sheet'!H17</f>
        <v>6.4978370583994235E-2</v>
      </c>
      <c r="I75" s="30">
        <f>'Data Sheet'!I28/'Data Sheet'!I17</f>
        <v>6.3618218109236069E-2</v>
      </c>
      <c r="J75" s="30">
        <f>'Data Sheet'!J28/'Data Sheet'!J17</f>
        <v>6.0977556428183761E-2</v>
      </c>
      <c r="K75" s="30">
        <f>'Data Sheet'!K28/'Data Sheet'!K17</f>
        <v>6.8895102258804311E-2</v>
      </c>
      <c r="L75" s="30"/>
    </row>
    <row r="76" spans="1:12">
      <c r="A76" s="9" t="s">
        <v>13</v>
      </c>
      <c r="B76" s="30">
        <f>'Data Sheet'!B29/'Data Sheet'!B17</f>
        <v>6.5003979835500138E-3</v>
      </c>
      <c r="C76" s="30">
        <f>'Data Sheet'!C29/'Data Sheet'!C17</f>
        <v>1.4178209183117026E-2</v>
      </c>
      <c r="D76" s="30">
        <f>'Data Sheet'!D29/'Data Sheet'!D17</f>
        <v>1.5090135709945312E-2</v>
      </c>
      <c r="E76" s="30">
        <f>'Data Sheet'!E29/'Data Sheet'!E17</f>
        <v>1.6704251231938527E-2</v>
      </c>
      <c r="F76" s="30">
        <f>'Data Sheet'!F29/'Data Sheet'!F17</f>
        <v>1.9400352733686069E-2</v>
      </c>
      <c r="G76" s="30">
        <f>'Data Sheet'!G29/'Data Sheet'!G17</f>
        <v>2.3809523809523812E-2</v>
      </c>
      <c r="H76" s="30">
        <f>'Data Sheet'!H29/'Data Sheet'!H17</f>
        <v>2.0638067772170154E-2</v>
      </c>
      <c r="I76" s="30">
        <f>'Data Sheet'!I29/'Data Sheet'!I17</f>
        <v>1.7201959716929775E-2</v>
      </c>
      <c r="J76" s="30">
        <f>'Data Sheet'!J29/'Data Sheet'!J17</f>
        <v>1.8005938128531747E-2</v>
      </c>
      <c r="K76" s="30">
        <f>'Data Sheet'!K29/'Data Sheet'!K17</f>
        <v>1.7655744400113096E-2</v>
      </c>
      <c r="L76" s="30"/>
    </row>
    <row r="77" spans="1:12">
      <c r="A77" s="58" t="s">
        <v>14</v>
      </c>
      <c r="B77" s="59">
        <f>'Data Sheet'!B30/'Data Sheet'!B17</f>
        <v>1.5786680817192891E-2</v>
      </c>
      <c r="C77" s="59">
        <f>'Data Sheet'!C30/'Data Sheet'!C17</f>
        <v>1.854073508561457E-2</v>
      </c>
      <c r="D77" s="59">
        <f>'Data Sheet'!D30/'Data Sheet'!D17</f>
        <v>3.8484909864290054E-2</v>
      </c>
      <c r="E77" s="59">
        <f>'Data Sheet'!E30/'Data Sheet'!E17</f>
        <v>3.315793869539798E-2</v>
      </c>
      <c r="F77" s="59">
        <f>'Data Sheet'!F30/'Data Sheet'!F17</f>
        <v>9.2690574172055645E-2</v>
      </c>
      <c r="G77" s="59">
        <f>'Data Sheet'!G30/'Data Sheet'!G17</f>
        <v>5.1211926211926218E-2</v>
      </c>
      <c r="H77" s="59">
        <f>'Data Sheet'!H30/'Data Sheet'!H17</f>
        <v>4.4340302811824085E-2</v>
      </c>
      <c r="I77" s="59">
        <f>'Data Sheet'!I30/'Data Sheet'!I17</f>
        <v>4.6416258392306294E-2</v>
      </c>
      <c r="J77" s="59">
        <f>'Data Sheet'!J30/'Data Sheet'!J17</f>
        <v>4.3003543721865718E-2</v>
      </c>
      <c r="K77" s="59">
        <f>'Data Sheet'!K30/'Data Sheet'!K17</f>
        <v>5.1239357858691208E-2</v>
      </c>
      <c r="L77" s="30"/>
    </row>
    <row r="78" spans="1:12">
      <c r="A78" s="9" t="s">
        <v>61</v>
      </c>
      <c r="B78" s="30">
        <f>'Data Sheet'!B31/'Data Sheet'!B17</f>
        <v>0</v>
      </c>
      <c r="C78" s="31"/>
      <c r="D78" s="30"/>
      <c r="E78" s="30"/>
      <c r="F78" s="30"/>
      <c r="G78" s="30"/>
      <c r="H78" s="30"/>
      <c r="I78" s="30"/>
      <c r="J78" s="30"/>
      <c r="K78" s="30"/>
      <c r="L78" s="30"/>
    </row>
    <row r="79" spans="1:12">
      <c r="A79" s="5"/>
      <c r="B79" s="30"/>
      <c r="C79" s="31"/>
      <c r="D79" s="30"/>
      <c r="E79" s="30"/>
      <c r="F79" s="30"/>
      <c r="G79" s="30"/>
      <c r="H79" s="30"/>
      <c r="I79" s="30"/>
      <c r="J79" s="30"/>
      <c r="K79" s="30"/>
      <c r="L79" s="30"/>
    </row>
    <row r="80" spans="1:12">
      <c r="A80" s="5"/>
    </row>
    <row r="81" spans="1:11">
      <c r="A81" s="5" t="s">
        <v>146</v>
      </c>
      <c r="B81" s="11">
        <f>SUM('Data Sheet'!B57,'Data Sheet'!B58,'Data Sheet'!B59)</f>
        <v>36.28</v>
      </c>
      <c r="C81" s="11">
        <f>SUM('Data Sheet'!C57,'Data Sheet'!C58,'Data Sheet'!C59)</f>
        <v>36.519999999999996</v>
      </c>
      <c r="D81" s="11">
        <f>SUM('Data Sheet'!D57,'Data Sheet'!D58,'Data Sheet'!D59)</f>
        <v>47.489999999999995</v>
      </c>
      <c r="E81" s="11">
        <f>SUM('Data Sheet'!E57,'Data Sheet'!E58,'Data Sheet'!E59)</f>
        <v>49.14</v>
      </c>
      <c r="F81" s="11">
        <f>SUM('Data Sheet'!F57,'Data Sheet'!F58,'Data Sheet'!F59)</f>
        <v>55.78</v>
      </c>
      <c r="G81" s="11">
        <f>SUM('Data Sheet'!G57,'Data Sheet'!G58,'Data Sheet'!G59)</f>
        <v>77.47</v>
      </c>
      <c r="H81" s="11">
        <f>SUM('Data Sheet'!H57,'Data Sheet'!H58,'Data Sheet'!H59)</f>
        <v>82.490000000000009</v>
      </c>
      <c r="I81" s="11">
        <f>SUM('Data Sheet'!I57,'Data Sheet'!I58,'Data Sheet'!I59)</f>
        <v>85.89</v>
      </c>
      <c r="J81" s="11">
        <f>SUM('Data Sheet'!J57,'Data Sheet'!J58,'Data Sheet'!J59)</f>
        <v>88.210000000000008</v>
      </c>
      <c r="K81" s="11">
        <f>SUM('Data Sheet'!K57,'Data Sheet'!K58,'Data Sheet'!K59)</f>
        <v>95.39</v>
      </c>
    </row>
    <row r="82" spans="1:11">
      <c r="A82" s="5" t="s">
        <v>147</v>
      </c>
      <c r="B82" s="11">
        <f>B81-'Data Sheet'!B69</f>
        <v>34.64</v>
      </c>
      <c r="C82" s="11">
        <f>C81-'Data Sheet'!C69</f>
        <v>33.709999999999994</v>
      </c>
      <c r="D82" s="11">
        <f>D81-'Data Sheet'!D69</f>
        <v>41.849999999999994</v>
      </c>
      <c r="E82" s="11">
        <f>E81-'Data Sheet'!E69</f>
        <v>47.42</v>
      </c>
      <c r="F82" s="11">
        <f>F81-'Data Sheet'!F69</f>
        <v>54.71</v>
      </c>
      <c r="G82" s="11">
        <f>G81-'Data Sheet'!G69</f>
        <v>76.22</v>
      </c>
      <c r="H82" s="11">
        <f>H81-'Data Sheet'!H69</f>
        <v>80.000000000000014</v>
      </c>
      <c r="I82" s="11">
        <f>I81-'Data Sheet'!I69</f>
        <v>85.13</v>
      </c>
      <c r="J82" s="11">
        <f>J81-'Data Sheet'!J69</f>
        <v>83.31</v>
      </c>
      <c r="K82" s="11">
        <f>K81-'Data Sheet'!K69</f>
        <v>87.54</v>
      </c>
    </row>
    <row r="83" spans="1:11">
      <c r="A83" s="5" t="s">
        <v>148</v>
      </c>
      <c r="B83" s="32">
        <f>'Data Sheet'!B62+'Data Sheet'!B63+Customization!B86</f>
        <v>33.64</v>
      </c>
      <c r="C83" s="32">
        <f>'Data Sheet'!C62+'Data Sheet'!C63+Customization!C86</f>
        <v>33.709999999999994</v>
      </c>
      <c r="D83" s="32">
        <f>'Data Sheet'!D62+'Data Sheet'!D63+Customization!D86</f>
        <v>41.85</v>
      </c>
      <c r="E83" s="32">
        <f>'Data Sheet'!E62+'Data Sheet'!E63+Customization!E86</f>
        <v>43.620000000000005</v>
      </c>
      <c r="F83" s="32">
        <f>'Data Sheet'!F62+'Data Sheet'!F63+Customization!F86</f>
        <v>48.45</v>
      </c>
      <c r="G83" s="32">
        <f>'Data Sheet'!G62+'Data Sheet'!G63+Customization!G86</f>
        <v>69.540000000000006</v>
      </c>
      <c r="H83" s="32">
        <f>'Data Sheet'!H62+'Data Sheet'!H63+Customization!H86</f>
        <v>75.92</v>
      </c>
      <c r="I83" s="32">
        <f>'Data Sheet'!I62+'Data Sheet'!I63+Customization!I86</f>
        <v>81.540000000000006</v>
      </c>
      <c r="J83" s="32">
        <f>'Data Sheet'!J62+'Data Sheet'!J63+Customization!J86</f>
        <v>83.31</v>
      </c>
      <c r="K83" s="32">
        <f>'Data Sheet'!K62+'Data Sheet'!K63+Customization!K86</f>
        <v>81.53</v>
      </c>
    </row>
    <row r="84" spans="1:11">
      <c r="A84" s="5" t="s">
        <v>149</v>
      </c>
      <c r="B84" s="32">
        <f>'Data Sheet'!B62+Customization!B86</f>
        <v>33.61</v>
      </c>
      <c r="C84" s="32">
        <f>'Data Sheet'!C62+Customization!C86</f>
        <v>33.709999999999994</v>
      </c>
      <c r="D84" s="32">
        <f>'Data Sheet'!D62+Customization!D86</f>
        <v>41.85</v>
      </c>
      <c r="E84" s="32">
        <f>'Data Sheet'!E62+Customization!E86</f>
        <v>42.17</v>
      </c>
      <c r="F84" s="32">
        <f>'Data Sheet'!F62+Customization!F86</f>
        <v>48.43</v>
      </c>
      <c r="G84" s="32">
        <f>'Data Sheet'!G62+Customization!G86</f>
        <v>69.490000000000009</v>
      </c>
      <c r="H84" s="32">
        <f>'Data Sheet'!H62+Customization!H86</f>
        <v>75.92</v>
      </c>
      <c r="I84" s="32">
        <f>'Data Sheet'!I62+Customization!I86</f>
        <v>81.53</v>
      </c>
      <c r="J84" s="32">
        <f>'Data Sheet'!J62+Customization!J86</f>
        <v>83.31</v>
      </c>
      <c r="K84" s="32">
        <f>'Data Sheet'!K62+Customization!K86</f>
        <v>81.53</v>
      </c>
    </row>
    <row r="85" spans="1:11">
      <c r="A85" s="5" t="s">
        <v>119</v>
      </c>
      <c r="B85" s="32">
        <f>'Balance Sheet'!B16</f>
        <v>16.489999999999998</v>
      </c>
      <c r="C85" s="32">
        <f>'Balance Sheet'!C16</f>
        <v>20.119999999999997</v>
      </c>
      <c r="D85" s="32">
        <f>'Balance Sheet'!D16</f>
        <v>28.78</v>
      </c>
      <c r="E85" s="32">
        <f>'Balance Sheet'!E16</f>
        <v>25.45</v>
      </c>
      <c r="F85" s="32">
        <f>'Balance Sheet'!F16</f>
        <v>29.41</v>
      </c>
      <c r="G85" s="32">
        <f>'Balance Sheet'!G16</f>
        <v>39.870000000000005</v>
      </c>
      <c r="H85" s="32">
        <f>'Balance Sheet'!H16</f>
        <v>46.660000000000004</v>
      </c>
      <c r="I85" s="32">
        <f>'Balance Sheet'!I16</f>
        <v>51.96</v>
      </c>
      <c r="J85" s="32">
        <f>'Balance Sheet'!J16</f>
        <v>60.059999999999995</v>
      </c>
      <c r="K85" s="32">
        <f>'Balance Sheet'!K16</f>
        <v>63.19</v>
      </c>
    </row>
    <row r="86" spans="1:11">
      <c r="A86" s="5" t="s">
        <v>120</v>
      </c>
      <c r="B86" s="32">
        <f>B85-'Data Sheet'!B69</f>
        <v>14.849999999999998</v>
      </c>
      <c r="C86" s="32">
        <f>C85-'Data Sheet'!C69</f>
        <v>17.309999999999999</v>
      </c>
      <c r="D86" s="32">
        <f>D85-'Data Sheet'!D69</f>
        <v>23.14</v>
      </c>
      <c r="E86" s="32">
        <f>E85-'Data Sheet'!E69</f>
        <v>23.73</v>
      </c>
      <c r="F86" s="32">
        <f>F85-'Data Sheet'!F69</f>
        <v>28.34</v>
      </c>
      <c r="G86" s="32">
        <f>G85-'Data Sheet'!G69</f>
        <v>38.620000000000005</v>
      </c>
      <c r="H86" s="32">
        <f>H85-'Data Sheet'!H69</f>
        <v>44.17</v>
      </c>
      <c r="I86" s="32">
        <f>I85-'Data Sheet'!I69</f>
        <v>51.2</v>
      </c>
      <c r="J86" s="32">
        <f>J85-'Data Sheet'!J69</f>
        <v>55.16</v>
      </c>
      <c r="K86" s="32">
        <f>K85-'Data Sheet'!K69</f>
        <v>55.339999999999996</v>
      </c>
    </row>
    <row r="87" spans="1:11">
      <c r="A87" s="5" t="s">
        <v>86</v>
      </c>
      <c r="B87" s="11">
        <f>'Data Sheet'!B28+'Data Sheet'!B27</f>
        <v>2.87</v>
      </c>
      <c r="C87" s="11">
        <f>'Data Sheet'!C28+'Data Sheet'!C27</f>
        <v>4.4000000000000004</v>
      </c>
      <c r="D87" s="11">
        <f>'Data Sheet'!D28+'Data Sheet'!D27</f>
        <v>6.4399999999999995</v>
      </c>
      <c r="E87" s="11">
        <f>'Data Sheet'!E28+'Data Sheet'!E27</f>
        <v>7.8699999999999992</v>
      </c>
      <c r="F87" s="11">
        <f>'Data Sheet'!F28+'Data Sheet'!F27</f>
        <v>18.350000000000001</v>
      </c>
      <c r="G87" s="11">
        <f>'Data Sheet'!G28+'Data Sheet'!G27</f>
        <v>16.09</v>
      </c>
      <c r="H87" s="11">
        <f>'Data Sheet'!H28+'Data Sheet'!H27</f>
        <v>16.55</v>
      </c>
      <c r="I87" s="11">
        <f>'Data Sheet'!I28+'Data Sheet'!I27</f>
        <v>19.59</v>
      </c>
      <c r="J87" s="11">
        <f>'Data Sheet'!J28+'Data Sheet'!J27</f>
        <v>20.810000000000002</v>
      </c>
      <c r="K87" s="11">
        <f>'Data Sheet'!K28+'Data Sheet'!K27</f>
        <v>23.03</v>
      </c>
    </row>
    <row r="88" spans="1:11">
      <c r="A88" s="5" t="s">
        <v>87</v>
      </c>
      <c r="B88" s="33">
        <f>B87/B81</f>
        <v>7.9106945975744206E-2</v>
      </c>
      <c r="C88" s="33">
        <f t="shared" ref="C88:K88" si="0">C87/C81</f>
        <v>0.1204819277108434</v>
      </c>
      <c r="D88" s="33">
        <f t="shared" si="0"/>
        <v>0.1356074963150137</v>
      </c>
      <c r="E88" s="33">
        <f t="shared" si="0"/>
        <v>0.16015466015466015</v>
      </c>
      <c r="F88" s="33">
        <f t="shared" si="0"/>
        <v>0.32897095733237719</v>
      </c>
      <c r="G88" s="33">
        <f t="shared" si="0"/>
        <v>0.20769330063250291</v>
      </c>
      <c r="H88" s="33">
        <f t="shared" si="0"/>
        <v>0.20063037943993209</v>
      </c>
      <c r="I88" s="33">
        <f t="shared" si="0"/>
        <v>0.22808243101641634</v>
      </c>
      <c r="J88" s="33">
        <f t="shared" si="0"/>
        <v>0.235914295431357</v>
      </c>
      <c r="K88" s="33">
        <f t="shared" si="0"/>
        <v>0.2414299192787504</v>
      </c>
    </row>
    <row r="89" spans="1:11">
      <c r="A89" s="5" t="s">
        <v>88</v>
      </c>
      <c r="B89" s="33">
        <f>B87/B82</f>
        <v>8.285219399538106E-2</v>
      </c>
      <c r="C89" s="33">
        <f t="shared" ref="C89:K89" si="1">C87/C82</f>
        <v>0.1305250667457728</v>
      </c>
      <c r="D89" s="33">
        <f t="shared" si="1"/>
        <v>0.15388291517323777</v>
      </c>
      <c r="E89" s="33">
        <f t="shared" si="1"/>
        <v>0.16596372838464782</v>
      </c>
      <c r="F89" s="33">
        <f t="shared" si="1"/>
        <v>0.33540486199963443</v>
      </c>
      <c r="G89" s="33">
        <f t="shared" si="1"/>
        <v>0.21109944896352664</v>
      </c>
      <c r="H89" s="33">
        <f t="shared" si="1"/>
        <v>0.20687499999999998</v>
      </c>
      <c r="I89" s="33">
        <f t="shared" si="1"/>
        <v>0.2301186420768237</v>
      </c>
      <c r="J89" s="33">
        <f t="shared" si="1"/>
        <v>0.2497899411835314</v>
      </c>
      <c r="K89" s="33">
        <f t="shared" si="1"/>
        <v>0.26307973497829562</v>
      </c>
    </row>
    <row r="90" spans="1:11">
      <c r="A90" s="5" t="s">
        <v>102</v>
      </c>
      <c r="B90" s="33">
        <f>B87/B83</f>
        <v>8.5315101070154581E-2</v>
      </c>
      <c r="C90" s="33">
        <f t="shared" ref="C90:K90" si="2">C87/C83</f>
        <v>0.1305250667457728</v>
      </c>
      <c r="D90" s="33">
        <f t="shared" si="2"/>
        <v>0.15388291517323774</v>
      </c>
      <c r="E90" s="33">
        <f t="shared" si="2"/>
        <v>0.18042182485098576</v>
      </c>
      <c r="F90" s="33">
        <f t="shared" si="2"/>
        <v>0.37874097007223945</v>
      </c>
      <c r="G90" s="33">
        <f t="shared" si="2"/>
        <v>0.23137762438884094</v>
      </c>
      <c r="H90" s="33">
        <f t="shared" si="2"/>
        <v>0.21799262381454163</v>
      </c>
      <c r="I90" s="33">
        <f t="shared" si="2"/>
        <v>0.24025018395879322</v>
      </c>
      <c r="J90" s="33">
        <f t="shared" si="2"/>
        <v>0.2497899411835314</v>
      </c>
      <c r="K90" s="33">
        <f t="shared" si="2"/>
        <v>0.28247270943211089</v>
      </c>
    </row>
    <row r="91" spans="1:11">
      <c r="A91" s="5" t="s">
        <v>150</v>
      </c>
      <c r="B91" s="33">
        <f>B87/B84</f>
        <v>8.5391252603391851E-2</v>
      </c>
      <c r="C91" s="33">
        <f t="shared" ref="C91:K91" si="3">C87/C84</f>
        <v>0.1305250667457728</v>
      </c>
      <c r="D91" s="33">
        <f t="shared" si="3"/>
        <v>0.15388291517323774</v>
      </c>
      <c r="E91" s="33">
        <f t="shared" si="3"/>
        <v>0.18662556319658521</v>
      </c>
      <c r="F91" s="33">
        <f t="shared" si="3"/>
        <v>0.3788973776584762</v>
      </c>
      <c r="G91" s="33">
        <f t="shared" si="3"/>
        <v>0.23154410706576484</v>
      </c>
      <c r="H91" s="33">
        <f t="shared" si="3"/>
        <v>0.21799262381454163</v>
      </c>
      <c r="I91" s="33">
        <f t="shared" si="3"/>
        <v>0.24027965166196491</v>
      </c>
      <c r="J91" s="33">
        <f t="shared" si="3"/>
        <v>0.2497899411835314</v>
      </c>
      <c r="K91" s="33">
        <f t="shared" si="3"/>
        <v>0.28247270943211089</v>
      </c>
    </row>
    <row r="92" spans="1:11">
      <c r="A92" s="5" t="s">
        <v>13</v>
      </c>
      <c r="B92" s="35">
        <f>'Data Sheet'!B29/'Data Sheet'!B28</f>
        <v>0.29166666666666669</v>
      </c>
      <c r="C92" s="35">
        <f>'Data Sheet'!C29/'Data Sheet'!C28</f>
        <v>0.43333333333333335</v>
      </c>
      <c r="D92" s="35">
        <f>'Data Sheet'!D29/'Data Sheet'!D28</f>
        <v>0.2816635160680529</v>
      </c>
      <c r="E92" s="35">
        <f>'Data Sheet'!E29/'Data Sheet'!E28</f>
        <v>0.33500837520938026</v>
      </c>
      <c r="F92" s="35">
        <f>'Data Sheet'!F29/'Data Sheet'!F28</f>
        <v>0.1730769230769231</v>
      </c>
      <c r="G92" s="35">
        <f>'Data Sheet'!G29/'Data Sheet'!G28</f>
        <v>0.31736954967834169</v>
      </c>
      <c r="H92" s="35">
        <f>'Data Sheet'!H29/'Data Sheet'!H28</f>
        <v>0.31761442441054094</v>
      </c>
      <c r="I92" s="35">
        <f>'Data Sheet'!I29/'Data Sheet'!I28</f>
        <v>0.27039361095265257</v>
      </c>
      <c r="J92" s="35">
        <f>'Data Sheet'!J29/'Data Sheet'!J28</f>
        <v>0.29528795811518321</v>
      </c>
      <c r="K92" s="35">
        <f>'Data Sheet'!K29/'Data Sheet'!K28</f>
        <v>0.2562699498404013</v>
      </c>
    </row>
    <row r="93" spans="1:11">
      <c r="A93" s="61" t="s">
        <v>89</v>
      </c>
      <c r="B93" s="30">
        <f>B88*(1-B92)</f>
        <v>5.6034086732818809E-2</v>
      </c>
      <c r="C93" s="30">
        <f t="shared" ref="C93:K93" si="4">C88*(1-C92)</f>
        <v>6.8273092369477928E-2</v>
      </c>
      <c r="D93" s="30">
        <f t="shared" si="4"/>
        <v>9.7411812097741413E-2</v>
      </c>
      <c r="E93" s="30">
        <f t="shared" si="4"/>
        <v>0.10650150767403699</v>
      </c>
      <c r="F93" s="30">
        <f t="shared" si="4"/>
        <v>0.27203367625561958</v>
      </c>
      <c r="G93" s="30">
        <f t="shared" si="4"/>
        <v>0.14177777133955702</v>
      </c>
      <c r="H93" s="30">
        <f t="shared" si="4"/>
        <v>0.13690727695484961</v>
      </c>
      <c r="I93" s="30">
        <f t="shared" si="4"/>
        <v>0.16641039889902826</v>
      </c>
      <c r="J93" s="30">
        <f t="shared" si="4"/>
        <v>0.16625164484324947</v>
      </c>
      <c r="K93" s="30">
        <f t="shared" si="4"/>
        <v>0.17955868597521291</v>
      </c>
    </row>
    <row r="94" spans="1:11">
      <c r="A94" s="61" t="s">
        <v>90</v>
      </c>
      <c r="B94" s="30">
        <f>B89*(1-B92)</f>
        <v>5.8686970746728247E-2</v>
      </c>
      <c r="C94" s="30">
        <f t="shared" ref="C94:K94" si="5">C89*(1-C92)</f>
        <v>7.3964204489271254E-2</v>
      </c>
      <c r="D94" s="30">
        <f t="shared" si="5"/>
        <v>0.11053971222274168</v>
      </c>
      <c r="E94" s="30">
        <f t="shared" si="5"/>
        <v>0.11036448939481606</v>
      </c>
      <c r="F94" s="30">
        <f t="shared" si="5"/>
        <v>0.27735402049969771</v>
      </c>
      <c r="G94" s="30">
        <f t="shared" si="5"/>
        <v>0.14410291190862612</v>
      </c>
      <c r="H94" s="30">
        <f t="shared" si="5"/>
        <v>0.14116851595006932</v>
      </c>
      <c r="I94" s="30">
        <f t="shared" si="5"/>
        <v>0.16789603149815033</v>
      </c>
      <c r="J94" s="30">
        <f t="shared" si="5"/>
        <v>0.1760299794937347</v>
      </c>
      <c r="K94" s="30">
        <f t="shared" si="5"/>
        <v>0.19566030449138175</v>
      </c>
    </row>
    <row r="95" spans="1:11">
      <c r="A95" s="61" t="s">
        <v>103</v>
      </c>
      <c r="B95" s="30">
        <f>B90*(1-B92)</f>
        <v>6.043152992469282E-2</v>
      </c>
      <c r="C95" s="30">
        <f t="shared" ref="C95:K95" si="6">C90*(1-C92)</f>
        <v>7.3964204489271254E-2</v>
      </c>
      <c r="D95" s="30">
        <f t="shared" si="6"/>
        <v>0.11053971222274166</v>
      </c>
      <c r="E95" s="30">
        <f t="shared" si="6"/>
        <v>0.11997900245534565</v>
      </c>
      <c r="F95" s="30">
        <f t="shared" si="6"/>
        <v>0.31318964832896723</v>
      </c>
      <c r="G95" s="30">
        <f t="shared" si="6"/>
        <v>0.15794541193091</v>
      </c>
      <c r="H95" s="30">
        <f t="shared" si="6"/>
        <v>0.14875502207594241</v>
      </c>
      <c r="I95" s="30">
        <f t="shared" si="6"/>
        <v>0.17528806918613607</v>
      </c>
      <c r="J95" s="30">
        <f t="shared" si="6"/>
        <v>0.1760299794937347</v>
      </c>
      <c r="K95" s="30">
        <f t="shared" si="6"/>
        <v>0.21008344235466159</v>
      </c>
    </row>
    <row r="96" spans="1:11">
      <c r="A96" s="61" t="s">
        <v>151</v>
      </c>
      <c r="B96" s="30">
        <f>B91*(1-B92)</f>
        <v>6.0485470594069224E-2</v>
      </c>
      <c r="C96" s="30">
        <f t="shared" ref="C96:K96" si="7">C91*(1-C92)</f>
        <v>7.3964204489271254E-2</v>
      </c>
      <c r="D96" s="30">
        <f t="shared" si="7"/>
        <v>0.11053971222274166</v>
      </c>
      <c r="E96" s="30">
        <f t="shared" si="7"/>
        <v>0.1241044364975617</v>
      </c>
      <c r="F96" s="30">
        <f t="shared" si="7"/>
        <v>0.31331898537143221</v>
      </c>
      <c r="G96" s="30">
        <f t="shared" si="7"/>
        <v>0.15805905807562931</v>
      </c>
      <c r="H96" s="30">
        <f t="shared" si="7"/>
        <v>0.14875502207594241</v>
      </c>
      <c r="I96" s="30">
        <f t="shared" si="7"/>
        <v>0.17530956901064068</v>
      </c>
      <c r="J96" s="30">
        <f t="shared" si="7"/>
        <v>0.1760299794937347</v>
      </c>
      <c r="K96" s="30">
        <f t="shared" si="7"/>
        <v>0.21008344235466159</v>
      </c>
    </row>
    <row r="97" spans="1:11">
      <c r="A97" s="5" t="s">
        <v>154</v>
      </c>
      <c r="B97" s="33">
        <f>B81*(B93-0.1)</f>
        <v>-1.5950833333333339</v>
      </c>
      <c r="C97" s="33">
        <f t="shared" ref="C97:K97" si="8">C81*(C93-0.1)</f>
        <v>-1.1586666666666661</v>
      </c>
      <c r="D97" s="33">
        <f t="shared" si="8"/>
        <v>-0.12291304347826057</v>
      </c>
      <c r="E97" s="33">
        <f t="shared" si="8"/>
        <v>0.31948408710217735</v>
      </c>
      <c r="F97" s="33">
        <f t="shared" si="8"/>
        <v>9.5960384615384609</v>
      </c>
      <c r="G97" s="33">
        <f t="shared" si="8"/>
        <v>3.2365239456754815</v>
      </c>
      <c r="H97" s="33">
        <f t="shared" si="8"/>
        <v>3.0444812760055444</v>
      </c>
      <c r="I97" s="33">
        <f t="shared" si="8"/>
        <v>5.7039891614375362</v>
      </c>
      <c r="J97" s="33">
        <f t="shared" si="8"/>
        <v>5.8440575916230362</v>
      </c>
      <c r="K97" s="33">
        <f t="shared" si="8"/>
        <v>7.5891030551755589</v>
      </c>
    </row>
    <row r="98" spans="1:11">
      <c r="A98" s="5" t="s">
        <v>152</v>
      </c>
      <c r="B98" s="33">
        <f>B82*(B94-0.1)</f>
        <v>-1.4310833333333337</v>
      </c>
      <c r="C98" s="33">
        <f t="shared" ref="C98:K98" si="9">C82*(C94-0.1)</f>
        <v>-0.87766666666666604</v>
      </c>
      <c r="D98" s="33">
        <f t="shared" si="9"/>
        <v>0.44108695652173918</v>
      </c>
      <c r="E98" s="33">
        <f t="shared" si="9"/>
        <v>0.49148408710217756</v>
      </c>
      <c r="F98" s="33">
        <f t="shared" si="9"/>
        <v>9.7030384615384619</v>
      </c>
      <c r="G98" s="33">
        <f t="shared" si="9"/>
        <v>3.3615239456754824</v>
      </c>
      <c r="H98" s="33">
        <f t="shared" si="9"/>
        <v>3.2934812760055459</v>
      </c>
      <c r="I98" s="33">
        <f t="shared" si="9"/>
        <v>5.7799891614375367</v>
      </c>
      <c r="J98" s="33">
        <f t="shared" si="9"/>
        <v>6.3340575916230373</v>
      </c>
      <c r="K98" s="33">
        <f t="shared" si="9"/>
        <v>8.3741030551755582</v>
      </c>
    </row>
    <row r="99" spans="1:11">
      <c r="A99" s="5" t="s">
        <v>104</v>
      </c>
      <c r="B99" s="32">
        <f>B83*(B95-0.1)</f>
        <v>-1.3310833333333338</v>
      </c>
      <c r="C99" s="32">
        <f t="shared" ref="C99:K99" si="10">C83*(C95-0.1)</f>
        <v>-0.87766666666666604</v>
      </c>
      <c r="D99" s="32">
        <f t="shared" si="10"/>
        <v>0.44108695652173813</v>
      </c>
      <c r="E99" s="32">
        <f t="shared" si="10"/>
        <v>0.87148408710217717</v>
      </c>
      <c r="F99" s="32">
        <f t="shared" si="10"/>
        <v>10.329038461538463</v>
      </c>
      <c r="G99" s="32">
        <f t="shared" si="10"/>
        <v>4.0295239456754812</v>
      </c>
      <c r="H99" s="32">
        <f t="shared" si="10"/>
        <v>3.7014812760055471</v>
      </c>
      <c r="I99" s="32">
        <f t="shared" si="10"/>
        <v>6.1389891614375349</v>
      </c>
      <c r="J99" s="32">
        <f t="shared" si="10"/>
        <v>6.3340575916230373</v>
      </c>
      <c r="K99" s="32">
        <f t="shared" si="10"/>
        <v>8.9751030551755591</v>
      </c>
    </row>
    <row r="100" spans="1:11">
      <c r="A100" s="5" t="s">
        <v>153</v>
      </c>
      <c r="B100" s="32">
        <f>B84*(B96-0.1)</f>
        <v>-1.3280833333333335</v>
      </c>
      <c r="C100" s="32">
        <f t="shared" ref="C100:K100" si="11">C84*(C96-0.1)</f>
        <v>-0.87766666666666604</v>
      </c>
      <c r="D100" s="32">
        <f t="shared" si="11"/>
        <v>0.44108695652173813</v>
      </c>
      <c r="E100" s="32">
        <f t="shared" si="11"/>
        <v>1.0164840871021767</v>
      </c>
      <c r="F100" s="32">
        <f t="shared" si="11"/>
        <v>10.331038461538462</v>
      </c>
      <c r="G100" s="32">
        <f t="shared" si="11"/>
        <v>4.0345239456754811</v>
      </c>
      <c r="H100" s="32">
        <f t="shared" si="11"/>
        <v>3.7014812760055471</v>
      </c>
      <c r="I100" s="32">
        <f t="shared" si="11"/>
        <v>6.1399891614375344</v>
      </c>
      <c r="J100" s="32">
        <f t="shared" si="11"/>
        <v>6.3340575916230373</v>
      </c>
      <c r="K100" s="32">
        <f t="shared" si="11"/>
        <v>8.9751030551755591</v>
      </c>
    </row>
    <row r="101" spans="1:11">
      <c r="A101" s="61" t="s">
        <v>93</v>
      </c>
      <c r="B101" s="30">
        <f>B97/'Data Sheet'!B17</f>
        <v>-2.1160564252233137E-2</v>
      </c>
      <c r="C101" s="30">
        <f>C97/'Data Sheet'!C17</f>
        <v>-1.2636783364234553E-2</v>
      </c>
      <c r="D101" s="30">
        <f>D97/'Data Sheet'!D17</f>
        <v>-1.2448151051069533E-3</v>
      </c>
      <c r="E101" s="30">
        <f>E97/'Data Sheet'!E17</f>
        <v>2.6683712277806508E-3</v>
      </c>
      <c r="F101" s="30">
        <f>F97/'Data Sheet'!F17</f>
        <v>6.2682333669987989E-2</v>
      </c>
      <c r="G101" s="30">
        <f>G97/'Data Sheet'!G17</f>
        <v>1.7355877014561785E-2</v>
      </c>
      <c r="H101" s="30">
        <f>H97/'Data Sheet'!H17</f>
        <v>1.3718823341769758E-2</v>
      </c>
      <c r="I101" s="30">
        <f>I97/'Data Sheet'!I17</f>
        <v>2.070037801283809E-2</v>
      </c>
      <c r="J101" s="30">
        <f>J97/'Data Sheet'!J17</f>
        <v>1.865740060537955E-2</v>
      </c>
      <c r="K101" s="30">
        <f>K97/'Data Sheet'!K17</f>
        <v>2.3841861880479907E-2</v>
      </c>
    </row>
    <row r="102" spans="1:11">
      <c r="A102" s="61" t="s">
        <v>94</v>
      </c>
      <c r="B102" s="30">
        <f>B98/'Data Sheet'!B17</f>
        <v>-1.8984920845493948E-2</v>
      </c>
      <c r="C102" s="30">
        <f>C98/'Data Sheet'!C17</f>
        <v>-9.572108917730025E-3</v>
      </c>
      <c r="D102" s="30">
        <f>D98/'Data Sheet'!D17</f>
        <v>4.4671557273824108E-3</v>
      </c>
      <c r="E102" s="30">
        <f>E98/'Data Sheet'!E17</f>
        <v>4.1049368337273658E-3</v>
      </c>
      <c r="F102" s="30">
        <f>F98/'Data Sheet'!F17</f>
        <v>6.3381268936824497E-2</v>
      </c>
      <c r="G102" s="30">
        <f>G98/'Data Sheet'!G17</f>
        <v>1.802619018487496E-2</v>
      </c>
      <c r="H102" s="30">
        <f>H98/'Data Sheet'!H17</f>
        <v>1.4840849297068972E-2</v>
      </c>
      <c r="I102" s="30">
        <f>I98/'Data Sheet'!I17</f>
        <v>2.097619002517705E-2</v>
      </c>
      <c r="J102" s="30">
        <f>J98/'Data Sheet'!J17</f>
        <v>2.0221746293851282E-2</v>
      </c>
      <c r="K102" s="30">
        <f>K98/'Data Sheet'!K17</f>
        <v>2.6308011231741254E-2</v>
      </c>
    </row>
    <row r="103" spans="1:11">
      <c r="A103" s="61" t="s">
        <v>105</v>
      </c>
      <c r="B103" s="30">
        <f>B99/'Data Sheet'!B17</f>
        <v>-1.7658309012116395E-2</v>
      </c>
      <c r="C103" s="30">
        <f>C99/'Data Sheet'!C17</f>
        <v>-9.572108917730025E-3</v>
      </c>
      <c r="D103" s="30">
        <f>D99/'Data Sheet'!D17</f>
        <v>4.4671557273823995E-3</v>
      </c>
      <c r="E103" s="30">
        <f>E99/'Data Sheet'!E17</f>
        <v>7.2787445677956831E-3</v>
      </c>
      <c r="F103" s="30">
        <f>F99/'Data Sheet'!F17</f>
        <v>6.7470366853082914E-2</v>
      </c>
      <c r="G103" s="30">
        <f>G99/'Data Sheet'!G17</f>
        <v>2.1608343767028537E-2</v>
      </c>
      <c r="H103" s="30">
        <f>H99/'Data Sheet'!H17</f>
        <v>1.6679349657559243E-2</v>
      </c>
      <c r="I103" s="30">
        <f>I99/'Data Sheet'!I17</f>
        <v>2.2279038872936072E-2</v>
      </c>
      <c r="J103" s="30">
        <f>J99/'Data Sheet'!J17</f>
        <v>2.0221746293851282E-2</v>
      </c>
      <c r="K103" s="30">
        <f>K99/'Data Sheet'!K17</f>
        <v>2.8196107741433066E-2</v>
      </c>
    </row>
    <row r="104" spans="1:11">
      <c r="A104" s="61" t="s">
        <v>155</v>
      </c>
      <c r="B104" s="30">
        <f>B100/'Data Sheet'!B17</f>
        <v>-1.7618510657115064E-2</v>
      </c>
      <c r="C104" s="30">
        <f>C100/'Data Sheet'!C17</f>
        <v>-9.572108917730025E-3</v>
      </c>
      <c r="D104" s="30">
        <f>D100/'Data Sheet'!D17</f>
        <v>4.4671557273823995E-3</v>
      </c>
      <c r="E104" s="30">
        <f>E100/'Data Sheet'!E17</f>
        <v>8.4898027821112224E-3</v>
      </c>
      <c r="F104" s="30">
        <f>F100/'Data Sheet'!F17</f>
        <v>6.7483431063677976E-2</v>
      </c>
      <c r="G104" s="30">
        <f>G100/'Data Sheet'!G17</f>
        <v>2.1635156293841062E-2</v>
      </c>
      <c r="H104" s="30">
        <f>H100/'Data Sheet'!H17</f>
        <v>1.6679349657559243E-2</v>
      </c>
      <c r="I104" s="30">
        <f>I100/'Data Sheet'!I17</f>
        <v>2.2282667978361582E-2</v>
      </c>
      <c r="J104" s="30">
        <f>J100/'Data Sheet'!J17</f>
        <v>2.0221746293851282E-2</v>
      </c>
      <c r="K104" s="30">
        <f>K100/'Data Sheet'!K17</f>
        <v>2.8196107741433066E-2</v>
      </c>
    </row>
    <row r="105" spans="1:11" ht="18.75">
      <c r="A105" s="47" t="s">
        <v>156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49" t="s">
        <v>108</v>
      </c>
      <c r="B106" s="33">
        <f>'Data Sheet'!B17/'Data Sheet'!B66</f>
        <v>1.4228010570026426</v>
      </c>
      <c r="C106" s="33">
        <f>'Data Sheet'!C17/'Data Sheet'!C66</f>
        <v>1.6317850151272468</v>
      </c>
      <c r="D106" s="33">
        <f>'Data Sheet'!D17/'Data Sheet'!D66</f>
        <v>1.5423305217119649</v>
      </c>
      <c r="E106" s="33">
        <f>'Data Sheet'!E17/'Data Sheet'!E66</f>
        <v>1.7116511794138671</v>
      </c>
      <c r="F106" s="33">
        <f>'Data Sheet'!F17/'Data Sheet'!F66</f>
        <v>1.8560863239573229</v>
      </c>
      <c r="G106" s="33">
        <f>'Data Sheet'!G17/'Data Sheet'!G66</f>
        <v>1.6418383518225039</v>
      </c>
      <c r="H106" s="33">
        <f>'Data Sheet'!H17/'Data Sheet'!H66</f>
        <v>2.1464358255150402</v>
      </c>
      <c r="I106" s="33">
        <f>'Data Sheet'!I17/'Data Sheet'!I66</f>
        <v>2.4149868536371608</v>
      </c>
      <c r="J106" s="33">
        <f>'Data Sheet'!J17/'Data Sheet'!J66</f>
        <v>2.5940372670807457</v>
      </c>
      <c r="K106" s="33">
        <f>'Data Sheet'!K17/'Data Sheet'!K66</f>
        <v>2.5824273892584779</v>
      </c>
    </row>
    <row r="107" spans="1:11">
      <c r="A107" s="49" t="s">
        <v>111</v>
      </c>
      <c r="B107" s="33">
        <f>'Data Sheet'!B61/('Data Sheet'!B57+'Data Sheet'!B58)</f>
        <v>1.8447075208913648</v>
      </c>
      <c r="C107" s="33">
        <f>'Data Sheet'!C61/('Data Sheet'!C57+'Data Sheet'!C58)</f>
        <v>1.8471400394477318</v>
      </c>
      <c r="D107" s="33">
        <f>'Data Sheet'!D61/('Data Sheet'!D57+'Data Sheet'!D58)</f>
        <v>1.8708357685563997</v>
      </c>
      <c r="E107" s="33">
        <f>'Data Sheet'!E61/('Data Sheet'!E57+'Data Sheet'!E58)</f>
        <v>1.8316313170987171</v>
      </c>
      <c r="F107" s="33">
        <f>'Data Sheet'!F61/('Data Sheet'!F57+'Data Sheet'!F58)</f>
        <v>1.7657889102975808</v>
      </c>
      <c r="G107" s="33">
        <f>'Data Sheet'!G61/('Data Sheet'!G57+'Data Sheet'!G58)</f>
        <v>2.1237845923709799</v>
      </c>
      <c r="H107" s="33">
        <f>'Data Sheet'!H61/('Data Sheet'!H57+'Data Sheet'!H58)</f>
        <v>1.6990961380443714</v>
      </c>
      <c r="I107" s="33">
        <f>'Data Sheet'!I61/('Data Sheet'!I57+'Data Sheet'!I58)</f>
        <v>1.6034288926363125</v>
      </c>
      <c r="J107" s="33">
        <f>'Data Sheet'!J61/('Data Sheet'!J57+'Data Sheet'!J58)</f>
        <v>1.4754398826979471</v>
      </c>
      <c r="K107" s="33">
        <f>'Data Sheet'!K61/('Data Sheet'!K57+'Data Sheet'!K58)</f>
        <v>1.3024091293322062</v>
      </c>
    </row>
    <row r="108" spans="1:11">
      <c r="A108" s="48" t="s">
        <v>157</v>
      </c>
      <c r="B108" s="30">
        <f>'Data Sheet'!B30/'Data Sheet'!B17</f>
        <v>1.5786680817192891E-2</v>
      </c>
      <c r="C108" s="30">
        <f>'Data Sheet'!C30/'Data Sheet'!C17</f>
        <v>1.854073508561457E-2</v>
      </c>
      <c r="D108" s="30">
        <f>'Data Sheet'!D30/'Data Sheet'!D17</f>
        <v>3.8484909864290054E-2</v>
      </c>
      <c r="E108" s="30">
        <f>'Data Sheet'!E30/'Data Sheet'!E17</f>
        <v>3.315793869539798E-2</v>
      </c>
      <c r="F108" s="30">
        <f>'Data Sheet'!F30/'Data Sheet'!F17</f>
        <v>9.2690574172055645E-2</v>
      </c>
      <c r="G108" s="30">
        <f>'Data Sheet'!G30/'Data Sheet'!G17</f>
        <v>5.1211926211926218E-2</v>
      </c>
      <c r="H108" s="30">
        <f>'Data Sheet'!H30/'Data Sheet'!H17</f>
        <v>4.4340302811824085E-2</v>
      </c>
      <c r="I108" s="30">
        <f>'Data Sheet'!I30/'Data Sheet'!I17</f>
        <v>4.6416258392306294E-2</v>
      </c>
      <c r="J108" s="30">
        <f>'Data Sheet'!J30/'Data Sheet'!J17</f>
        <v>4.3003543721865718E-2</v>
      </c>
      <c r="K108" s="30">
        <f>'Data Sheet'!K30/'Data Sheet'!K17</f>
        <v>5.1239357858691208E-2</v>
      </c>
    </row>
    <row r="109" spans="1:11">
      <c r="A109" s="61" t="s">
        <v>95</v>
      </c>
      <c r="B109" s="30">
        <f>B106*B107*B108</f>
        <v>4.1434540389972151E-2</v>
      </c>
      <c r="C109" s="30">
        <f t="shared" ref="C109:K109" si="12">C106*C107*C108</f>
        <v>5.5884286653517419E-2</v>
      </c>
      <c r="D109" s="30">
        <f t="shared" si="12"/>
        <v>0.11104617182933955</v>
      </c>
      <c r="E109" s="30">
        <f t="shared" si="12"/>
        <v>0.10395391463733963</v>
      </c>
      <c r="F109" s="30">
        <f t="shared" si="12"/>
        <v>0.30378933847141937</v>
      </c>
      <c r="G109" s="30">
        <f t="shared" si="12"/>
        <v>0.1785714285714286</v>
      </c>
      <c r="H109" s="30">
        <f t="shared" si="12"/>
        <v>0.16170912078882499</v>
      </c>
      <c r="I109" s="30">
        <f t="shared" si="12"/>
        <v>0.17973580663293987</v>
      </c>
      <c r="J109" s="30">
        <f t="shared" si="12"/>
        <v>0.16458944281524926</v>
      </c>
      <c r="K109" s="30">
        <f t="shared" si="12"/>
        <v>0.17233727810650884</v>
      </c>
    </row>
    <row r="110" spans="1:11">
      <c r="A110" s="61" t="s">
        <v>96</v>
      </c>
      <c r="B110" s="34">
        <f>'Balance Sheet'!B24</f>
        <v>-4.6524822695035911E-2</v>
      </c>
      <c r="C110" s="34">
        <f>'Balance Sheet'!C24</f>
        <v>0.13882803943044897</v>
      </c>
      <c r="D110" s="34">
        <f>'Balance Sheet'!D24</f>
        <v>8.1911981469782902E-2</v>
      </c>
      <c r="E110" s="34">
        <f>'Balance Sheet'!E24</f>
        <v>0.13260423786739584</v>
      </c>
      <c r="F110" s="34">
        <f>'Balance Sheet'!F24</f>
        <v>0.16909090909090907</v>
      </c>
      <c r="G110" s="34">
        <f>'Balance Sheet'!G24</f>
        <v>0.1128074639525013</v>
      </c>
      <c r="H110" s="34">
        <f>'Balance Sheet'!H24</f>
        <v>2.576202015049079E-2</v>
      </c>
      <c r="I110" s="34">
        <f>'Balance Sheet'!I24</f>
        <v>0.13306598614655527</v>
      </c>
      <c r="J110" s="34">
        <f>'Balance Sheet'!J24</f>
        <v>0.1742432830744815</v>
      </c>
      <c r="K110" s="34">
        <f>'Balance Sheet'!K24</f>
        <v>0.14264936227343827</v>
      </c>
    </row>
    <row r="111" spans="1:11">
      <c r="A111" s="61" t="s">
        <v>122</v>
      </c>
      <c r="B111" s="30">
        <f>'Data Sheet'!B30/'Data Sheet'!B61</f>
        <v>2.2461306153265383E-2</v>
      </c>
      <c r="C111" s="30">
        <f>'Data Sheet'!C30/'Data Sheet'!C61</f>
        <v>3.0254493682149851E-2</v>
      </c>
      <c r="D111" s="30">
        <f>'Data Sheet'!D30/'Data Sheet'!D61</f>
        <v>5.935645110902843E-2</v>
      </c>
      <c r="E111" s="30">
        <f>'Data Sheet'!E30/'Data Sheet'!E61</f>
        <v>5.6754824874910653E-2</v>
      </c>
      <c r="F111" s="30">
        <f>'Data Sheet'!F30/'Data Sheet'!F61</f>
        <v>0.17204170708050434</v>
      </c>
      <c r="G111" s="30">
        <f>'Data Sheet'!G30/'Data Sheet'!G61</f>
        <v>8.4081704525444625E-2</v>
      </c>
      <c r="H111" s="30">
        <f>'Data Sheet'!H30/'Data Sheet'!H61</f>
        <v>9.5173614469484469E-2</v>
      </c>
      <c r="I111" s="30">
        <f>'Data Sheet'!I30/'Data Sheet'!I61</f>
        <v>0.11209465381244522</v>
      </c>
      <c r="J111" s="30">
        <f>'Data Sheet'!J30/'Data Sheet'!J61</f>
        <v>0.1115527950310559</v>
      </c>
      <c r="K111" s="30">
        <f>'Data Sheet'!K30/'Data Sheet'!K61</f>
        <v>0.13232192114230082</v>
      </c>
    </row>
    <row r="112" spans="1:11">
      <c r="A112" s="5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5" t="s">
        <v>97</v>
      </c>
      <c r="B113" s="11">
        <f>B87*(1-B92)</f>
        <v>2.0329166666666665</v>
      </c>
      <c r="C113" s="11">
        <f t="shared" ref="C113:K113" si="13">C87*(1-C92)</f>
        <v>2.4933333333333336</v>
      </c>
      <c r="D113" s="11">
        <f t="shared" si="13"/>
        <v>4.6260869565217382</v>
      </c>
      <c r="E113" s="11">
        <f t="shared" si="13"/>
        <v>5.2334840871021768</v>
      </c>
      <c r="F113" s="11">
        <f t="shared" si="13"/>
        <v>15.174038461538462</v>
      </c>
      <c r="G113" s="11">
        <f t="shared" si="13"/>
        <v>10.983523945675481</v>
      </c>
      <c r="H113" s="11">
        <f t="shared" si="13"/>
        <v>11.293481276005547</v>
      </c>
      <c r="I113" s="11">
        <f t="shared" si="13"/>
        <v>14.292989161437536</v>
      </c>
      <c r="J113" s="11">
        <f t="shared" si="13"/>
        <v>14.665057591623038</v>
      </c>
      <c r="K113" s="11">
        <f t="shared" si="13"/>
        <v>17.128103055175558</v>
      </c>
    </row>
    <row r="114" spans="1:11">
      <c r="A114" s="61" t="s">
        <v>98</v>
      </c>
      <c r="D114" s="30">
        <f t="shared" ref="D114:K114" si="14">(D113-C113)/(C81-B81)</f>
        <v>8.8864734299518755</v>
      </c>
      <c r="E114" s="30">
        <f t="shared" si="14"/>
        <v>5.53689271267492E-2</v>
      </c>
      <c r="F114" s="30">
        <f t="shared" si="14"/>
        <v>6.0245784087492433</v>
      </c>
      <c r="G114" s="30">
        <f t="shared" si="14"/>
        <v>-0.63110158371430436</v>
      </c>
      <c r="H114" s="30">
        <f t="shared" si="14"/>
        <v>1.4290333348550772E-2</v>
      </c>
      <c r="I114" s="30">
        <f t="shared" si="14"/>
        <v>0.59751153096254628</v>
      </c>
      <c r="J114" s="30">
        <f t="shared" si="14"/>
        <v>0.10943189123103025</v>
      </c>
      <c r="K114" s="30">
        <f t="shared" si="14"/>
        <v>1.0616575273933242</v>
      </c>
    </row>
    <row r="115" spans="1:11">
      <c r="A115" s="61" t="s">
        <v>99</v>
      </c>
      <c r="D115" s="30">
        <f>(D113-C113)/(C82-B82)</f>
        <v>-2.2932834657939667</v>
      </c>
      <c r="E115" s="30">
        <f t="shared" ref="E115:K115" si="15">(E113-D113)/(D82-C82)</f>
        <v>7.4618812110618993E-2</v>
      </c>
      <c r="F115" s="30">
        <f t="shared" si="15"/>
        <v>1.7846596722506771</v>
      </c>
      <c r="G115" s="30">
        <f t="shared" si="15"/>
        <v>-0.57483052343799468</v>
      </c>
      <c r="H115" s="30">
        <f t="shared" si="15"/>
        <v>1.4409917728036552E-2</v>
      </c>
      <c r="I115" s="30">
        <f t="shared" si="15"/>
        <v>0.79352060461163398</v>
      </c>
      <c r="J115" s="30">
        <f t="shared" si="15"/>
        <v>7.2527959100487982E-2</v>
      </c>
      <c r="K115" s="30">
        <f t="shared" si="15"/>
        <v>-1.3533216832706205</v>
      </c>
    </row>
    <row r="116" spans="1:11">
      <c r="A116" s="61" t="s">
        <v>106</v>
      </c>
      <c r="D116" s="30">
        <f t="shared" ref="D116:K116" si="16">(D113-C113)/(C83-B83)</f>
        <v>30.467908902694461</v>
      </c>
      <c r="E116" s="30">
        <f t="shared" si="16"/>
        <v>7.4618812110618923E-2</v>
      </c>
      <c r="F116" s="30">
        <f t="shared" si="16"/>
        <v>5.6161324149357448</v>
      </c>
      <c r="G116" s="30">
        <f t="shared" si="16"/>
        <v>-0.86760134903995501</v>
      </c>
      <c r="H116" s="30">
        <f t="shared" si="16"/>
        <v>1.4696886217641829E-2</v>
      </c>
      <c r="I116" s="30">
        <f t="shared" si="16"/>
        <v>0.47014230179184807</v>
      </c>
      <c r="J116" s="30">
        <f t="shared" si="16"/>
        <v>6.6204347008096381E-2</v>
      </c>
      <c r="K116" s="30">
        <f t="shared" si="16"/>
        <v>1.3915511093517094</v>
      </c>
    </row>
    <row r="117" spans="1:11">
      <c r="A117" s="61" t="s">
        <v>158</v>
      </c>
      <c r="D117" s="30">
        <f t="shared" ref="D117:K117" si="17">(D113-C113)/(C84-B84)</f>
        <v>21.327536231885258</v>
      </c>
      <c r="E117" s="30">
        <f t="shared" si="17"/>
        <v>7.4618812110618923E-2</v>
      </c>
      <c r="F117" s="30">
        <f t="shared" si="17"/>
        <v>31.064232420113363</v>
      </c>
      <c r="G117" s="30">
        <f t="shared" si="17"/>
        <v>-0.66941126451485344</v>
      </c>
      <c r="H117" s="30">
        <f t="shared" si="17"/>
        <v>1.4717821952994592E-2</v>
      </c>
      <c r="I117" s="30">
        <f t="shared" si="17"/>
        <v>0.46648645185567528</v>
      </c>
      <c r="J117" s="30">
        <f t="shared" si="17"/>
        <v>6.6322358321836361E-2</v>
      </c>
      <c r="K117" s="30">
        <f t="shared" si="17"/>
        <v>1.383733406490179</v>
      </c>
    </row>
    <row r="118" spans="1:11">
      <c r="A118" s="5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1" t="s">
        <v>159</v>
      </c>
    </row>
    <row r="120" spans="1:11">
      <c r="A120" s="29" t="s">
        <v>109</v>
      </c>
      <c r="B120" s="11">
        <f>'Data Sheet'!B17/Customization!B81</f>
        <v>2.0777287761852259</v>
      </c>
      <c r="C120" s="11">
        <f>'Data Sheet'!C17/Customization!C81</f>
        <v>2.5106790799561884</v>
      </c>
      <c r="D120" s="11">
        <f>'Data Sheet'!D17/Customization!D81</f>
        <v>2.0791745630659086</v>
      </c>
      <c r="E120" s="11">
        <f>'Data Sheet'!E17/Customization!E81</f>
        <v>2.4365079365079367</v>
      </c>
      <c r="F120" s="11">
        <f>'Data Sheet'!F17/Customization!F81</f>
        <v>2.7445320903549661</v>
      </c>
      <c r="G120" s="11">
        <f>'Data Sheet'!G17/Customization!G81</f>
        <v>2.4071253388408413</v>
      </c>
      <c r="H120" s="11">
        <f>'Data Sheet'!H17/Customization!H81</f>
        <v>2.6902654867256635</v>
      </c>
      <c r="I120" s="11">
        <f>'Data Sheet'!I17/Customization!I81</f>
        <v>3.2081732448480618</v>
      </c>
      <c r="J120" s="11">
        <f>'Data Sheet'!J17/Customization!J81</f>
        <v>3.5509579412764993</v>
      </c>
      <c r="K120" s="11">
        <f>'Data Sheet'!K17/Customization!K81</f>
        <v>3.3369325925149385</v>
      </c>
    </row>
    <row r="121" spans="1:11">
      <c r="A121" s="29" t="s">
        <v>110</v>
      </c>
      <c r="B121" s="32">
        <f>'Data Sheet'!B17/Customization!B83</f>
        <v>2.2407847800237812</v>
      </c>
      <c r="C121" s="32">
        <f>'Data Sheet'!C17/Customization!C83</f>
        <v>2.7199644022545244</v>
      </c>
      <c r="D121" s="32">
        <f>'Data Sheet'!D17/Customization!D83</f>
        <v>2.3593787335722816</v>
      </c>
      <c r="E121" s="32">
        <f>'Data Sheet'!E17/Customization!E83</f>
        <v>2.7448418156808803</v>
      </c>
      <c r="F121" s="32">
        <f>'Data Sheet'!F17/Customization!F83</f>
        <v>3.1597523219814239</v>
      </c>
      <c r="G121" s="32">
        <f>'Data Sheet'!G17/Customization!G83</f>
        <v>2.6816220880069022</v>
      </c>
      <c r="H121" s="32">
        <f>'Data Sheet'!H17/Customization!H83</f>
        <v>2.9230769230769229</v>
      </c>
      <c r="I121" s="32">
        <f>'Data Sheet'!I17/Customization!I83</f>
        <v>3.3793230316409124</v>
      </c>
      <c r="J121" s="32">
        <f>'Data Sheet'!J17/Customization!J83</f>
        <v>3.7598127475693195</v>
      </c>
      <c r="K121" s="32">
        <f>'Data Sheet'!K17/Customization!K83</f>
        <v>3.9042070403532443</v>
      </c>
    </row>
    <row r="122" spans="1:11">
      <c r="A122" s="29" t="s">
        <v>107</v>
      </c>
      <c r="B122" s="33">
        <f>'Data Sheet'!B17/'Data Sheet'!B62</f>
        <v>4.0181236673773979</v>
      </c>
      <c r="C122" s="33">
        <f>'Data Sheet'!C17/'Data Sheet'!C62</f>
        <v>5.5908536585365853</v>
      </c>
      <c r="D122" s="33">
        <f>'Data Sheet'!D17/'Data Sheet'!D62</f>
        <v>5.277391769107429</v>
      </c>
      <c r="E122" s="33">
        <f>'Data Sheet'!E17/'Data Sheet'!E62</f>
        <v>6.49295010845987</v>
      </c>
      <c r="F122" s="33">
        <f>'Data Sheet'!F17/'Data Sheet'!F62</f>
        <v>7.6202090592334493</v>
      </c>
      <c r="G122" s="33">
        <f>'Data Sheet'!G17/'Data Sheet'!G62</f>
        <v>6.0408163265306118</v>
      </c>
      <c r="H122" s="33">
        <f>'Data Sheet'!H17/'Data Sheet'!H62</f>
        <v>6.989606299212598</v>
      </c>
      <c r="I122" s="33">
        <f>'Data Sheet'!I17/'Data Sheet'!I62</f>
        <v>9.0850642927794265</v>
      </c>
      <c r="J122" s="33">
        <f>'Data Sheet'!J17/'Data Sheet'!J62</f>
        <v>11.127175843694495</v>
      </c>
      <c r="K122" s="33">
        <f>'Data Sheet'!K17/'Data Sheet'!K62</f>
        <v>12.153875525009544</v>
      </c>
    </row>
    <row r="123" spans="1:11">
      <c r="A123" s="29" t="s">
        <v>160</v>
      </c>
      <c r="B123" s="32">
        <f>B85/'Data Sheet'!B17</f>
        <v>0.2187582913239586</v>
      </c>
      <c r="C123" s="32">
        <f>C85/'Data Sheet'!C17</f>
        <v>0.21943505289562654</v>
      </c>
      <c r="D123" s="32">
        <f>D85/'Data Sheet'!D17</f>
        <v>0.29147255418270207</v>
      </c>
      <c r="E123" s="32">
        <f>E85/'Data Sheet'!E17</f>
        <v>0.21256159692641777</v>
      </c>
      <c r="F123" s="32">
        <f>F85/'Data Sheet'!F17</f>
        <v>0.19210921680057483</v>
      </c>
      <c r="G123" s="32">
        <f>G85/'Data Sheet'!G17</f>
        <v>0.21380308880308885</v>
      </c>
      <c r="H123" s="32">
        <f>H85/'Data Sheet'!H17</f>
        <v>0.21025594808940162</v>
      </c>
      <c r="I123" s="32">
        <f>I85/'Data Sheet'!I17</f>
        <v>0.18856831790963527</v>
      </c>
      <c r="J123" s="32">
        <f>J85/'Data Sheet'!J17</f>
        <v>0.19174408581553487</v>
      </c>
      <c r="K123" s="32">
        <f>K85/'Data Sheet'!K17</f>
        <v>0.19851716879771292</v>
      </c>
    </row>
    <row r="124" spans="1:11" s="30" customFormat="1">
      <c r="A124" s="39" t="s">
        <v>161</v>
      </c>
      <c r="B124" s="30">
        <f>B86/'Data Sheet'!B17</f>
        <v>0.19700185725656671</v>
      </c>
      <c r="C124" s="30">
        <f>C86/'Data Sheet'!C17</f>
        <v>0.18878830843058131</v>
      </c>
      <c r="D124" s="30">
        <f>D86/'Data Sheet'!D17</f>
        <v>0.23435284585780841</v>
      </c>
      <c r="E124" s="30">
        <f>E86/'Data Sheet'!E17</f>
        <v>0.19819594086695064</v>
      </c>
      <c r="F124" s="30">
        <f>F86/'Data Sheet'!F17</f>
        <v>0.18511986413220979</v>
      </c>
      <c r="G124" s="30">
        <f>G86/'Data Sheet'!G17</f>
        <v>0.20709995709995713</v>
      </c>
      <c r="H124" s="30">
        <f>H86/'Data Sheet'!H17</f>
        <v>0.19903568853640954</v>
      </c>
      <c r="I124" s="30">
        <f>I86/'Data Sheet'!I17</f>
        <v>0.18581019778624569</v>
      </c>
      <c r="J124" s="30">
        <f>J86/'Data Sheet'!J17</f>
        <v>0.1761006289308176</v>
      </c>
      <c r="K124" s="30">
        <f>K86/'Data Sheet'!K17</f>
        <v>0.17385567528509943</v>
      </c>
    </row>
    <row r="125" spans="1:11">
      <c r="A125" s="29" t="s">
        <v>46</v>
      </c>
      <c r="B125" s="32">
        <f>'Balance Sheet'!B20</f>
        <v>43.385513398779523</v>
      </c>
      <c r="C125" s="32">
        <f>'Balance Sheet'!C20</f>
        <v>46.615225215399718</v>
      </c>
      <c r="D125" s="32">
        <f>'Balance Sheet'!D20</f>
        <v>55.966173789750862</v>
      </c>
      <c r="E125" s="32">
        <f>'Balance Sheet'!E20</f>
        <v>56.519669255825605</v>
      </c>
      <c r="F125" s="32">
        <f>'Balance Sheet'!F20</f>
        <v>45.681625187798026</v>
      </c>
      <c r="G125" s="32">
        <f>'Balance Sheet'!G20</f>
        <v>49.950664950664951</v>
      </c>
      <c r="H125" s="32">
        <f>'Balance Sheet'!H20</f>
        <v>47.450657894736842</v>
      </c>
      <c r="I125" s="32">
        <f>'Balance Sheet'!I20</f>
        <v>51.739793140990749</v>
      </c>
      <c r="J125" s="32">
        <f>'Balance Sheet'!J20</f>
        <v>49.477700092583717</v>
      </c>
      <c r="K125" s="32">
        <f>'Balance Sheet'!K20</f>
        <v>38.838082372529918</v>
      </c>
    </row>
    <row r="126" spans="1:11">
      <c r="A126" s="29" t="s">
        <v>117</v>
      </c>
      <c r="B126" s="32">
        <f>'Balance Sheet'!B18</f>
        <v>18.61</v>
      </c>
      <c r="C126" s="32">
        <f>'Balance Sheet'!C18</f>
        <v>19.13</v>
      </c>
      <c r="D126" s="32">
        <f>'Balance Sheet'!D18</f>
        <v>16.63</v>
      </c>
      <c r="E126" s="32">
        <f>'Balance Sheet'!E18</f>
        <v>17.11</v>
      </c>
      <c r="F126" s="32">
        <f>'Balance Sheet'!F18</f>
        <v>19.760000000000002</v>
      </c>
      <c r="G126" s="32">
        <f>'Balance Sheet'!G18</f>
        <v>29.58</v>
      </c>
      <c r="H126" s="32">
        <f>'Balance Sheet'!H18</f>
        <v>30.04</v>
      </c>
      <c r="I126" s="32">
        <f>'Balance Sheet'!I18</f>
        <v>35.28</v>
      </c>
      <c r="J126" s="32">
        <f>'Balance Sheet'!J18</f>
        <v>37.83</v>
      </c>
      <c r="K126" s="32">
        <f>'Balance Sheet'!K18</f>
        <v>39.479999999999997</v>
      </c>
    </row>
    <row r="127" spans="1:11">
      <c r="A127" s="29" t="s">
        <v>121</v>
      </c>
      <c r="B127" s="32">
        <f>'Data Sheet'!B17/'Data Sheet'!B67</f>
        <v>8.412946428571427</v>
      </c>
      <c r="C127" s="32">
        <f>'Data Sheet'!C17/'Data Sheet'!C67</f>
        <v>7.8300597779675485</v>
      </c>
      <c r="D127" s="32">
        <f>'Data Sheet'!D17/'Data Sheet'!D67</f>
        <v>6.5217965653896952</v>
      </c>
      <c r="E127" s="32">
        <f>'Data Sheet'!E17/'Data Sheet'!E67</f>
        <v>6.4579288025889969</v>
      </c>
      <c r="F127" s="32">
        <f>'Data Sheet'!F17/'Data Sheet'!F67</f>
        <v>7.9900835073068892</v>
      </c>
      <c r="G127" s="32">
        <f>'Data Sheet'!G17/'Data Sheet'!G67</f>
        <v>7.307210031347962</v>
      </c>
      <c r="H127" s="32">
        <f>'Data Sheet'!H17/'Data Sheet'!H67</f>
        <v>7.6922010398613514</v>
      </c>
      <c r="I127" s="32">
        <f>'Data Sheet'!I17/'Data Sheet'!I67</f>
        <v>7.0545314900153606</v>
      </c>
      <c r="J127" s="32">
        <f>'Data Sheet'!J17/'Data Sheet'!J67</f>
        <v>7.3770607630711265</v>
      </c>
      <c r="K127" s="32">
        <f>'Data Sheet'!K17/'Data Sheet'!K67</f>
        <v>9.3979923235901985</v>
      </c>
    </row>
    <row r="128" spans="1:11">
      <c r="A128" s="29" t="s">
        <v>118</v>
      </c>
      <c r="B128" s="33">
        <f>'Data Sheet'!B17/'Data Sheet'!B68</f>
        <v>4.0505104782375065</v>
      </c>
      <c r="C128" s="33">
        <f>'Data Sheet'!C17/'Data Sheet'!C68</f>
        <v>4.7929952953476214</v>
      </c>
      <c r="D128" s="33">
        <f>'Data Sheet'!D17/'Data Sheet'!D68</f>
        <v>5.9374624173181001</v>
      </c>
      <c r="E128" s="33">
        <f>'Data Sheet'!E17/'Data Sheet'!E68</f>
        <v>6.9976621858562247</v>
      </c>
      <c r="F128" s="33">
        <f>'Data Sheet'!F17/'Data Sheet'!F68</f>
        <v>7.7474696356275299</v>
      </c>
      <c r="G128" s="33">
        <f>'Data Sheet'!G17/'Data Sheet'!G68</f>
        <v>6.3042596348884379</v>
      </c>
      <c r="H128" s="33">
        <f>'Data Sheet'!H17/'Data Sheet'!H68</f>
        <v>7.3874833555259656</v>
      </c>
      <c r="I128" s="33">
        <f>'Data Sheet'!I17/'Data Sheet'!I68</f>
        <v>7.8103741496598644</v>
      </c>
      <c r="J128" s="33">
        <f>'Data Sheet'!J17/'Data Sheet'!J68</f>
        <v>8.2799365582870745</v>
      </c>
      <c r="K128" s="33">
        <f>'Data Sheet'!K17/'Data Sheet'!K68</f>
        <v>8.0625633232016209</v>
      </c>
    </row>
    <row r="129" spans="1:11">
      <c r="A129" s="50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>
      <c r="A130" s="46" t="s">
        <v>162</v>
      </c>
    </row>
    <row r="131" spans="1:11">
      <c r="A131" s="29" t="s">
        <v>112</v>
      </c>
      <c r="B131" s="33">
        <f>'Data Sheet'!B59/'Data Sheet'!B30</f>
        <v>6.3529411764705879</v>
      </c>
      <c r="C131" s="33">
        <f>'Data Sheet'!C59/'Data Sheet'!C30</f>
        <v>3.5882352941176467</v>
      </c>
      <c r="D131" s="33">
        <f>'Data Sheet'!D59/'Data Sheet'!D30</f>
        <v>3.4921052631578946</v>
      </c>
      <c r="E131" s="33">
        <f>'Data Sheet'!E59/'Data Sheet'!E30</f>
        <v>2.7581863979848862</v>
      </c>
      <c r="F131" s="33">
        <f>'Data Sheet'!F59/'Data Sheet'!F30</f>
        <v>0.63918252290345323</v>
      </c>
      <c r="G131" s="33">
        <f>'Data Sheet'!G59/'Data Sheet'!G30</f>
        <v>2.5120418848167536</v>
      </c>
      <c r="H131" s="33">
        <f>'Data Sheet'!H59/'Data Sheet'!H30</f>
        <v>2.1991869918699187</v>
      </c>
      <c r="I131" s="33">
        <f>'Data Sheet'!I59/'Data Sheet'!I30</f>
        <v>1.151681000781861</v>
      </c>
      <c r="J131" s="33">
        <f>'Data Sheet'!J59/'Data Sheet'!J30</f>
        <v>0.47290274684484035</v>
      </c>
      <c r="K131" s="33">
        <f>'Data Sheet'!K59/'Data Sheet'!K30</f>
        <v>4.5984058859595341E-2</v>
      </c>
    </row>
    <row r="132" spans="1:11">
      <c r="A132" s="29" t="s">
        <v>113</v>
      </c>
      <c r="B132" s="33">
        <f>'Data Sheet'!B60/'Data Sheet'!B30</f>
        <v>14.033613445378151</v>
      </c>
      <c r="C132" s="33">
        <f>'Data Sheet'!C60/'Data Sheet'!C30</f>
        <v>11.570588235294119</v>
      </c>
      <c r="D132" s="33">
        <f>'Data Sheet'!D60/'Data Sheet'!D30</f>
        <v>4.3500000000000005</v>
      </c>
      <c r="E132" s="33">
        <f>'Data Sheet'!E60/'Data Sheet'!E30</f>
        <v>5.2418136020151129</v>
      </c>
      <c r="F132" s="33">
        <f>'Data Sheet'!F60/'Data Sheet'!F30</f>
        <v>1.8816067653276956</v>
      </c>
      <c r="G132" s="33">
        <f>'Data Sheet'!G60/'Data Sheet'!G30</f>
        <v>3.7811518324607327</v>
      </c>
      <c r="H132" s="33">
        <f>'Data Sheet'!H60/'Data Sheet'!H30</f>
        <v>2.1239837398373984</v>
      </c>
      <c r="I132" s="33">
        <f>'Data Sheet'!I60/'Data Sheet'!I30</f>
        <v>2.205629397967162</v>
      </c>
      <c r="J132" s="33">
        <f>'Data Sheet'!J60/'Data Sheet'!J30</f>
        <v>2.4157386785449146</v>
      </c>
      <c r="K132" s="33">
        <f>'Data Sheet'!K60/'Data Sheet'!K30</f>
        <v>1.7087676272225631</v>
      </c>
    </row>
    <row r="133" spans="1:11">
      <c r="A133" s="29" t="s">
        <v>114</v>
      </c>
      <c r="B133" s="33">
        <f>B131+B132</f>
        <v>20.386554621848738</v>
      </c>
      <c r="C133" s="33">
        <f t="shared" ref="C133:K133" si="18">C131+C132</f>
        <v>15.158823529411766</v>
      </c>
      <c r="D133" s="33">
        <f t="shared" si="18"/>
        <v>7.8421052631578956</v>
      </c>
      <c r="E133" s="33">
        <f t="shared" si="18"/>
        <v>7.9999999999999991</v>
      </c>
      <c r="F133" s="33">
        <f t="shared" si="18"/>
        <v>2.5207892882311489</v>
      </c>
      <c r="G133" s="33">
        <f t="shared" si="18"/>
        <v>6.2931937172774859</v>
      </c>
      <c r="H133" s="33">
        <f t="shared" si="18"/>
        <v>4.3231707317073171</v>
      </c>
      <c r="I133" s="33">
        <f t="shared" si="18"/>
        <v>3.3573103987490232</v>
      </c>
      <c r="J133" s="33">
        <f t="shared" si="18"/>
        <v>2.8886414253897552</v>
      </c>
      <c r="K133" s="33">
        <f t="shared" si="18"/>
        <v>1.7547516860821586</v>
      </c>
    </row>
    <row r="134" spans="1:11">
      <c r="A134" s="37" t="s">
        <v>115</v>
      </c>
      <c r="B134" s="33">
        <f>'Data Sheet'!B59/('Data Sheet'!B57+'Data Sheet'!B58)</f>
        <v>0.26323119777158777</v>
      </c>
      <c r="C134" s="33">
        <f>'Data Sheet'!C59/('Data Sheet'!C57+'Data Sheet'!C58)</f>
        <v>0.20052596975673898</v>
      </c>
      <c r="D134" s="33">
        <f>'Data Sheet'!D59/('Data Sheet'!D57+'Data Sheet'!D58)</f>
        <v>0.38778492109877266</v>
      </c>
      <c r="E134" s="33">
        <f>'Data Sheet'!E59/('Data Sheet'!E57+'Data Sheet'!E58)</f>
        <v>0.28672427336999212</v>
      </c>
      <c r="F134" s="33">
        <f>'Data Sheet'!F59/('Data Sheet'!F57+'Data Sheet'!F58)</f>
        <v>0.1941768357953329</v>
      </c>
      <c r="G134" s="33">
        <f>'Data Sheet'!G59/('Data Sheet'!G57+'Data Sheet'!G58)</f>
        <v>0.44857890800299177</v>
      </c>
      <c r="H134" s="33">
        <f>'Data Sheet'!H59/('Data Sheet'!H57+'Data Sheet'!H58)</f>
        <v>0.35562859490550536</v>
      </c>
      <c r="I134" s="33">
        <f>'Data Sheet'!I59/('Data Sheet'!I57+'Data Sheet'!I58)</f>
        <v>0.2069983136593592</v>
      </c>
      <c r="J134" s="33">
        <f>'Data Sheet'!J59/('Data Sheet'!J57+'Data Sheet'!J58)</f>
        <v>7.7834799608993158E-2</v>
      </c>
      <c r="K134" s="33">
        <f>'Data Sheet'!K59/('Data Sheet'!K57+'Data Sheet'!K58)</f>
        <v>7.9247675401521549E-3</v>
      </c>
    </row>
    <row r="135" spans="1:11">
      <c r="A135" s="37" t="s">
        <v>116</v>
      </c>
      <c r="B135" s="38">
        <f>B87/'Data Sheet'!B27</f>
        <v>2.4117647058823533</v>
      </c>
      <c r="C135" s="38">
        <f>C87/'Data Sheet'!C27</f>
        <v>3.1428571428571432</v>
      </c>
      <c r="D135" s="38">
        <f>D87/'Data Sheet'!D27</f>
        <v>5.6</v>
      </c>
      <c r="E135" s="38">
        <f>E87/'Data Sheet'!E27</f>
        <v>4.1421052631578945</v>
      </c>
      <c r="F135" s="38">
        <f>F87/'Data Sheet'!F27</f>
        <v>15.420168067226893</v>
      </c>
      <c r="G135" s="38">
        <f>G87/'Data Sheet'!G27</f>
        <v>7.6619047619047613</v>
      </c>
      <c r="H135" s="38">
        <f>H87/'Data Sheet'!H27</f>
        <v>7.7699530516431929</v>
      </c>
      <c r="I135" s="38">
        <f>I87/'Data Sheet'!I27</f>
        <v>9.5097087378640772</v>
      </c>
      <c r="J135" s="38">
        <f>J87/'Data Sheet'!J27</f>
        <v>12.169590643274855</v>
      </c>
      <c r="K135" s="38">
        <f>K87/'Data Sheet'!K27</f>
        <v>20.936363636363637</v>
      </c>
    </row>
    <row r="136" spans="1:11">
      <c r="A136" s="51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>
      <c r="A137" s="46" t="s">
        <v>163</v>
      </c>
    </row>
    <row r="138" spans="1:11">
      <c r="A138" s="40" t="s">
        <v>123</v>
      </c>
      <c r="B138" s="33">
        <f>1/B122</f>
        <v>0.24887237994162914</v>
      </c>
      <c r="C138" s="33">
        <f t="shared" ref="C138:K138" si="19">1/C122</f>
        <v>0.17886356200239939</v>
      </c>
      <c r="D138" s="33">
        <f t="shared" si="19"/>
        <v>0.1894875430423334</v>
      </c>
      <c r="E138" s="33">
        <f t="shared" si="19"/>
        <v>0.15401319635847324</v>
      </c>
      <c r="F138" s="33">
        <f t="shared" si="19"/>
        <v>0.13122999542752631</v>
      </c>
      <c r="G138" s="33">
        <f t="shared" si="19"/>
        <v>0.16554054054054054</v>
      </c>
      <c r="H138" s="33">
        <f t="shared" si="19"/>
        <v>0.14306957462148523</v>
      </c>
      <c r="I138" s="33">
        <f t="shared" si="19"/>
        <v>0.11007076755579749</v>
      </c>
      <c r="J138" s="33">
        <f t="shared" si="19"/>
        <v>8.9870063531590202E-2</v>
      </c>
      <c r="K138" s="33">
        <f t="shared" si="19"/>
        <v>8.2278282177751252E-2</v>
      </c>
    </row>
    <row r="139" spans="1:11">
      <c r="A139" s="40" t="s">
        <v>124</v>
      </c>
      <c r="K139" s="33">
        <f>SUM(B138:K138)/10</f>
        <v>0.14932959051995259</v>
      </c>
    </row>
    <row r="140" spans="1:11">
      <c r="A140" s="40" t="s">
        <v>125</v>
      </c>
      <c r="D140" s="33"/>
      <c r="E140" s="33"/>
      <c r="F140" s="33"/>
      <c r="G140" s="33"/>
      <c r="H140" s="33">
        <f>SUM(B138:H138)/7</f>
        <v>0.17301097027634102</v>
      </c>
      <c r="I140" s="33">
        <f>SUM(C138:I138)/7</f>
        <v>0.15318216850693653</v>
      </c>
      <c r="J140" s="33">
        <f>SUM(D138:J138)/7</f>
        <v>0.14046881158253519</v>
      </c>
      <c r="K140" s="33">
        <f>SUM(E138:K138)/7</f>
        <v>0.12515320288759491</v>
      </c>
    </row>
    <row r="141" spans="1:11">
      <c r="A141" s="40" t="s">
        <v>126</v>
      </c>
      <c r="D141" s="33"/>
      <c r="E141" s="33"/>
      <c r="F141" s="33">
        <f t="shared" ref="F141:K141" si="20">SUM(B138:F138)/5</f>
        <v>0.18049333535447229</v>
      </c>
      <c r="G141" s="33">
        <f t="shared" si="20"/>
        <v>0.16382696747425457</v>
      </c>
      <c r="H141" s="33">
        <f t="shared" si="20"/>
        <v>0.15666816999807173</v>
      </c>
      <c r="I141" s="33">
        <f t="shared" si="20"/>
        <v>0.14078481490076458</v>
      </c>
      <c r="J141" s="33">
        <f t="shared" si="20"/>
        <v>0.12795618833538797</v>
      </c>
      <c r="K141" s="33">
        <f t="shared" si="20"/>
        <v>0.11816584568543294</v>
      </c>
    </row>
    <row r="142" spans="1:11">
      <c r="A142" s="40" t="s">
        <v>127</v>
      </c>
      <c r="D142" s="33">
        <f t="shared" ref="D142:K142" si="21">SUM(B138:D138)/3</f>
        <v>0.20574116166212064</v>
      </c>
      <c r="E142" s="33">
        <f t="shared" si="21"/>
        <v>0.17412143380106868</v>
      </c>
      <c r="F142" s="33">
        <f t="shared" si="21"/>
        <v>0.15824357827611099</v>
      </c>
      <c r="G142" s="33">
        <f t="shared" si="21"/>
        <v>0.1502612441088467</v>
      </c>
      <c r="H142" s="33">
        <f t="shared" si="21"/>
        <v>0.14661337019651735</v>
      </c>
      <c r="I142" s="33">
        <f t="shared" si="21"/>
        <v>0.13956029423927441</v>
      </c>
      <c r="J142" s="33">
        <f t="shared" si="21"/>
        <v>0.11433680190295764</v>
      </c>
      <c r="K142" s="33">
        <f t="shared" si="21"/>
        <v>9.4073037755046315E-2</v>
      </c>
    </row>
    <row r="143" spans="1:11">
      <c r="A143" s="40" t="s">
        <v>128</v>
      </c>
      <c r="C143" s="25">
        <f>('Data Sheet'!C17-'Data Sheet'!B17)</f>
        <v>16.310000000000002</v>
      </c>
      <c r="D143" s="25">
        <f>('Data Sheet'!D17-'Data Sheet'!C17)</f>
        <v>7.0499999999999972</v>
      </c>
      <c r="E143" s="25">
        <f>('Data Sheet'!E17-'Data Sheet'!D17)</f>
        <v>20.990000000000009</v>
      </c>
      <c r="F143" s="25">
        <f>('Data Sheet'!F17-'Data Sheet'!E17)</f>
        <v>33.36</v>
      </c>
      <c r="G143" s="25">
        <f>('Data Sheet'!G17-'Data Sheet'!F17)</f>
        <v>33.389999999999986</v>
      </c>
      <c r="H143" s="25">
        <f>('Data Sheet'!H17-'Data Sheet'!G17)</f>
        <v>35.44</v>
      </c>
      <c r="I143" s="25">
        <f>('Data Sheet'!I17-'Data Sheet'!H17)</f>
        <v>53.630000000000024</v>
      </c>
      <c r="J143" s="25">
        <f>('Data Sheet'!J17-'Data Sheet'!I17)</f>
        <v>37.680000000000007</v>
      </c>
      <c r="K143" s="25">
        <f>('Data Sheet'!K17-'Data Sheet'!J17)</f>
        <v>5.0799999999999841</v>
      </c>
    </row>
    <row r="144" spans="1:11">
      <c r="A144" s="40" t="s">
        <v>129</v>
      </c>
      <c r="C144" s="25">
        <f>('Data Sheet'!C62-'Data Sheet'!B62)+('Data Sheet'!C63-'Data Sheet'!B63)+'Data Sheet'!C26</f>
        <v>-0.130000000000003</v>
      </c>
      <c r="D144" s="25">
        <f>('Data Sheet'!D62-'Data Sheet'!C62)+('Data Sheet'!D63-'Data Sheet'!C63)+'Data Sheet'!D26</f>
        <v>4.6600000000000019</v>
      </c>
      <c r="E144" s="25">
        <f>('Data Sheet'!E62-'Data Sheet'!D62)+('Data Sheet'!E63-'Data Sheet'!D63)+'Data Sheet'!E26</f>
        <v>3.3400000000000007</v>
      </c>
      <c r="F144" s="25">
        <f>('Data Sheet'!F62-'Data Sheet'!E62)+('Data Sheet'!F63-'Data Sheet'!E63)+'Data Sheet'!F26</f>
        <v>2.379999999999999</v>
      </c>
      <c r="G144" s="25">
        <f>('Data Sheet'!G62-'Data Sheet'!F62)+('Data Sheet'!G63-'Data Sheet'!F63)+'Data Sheet'!G26</f>
        <v>13.14</v>
      </c>
      <c r="H144" s="25">
        <f>('Data Sheet'!H62-'Data Sheet'!G62)+('Data Sheet'!H63-'Data Sheet'!G63)+'Data Sheet'!H26</f>
        <v>3.5299999999999994</v>
      </c>
      <c r="I144" s="25">
        <f>('Data Sheet'!I62-'Data Sheet'!H62)+('Data Sheet'!I63-'Data Sheet'!H63)+'Data Sheet'!I26</f>
        <v>1.2399999999999982</v>
      </c>
      <c r="J144" s="25">
        <f>('Data Sheet'!J62-'Data Sheet'!I62)+('Data Sheet'!J63-'Data Sheet'!I63)+'Data Sheet'!J26</f>
        <v>0.41000000000000059</v>
      </c>
      <c r="K144" s="25">
        <f>('Data Sheet'!K62-'Data Sheet'!J62)+('Data Sheet'!K63-'Data Sheet'!J63)+'Data Sheet'!K26</f>
        <v>0.89000000000000279</v>
      </c>
    </row>
    <row r="145" spans="1:12">
      <c r="A145" s="40" t="s">
        <v>130</v>
      </c>
      <c r="F145" s="11">
        <f>F141*F143</f>
        <v>6.0212576674251954</v>
      </c>
      <c r="G145" s="11">
        <f t="shared" ref="G145:K145" si="22">G141*G143</f>
        <v>5.4701824439653581</v>
      </c>
      <c r="H145" s="11">
        <f t="shared" si="22"/>
        <v>5.5523199447316616</v>
      </c>
      <c r="I145" s="11">
        <f t="shared" si="22"/>
        <v>7.5502896231280081</v>
      </c>
      <c r="J145" s="11">
        <f t="shared" si="22"/>
        <v>4.8213891764774193</v>
      </c>
      <c r="K145" s="11">
        <f t="shared" si="22"/>
        <v>0.60028249608199746</v>
      </c>
    </row>
    <row r="146" spans="1:12">
      <c r="A146" s="40" t="s">
        <v>131</v>
      </c>
      <c r="F146" s="11">
        <f>F144-F145</f>
        <v>-3.6412576674251964</v>
      </c>
      <c r="G146" s="11">
        <f t="shared" ref="G146:K146" si="23">G144-G145</f>
        <v>7.6698175560346424</v>
      </c>
      <c r="H146" s="11">
        <f t="shared" si="23"/>
        <v>-2.0223199447316622</v>
      </c>
      <c r="I146" s="11">
        <f t="shared" si="23"/>
        <v>-6.3102896231280097</v>
      </c>
      <c r="J146" s="11">
        <f t="shared" si="23"/>
        <v>-4.4113891764774191</v>
      </c>
      <c r="K146" s="11">
        <f t="shared" si="23"/>
        <v>0.28971750391800533</v>
      </c>
    </row>
    <row r="147" spans="1:12">
      <c r="A147" s="40"/>
    </row>
    <row r="148" spans="1:12">
      <c r="A148" s="40" t="s">
        <v>132</v>
      </c>
      <c r="D148" s="11">
        <f>D142*D143</f>
        <v>1.45047518971795</v>
      </c>
      <c r="E148" s="11">
        <f t="shared" ref="E148:K148" si="24">E142*E143</f>
        <v>3.6548088954844329</v>
      </c>
      <c r="F148" s="11">
        <f t="shared" si="24"/>
        <v>5.2790057712910627</v>
      </c>
      <c r="G148" s="11">
        <f t="shared" si="24"/>
        <v>5.0172229407943894</v>
      </c>
      <c r="H148" s="11">
        <f t="shared" si="24"/>
        <v>5.1959778397645744</v>
      </c>
      <c r="I148" s="11">
        <f t="shared" si="24"/>
        <v>7.48461858005229</v>
      </c>
      <c r="J148" s="11">
        <f t="shared" si="24"/>
        <v>4.3082106957034449</v>
      </c>
      <c r="K148" s="11">
        <f t="shared" si="24"/>
        <v>0.4778910317956338</v>
      </c>
    </row>
    <row r="149" spans="1:12">
      <c r="A149" s="40" t="s">
        <v>133</v>
      </c>
      <c r="D149" s="11">
        <f>D144-D148</f>
        <v>3.2095248102820522</v>
      </c>
      <c r="E149" s="11">
        <f t="shared" ref="E149:K149" si="25">E144-E148</f>
        <v>-0.31480889548443214</v>
      </c>
      <c r="F149" s="11">
        <f t="shared" si="25"/>
        <v>-2.8990057712910637</v>
      </c>
      <c r="G149" s="11">
        <f t="shared" si="25"/>
        <v>8.1227770592056103</v>
      </c>
      <c r="H149" s="11">
        <f t="shared" si="25"/>
        <v>-1.665977839764575</v>
      </c>
      <c r="I149" s="11">
        <f t="shared" si="25"/>
        <v>-6.2446185800522915</v>
      </c>
      <c r="J149" s="11">
        <f t="shared" si="25"/>
        <v>-3.8982106957034444</v>
      </c>
      <c r="K149" s="11">
        <f t="shared" si="25"/>
        <v>0.41210896820436899</v>
      </c>
    </row>
    <row r="150" spans="1:12">
      <c r="A150" s="5"/>
    </row>
    <row r="151" spans="1:12">
      <c r="A151" s="5" t="s">
        <v>141</v>
      </c>
      <c r="F151" s="11">
        <f>'Data Sheet'!F30+'Data Sheet'!F26-Customization!F146</f>
        <v>19.991257667425199</v>
      </c>
      <c r="G151" s="11">
        <f>'Data Sheet'!G30+'Data Sheet'!G26-Customization!G146</f>
        <v>4.2101824439653583</v>
      </c>
      <c r="H151" s="11">
        <f>'Data Sheet'!H30+'Data Sheet'!H26-Customization!H146</f>
        <v>14.562319944731662</v>
      </c>
      <c r="I151" s="11">
        <f>'Data Sheet'!I30+'Data Sheet'!I26-Customization!I146</f>
        <v>21.750289623128008</v>
      </c>
      <c r="J151" s="11">
        <f>'Data Sheet'!J30+'Data Sheet'!J26-Customization!J146</f>
        <v>20.481389176477421</v>
      </c>
      <c r="K151" s="11">
        <f>'Data Sheet'!K30+'Data Sheet'!K26-Customization!K146</f>
        <v>18.870282496081995</v>
      </c>
    </row>
    <row r="152" spans="1:12">
      <c r="A152" s="5" t="s">
        <v>142</v>
      </c>
      <c r="D152" s="11">
        <f>'Data Sheet'!D30+'Data Sheet'!D26-Customization!D149</f>
        <v>2.9404751897179482</v>
      </c>
      <c r="E152" s="11">
        <f>'Data Sheet'!E30+'Data Sheet'!E26-Customization!E149</f>
        <v>6.4448088954844334</v>
      </c>
      <c r="F152" s="11">
        <f>'Data Sheet'!F30+'Data Sheet'!F26-Customization!F149</f>
        <v>19.249005771291067</v>
      </c>
      <c r="G152" s="11">
        <f>'Data Sheet'!G30+'Data Sheet'!G26-Customization!G149</f>
        <v>3.7572229407943905</v>
      </c>
      <c r="H152" s="11">
        <f>'Data Sheet'!H30+'Data Sheet'!H26-Customization!H149</f>
        <v>14.205977839764575</v>
      </c>
      <c r="I152" s="11">
        <f>'Data Sheet'!I30+'Data Sheet'!I26-Customization!I149</f>
        <v>21.684618580052291</v>
      </c>
      <c r="J152" s="11">
        <f>'Data Sheet'!J30+'Data Sheet'!J26-Customization!J149</f>
        <v>19.968210695703444</v>
      </c>
      <c r="K152" s="11">
        <f>'Data Sheet'!K30+'Data Sheet'!K26-Customization!K149</f>
        <v>18.747891031795632</v>
      </c>
    </row>
    <row r="153" spans="1:12">
      <c r="A153" s="5" t="s">
        <v>140</v>
      </c>
      <c r="C153" s="36">
        <f>C154+'Data Sheet'!C26-Customization!C144</f>
        <v>4.0900000000000034</v>
      </c>
      <c r="D153" s="36">
        <f>D154+'Data Sheet'!D26-Customization!D144</f>
        <v>1.4899999999999984</v>
      </c>
      <c r="E153" s="36">
        <f>E154+'Data Sheet'!E26-Customization!E144</f>
        <v>2.79</v>
      </c>
      <c r="F153" s="36">
        <f>F154+'Data Sheet'!F26-Customization!F144</f>
        <v>13.970000000000002</v>
      </c>
      <c r="G153" s="36">
        <f>G154+'Data Sheet'!G26-Customization!G144</f>
        <v>-1.2599999999999998</v>
      </c>
      <c r="H153" s="36">
        <f>H154+'Data Sheet'!H26-Customization!H144</f>
        <v>9.01</v>
      </c>
      <c r="I153" s="36">
        <f>I154+'Data Sheet'!I26-Customization!I144</f>
        <v>14.200000000000001</v>
      </c>
      <c r="J153" s="36">
        <f>J154+'Data Sheet'!J26-Customization!J144</f>
        <v>15.66</v>
      </c>
      <c r="K153" s="36">
        <f>K154+'Data Sheet'!K26-Customization!K144</f>
        <v>18.269999999999996</v>
      </c>
    </row>
    <row r="154" spans="1:12">
      <c r="A154" s="5" t="str">
        <f>'Data Sheet'!A30</f>
        <v>Net profit</v>
      </c>
      <c r="B154" s="5">
        <f>'Data Sheet'!B30</f>
        <v>1.19</v>
      </c>
      <c r="C154" s="5">
        <f>'Data Sheet'!C30</f>
        <v>1.7</v>
      </c>
      <c r="D154" s="5">
        <f>'Data Sheet'!D30</f>
        <v>3.8</v>
      </c>
      <c r="E154" s="5">
        <f>'Data Sheet'!E30</f>
        <v>3.97</v>
      </c>
      <c r="F154" s="5">
        <f>'Data Sheet'!F30</f>
        <v>14.19</v>
      </c>
      <c r="G154" s="5">
        <f>'Data Sheet'!G30</f>
        <v>9.5500000000000007</v>
      </c>
      <c r="H154" s="5">
        <f>'Data Sheet'!H30</f>
        <v>9.84</v>
      </c>
      <c r="I154" s="5">
        <f>'Data Sheet'!I30</f>
        <v>12.79</v>
      </c>
      <c r="J154" s="5">
        <f>'Data Sheet'!J30</f>
        <v>13.47</v>
      </c>
      <c r="K154" s="5">
        <f>'Data Sheet'!K30</f>
        <v>16.309999999999999</v>
      </c>
    </row>
    <row r="155" spans="1:12">
      <c r="A155" s="5"/>
    </row>
    <row r="156" spans="1:12">
      <c r="A156" s="5" t="s">
        <v>134</v>
      </c>
      <c r="B156" s="30"/>
      <c r="C156" s="31"/>
      <c r="D156" s="30"/>
      <c r="E156" s="30"/>
      <c r="F156" s="30">
        <f>F151/'Data Sheet'!F17</f>
        <v>0.13058500011382324</v>
      </c>
      <c r="G156" s="30">
        <f>G151/'Data Sheet'!G17</f>
        <v>2.2577125932890168E-2</v>
      </c>
      <c r="H156" s="30">
        <f>H151/'Data Sheet'!H17</f>
        <v>6.5619682519519024E-2</v>
      </c>
      <c r="I156" s="30">
        <f>I151/'Data Sheet'!I17</f>
        <v>7.8934094077764499E-2</v>
      </c>
      <c r="J156" s="30">
        <f>J151/'Data Sheet'!J17</f>
        <v>6.5387699698232674E-2</v>
      </c>
      <c r="K156" s="30">
        <f>K151/'Data Sheet'!K17</f>
        <v>5.9282719663478978E-2</v>
      </c>
      <c r="L156" s="30"/>
    </row>
    <row r="157" spans="1:12">
      <c r="A157" s="5" t="s">
        <v>135</v>
      </c>
      <c r="B157" s="30"/>
      <c r="C157" s="31"/>
      <c r="D157" s="30">
        <f>D152/'Data Sheet'!D17</f>
        <v>2.9779979640651696E-2</v>
      </c>
      <c r="E157" s="30">
        <f>E152/'Data Sheet'!E17</f>
        <v>5.3827853466002114E-2</v>
      </c>
      <c r="F157" s="30">
        <f>F152/'Data Sheet'!F17</f>
        <v>0.1257365325709783</v>
      </c>
      <c r="G157" s="30">
        <f>G152/'Data Sheet'!G17</f>
        <v>2.0148128168138088E-2</v>
      </c>
      <c r="H157" s="30">
        <f>H152/'Data Sheet'!H17</f>
        <v>6.4013959263539005E-2</v>
      </c>
      <c r="I157" s="30">
        <f>I152/'Data Sheet'!I17</f>
        <v>7.8695766939039347E-2</v>
      </c>
      <c r="J157" s="30">
        <f>J152/'Data Sheet'!J17</f>
        <v>6.3749355731262794E-2</v>
      </c>
      <c r="K157" s="30">
        <f>K152/'Data Sheet'!K17</f>
        <v>5.8898215675899694E-2</v>
      </c>
      <c r="L157" s="30"/>
    </row>
    <row r="158" spans="1:12">
      <c r="A158" s="5" t="s">
        <v>143</v>
      </c>
      <c r="C158" s="31">
        <f>C153/'Data Sheet'!C17</f>
        <v>4.4606827353037448E-2</v>
      </c>
      <c r="D158" s="31">
        <f>D153/'Data Sheet'!D17</f>
        <v>1.5090135709945296E-2</v>
      </c>
      <c r="E158" s="31">
        <f>E153/'Data Sheet'!E17</f>
        <v>2.3302430468554246E-2</v>
      </c>
      <c r="F158" s="31">
        <f>F153/'Data Sheet'!F17</f>
        <v>9.125351100659744E-2</v>
      </c>
      <c r="G158" s="31">
        <f>G153/'Data Sheet'!G17</f>
        <v>-6.7567567567567563E-3</v>
      </c>
      <c r="H158" s="31">
        <f>H153/'Data Sheet'!H17</f>
        <v>4.0600216294160059E-2</v>
      </c>
      <c r="I158" s="31">
        <f>I153/'Data Sheet'!I17</f>
        <v>5.1533297042279082E-2</v>
      </c>
      <c r="J158" s="31">
        <f>J153/'Data Sheet'!J17</f>
        <v>4.9995211186667943E-2</v>
      </c>
      <c r="K158" s="31">
        <f>K153/'Data Sheet'!K17</f>
        <v>5.7396877258018897E-2</v>
      </c>
    </row>
    <row r="159" spans="1:12">
      <c r="A159" s="5" t="s">
        <v>144</v>
      </c>
      <c r="B159" s="34">
        <f>B77</f>
        <v>1.5786680817192891E-2</v>
      </c>
      <c r="C159" s="34">
        <f t="shared" ref="C159:K159" si="26">C77</f>
        <v>1.854073508561457E-2</v>
      </c>
      <c r="D159" s="34">
        <f t="shared" si="26"/>
        <v>3.8484909864290054E-2</v>
      </c>
      <c r="E159" s="34">
        <f t="shared" si="26"/>
        <v>3.315793869539798E-2</v>
      </c>
      <c r="F159" s="34">
        <f t="shared" si="26"/>
        <v>9.2690574172055645E-2</v>
      </c>
      <c r="G159" s="34">
        <f t="shared" si="26"/>
        <v>5.1211926211926218E-2</v>
      </c>
      <c r="H159" s="34">
        <f t="shared" si="26"/>
        <v>4.4340302811824085E-2</v>
      </c>
      <c r="I159" s="34">
        <f t="shared" si="26"/>
        <v>4.6416258392306294E-2</v>
      </c>
      <c r="J159" s="34">
        <f t="shared" si="26"/>
        <v>4.3003543721865718E-2</v>
      </c>
      <c r="K159" s="34">
        <f t="shared" si="26"/>
        <v>5.1239357858691208E-2</v>
      </c>
    </row>
    <row r="160" spans="1: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 t="s">
        <v>139</v>
      </c>
      <c r="C161" s="25">
        <f>C144/'Data Sheet'!C26</f>
        <v>-5.7522123893806641E-2</v>
      </c>
      <c r="D161" s="25">
        <f>D144/'Data Sheet'!D26</f>
        <v>1.982978723404256</v>
      </c>
      <c r="E161" s="25">
        <f>E144/'Data Sheet'!E26</f>
        <v>1.5462962962962965</v>
      </c>
      <c r="F161" s="25">
        <f>F144/'Data Sheet'!F26</f>
        <v>1.1018518518518514</v>
      </c>
      <c r="G161" s="25">
        <f>G144/'Data Sheet'!G26</f>
        <v>5.6394849785407724</v>
      </c>
      <c r="H161" s="25">
        <f>H144/'Data Sheet'!H26</f>
        <v>1.3074074074074071</v>
      </c>
      <c r="I161" s="25">
        <f>I144/'Data Sheet'!I26</f>
        <v>0.46792452830188613</v>
      </c>
      <c r="J161" s="25">
        <f>J144/'Data Sheet'!J26</f>
        <v>0.15769230769230791</v>
      </c>
      <c r="K161" s="25">
        <f>K144/'Data Sheet'!K26</f>
        <v>0.31228070175438694</v>
      </c>
    </row>
    <row r="162" spans="1:11">
      <c r="A162" s="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5" t="s">
        <v>157</v>
      </c>
      <c r="B163" s="11">
        <f>'Data Sheet'!B30</f>
        <v>1.19</v>
      </c>
      <c r="C163" s="11">
        <f>'Data Sheet'!C30</f>
        <v>1.7</v>
      </c>
      <c r="D163" s="11">
        <f>'Data Sheet'!D30</f>
        <v>3.8</v>
      </c>
      <c r="E163" s="11">
        <f>'Data Sheet'!E30</f>
        <v>3.97</v>
      </c>
      <c r="F163" s="11">
        <f>'Data Sheet'!F30</f>
        <v>14.19</v>
      </c>
      <c r="G163" s="11">
        <f>'Data Sheet'!G30</f>
        <v>9.5500000000000007</v>
      </c>
      <c r="H163" s="11">
        <f>'Data Sheet'!H30</f>
        <v>9.84</v>
      </c>
      <c r="I163" s="11">
        <f>'Data Sheet'!I30</f>
        <v>12.79</v>
      </c>
      <c r="J163" s="11">
        <f>'Data Sheet'!J30</f>
        <v>13.47</v>
      </c>
      <c r="K163" s="11">
        <f>'Data Sheet'!K30</f>
        <v>16.309999999999999</v>
      </c>
    </row>
    <row r="164" spans="1:11">
      <c r="A164" s="5" t="s">
        <v>164</v>
      </c>
      <c r="C164" s="25">
        <f>C81-B81</f>
        <v>0.23999999999999488</v>
      </c>
      <c r="D164" s="25">
        <f t="shared" ref="D164:K164" si="27">D81-C81</f>
        <v>10.969999999999999</v>
      </c>
      <c r="E164" s="25">
        <f t="shared" si="27"/>
        <v>1.6500000000000057</v>
      </c>
      <c r="F164" s="25">
        <f t="shared" si="27"/>
        <v>6.6400000000000006</v>
      </c>
      <c r="G164" s="25">
        <f t="shared" si="27"/>
        <v>21.689999999999998</v>
      </c>
      <c r="H164" s="25">
        <f t="shared" si="27"/>
        <v>5.0200000000000102</v>
      </c>
      <c r="I164" s="25">
        <f t="shared" si="27"/>
        <v>3.3999999999999915</v>
      </c>
      <c r="J164" s="25">
        <f t="shared" si="27"/>
        <v>2.3200000000000074</v>
      </c>
      <c r="K164" s="25">
        <f t="shared" si="27"/>
        <v>7.1799999999999926</v>
      </c>
    </row>
    <row r="165" spans="1:11">
      <c r="A165" s="5" t="s">
        <v>165</v>
      </c>
      <c r="C165" s="25">
        <f>C82-B82</f>
        <v>-0.93000000000000682</v>
      </c>
      <c r="D165" s="25">
        <f t="shared" ref="D165:K165" si="28">D82-C82</f>
        <v>8.14</v>
      </c>
      <c r="E165" s="25">
        <f t="shared" si="28"/>
        <v>5.5700000000000074</v>
      </c>
      <c r="F165" s="25">
        <f t="shared" si="28"/>
        <v>7.2899999999999991</v>
      </c>
      <c r="G165" s="25">
        <f t="shared" si="28"/>
        <v>21.509999999999998</v>
      </c>
      <c r="H165" s="25">
        <f t="shared" si="28"/>
        <v>3.7800000000000153</v>
      </c>
      <c r="I165" s="25">
        <f t="shared" si="28"/>
        <v>5.1299999999999812</v>
      </c>
      <c r="J165" s="25">
        <f t="shared" si="28"/>
        <v>-1.8199999999999932</v>
      </c>
      <c r="K165" s="25">
        <f t="shared" si="28"/>
        <v>4.230000000000004</v>
      </c>
    </row>
    <row r="166" spans="1:11">
      <c r="A166" s="5" t="s">
        <v>166</v>
      </c>
      <c r="C166" s="36">
        <f>C83-B83</f>
        <v>6.9999999999993179E-2</v>
      </c>
      <c r="D166" s="36">
        <f t="shared" ref="D166:K166" si="29">D83-C83</f>
        <v>8.1400000000000077</v>
      </c>
      <c r="E166" s="36">
        <f t="shared" si="29"/>
        <v>1.7700000000000031</v>
      </c>
      <c r="F166" s="36">
        <f t="shared" si="29"/>
        <v>4.8299999999999983</v>
      </c>
      <c r="G166" s="36">
        <f t="shared" si="29"/>
        <v>21.090000000000003</v>
      </c>
      <c r="H166" s="36">
        <f t="shared" si="29"/>
        <v>6.3799999999999955</v>
      </c>
      <c r="I166" s="36">
        <f t="shared" si="29"/>
        <v>5.6200000000000045</v>
      </c>
      <c r="J166" s="36">
        <f t="shared" si="29"/>
        <v>1.769999999999996</v>
      </c>
      <c r="K166" s="36">
        <f t="shared" si="29"/>
        <v>-1.7800000000000011</v>
      </c>
    </row>
    <row r="167" spans="1:11">
      <c r="A167" s="5" t="s">
        <v>168</v>
      </c>
      <c r="C167" s="36">
        <f>C84-B84</f>
        <v>9.9999999999994316E-2</v>
      </c>
      <c r="D167" s="36">
        <f t="shared" ref="D167:K167" si="30">D84-C84</f>
        <v>8.1400000000000077</v>
      </c>
      <c r="E167" s="36">
        <f t="shared" si="30"/>
        <v>0.32000000000000028</v>
      </c>
      <c r="F167" s="36">
        <f t="shared" si="30"/>
        <v>6.259999999999998</v>
      </c>
      <c r="G167" s="36">
        <f t="shared" si="30"/>
        <v>21.060000000000009</v>
      </c>
      <c r="H167" s="36">
        <f t="shared" si="30"/>
        <v>6.4299999999999926</v>
      </c>
      <c r="I167" s="36">
        <f t="shared" si="30"/>
        <v>5.6099999999999994</v>
      </c>
      <c r="J167" s="36">
        <f t="shared" si="30"/>
        <v>1.7800000000000011</v>
      </c>
      <c r="K167" s="36">
        <f t="shared" si="30"/>
        <v>-1.7800000000000011</v>
      </c>
    </row>
    <row r="168" spans="1:11">
      <c r="A168" s="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5" t="s">
        <v>138</v>
      </c>
      <c r="C169" s="25">
        <f>C163-C164</f>
        <v>1.4600000000000051</v>
      </c>
      <c r="D169" s="25">
        <f t="shared" ref="D169:K169" si="31">D163-D164</f>
        <v>-7.169999999999999</v>
      </c>
      <c r="E169" s="25">
        <f t="shared" si="31"/>
        <v>2.3199999999999945</v>
      </c>
      <c r="F169" s="25">
        <f t="shared" si="31"/>
        <v>7.5499999999999989</v>
      </c>
      <c r="G169" s="25">
        <f t="shared" si="31"/>
        <v>-12.139999999999997</v>
      </c>
      <c r="H169" s="25">
        <f t="shared" si="31"/>
        <v>4.8199999999999896</v>
      </c>
      <c r="I169" s="25">
        <f t="shared" si="31"/>
        <v>9.3900000000000077</v>
      </c>
      <c r="J169" s="25">
        <f t="shared" si="31"/>
        <v>11.149999999999993</v>
      </c>
      <c r="K169" s="25">
        <f t="shared" si="31"/>
        <v>9.1300000000000061</v>
      </c>
    </row>
    <row r="170" spans="1:11">
      <c r="A170" s="5" t="s">
        <v>137</v>
      </c>
      <c r="C170" s="25">
        <f>C163-C165</f>
        <v>2.630000000000007</v>
      </c>
      <c r="D170" s="25">
        <f t="shared" ref="D170:K170" si="32">D163-D165</f>
        <v>-4.3400000000000007</v>
      </c>
      <c r="E170" s="25">
        <f t="shared" si="32"/>
        <v>-1.6000000000000072</v>
      </c>
      <c r="F170" s="25">
        <f t="shared" si="32"/>
        <v>6.9</v>
      </c>
      <c r="G170" s="25">
        <f t="shared" si="32"/>
        <v>-11.959999999999997</v>
      </c>
      <c r="H170" s="25">
        <f t="shared" si="32"/>
        <v>6.0599999999999845</v>
      </c>
      <c r="I170" s="25">
        <f t="shared" si="32"/>
        <v>7.6600000000000179</v>
      </c>
      <c r="J170" s="25">
        <f t="shared" si="32"/>
        <v>15.289999999999994</v>
      </c>
      <c r="K170" s="25">
        <f t="shared" si="32"/>
        <v>12.079999999999995</v>
      </c>
    </row>
    <row r="171" spans="1:11">
      <c r="A171" s="5" t="s">
        <v>167</v>
      </c>
      <c r="C171" s="36">
        <f>C163-C166</f>
        <v>1.6300000000000068</v>
      </c>
      <c r="D171" s="36">
        <f t="shared" ref="D171:K171" si="33">D163-D166</f>
        <v>-4.3400000000000079</v>
      </c>
      <c r="E171" s="36">
        <f t="shared" si="33"/>
        <v>2.1999999999999971</v>
      </c>
      <c r="F171" s="36">
        <f t="shared" si="33"/>
        <v>9.3600000000000012</v>
      </c>
      <c r="G171" s="36">
        <f t="shared" si="33"/>
        <v>-11.540000000000003</v>
      </c>
      <c r="H171" s="36">
        <f t="shared" si="33"/>
        <v>3.4600000000000044</v>
      </c>
      <c r="I171" s="36">
        <f t="shared" si="33"/>
        <v>7.1699999999999946</v>
      </c>
      <c r="J171" s="36">
        <f t="shared" si="33"/>
        <v>11.700000000000005</v>
      </c>
      <c r="K171" s="36">
        <f t="shared" si="33"/>
        <v>18.09</v>
      </c>
    </row>
    <row r="172" spans="1:11">
      <c r="A172" s="5" t="s">
        <v>169</v>
      </c>
      <c r="C172" s="36">
        <f>C163-C167</f>
        <v>1.6000000000000056</v>
      </c>
      <c r="D172" s="36">
        <f t="shared" ref="D172:K172" si="34">D163-D167</f>
        <v>-4.3400000000000079</v>
      </c>
      <c r="E172" s="36">
        <f t="shared" si="34"/>
        <v>3.65</v>
      </c>
      <c r="F172" s="36">
        <f t="shared" si="34"/>
        <v>7.9300000000000015</v>
      </c>
      <c r="G172" s="36">
        <f t="shared" si="34"/>
        <v>-11.510000000000009</v>
      </c>
      <c r="H172" s="36">
        <f t="shared" si="34"/>
        <v>3.4100000000000072</v>
      </c>
      <c r="I172" s="36">
        <f t="shared" si="34"/>
        <v>7.18</v>
      </c>
      <c r="J172" s="36">
        <f t="shared" si="34"/>
        <v>11.69</v>
      </c>
      <c r="K172" s="36">
        <f t="shared" si="34"/>
        <v>18.09</v>
      </c>
    </row>
    <row r="173" spans="1:11">
      <c r="A173" s="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1" t="s">
        <v>170</v>
      </c>
      <c r="B175" s="11" t="s">
        <v>184</v>
      </c>
      <c r="D175" s="25"/>
      <c r="E175" s="54"/>
      <c r="F175" s="25" t="s">
        <v>185</v>
      </c>
      <c r="G175" s="25"/>
      <c r="H175" s="25"/>
      <c r="I175" s="25"/>
      <c r="J175" s="25"/>
      <c r="K175" s="25"/>
    </row>
    <row r="176" spans="1:11">
      <c r="A176" s="5" t="s">
        <v>171</v>
      </c>
      <c r="B176" s="11">
        <f>SUM('Data Sheet'!B62:B63)</f>
        <v>18.790000000000003</v>
      </c>
      <c r="C176" s="11">
        <f>SUM('Data Sheet'!C62:C63)</f>
        <v>16.399999999999999</v>
      </c>
      <c r="D176" s="11">
        <f>SUM('Data Sheet'!D62:D63)</f>
        <v>18.71</v>
      </c>
      <c r="E176" s="11">
        <f>SUM('Data Sheet'!E62:E63)</f>
        <v>19.89</v>
      </c>
      <c r="F176" s="11">
        <f>SUM('Data Sheet'!F62:F63)</f>
        <v>20.11</v>
      </c>
      <c r="G176" s="11">
        <f>SUM('Data Sheet'!G62:G63)</f>
        <v>30.92</v>
      </c>
      <c r="H176" s="11">
        <f>SUM('Data Sheet'!H62:H63)</f>
        <v>31.75</v>
      </c>
      <c r="I176" s="11">
        <f>SUM('Data Sheet'!I62:I63)</f>
        <v>30.34</v>
      </c>
      <c r="J176" s="11">
        <f>SUM('Data Sheet'!J62:J63)</f>
        <v>28.15</v>
      </c>
      <c r="K176" s="11">
        <f>SUM('Data Sheet'!K62:K63)</f>
        <v>26.19</v>
      </c>
    </row>
    <row r="177" spans="1:11">
      <c r="A177" s="5" t="s">
        <v>30</v>
      </c>
      <c r="B177" s="11">
        <f>B178-B184</f>
        <v>0</v>
      </c>
      <c r="C177" s="11">
        <f t="shared" ref="C177:K177" si="35">C178-C184</f>
        <v>0</v>
      </c>
      <c r="D177" s="11">
        <f t="shared" si="35"/>
        <v>0</v>
      </c>
      <c r="E177" s="11">
        <f t="shared" si="35"/>
        <v>0</v>
      </c>
      <c r="F177" s="11">
        <f t="shared" si="35"/>
        <v>0</v>
      </c>
      <c r="G177" s="11">
        <f t="shared" si="35"/>
        <v>0</v>
      </c>
      <c r="H177" s="11">
        <f t="shared" si="35"/>
        <v>0</v>
      </c>
      <c r="I177" s="11">
        <f t="shared" si="35"/>
        <v>0</v>
      </c>
      <c r="J177" s="11">
        <f t="shared" si="35"/>
        <v>0</v>
      </c>
      <c r="K177" s="11">
        <f t="shared" si="35"/>
        <v>0</v>
      </c>
    </row>
    <row r="178" spans="1:11">
      <c r="A178" s="52" t="s">
        <v>172</v>
      </c>
      <c r="B178" s="11">
        <f>SUM(B179,B180,B182,B183)</f>
        <v>0</v>
      </c>
      <c r="C178" s="11">
        <f t="shared" ref="C178:K178" si="36">SUM(C179,C180,C182,C183)</f>
        <v>0</v>
      </c>
      <c r="D178" s="11">
        <f t="shared" si="36"/>
        <v>0</v>
      </c>
      <c r="E178" s="11">
        <f t="shared" si="36"/>
        <v>0</v>
      </c>
      <c r="F178" s="11">
        <f t="shared" si="36"/>
        <v>0</v>
      </c>
      <c r="G178" s="11">
        <f t="shared" si="36"/>
        <v>0</v>
      </c>
      <c r="H178" s="11">
        <f t="shared" si="36"/>
        <v>0</v>
      </c>
      <c r="I178" s="11">
        <f t="shared" si="36"/>
        <v>0</v>
      </c>
      <c r="J178" s="11">
        <f t="shared" si="36"/>
        <v>0</v>
      </c>
      <c r="K178" s="11">
        <f t="shared" si="36"/>
        <v>0</v>
      </c>
    </row>
    <row r="179" spans="1:11">
      <c r="A179" s="53" t="s">
        <v>173</v>
      </c>
      <c r="B179" s="55"/>
      <c r="C179" s="54"/>
      <c r="D179" s="54"/>
      <c r="E179" s="54"/>
      <c r="F179" s="54"/>
      <c r="G179" s="54"/>
      <c r="H179" s="54"/>
      <c r="I179" s="54"/>
      <c r="J179" s="54"/>
      <c r="K179" s="54"/>
    </row>
    <row r="180" spans="1:11">
      <c r="A180" s="53" t="s">
        <v>174</v>
      </c>
      <c r="B180" s="55"/>
      <c r="C180" s="54"/>
      <c r="D180" s="54"/>
      <c r="E180" s="54"/>
      <c r="F180" s="54"/>
      <c r="G180" s="54"/>
      <c r="H180" s="54"/>
      <c r="I180" s="54"/>
      <c r="J180" s="54"/>
      <c r="K180" s="54"/>
    </row>
    <row r="181" spans="1:11">
      <c r="A181" s="53" t="s">
        <v>175</v>
      </c>
      <c r="B181" s="55"/>
      <c r="C181" s="54"/>
      <c r="D181" s="54"/>
      <c r="E181" s="54"/>
      <c r="F181" s="54"/>
      <c r="G181" s="54"/>
      <c r="H181" s="54"/>
      <c r="I181" s="54"/>
      <c r="J181" s="54"/>
      <c r="K181" s="54"/>
    </row>
    <row r="182" spans="1:11">
      <c r="A182" s="53" t="s">
        <v>176</v>
      </c>
      <c r="B182" s="55"/>
      <c r="C182" s="54"/>
      <c r="D182" s="54"/>
      <c r="E182" s="54"/>
      <c r="F182" s="54"/>
      <c r="G182" s="54"/>
      <c r="H182" s="54"/>
      <c r="I182" s="54"/>
      <c r="J182" s="54"/>
      <c r="K182" s="54"/>
    </row>
    <row r="183" spans="1:11">
      <c r="A183" s="53" t="s">
        <v>177</v>
      </c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52" t="s">
        <v>178</v>
      </c>
      <c r="B184" s="11">
        <f>SUM(B185,B186,B187,B188)</f>
        <v>0</v>
      </c>
      <c r="C184" s="11">
        <f t="shared" ref="C184:K184" si="37">SUM(C185,C186,C187,C188)</f>
        <v>0</v>
      </c>
      <c r="D184" s="11">
        <f t="shared" si="37"/>
        <v>0</v>
      </c>
      <c r="E184" s="11">
        <f t="shared" si="37"/>
        <v>0</v>
      </c>
      <c r="F184" s="11">
        <f t="shared" si="37"/>
        <v>0</v>
      </c>
      <c r="G184" s="11">
        <f t="shared" si="37"/>
        <v>0</v>
      </c>
      <c r="H184" s="11">
        <f t="shared" si="37"/>
        <v>0</v>
      </c>
      <c r="I184" s="11">
        <f t="shared" si="37"/>
        <v>0</v>
      </c>
      <c r="J184" s="11">
        <f t="shared" si="37"/>
        <v>0</v>
      </c>
      <c r="K184" s="11">
        <f t="shared" si="37"/>
        <v>0</v>
      </c>
    </row>
    <row r="185" spans="1:11">
      <c r="A185" s="53" t="s">
        <v>179</v>
      </c>
      <c r="B185" s="55"/>
      <c r="C185" s="54"/>
      <c r="D185" s="54"/>
      <c r="E185" s="54"/>
      <c r="F185" s="54"/>
      <c r="G185" s="54"/>
      <c r="H185" s="54"/>
      <c r="I185" s="54"/>
      <c r="J185" s="54"/>
      <c r="K185" s="54"/>
    </row>
    <row r="186" spans="1:11">
      <c r="A186" s="53" t="s">
        <v>180</v>
      </c>
      <c r="B186" s="55"/>
      <c r="C186" s="54"/>
      <c r="D186" s="54"/>
      <c r="E186" s="54"/>
      <c r="F186" s="54"/>
      <c r="G186" s="54"/>
      <c r="H186" s="54"/>
      <c r="I186" s="54"/>
      <c r="J186" s="54"/>
      <c r="K186" s="54"/>
    </row>
    <row r="187" spans="1:11">
      <c r="A187" s="53" t="s">
        <v>181</v>
      </c>
      <c r="B187" s="55"/>
      <c r="C187" s="54"/>
      <c r="D187" s="54"/>
      <c r="E187" s="54"/>
      <c r="F187" s="54"/>
      <c r="G187" s="54"/>
      <c r="H187" s="54"/>
      <c r="I187" s="54"/>
      <c r="J187" s="54"/>
      <c r="K187" s="54"/>
    </row>
    <row r="188" spans="1:11">
      <c r="A188" s="53" t="s">
        <v>182</v>
      </c>
      <c r="B188" s="55"/>
      <c r="C188" s="54"/>
      <c r="D188" s="54"/>
      <c r="E188" s="54"/>
      <c r="F188" s="54"/>
      <c r="G188" s="54"/>
      <c r="H188" s="54"/>
      <c r="I188" s="54"/>
      <c r="J188" s="54"/>
      <c r="K188" s="54"/>
    </row>
    <row r="189" spans="1:11">
      <c r="A189" s="53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5" t="s">
        <v>136</v>
      </c>
      <c r="C191" s="25">
        <f>C176-B176</f>
        <v>-2.3900000000000041</v>
      </c>
      <c r="D191" s="25">
        <f t="shared" ref="D191:K191" si="38">D176-C176</f>
        <v>2.3100000000000023</v>
      </c>
      <c r="E191" s="25">
        <f t="shared" si="38"/>
        <v>1.1799999999999997</v>
      </c>
      <c r="F191" s="25">
        <f t="shared" si="38"/>
        <v>0.21999999999999886</v>
      </c>
      <c r="G191" s="25">
        <f t="shared" si="38"/>
        <v>10.810000000000002</v>
      </c>
      <c r="H191" s="25">
        <f t="shared" si="38"/>
        <v>0.82999999999999829</v>
      </c>
      <c r="I191" s="25">
        <f t="shared" si="38"/>
        <v>-1.4100000000000001</v>
      </c>
      <c r="J191" s="25">
        <f t="shared" si="38"/>
        <v>-2.1900000000000013</v>
      </c>
      <c r="K191" s="25">
        <f t="shared" si="38"/>
        <v>-1.9599999999999973</v>
      </c>
    </row>
    <row r="192" spans="1:11">
      <c r="A192" s="5" t="s">
        <v>101</v>
      </c>
      <c r="C192" s="25">
        <f>C177-B177</f>
        <v>0</v>
      </c>
      <c r="D192" s="25">
        <f t="shared" ref="D192:K192" si="39">D177-C177</f>
        <v>0</v>
      </c>
      <c r="E192" s="25">
        <f t="shared" si="39"/>
        <v>0</v>
      </c>
      <c r="F192" s="25">
        <f t="shared" si="39"/>
        <v>0</v>
      </c>
      <c r="G192" s="25">
        <f t="shared" si="39"/>
        <v>0</v>
      </c>
      <c r="H192" s="25">
        <f t="shared" si="39"/>
        <v>0</v>
      </c>
      <c r="I192" s="25">
        <f t="shared" si="39"/>
        <v>0</v>
      </c>
      <c r="J192" s="25">
        <f t="shared" si="39"/>
        <v>0</v>
      </c>
      <c r="K192" s="25">
        <f t="shared" si="39"/>
        <v>0</v>
      </c>
    </row>
    <row r="193" spans="1:16">
      <c r="A193" s="5"/>
      <c r="D193" s="25"/>
      <c r="E193" s="25"/>
      <c r="F193" s="25"/>
      <c r="G193" s="25"/>
      <c r="H193" s="25"/>
      <c r="I193" s="25"/>
      <c r="J193" s="25"/>
      <c r="K193" s="25"/>
    </row>
    <row r="194" spans="1:16">
      <c r="A194" s="5" t="s">
        <v>183</v>
      </c>
      <c r="C194" s="25">
        <f>C163-C191-C192</f>
        <v>4.0900000000000043</v>
      </c>
      <c r="D194" s="25">
        <f t="shared" ref="D194:K194" si="40">D163-D191-D192</f>
        <v>1.4899999999999975</v>
      </c>
      <c r="E194" s="25">
        <f t="shared" si="40"/>
        <v>2.7900000000000005</v>
      </c>
      <c r="F194" s="25">
        <f t="shared" si="40"/>
        <v>13.97</v>
      </c>
      <c r="G194" s="25">
        <f t="shared" si="40"/>
        <v>-1.2600000000000016</v>
      </c>
      <c r="H194" s="25">
        <f t="shared" si="40"/>
        <v>9.0100000000000016</v>
      </c>
      <c r="I194" s="25">
        <f t="shared" si="40"/>
        <v>14.2</v>
      </c>
      <c r="J194" s="25">
        <f t="shared" si="40"/>
        <v>15.660000000000002</v>
      </c>
      <c r="K194" s="25">
        <f t="shared" si="40"/>
        <v>18.269999999999996</v>
      </c>
    </row>
    <row r="195" spans="1:16">
      <c r="A195" s="5"/>
      <c r="D195" s="25"/>
      <c r="E195" s="25"/>
      <c r="F195" s="25"/>
      <c r="G195" s="25"/>
      <c r="H195" s="25"/>
      <c r="I195" s="25"/>
      <c r="J195" s="25"/>
      <c r="K195" s="25"/>
    </row>
    <row r="196" spans="1:16">
      <c r="A196" s="5"/>
      <c r="D196" s="25"/>
      <c r="E196" s="25"/>
      <c r="F196" s="25"/>
      <c r="G196" s="25"/>
      <c r="H196" s="25"/>
      <c r="I196" s="25"/>
      <c r="J196" s="25"/>
      <c r="K196" s="25"/>
    </row>
    <row r="197" spans="1:16">
      <c r="A197" s="5"/>
      <c r="D197" s="25"/>
      <c r="E197" s="25"/>
      <c r="F197" s="25"/>
      <c r="G197" s="25"/>
      <c r="H197" s="25"/>
      <c r="I197" s="25"/>
      <c r="J197" s="25"/>
      <c r="K197" s="25"/>
    </row>
    <row r="198" spans="1:16">
      <c r="A198" s="5"/>
      <c r="D198" s="25"/>
      <c r="E198" s="25"/>
      <c r="F198" s="25"/>
      <c r="G198" s="25"/>
      <c r="H198" s="25"/>
      <c r="I198" s="25"/>
      <c r="J198" s="25"/>
      <c r="K198" s="25"/>
    </row>
    <row r="199" spans="1:16">
      <c r="A199" s="5"/>
      <c r="D199" s="25"/>
      <c r="E199" s="25"/>
      <c r="F199" s="25"/>
      <c r="G199" s="25"/>
      <c r="H199" s="25"/>
      <c r="I199" s="25"/>
      <c r="J199" s="25"/>
      <c r="K199" s="25"/>
    </row>
    <row r="200" spans="1:16">
      <c r="A200" s="5"/>
    </row>
    <row r="201" spans="1:16">
      <c r="A201" s="23" t="str">
        <f>'Data Sheet'!B1</f>
        <v>PODDAR PIGMENTS LTD</v>
      </c>
      <c r="B201" s="29" t="s">
        <v>82</v>
      </c>
      <c r="C201" s="29" t="s">
        <v>83</v>
      </c>
      <c r="D201" s="5" t="s">
        <v>84</v>
      </c>
      <c r="E201" s="5" t="s">
        <v>85</v>
      </c>
      <c r="F201" s="42"/>
      <c r="G201" s="42"/>
      <c r="H201" s="42"/>
      <c r="I201" s="42"/>
      <c r="J201" s="42"/>
      <c r="K201" s="43"/>
      <c r="L201" s="41"/>
      <c r="M201" s="9"/>
      <c r="N201" s="9"/>
      <c r="O201" s="9"/>
      <c r="P201" s="9"/>
    </row>
    <row r="202" spans="1:16">
      <c r="A202" s="9" t="s">
        <v>6</v>
      </c>
      <c r="B202" s="30">
        <f>POWER('Data Sheet'!K17/'Data Sheet'!B17,1/9)-1</f>
        <v>0.1735739505729561</v>
      </c>
      <c r="C202" s="30">
        <f>POWER('Data Sheet'!K17/'Data Sheet'!G17,1/4)-1</f>
        <v>0.1430217791348436</v>
      </c>
      <c r="D202" s="30">
        <f>POWER('Data Sheet'!K17/'Data Sheet'!I17,1/2)-1</f>
        <v>7.4793258257102924E-2</v>
      </c>
      <c r="E202" s="30">
        <f>('Data Sheet'!K17-'Data Sheet'!J17)/'Data Sheet'!K17</f>
        <v>1.5959284973767661E-2</v>
      </c>
      <c r="F202" s="18"/>
      <c r="G202" s="18"/>
      <c r="H202" s="18"/>
      <c r="I202" s="18"/>
      <c r="J202" s="18"/>
      <c r="K202" s="18"/>
      <c r="L202" s="18"/>
    </row>
    <row r="203" spans="1:16">
      <c r="A203" s="5" t="s">
        <v>71</v>
      </c>
      <c r="B203" s="30">
        <f>POWER('Data Sheet'!K18/'Data Sheet'!B18,1/9)-1</f>
        <v>0.17761795455814688</v>
      </c>
      <c r="C203" s="30">
        <f>POWER('Data Sheet'!K18/'Data Sheet'!G18,1/4)-1</f>
        <v>0.14822318807681167</v>
      </c>
      <c r="D203" s="30">
        <f>POWER('Data Sheet'!K18/'Data Sheet'!I18,1/2)-1</f>
        <v>7.0481602196403648E-2</v>
      </c>
      <c r="E203" s="30">
        <f>('Data Sheet'!K18-'Data Sheet'!J18)/'Data Sheet'!K18</f>
        <v>1.2098358079974909E-2</v>
      </c>
    </row>
    <row r="204" spans="1:16">
      <c r="A204" s="5" t="s">
        <v>72</v>
      </c>
      <c r="B204" s="30">
        <f>POWER('Data Sheet'!K19/'Data Sheet'!B19,1/9)-1</f>
        <v>-7.6487315609510387E-2</v>
      </c>
      <c r="C204" s="30">
        <f>POWER('Data Sheet'!K19/'Data Sheet'!G19,1/4)-1</f>
        <v>0.10348799918507856</v>
      </c>
      <c r="D204" s="30">
        <f>POWER('Data Sheet'!K19/'Data Sheet'!I19,1/2)-1</f>
        <v>-6.322306795685706E-2</v>
      </c>
      <c r="E204" s="30">
        <f>('Data Sheet'!K19-'Data Sheet'!J19)/'Data Sheet'!K19</f>
        <v>2.1279069767441863</v>
      </c>
    </row>
    <row r="205" spans="1:16">
      <c r="A205" s="5" t="s">
        <v>73</v>
      </c>
      <c r="B205" s="30">
        <f>POWER('Data Sheet'!K20/'Data Sheet'!B20,1/9)-1</f>
        <v>8.0329753939521575E-2</v>
      </c>
      <c r="C205" s="30">
        <f>POWER('Data Sheet'!K20/'Data Sheet'!G20,1/4)-1</f>
        <v>8.3401349369293998E-2</v>
      </c>
      <c r="D205" s="30">
        <f>POWER('Data Sheet'!K20/'Data Sheet'!I20,1/2)-1</f>
        <v>1.125492759150637E-3</v>
      </c>
      <c r="E205" s="30">
        <f>('Data Sheet'!K20-'Data Sheet'!J20)/'Data Sheet'!K20</f>
        <v>6.5168539325842698E-2</v>
      </c>
    </row>
    <row r="206" spans="1:16">
      <c r="A206" s="5" t="s">
        <v>74</v>
      </c>
      <c r="B206" s="30">
        <f>POWER('Data Sheet'!K21/'Data Sheet'!B21,1/9)-1</f>
        <v>5.3023632984709801E-2</v>
      </c>
      <c r="C206" s="30">
        <f>POWER('Data Sheet'!K21/'Data Sheet'!G21,1/4)-1</f>
        <v>0.11124710146868511</v>
      </c>
      <c r="D206" s="30">
        <f>POWER('Data Sheet'!K21/'Data Sheet'!I21,1/2)-1</f>
        <v>-1.2539189884950286E-3</v>
      </c>
      <c r="E206" s="30">
        <f>('Data Sheet'!K21-'Data Sheet'!J21)/'Data Sheet'!K21</f>
        <v>-3.7688442211055252E-2</v>
      </c>
    </row>
    <row r="207" spans="1:16">
      <c r="A207" s="5" t="s">
        <v>75</v>
      </c>
      <c r="B207" s="30">
        <f>POWER('Data Sheet'!K22/'Data Sheet'!B22,1/9)-1</f>
        <v>0.17174534507175498</v>
      </c>
      <c r="C207" s="30">
        <f>POWER('Data Sheet'!K22/'Data Sheet'!G22,1/4)-1</f>
        <v>0.14801538773144274</v>
      </c>
      <c r="D207" s="30">
        <f>POWER('Data Sheet'!K22/'Data Sheet'!I22,1/2)-1</f>
        <v>0.19086717010761256</v>
      </c>
      <c r="E207" s="30">
        <f>('Data Sheet'!K22-'Data Sheet'!J22)/'Data Sheet'!K22</f>
        <v>0.15410273515677123</v>
      </c>
    </row>
    <row r="208" spans="1:16">
      <c r="A208" s="5" t="s">
        <v>76</v>
      </c>
      <c r="B208" s="30">
        <f>POWER('Data Sheet'!K23/'Data Sheet'!B23,1/9)-1</f>
        <v>0.13719272909457803</v>
      </c>
      <c r="C208" s="30">
        <f>POWER('Data Sheet'!K23/'Data Sheet'!G23,1/4)-1</f>
        <v>0.17341068548975014</v>
      </c>
      <c r="D208" s="30">
        <f>POWER('Data Sheet'!K23/'Data Sheet'!I23,1/2)-1</f>
        <v>0.11991577018649235</v>
      </c>
      <c r="E208" s="30">
        <f>('Data Sheet'!K23-'Data Sheet'!J23)/'Data Sheet'!K23</f>
        <v>7.6923076923076913E-2</v>
      </c>
    </row>
    <row r="209" spans="1:5">
      <c r="A209" s="5" t="s">
        <v>77</v>
      </c>
      <c r="B209" s="30">
        <f>POWER('Data Sheet'!K24/'Data Sheet'!B24,1/9)-1</f>
        <v>0.12915441680465678</v>
      </c>
      <c r="C209" s="30">
        <f>POWER('Data Sheet'!K24/'Data Sheet'!G24,1/4)-1</f>
        <v>4.0228289306047271E-2</v>
      </c>
      <c r="D209" s="30">
        <f>POWER('Data Sheet'!K24/'Data Sheet'!I24,1/2)-1</f>
        <v>-4.0626240743343645E-2</v>
      </c>
      <c r="E209" s="30">
        <f>('Data Sheet'!K24-'Data Sheet'!J24)/'Data Sheet'!K24</f>
        <v>-0.62162162162162149</v>
      </c>
    </row>
    <row r="210" spans="1:5">
      <c r="A210" s="9" t="s">
        <v>9</v>
      </c>
      <c r="B210" s="30">
        <f>POWER('Data Sheet'!K25/'Data Sheet'!B25,1/9)-1</f>
        <v>1.9085512747349265E-2</v>
      </c>
      <c r="C210" s="30">
        <f>POWER('Data Sheet'!K25/'Data Sheet'!G25,1/4)-1</f>
        <v>4.0323483952541483E-2</v>
      </c>
      <c r="D210" s="30">
        <f>POWER('Data Sheet'!K25/'Data Sheet'!I25,1/2)-1</f>
        <v>0.23422690870689</v>
      </c>
      <c r="E210" s="30">
        <f>('Data Sheet'!K25-'Data Sheet'!J25)/'Data Sheet'!K25</f>
        <v>0.40816326530612246</v>
      </c>
    </row>
    <row r="211" spans="1:5">
      <c r="A211" s="9" t="s">
        <v>10</v>
      </c>
      <c r="B211" s="30">
        <f>POWER('Data Sheet'!K26/'Data Sheet'!B26,1/9)-1</f>
        <v>2.7632373623710516E-2</v>
      </c>
      <c r="C211" s="30">
        <f>POWER('Data Sheet'!K26/'Data Sheet'!G26,1/4)-1</f>
        <v>5.1652442288319333E-2</v>
      </c>
      <c r="D211" s="30">
        <f>POWER('Data Sheet'!K26/'Data Sheet'!I26,1/2)-1</f>
        <v>3.7049515748022399E-2</v>
      </c>
      <c r="E211" s="30">
        <f>('Data Sheet'!K26-'Data Sheet'!J26)/'Data Sheet'!K26</f>
        <v>8.771929824561403E-2</v>
      </c>
    </row>
    <row r="212" spans="1:5">
      <c r="A212" s="9" t="s">
        <v>11</v>
      </c>
      <c r="B212" s="30">
        <f>POWER('Data Sheet'!K27/'Data Sheet'!B27,1/9)-1</f>
        <v>-8.7000587983570021E-3</v>
      </c>
      <c r="C212" s="30">
        <f>POWER('Data Sheet'!K27/'Data Sheet'!G27,1/4)-1</f>
        <v>-0.14926686648764764</v>
      </c>
      <c r="D212" s="30">
        <f>POWER('Data Sheet'!K27/'Data Sheet'!I27,1/2)-1</f>
        <v>-0.26926024979869079</v>
      </c>
      <c r="E212" s="30">
        <f>('Data Sheet'!K27-'Data Sheet'!J27)/'Data Sheet'!K27</f>
        <v>-0.55454545454545434</v>
      </c>
    </row>
    <row r="213" spans="1:5">
      <c r="A213" s="9" t="s">
        <v>12</v>
      </c>
      <c r="B213" s="30">
        <f>POWER('Data Sheet'!K28/'Data Sheet'!B28,1/9)-1</f>
        <v>0.33036229536418493</v>
      </c>
      <c r="C213" s="30">
        <f>POWER('Data Sheet'!K28/'Data Sheet'!G28,1/4)-1</f>
        <v>0.11893595487006037</v>
      </c>
      <c r="D213" s="30">
        <f>POWER('Data Sheet'!K28/'Data Sheet'!I28,1/2)-1</f>
        <v>0.11848034790425888</v>
      </c>
      <c r="E213" s="30">
        <f>('Data Sheet'!K28-'Data Sheet'!J28)/'Data Sheet'!K28</f>
        <v>0.12904696762425893</v>
      </c>
    </row>
    <row r="214" spans="1:5">
      <c r="A214" s="9" t="s">
        <v>13</v>
      </c>
      <c r="B214" s="30">
        <f>POWER('Data Sheet'!K29/'Data Sheet'!B29,1/9)-1</f>
        <v>0.31137437435150783</v>
      </c>
      <c r="C214" s="30">
        <f>POWER('Data Sheet'!K29/'Data Sheet'!G29,1/4)-1</f>
        <v>6.0689662824650492E-2</v>
      </c>
      <c r="D214" s="30">
        <f>POWER('Data Sheet'!K29/'Data Sheet'!I29,1/2)-1</f>
        <v>8.8877407442554457E-2</v>
      </c>
      <c r="E214" s="30">
        <f>('Data Sheet'!K29-'Data Sheet'!J29)/'Data Sheet'!K29</f>
        <v>-3.5587188612098883E-3</v>
      </c>
    </row>
    <row r="215" spans="1:5">
      <c r="A215" s="9" t="s">
        <v>14</v>
      </c>
      <c r="B215" s="30">
        <f>POWER('Data Sheet'!K30/'Data Sheet'!B30,1/9)-1</f>
        <v>0.33758995902743294</v>
      </c>
      <c r="C215" s="30">
        <f>POWER('Data Sheet'!K30/'Data Sheet'!G30,1/4)-1</f>
        <v>0.14317481318251257</v>
      </c>
      <c r="D215" s="30">
        <f>POWER('Data Sheet'!K30/'Data Sheet'!I30,1/2)-1</f>
        <v>0.12925418384343934</v>
      </c>
      <c r="E215" s="30">
        <f>('Data Sheet'!K30-'Data Sheet'!J30)/'Data Sheet'!K30</f>
        <v>0.17412630288166758</v>
      </c>
    </row>
    <row r="216" spans="1:5">
      <c r="A216" s="9" t="s">
        <v>61</v>
      </c>
      <c r="B216" s="30" t="e">
        <f>POWER('Data Sheet'!K31/'Data Sheet'!B31,1/9)-1</f>
        <v>#DIV/0!</v>
      </c>
      <c r="C216" s="30">
        <f>POWER('Data Sheet'!K31/'Data Sheet'!G31,1/4)-1</f>
        <v>-1.1901432887120644E-2</v>
      </c>
      <c r="D216" s="30">
        <f>POWER('Data Sheet'!K31/'Data Sheet'!I31,1/2)-1</f>
        <v>0.1180339887498949</v>
      </c>
      <c r="E216" s="30">
        <f>('Data Sheet'!K31-'Data Sheet'!J31)/'Data Sheet'!K31</f>
        <v>9.8113207547169734E-2</v>
      </c>
    </row>
    <row r="217" spans="1:5">
      <c r="A217" s="5" t="s">
        <v>89</v>
      </c>
      <c r="B217" s="30">
        <f>POWER(K93/B93,1/9)-1</f>
        <v>0.13813794373504251</v>
      </c>
      <c r="C217" s="30">
        <f>POWER(K93/G93,1/4)-1</f>
        <v>6.0839221923489673E-2</v>
      </c>
      <c r="D217" s="30">
        <f>POWER(K93/I93,1/2)-1</f>
        <v>3.8754644089010304E-2</v>
      </c>
      <c r="E217" s="30">
        <f>(K93-J93)/J93</f>
        <v>8.0041560758752128E-2</v>
      </c>
    </row>
    <row r="218" spans="1:5">
      <c r="A218" s="5" t="s">
        <v>90</v>
      </c>
      <c r="B218" s="30">
        <f>POWER(K95/B95,1/9)-1</f>
        <v>0.14848508499474944</v>
      </c>
      <c r="C218" s="30">
        <f>POWER(K95/G95,1/4)-1</f>
        <v>7.3918199965185005E-2</v>
      </c>
      <c r="D218" s="30">
        <f>POWER(K95/I95,1/2)-1</f>
        <v>9.4762049289433659E-2</v>
      </c>
      <c r="E218" s="30">
        <f>(K95-J95)/J95</f>
        <v>0.19345263209633523</v>
      </c>
    </row>
    <row r="219" spans="1:5">
      <c r="A219" s="5" t="s">
        <v>91</v>
      </c>
      <c r="B219" s="30">
        <f>POWER(K97/B97,1/9)-1</f>
        <v>-2.1892343709035424</v>
      </c>
      <c r="C219" s="30">
        <f>POWER(K97/G97,1/4)-1</f>
        <v>0.23745070220684195</v>
      </c>
      <c r="D219" s="30">
        <f>POWER(K97/I97,1/2)-1</f>
        <v>0.1534688730326792</v>
      </c>
      <c r="E219" s="30">
        <f>(K97-J97)/J97</f>
        <v>0.29860168832933787</v>
      </c>
    </row>
    <row r="220" spans="1:5">
      <c r="A220" s="5" t="s">
        <v>92</v>
      </c>
      <c r="B220" s="30">
        <f>POWER(K99/B99,1/9)-1</f>
        <v>-2.2362112419951412</v>
      </c>
      <c r="C220" s="30">
        <f>POWER(K99/G99,1/4)-1</f>
        <v>0.22164894918954303</v>
      </c>
      <c r="D220" s="30">
        <f>POWER(K99/I99,1/2)-1</f>
        <v>0.20912524473902594</v>
      </c>
      <c r="E220" s="30">
        <f>(K99-J99)/J99</f>
        <v>0.41695949639696611</v>
      </c>
    </row>
    <row r="221" spans="1:5">
      <c r="A221" s="5" t="s">
        <v>93</v>
      </c>
      <c r="B221" s="30">
        <f>POWER(K101/B101,1/9)-1</f>
        <v>-2.0133442126275392</v>
      </c>
      <c r="C221" s="30">
        <f>POWER(K101/G101,1/4)-1</f>
        <v>8.2613406669706624E-2</v>
      </c>
      <c r="D221" s="30">
        <f>POWER(K101/I101,1/2)-1</f>
        <v>7.3200696200083959E-2</v>
      </c>
      <c r="E221" s="30">
        <f>(K101-J101)/J101</f>
        <v>0.2778769339178741</v>
      </c>
    </row>
    <row r="222" spans="1:5">
      <c r="A222" s="5" t="s">
        <v>94</v>
      </c>
      <c r="B222" s="30">
        <f>POWER(K103/B103,1/9)-1</f>
        <v>-2.0533731098850696</v>
      </c>
      <c r="C222" s="30">
        <f>POWER(K103/G103,1/4)-1</f>
        <v>6.8788864298117369E-2</v>
      </c>
      <c r="D222" s="30">
        <f>POWER(K103/I103,1/2)-1</f>
        <v>0.12498402409013765</v>
      </c>
      <c r="E222" s="30">
        <f>(K103-J103)/J103</f>
        <v>0.39434583599768058</v>
      </c>
    </row>
    <row r="223" spans="1:5">
      <c r="A223" s="9" t="s">
        <v>95</v>
      </c>
      <c r="B223" s="30" t="e">
        <f>POWER(#REF!/#REF!,1/9)-1</f>
        <v>#REF!</v>
      </c>
      <c r="C223" s="30" t="e">
        <f>POWER(#REF!/#REF!,1/4)-1</f>
        <v>#REF!</v>
      </c>
      <c r="D223" s="30" t="e">
        <f>POWER(#REF!/#REF!,1/2)-1</f>
        <v>#REF!</v>
      </c>
      <c r="E223" s="30" t="e">
        <f>(#REF!-#REF!)/#REF!</f>
        <v>#REF!</v>
      </c>
    </row>
    <row r="224" spans="1:5">
      <c r="A224" s="9" t="s">
        <v>96</v>
      </c>
      <c r="B224" s="30">
        <f>POWER(K110/B110,1/9)-1</f>
        <v>-2.1325698912665665</v>
      </c>
      <c r="C224" s="30">
        <f>POWER(K110/G110,1/4)-1</f>
        <v>6.0432427178882753E-2</v>
      </c>
      <c r="D224" s="30">
        <f>POWER(K110/I110,1/2)-1</f>
        <v>3.5383855383669172E-2</v>
      </c>
      <c r="E224" s="30">
        <f>(K110-J110)/J110</f>
        <v>-0.18132073870266888</v>
      </c>
    </row>
    <row r="225" spans="1:5">
      <c r="A225" s="9"/>
      <c r="B225" s="30"/>
      <c r="C225" s="30"/>
      <c r="D225" s="30"/>
      <c r="E225" s="30"/>
    </row>
    <row r="226" spans="1:5">
      <c r="A226" s="9"/>
      <c r="B226" s="30"/>
      <c r="C226" s="30"/>
      <c r="D226" s="30"/>
      <c r="E226" s="30"/>
    </row>
    <row r="227" spans="1:5">
      <c r="A227" s="9"/>
      <c r="B227" s="30"/>
      <c r="C227" s="30"/>
      <c r="D227" s="30"/>
      <c r="E227" s="30"/>
    </row>
    <row r="228" spans="1:5">
      <c r="A228" s="1" t="s">
        <v>40</v>
      </c>
      <c r="B228" s="30"/>
      <c r="C228" s="30"/>
      <c r="D228" s="30"/>
      <c r="E228" s="30"/>
    </row>
    <row r="229" spans="1:5">
      <c r="A229" s="23" t="s">
        <v>38</v>
      </c>
      <c r="B229" s="30">
        <f>POWER('Data Sheet'!K56/'Data Sheet'!B56,1/9)-1</f>
        <v>9.0747694062223161E-3</v>
      </c>
      <c r="C229" s="30">
        <f>POWER('Data Sheet'!K56/'Data Sheet'!G56,1/4)-1</f>
        <v>8.8702768939787902E-3</v>
      </c>
      <c r="D229" s="30">
        <f>POWER('Data Sheet'!K56/'Data Sheet'!I56,1/2)-1</f>
        <v>8.7855056945314036E-3</v>
      </c>
      <c r="E229" s="30">
        <f>('Data Sheet'!K56-'Data Sheet'!J56)/'Data Sheet'!K56</f>
        <v>8.6710695110942173E-3</v>
      </c>
    </row>
    <row r="230" spans="1:5">
      <c r="A230" s="9" t="s">
        <v>24</v>
      </c>
      <c r="B230" s="30">
        <f>POWER('Data Sheet'!K57/'Data Sheet'!B57,1/9)-1</f>
        <v>-1.5395699935104146E-2</v>
      </c>
      <c r="C230" s="30">
        <f>POWER('Data Sheet'!K57/'Data Sheet'!G57,1/4)-1</f>
        <v>0</v>
      </c>
      <c r="D230" s="30">
        <f>POWER('Data Sheet'!K57/'Data Sheet'!I57,1/2)-1</f>
        <v>0</v>
      </c>
      <c r="E230" s="30">
        <f>('Data Sheet'!K57-'Data Sheet'!J57)/'Data Sheet'!K57</f>
        <v>0</v>
      </c>
    </row>
    <row r="231" spans="1:5">
      <c r="A231" s="9" t="s">
        <v>25</v>
      </c>
      <c r="B231" s="30">
        <f>POWER('Data Sheet'!K58/'Data Sheet'!B58,1/9)-1</f>
        <v>0.1980959253851573</v>
      </c>
      <c r="C231" s="30">
        <f>POWER('Data Sheet'!K58/'Data Sheet'!G58,1/4)-1</f>
        <v>0.18323285427363345</v>
      </c>
      <c r="D231" s="30">
        <f>POWER('Data Sheet'!K58/'Data Sheet'!I58,1/2)-1</f>
        <v>0.17804019256269288</v>
      </c>
      <c r="E231" s="30">
        <f>('Data Sheet'!K58-'Data Sheet'!J58)/'Data Sheet'!K58</f>
        <v>0.15232655004165174</v>
      </c>
    </row>
    <row r="232" spans="1:5">
      <c r="A232" s="9" t="s">
        <v>62</v>
      </c>
      <c r="B232" s="30">
        <f>POWER('Data Sheet'!K59/'Data Sheet'!B59,1/9)-1</f>
        <v>-0.22642150999756527</v>
      </c>
      <c r="C232" s="30">
        <f>POWER('Data Sheet'!K59/'Data Sheet'!G59,1/4)-1</f>
        <v>-0.57950798427589534</v>
      </c>
      <c r="D232" s="30">
        <f>POWER('Data Sheet'!K59/'Data Sheet'!I59,1/2)-1</f>
        <v>-0.77435315879673794</v>
      </c>
      <c r="E232" s="30">
        <f>('Data Sheet'!K59-'Data Sheet'!J59)/'Data Sheet'!K59</f>
        <v>-7.4933333333333332</v>
      </c>
    </row>
    <row r="233" spans="1:5">
      <c r="A233" s="9" t="s">
        <v>63</v>
      </c>
      <c r="B233" s="30">
        <f>POWER('Data Sheet'!K60/'Data Sheet'!B60,1/9)-1</f>
        <v>5.8554904376524552E-2</v>
      </c>
      <c r="C233" s="30">
        <f>POWER('Data Sheet'!K60/'Data Sheet'!G60,1/4)-1</f>
        <v>-6.2702691189874371E-2</v>
      </c>
      <c r="D233" s="30">
        <f>POWER('Data Sheet'!K60/'Data Sheet'!I60,1/2)-1</f>
        <v>-6.044499821730831E-3</v>
      </c>
      <c r="E233" s="30">
        <f>('Data Sheet'!K60-'Data Sheet'!J60)/'Data Sheet'!K60</f>
        <v>-0.16756368855400064</v>
      </c>
    </row>
    <row r="234" spans="1:5">
      <c r="A234" s="1" t="s">
        <v>26</v>
      </c>
      <c r="B234" s="30">
        <f>POWER('Data Sheet'!K61/'Data Sheet'!B61,1/9)-1</f>
        <v>9.8362201343520583E-2</v>
      </c>
      <c r="C234" s="30">
        <f>POWER('Data Sheet'!K61/'Data Sheet'!G61,1/4)-1</f>
        <v>2.0657602374281714E-2</v>
      </c>
      <c r="D234" s="30">
        <f>POWER('Data Sheet'!K61/'Data Sheet'!I61,1/2)-1</f>
        <v>3.9365410113583854E-2</v>
      </c>
      <c r="E234" s="30">
        <f>('Data Sheet'!K61-'Data Sheet'!J61)/'Data Sheet'!K61</f>
        <v>2.0363459354210651E-2</v>
      </c>
    </row>
    <row r="235" spans="1:5">
      <c r="A235" s="9" t="s">
        <v>27</v>
      </c>
      <c r="B235" s="30">
        <f>POWER('Data Sheet'!K62/'Data Sheet'!B62,1/9)-1</f>
        <v>3.7768050478663051E-2</v>
      </c>
      <c r="C235" s="30">
        <f>POWER('Data Sheet'!K62/'Data Sheet'!G62,1/4)-1</f>
        <v>-4.0268570884339328E-2</v>
      </c>
      <c r="D235" s="30">
        <f>POWER('Data Sheet'!K62/'Data Sheet'!I62,1/2)-1</f>
        <v>-7.0752194686731995E-2</v>
      </c>
      <c r="E235" s="30">
        <f>('Data Sheet'!K62-'Data Sheet'!J62)/'Data Sheet'!K62</f>
        <v>-7.4837724322260296E-2</v>
      </c>
    </row>
    <row r="236" spans="1:5">
      <c r="A236" s="9" t="s">
        <v>28</v>
      </c>
      <c r="B236" s="30">
        <f>POWER('Data Sheet'!K63/'Data Sheet'!B63,1/9)-1</f>
        <v>-1</v>
      </c>
      <c r="C236" s="30">
        <f>POWER('Data Sheet'!K63/'Data Sheet'!G63,1/4)-1</f>
        <v>-1</v>
      </c>
      <c r="D236" s="30">
        <f>POWER('Data Sheet'!K63/'Data Sheet'!I63,1/2)-1</f>
        <v>-1</v>
      </c>
      <c r="E236" s="30" t="e">
        <f>('Data Sheet'!K63-'Data Sheet'!J63)/'Data Sheet'!K63</f>
        <v>#DIV/0!</v>
      </c>
    </row>
    <row r="237" spans="1:5">
      <c r="A237" s="9" t="s">
        <v>29</v>
      </c>
      <c r="B237" s="30">
        <f>POWER('Data Sheet'!K64/'Data Sheet'!B64,1/9)-1</f>
        <v>0.22051074734846177</v>
      </c>
      <c r="C237" s="30">
        <f>POWER('Data Sheet'!K64/'Data Sheet'!G64,1/4)-1</f>
        <v>-2.6077268651005903E-2</v>
      </c>
      <c r="D237" s="30">
        <f>POWER('Data Sheet'!K64/'Data Sheet'!I64,1/2)-1</f>
        <v>0.29386811828752135</v>
      </c>
      <c r="E237" s="30">
        <f>('Data Sheet'!K64-'Data Sheet'!J64)/'Data Sheet'!K64</f>
        <v>1</v>
      </c>
    </row>
    <row r="238" spans="1:5">
      <c r="A238" s="9" t="s">
        <v>64</v>
      </c>
      <c r="B238" s="30">
        <f>POWER('Data Sheet'!K65/'Data Sheet'!B65,1/9)-1</f>
        <v>0.1186707068931423</v>
      </c>
      <c r="C238" s="30">
        <f>POWER('Data Sheet'!K65/'Data Sheet'!G65,1/4)-1</f>
        <v>4.6302081230802594E-2</v>
      </c>
      <c r="D238" s="30">
        <f>POWER('Data Sheet'!K65/'Data Sheet'!I65,1/2)-1</f>
        <v>6.5756232804203618E-2</v>
      </c>
      <c r="E238" s="30">
        <f>('Data Sheet'!K65-'Data Sheet'!J65)/'Data Sheet'!K65</f>
        <v>-1.6911926202503754E-2</v>
      </c>
    </row>
    <row r="239" spans="1:5">
      <c r="A239" s="1" t="s">
        <v>26</v>
      </c>
      <c r="B239" s="30">
        <f>POWER('Data Sheet'!K66/'Data Sheet'!B66,1/9)-1</f>
        <v>9.8362201343520583E-2</v>
      </c>
      <c r="C239" s="30">
        <f>POWER('Data Sheet'!K66/'Data Sheet'!G66,1/4)-1</f>
        <v>2.0657602374281714E-2</v>
      </c>
      <c r="D239" s="30">
        <f>POWER('Data Sheet'!K66/'Data Sheet'!I66,1/2)-1</f>
        <v>3.9365410113583854E-2</v>
      </c>
      <c r="E239" s="30">
        <f>('Data Sheet'!K66-'Data Sheet'!J66)/'Data Sheet'!K66</f>
        <v>2.0363459354210651E-2</v>
      </c>
    </row>
    <row r="240" spans="1:5">
      <c r="A240" s="9" t="s">
        <v>69</v>
      </c>
      <c r="B240" s="30">
        <f>POWER('Data Sheet'!K67/'Data Sheet'!B67,1/9)-1</f>
        <v>0.15922427024721841</v>
      </c>
      <c r="C240" s="30">
        <f>POWER('Data Sheet'!K67/'Data Sheet'!G67,1/4)-1</f>
        <v>7.333089815749938E-2</v>
      </c>
      <c r="D240" s="30">
        <f>POWER('Data Sheet'!K67/'Data Sheet'!I67,1/2)-1</f>
        <v>-6.8803191500446448E-2</v>
      </c>
      <c r="E240" s="30">
        <f>('Data Sheet'!K67-'Data Sheet'!J67)/'Data Sheet'!K67</f>
        <v>-0.25361677000295257</v>
      </c>
    </row>
    <row r="241" spans="1:5">
      <c r="A241" s="9" t="s">
        <v>45</v>
      </c>
      <c r="B241" s="30">
        <f>POWER('Data Sheet'!K68/'Data Sheet'!B68,1/9)-1</f>
        <v>8.715710346381278E-2</v>
      </c>
      <c r="C241" s="30">
        <f>POWER('Data Sheet'!K68/'Data Sheet'!G68,1/4)-1</f>
        <v>7.4842285142030951E-2</v>
      </c>
      <c r="D241" s="30">
        <f>POWER('Data Sheet'!K68/'Data Sheet'!I68,1/2)-1</f>
        <v>5.7850471024907479E-2</v>
      </c>
      <c r="E241" s="30">
        <f>('Data Sheet'!K68-'Data Sheet'!J68)/'Data Sheet'!K68</f>
        <v>4.1793313069908779E-2</v>
      </c>
    </row>
    <row r="242" spans="1:5">
      <c r="A242" s="5" t="s">
        <v>78</v>
      </c>
      <c r="B242" s="30">
        <f>POWER('Data Sheet'!K69/'Data Sheet'!B69,1/9)-1</f>
        <v>0.190031406609797</v>
      </c>
      <c r="C242" s="30">
        <f>POWER('Data Sheet'!K69/'Data Sheet'!G69,1/4)-1</f>
        <v>0.58303279095170146</v>
      </c>
      <c r="D242" s="30">
        <f>POWER('Data Sheet'!K69/'Data Sheet'!I69,1/2)-1</f>
        <v>2.2138679761964477</v>
      </c>
      <c r="E242" s="30">
        <f>('Data Sheet'!K69-'Data Sheet'!J69)/'Data Sheet'!K69</f>
        <v>0.37579617834394896</v>
      </c>
    </row>
    <row r="243" spans="1:5">
      <c r="A243" s="5" t="s">
        <v>65</v>
      </c>
      <c r="B243" s="30">
        <f>POWER('Data Sheet'!K70/'Data Sheet'!B70,1/9)-1</f>
        <v>-1.5395699935104146E-2</v>
      </c>
      <c r="C243" s="30">
        <f>POWER('Data Sheet'!K70/'Data Sheet'!G70,1/4)-1</f>
        <v>0</v>
      </c>
      <c r="D243" s="30">
        <f>POWER('Data Sheet'!K70/'Data Sheet'!I70,1/2)-1</f>
        <v>0</v>
      </c>
      <c r="E243" s="30">
        <f>('Data Sheet'!K70-'Data Sheet'!J70)/'Data Sheet'!K70</f>
        <v>0</v>
      </c>
    </row>
    <row r="244" spans="1:5">
      <c r="A244" s="5" t="s">
        <v>66</v>
      </c>
      <c r="B244" s="30" t="e">
        <f>POWER('Data Sheet'!K71/'Data Sheet'!B71,1/9)-1</f>
        <v>#DIV/0!</v>
      </c>
      <c r="C244" s="30" t="e">
        <f>POWER('Data Sheet'!K71/'Data Sheet'!G71,1/4)-1</f>
        <v>#DIV/0!</v>
      </c>
      <c r="D244" s="30" t="e">
        <f>POWER('Data Sheet'!K71/'Data Sheet'!I71,1/2)-1</f>
        <v>#DIV/0!</v>
      </c>
      <c r="E244" s="30" t="e">
        <f>('Data Sheet'!K71-'Data Sheet'!J71)/'Data Sheet'!K71</f>
        <v>#DIV/0!</v>
      </c>
    </row>
    <row r="245" spans="1:5">
      <c r="A245" s="5" t="s">
        <v>79</v>
      </c>
      <c r="B245" s="30">
        <f>POWER('Data Sheet'!K72/'Data Sheet'!B72,1/9)-1</f>
        <v>0</v>
      </c>
      <c r="C245" s="30">
        <f>POWER('Data Sheet'!K72/'Data Sheet'!G72,1/4)-1</f>
        <v>0</v>
      </c>
      <c r="D245" s="30">
        <f>POWER('Data Sheet'!K72/'Data Sheet'!I72,1/2)-1</f>
        <v>0</v>
      </c>
      <c r="E245" s="30">
        <f>('Data Sheet'!K72-'Data Sheet'!J72)/'Data Sheet'!K72</f>
        <v>0</v>
      </c>
    </row>
    <row r="246" spans="1:5">
      <c r="A246" s="5"/>
      <c r="C246" s="30"/>
      <c r="D246" s="30"/>
      <c r="E246" s="30"/>
    </row>
    <row r="247" spans="1:5">
      <c r="A247" s="9"/>
      <c r="C247" s="30"/>
      <c r="D247" s="30"/>
      <c r="E247" s="30"/>
    </row>
    <row r="248" spans="1:5">
      <c r="A248" s="9"/>
      <c r="C248" s="30"/>
      <c r="D248" s="30"/>
      <c r="E248" s="30"/>
    </row>
    <row r="249" spans="1:5">
      <c r="A249" s="9"/>
      <c r="C249" s="30"/>
      <c r="D249" s="30"/>
      <c r="E249" s="30"/>
    </row>
    <row r="250" spans="1:5">
      <c r="A250" s="9"/>
      <c r="C250" s="30"/>
      <c r="D250" s="30"/>
      <c r="E250" s="30"/>
    </row>
    <row r="251" spans="1:5">
      <c r="A251" s="9"/>
      <c r="C251" s="30"/>
      <c r="D251" s="30"/>
      <c r="E251" s="30"/>
    </row>
    <row r="252" spans="1:5">
      <c r="A252" s="9"/>
      <c r="C252" s="30"/>
      <c r="D252" s="30"/>
      <c r="E252" s="30"/>
    </row>
    <row r="253" spans="1:5">
      <c r="A253" s="1" t="s">
        <v>41</v>
      </c>
      <c r="C253" s="30"/>
      <c r="D253" s="30"/>
      <c r="E253" s="30"/>
    </row>
    <row r="254" spans="1:5">
      <c r="A254" s="23" t="s">
        <v>38</v>
      </c>
      <c r="C254" s="30">
        <f>POWER('Data Sheet'!K81/'Data Sheet'!G81,1/4)-1</f>
        <v>8.8702768939787902E-3</v>
      </c>
      <c r="D254" s="30">
        <f>POWER('Data Sheet'!K81/'Data Sheet'!I81,1/2)-1</f>
        <v>8.7855056945314036E-3</v>
      </c>
      <c r="E254" s="30">
        <f>('Data Sheet'!K81-'Data Sheet'!J81)/'Data Sheet'!K81</f>
        <v>8.6710695110942173E-3</v>
      </c>
    </row>
    <row r="255" spans="1:5">
      <c r="A255" s="9" t="s">
        <v>32</v>
      </c>
      <c r="C255" s="30">
        <f>POWER('Data Sheet'!K82/'Data Sheet'!G82,1/4)-1</f>
        <v>0.75664479833432519</v>
      </c>
      <c r="D255" s="30">
        <f>POWER('Data Sheet'!K82/'Data Sheet'!I82,1/2)-1</f>
        <v>0.40731403278914469</v>
      </c>
      <c r="E255" s="30">
        <f>('Data Sheet'!K82-'Data Sheet'!J82)/'Data Sheet'!K82</f>
        <v>0.27677185721676145</v>
      </c>
    </row>
    <row r="256" spans="1:5">
      <c r="A256" s="9" t="s">
        <v>33</v>
      </c>
      <c r="C256" s="30">
        <f>POWER('Data Sheet'!K83/'Data Sheet'!G83,1/4)-1</f>
        <v>-0.1490676082157556</v>
      </c>
      <c r="D256" s="30">
        <f>POWER('Data Sheet'!K83/'Data Sheet'!I83,1/2)-1</f>
        <v>2.0607876523260447</v>
      </c>
      <c r="E256" s="30">
        <f>('Data Sheet'!K83-'Data Sheet'!J83)/'Data Sheet'!K83</f>
        <v>1.339887640449438</v>
      </c>
    </row>
    <row r="257" spans="1:5">
      <c r="A257" s="9" t="s">
        <v>34</v>
      </c>
      <c r="C257" s="30" t="e">
        <f>POWER('Data Sheet'!K84/'Data Sheet'!G84,1/4)-1</f>
        <v>#NUM!</v>
      </c>
      <c r="D257" s="30">
        <f>POWER('Data Sheet'!K84/'Data Sheet'!I84,1/2)-1</f>
        <v>-7.0432627261941438E-2</v>
      </c>
      <c r="E257" s="30">
        <f>('Data Sheet'!K84-'Data Sheet'!J84)/'Data Sheet'!K84</f>
        <v>-0.31562167906482474</v>
      </c>
    </row>
    <row r="258" spans="1:5">
      <c r="A258" s="9" t="s">
        <v>35</v>
      </c>
      <c r="C258" s="30">
        <f>POWER('Data Sheet'!K85/'Data Sheet'!G85,1/4)-1</f>
        <v>1.6136756705145596</v>
      </c>
      <c r="D258" s="30" t="e">
        <f>POWER('Data Sheet'!K85/'Data Sheet'!I85,1/2)-1</f>
        <v>#NUM!</v>
      </c>
      <c r="E258" s="30">
        <f>('Data Sheet'!K85-'Data Sheet'!J85)/'Data Sheet'!K85</f>
        <v>-0.43571428571428567</v>
      </c>
    </row>
    <row r="259" spans="1:5">
      <c r="A259" s="9"/>
      <c r="C259" s="30"/>
      <c r="D259" s="30"/>
      <c r="E259" s="30"/>
    </row>
    <row r="260" spans="1:5">
      <c r="A260" s="5"/>
    </row>
    <row r="261" spans="1:5">
      <c r="A261" s="5"/>
    </row>
    <row r="262" spans="1:5">
      <c r="A262" s="11"/>
    </row>
    <row r="263" spans="1:5">
      <c r="A263" s="11"/>
    </row>
    <row r="264" spans="1:5">
      <c r="A264" s="11"/>
    </row>
    <row r="265" spans="1:5">
      <c r="A265" s="11"/>
    </row>
    <row r="266" spans="1:5">
      <c r="A266" s="11"/>
    </row>
    <row r="267" spans="1:5">
      <c r="A267" s="11"/>
    </row>
    <row r="268" spans="1:5">
      <c r="A268" s="11"/>
    </row>
    <row r="269" spans="1:5">
      <c r="A269" s="11"/>
    </row>
    <row r="270" spans="1:5">
      <c r="A270" s="11"/>
    </row>
    <row r="271" spans="1:5">
      <c r="A271" s="11"/>
    </row>
    <row r="272" spans="1:5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  <row r="333" spans="1:1">
      <c r="A333" s="5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5"/>
    </row>
    <row r="339" spans="1:1">
      <c r="A339" s="5"/>
    </row>
    <row r="340" spans="1:1">
      <c r="A340" s="5"/>
    </row>
    <row r="341" spans="1:1">
      <c r="A341" s="5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5"/>
    </row>
    <row r="347" spans="1:1">
      <c r="A347" s="5"/>
    </row>
    <row r="348" spans="1:1">
      <c r="A348" s="5"/>
    </row>
    <row r="349" spans="1:1">
      <c r="A349" s="5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  <row r="365" spans="1:1">
      <c r="A365" s="5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5"/>
    </row>
    <row r="371" spans="1:1">
      <c r="A371" s="5"/>
    </row>
    <row r="372" spans="1:1">
      <c r="A372" s="5"/>
    </row>
    <row r="373" spans="1:1">
      <c r="A373" s="5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5"/>
    </row>
    <row r="379" spans="1:1">
      <c r="A379" s="5"/>
    </row>
    <row r="380" spans="1:1">
      <c r="A380" s="5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5"/>
    </row>
    <row r="386" spans="1:1">
      <c r="A386" s="5"/>
    </row>
    <row r="387" spans="1:1">
      <c r="A387" s="5"/>
    </row>
    <row r="388" spans="1:1">
      <c r="A388" s="5"/>
    </row>
    <row r="389" spans="1:1">
      <c r="A389" s="5"/>
    </row>
    <row r="390" spans="1:1">
      <c r="A390" s="5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5"/>
    </row>
    <row r="396" spans="1:1">
      <c r="A396" s="5"/>
    </row>
    <row r="397" spans="1:1">
      <c r="A397" s="5"/>
    </row>
    <row r="398" spans="1:1">
      <c r="A398" s="5"/>
    </row>
    <row r="399" spans="1:1">
      <c r="A399" s="5"/>
    </row>
    <row r="400" spans="1:1">
      <c r="A400" s="5"/>
    </row>
    <row r="401" spans="1:1">
      <c r="A401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workbookViewId="0">
      <pane xSplit="1" ySplit="1" topLeftCell="B53" activePane="bottomRight" state="frozen"/>
      <selection activeCell="C4" sqref="C4"/>
      <selection pane="topRight" activeCell="C4" sqref="C4"/>
      <selection pane="bottomLeft" activeCell="C4" sqref="C4"/>
      <selection pane="bottomRight" activeCell="C1" sqref="C1"/>
    </sheetView>
  </sheetViews>
  <sheetFormatPr defaultRowHeight="15"/>
  <cols>
    <col min="1" max="1" width="27.7109375" style="5" bestFit="1" customWidth="1"/>
    <col min="2" max="11" width="13.5703125" style="5" bestFit="1" customWidth="1"/>
    <col min="12" max="16384" width="9.140625" style="5"/>
  </cols>
  <sheetData>
    <row r="1" spans="1:11" s="1" customFormat="1">
      <c r="A1" s="1" t="s">
        <v>0</v>
      </c>
      <c r="B1" s="1" t="s">
        <v>54</v>
      </c>
      <c r="E1" s="56" t="str">
        <f>IF(B2&lt;&gt;B3, "A NEW VERSION OF THE WORKSHEET IS AVAILABLE", "")</f>
        <v/>
      </c>
      <c r="F1" s="56"/>
      <c r="G1" s="56"/>
      <c r="H1" s="56"/>
      <c r="I1" s="56"/>
      <c r="J1" s="56"/>
      <c r="K1" s="56"/>
    </row>
    <row r="2" spans="1:11">
      <c r="A2" s="1" t="s">
        <v>52</v>
      </c>
      <c r="B2" s="5">
        <v>2</v>
      </c>
      <c r="E2" s="57" t="s">
        <v>36</v>
      </c>
      <c r="F2" s="57"/>
      <c r="G2" s="57"/>
      <c r="H2" s="57"/>
      <c r="I2" s="57"/>
      <c r="J2" s="57"/>
      <c r="K2" s="57"/>
    </row>
    <row r="3" spans="1:11">
      <c r="A3" s="1" t="s">
        <v>53</v>
      </c>
      <c r="B3" s="5">
        <v>2</v>
      </c>
    </row>
    <row r="4" spans="1:11">
      <c r="A4" s="1"/>
    </row>
    <row r="5" spans="1:11">
      <c r="A5" s="1" t="s">
        <v>55</v>
      </c>
    </row>
    <row r="6" spans="1:11">
      <c r="A6" s="5" t="s">
        <v>42</v>
      </c>
      <c r="B6" s="5">
        <f>IF(B9&gt;0, B9/B8, 0)</f>
        <v>1.0610180843938377</v>
      </c>
    </row>
    <row r="7" spans="1:11">
      <c r="A7" s="5" t="s">
        <v>31</v>
      </c>
      <c r="B7">
        <v>10</v>
      </c>
    </row>
    <row r="8" spans="1:11">
      <c r="A8" s="5" t="s">
        <v>43</v>
      </c>
      <c r="B8">
        <v>149.30000000000001</v>
      </c>
    </row>
    <row r="9" spans="1:11">
      <c r="A9" s="5" t="s">
        <v>70</v>
      </c>
      <c r="B9">
        <v>158.41</v>
      </c>
    </row>
    <row r="15" spans="1:11">
      <c r="A15" s="1" t="s">
        <v>37</v>
      </c>
    </row>
    <row r="16" spans="1:11" s="24" customFormat="1">
      <c r="A16" s="23" t="s">
        <v>38</v>
      </c>
      <c r="B16" s="16">
        <v>38807</v>
      </c>
      <c r="C16" s="16">
        <v>39172</v>
      </c>
      <c r="D16" s="16">
        <v>39538</v>
      </c>
      <c r="E16" s="16">
        <v>39903</v>
      </c>
      <c r="F16" s="16">
        <v>40268</v>
      </c>
      <c r="G16" s="16">
        <v>40633</v>
      </c>
      <c r="H16" s="16">
        <v>40999</v>
      </c>
      <c r="I16" s="16">
        <v>41364</v>
      </c>
      <c r="J16" s="16">
        <v>41729</v>
      </c>
      <c r="K16" s="16">
        <v>42094</v>
      </c>
    </row>
    <row r="17" spans="1:11" s="9" customFormat="1">
      <c r="A17" s="9" t="s">
        <v>6</v>
      </c>
      <c r="B17">
        <v>75.38</v>
      </c>
      <c r="C17">
        <v>91.69</v>
      </c>
      <c r="D17">
        <v>98.74</v>
      </c>
      <c r="E17">
        <v>119.73</v>
      </c>
      <c r="F17">
        <v>153.09</v>
      </c>
      <c r="G17">
        <v>186.48</v>
      </c>
      <c r="H17">
        <v>221.92</v>
      </c>
      <c r="I17">
        <v>275.55</v>
      </c>
      <c r="J17">
        <v>313.23</v>
      </c>
      <c r="K17">
        <v>318.31</v>
      </c>
    </row>
    <row r="18" spans="1:11" s="9" customFormat="1">
      <c r="A18" s="5" t="s">
        <v>71</v>
      </c>
      <c r="B18">
        <v>58.45</v>
      </c>
      <c r="C18">
        <v>68.63</v>
      </c>
      <c r="D18">
        <v>73.8</v>
      </c>
      <c r="E18">
        <v>89.94</v>
      </c>
      <c r="F18">
        <v>117.01</v>
      </c>
      <c r="G18">
        <v>146.46</v>
      </c>
      <c r="H18">
        <v>177.31</v>
      </c>
      <c r="I18">
        <v>222.16</v>
      </c>
      <c r="J18">
        <v>251.5</v>
      </c>
      <c r="K18">
        <v>254.58</v>
      </c>
    </row>
    <row r="19" spans="1:11" s="9" customFormat="1">
      <c r="A19" s="5" t="s">
        <v>72</v>
      </c>
      <c r="B19">
        <v>1.76</v>
      </c>
      <c r="C19">
        <v>-1.57</v>
      </c>
      <c r="D19">
        <v>-0.41</v>
      </c>
      <c r="E19">
        <v>-0.49</v>
      </c>
      <c r="F19">
        <v>-0.64</v>
      </c>
      <c r="G19">
        <v>0.57999999999999996</v>
      </c>
      <c r="H19">
        <v>4.41</v>
      </c>
      <c r="I19">
        <v>0.98</v>
      </c>
      <c r="J19">
        <v>-0.97</v>
      </c>
      <c r="K19">
        <v>0.86</v>
      </c>
    </row>
    <row r="20" spans="1:11" s="9" customFormat="1">
      <c r="A20" s="5" t="s">
        <v>73</v>
      </c>
      <c r="B20">
        <v>2.2200000000000002</v>
      </c>
      <c r="C20">
        <v>2.17</v>
      </c>
      <c r="D20">
        <v>2.1800000000000002</v>
      </c>
      <c r="E20">
        <v>2.38</v>
      </c>
      <c r="F20">
        <v>2.85</v>
      </c>
      <c r="G20">
        <v>3.23</v>
      </c>
      <c r="H20">
        <v>3.72</v>
      </c>
      <c r="I20">
        <v>4.4400000000000004</v>
      </c>
      <c r="J20">
        <v>4.16</v>
      </c>
      <c r="K20">
        <v>4.45</v>
      </c>
    </row>
    <row r="21" spans="1:11" s="9" customFormat="1">
      <c r="A21" s="5" t="s">
        <v>74</v>
      </c>
      <c r="B21">
        <v>2.5</v>
      </c>
      <c r="C21">
        <v>2.67</v>
      </c>
      <c r="D21">
        <v>3</v>
      </c>
      <c r="E21">
        <v>3.87</v>
      </c>
      <c r="F21">
        <v>4.75</v>
      </c>
      <c r="G21">
        <v>2.61</v>
      </c>
      <c r="H21">
        <v>3.74</v>
      </c>
      <c r="I21">
        <v>3.99</v>
      </c>
      <c r="J21">
        <v>4.13</v>
      </c>
      <c r="K21">
        <v>3.98</v>
      </c>
    </row>
    <row r="22" spans="1:11" s="9" customFormat="1">
      <c r="A22" s="5" t="s">
        <v>75</v>
      </c>
      <c r="B22">
        <v>3.6</v>
      </c>
      <c r="C22">
        <v>4.12</v>
      </c>
      <c r="D22">
        <v>4.97</v>
      </c>
      <c r="E22">
        <v>6.25</v>
      </c>
      <c r="F22">
        <v>7.06</v>
      </c>
      <c r="G22">
        <v>8.6300000000000008</v>
      </c>
      <c r="H22">
        <v>8.92</v>
      </c>
      <c r="I22">
        <v>10.57</v>
      </c>
      <c r="J22">
        <v>12.68</v>
      </c>
      <c r="K22">
        <v>14.99</v>
      </c>
    </row>
    <row r="23" spans="1:11" s="9" customFormat="1">
      <c r="A23" s="5" t="s">
        <v>76</v>
      </c>
      <c r="B23">
        <v>5.15</v>
      </c>
      <c r="C23">
        <v>5.94</v>
      </c>
      <c r="D23">
        <v>5.97</v>
      </c>
      <c r="E23">
        <v>5.83</v>
      </c>
      <c r="F23">
        <v>7.61</v>
      </c>
      <c r="G23">
        <v>8.64</v>
      </c>
      <c r="H23">
        <v>10.91</v>
      </c>
      <c r="I23">
        <v>13.06</v>
      </c>
      <c r="J23">
        <v>15.12</v>
      </c>
      <c r="K23">
        <v>16.38</v>
      </c>
    </row>
    <row r="24" spans="1:11" s="9" customFormat="1">
      <c r="A24" s="5" t="s">
        <v>77</v>
      </c>
      <c r="B24">
        <v>0.62</v>
      </c>
      <c r="C24">
        <v>1.1000000000000001</v>
      </c>
      <c r="D24">
        <v>1.5</v>
      </c>
      <c r="E24">
        <v>1.97</v>
      </c>
      <c r="F24">
        <v>0.95</v>
      </c>
      <c r="G24">
        <v>1.58</v>
      </c>
      <c r="H24">
        <v>3.61</v>
      </c>
      <c r="I24">
        <v>2.0099999999999998</v>
      </c>
      <c r="J24">
        <v>3</v>
      </c>
      <c r="K24">
        <v>1.85</v>
      </c>
    </row>
    <row r="25" spans="1:11" s="9" customFormat="1">
      <c r="A25" s="9" t="s">
        <v>9</v>
      </c>
      <c r="B25">
        <v>2.48</v>
      </c>
      <c r="C25">
        <v>2.54</v>
      </c>
      <c r="D25">
        <v>3.06</v>
      </c>
      <c r="E25">
        <v>2.5099999999999998</v>
      </c>
      <c r="F25">
        <v>10.01</v>
      </c>
      <c r="G25">
        <v>2.5099999999999998</v>
      </c>
      <c r="H25">
        <v>1.1299999999999999</v>
      </c>
      <c r="I25">
        <v>1.93</v>
      </c>
      <c r="J25">
        <v>1.74</v>
      </c>
      <c r="K25">
        <v>2.94</v>
      </c>
    </row>
    <row r="26" spans="1:11" s="9" customFormat="1">
      <c r="A26" s="9" t="s">
        <v>10</v>
      </c>
      <c r="B26">
        <v>2.23</v>
      </c>
      <c r="C26">
        <v>2.2599999999999998</v>
      </c>
      <c r="D26">
        <v>2.35</v>
      </c>
      <c r="E26">
        <v>2.16</v>
      </c>
      <c r="F26">
        <v>2.16</v>
      </c>
      <c r="G26">
        <v>2.33</v>
      </c>
      <c r="H26">
        <v>2.7</v>
      </c>
      <c r="I26">
        <v>2.65</v>
      </c>
      <c r="J26">
        <v>2.6</v>
      </c>
      <c r="K26">
        <v>2.85</v>
      </c>
    </row>
    <row r="27" spans="1:11" s="9" customFormat="1">
      <c r="A27" s="9" t="s">
        <v>11</v>
      </c>
      <c r="B27">
        <v>1.19</v>
      </c>
      <c r="C27">
        <v>1.4</v>
      </c>
      <c r="D27">
        <v>1.1499999999999999</v>
      </c>
      <c r="E27">
        <v>1.9</v>
      </c>
      <c r="F27">
        <v>1.19</v>
      </c>
      <c r="G27">
        <v>2.1</v>
      </c>
      <c r="H27">
        <v>2.13</v>
      </c>
      <c r="I27">
        <v>2.06</v>
      </c>
      <c r="J27">
        <v>1.71</v>
      </c>
      <c r="K27">
        <v>1.1000000000000001</v>
      </c>
    </row>
    <row r="28" spans="1:11" s="9" customFormat="1">
      <c r="A28" s="9" t="s">
        <v>12</v>
      </c>
      <c r="B28">
        <v>1.68</v>
      </c>
      <c r="C28">
        <v>3</v>
      </c>
      <c r="D28">
        <v>5.29</v>
      </c>
      <c r="E28">
        <v>5.97</v>
      </c>
      <c r="F28">
        <v>17.16</v>
      </c>
      <c r="G28">
        <v>13.99</v>
      </c>
      <c r="H28">
        <v>14.42</v>
      </c>
      <c r="I28">
        <v>17.53</v>
      </c>
      <c r="J28">
        <v>19.100000000000001</v>
      </c>
      <c r="K28">
        <v>21.93</v>
      </c>
    </row>
    <row r="29" spans="1:11" s="9" customFormat="1">
      <c r="A29" s="9" t="s">
        <v>13</v>
      </c>
      <c r="B29">
        <v>0.49</v>
      </c>
      <c r="C29">
        <v>1.3</v>
      </c>
      <c r="D29">
        <v>1.49</v>
      </c>
      <c r="E29">
        <v>2</v>
      </c>
      <c r="F29">
        <v>2.97</v>
      </c>
      <c r="G29">
        <v>4.4400000000000004</v>
      </c>
      <c r="H29">
        <v>4.58</v>
      </c>
      <c r="I29">
        <v>4.74</v>
      </c>
      <c r="J29">
        <v>5.64</v>
      </c>
      <c r="K29">
        <v>5.62</v>
      </c>
    </row>
    <row r="30" spans="1:11" s="9" customFormat="1">
      <c r="A30" s="9" t="s">
        <v>14</v>
      </c>
      <c r="B30">
        <v>1.19</v>
      </c>
      <c r="C30">
        <v>1.7</v>
      </c>
      <c r="D30">
        <v>3.8</v>
      </c>
      <c r="E30">
        <v>3.97</v>
      </c>
      <c r="F30">
        <v>14.19</v>
      </c>
      <c r="G30">
        <v>9.5500000000000007</v>
      </c>
      <c r="H30">
        <v>9.84</v>
      </c>
      <c r="I30">
        <v>12.79</v>
      </c>
      <c r="J30">
        <v>13.47</v>
      </c>
      <c r="K30">
        <v>16.309999999999999</v>
      </c>
    </row>
    <row r="31" spans="1:11" s="9" customFormat="1">
      <c r="A31" s="9" t="s">
        <v>61</v>
      </c>
      <c r="G31">
        <v>2.78</v>
      </c>
      <c r="H31">
        <v>2.12</v>
      </c>
      <c r="I31">
        <v>2.12</v>
      </c>
      <c r="J31">
        <v>2.39</v>
      </c>
      <c r="K31">
        <v>2.65</v>
      </c>
    </row>
    <row r="32" spans="1:11" s="9" customFormat="1"/>
    <row r="33" spans="1:11">
      <c r="A33" s="9"/>
    </row>
    <row r="34" spans="1:11">
      <c r="A34" s="9"/>
    </row>
    <row r="35" spans="1:11">
      <c r="A35" s="9"/>
    </row>
    <row r="36" spans="1:11">
      <c r="A36" s="9"/>
    </row>
    <row r="37" spans="1:11">
      <c r="A37" s="9"/>
    </row>
    <row r="38" spans="1:11">
      <c r="A38" s="9"/>
    </row>
    <row r="39" spans="1:11">
      <c r="A39" s="9"/>
    </row>
    <row r="40" spans="1:11">
      <c r="A40" s="1" t="s">
        <v>39</v>
      </c>
    </row>
    <row r="41" spans="1:11" s="24" customFormat="1">
      <c r="A41" s="23" t="s">
        <v>38</v>
      </c>
      <c r="B41" s="16">
        <v>41547</v>
      </c>
      <c r="C41" s="16">
        <v>41639</v>
      </c>
      <c r="D41" s="16">
        <v>41729</v>
      </c>
      <c r="E41" s="16">
        <v>41820</v>
      </c>
      <c r="F41" s="16">
        <v>41912</v>
      </c>
      <c r="G41" s="16">
        <v>42004</v>
      </c>
      <c r="H41" s="16">
        <v>42094</v>
      </c>
      <c r="I41" s="16">
        <v>42185</v>
      </c>
      <c r="J41" s="16">
        <v>42277</v>
      </c>
      <c r="K41" s="16">
        <v>42369</v>
      </c>
    </row>
    <row r="42" spans="1:11" s="9" customFormat="1">
      <c r="A42" s="9" t="s">
        <v>6</v>
      </c>
      <c r="B42">
        <v>82.63</v>
      </c>
      <c r="C42">
        <v>74.430000000000007</v>
      </c>
      <c r="D42">
        <v>85.85</v>
      </c>
      <c r="E42">
        <v>85.23</v>
      </c>
      <c r="F42">
        <v>76.010000000000005</v>
      </c>
      <c r="G42">
        <v>81.62</v>
      </c>
      <c r="H42">
        <v>75.41</v>
      </c>
      <c r="I42">
        <v>75.31</v>
      </c>
      <c r="J42">
        <v>78.98</v>
      </c>
      <c r="K42">
        <v>83.84</v>
      </c>
    </row>
    <row r="43" spans="1:11" s="9" customFormat="1">
      <c r="A43" s="9" t="s">
        <v>7</v>
      </c>
      <c r="B43">
        <v>77.19</v>
      </c>
      <c r="C43">
        <v>69.59</v>
      </c>
      <c r="D43">
        <v>79.849999999999994</v>
      </c>
      <c r="E43">
        <v>79.400000000000006</v>
      </c>
      <c r="F43">
        <v>70.58</v>
      </c>
      <c r="G43">
        <v>75.510000000000005</v>
      </c>
      <c r="H43">
        <v>70.39</v>
      </c>
      <c r="I43">
        <v>69.989999999999995</v>
      </c>
      <c r="J43">
        <v>73.739999999999995</v>
      </c>
      <c r="K43">
        <v>77.89</v>
      </c>
    </row>
    <row r="44" spans="1:11" s="9" customFormat="1">
      <c r="A44" s="9" t="s">
        <v>9</v>
      </c>
      <c r="B44">
        <v>-0.17</v>
      </c>
      <c r="C44">
        <v>1.06</v>
      </c>
      <c r="D44">
        <v>0.5</v>
      </c>
      <c r="E44">
        <v>0.45</v>
      </c>
      <c r="F44">
        <v>0.65</v>
      </c>
      <c r="G44">
        <v>0.67</v>
      </c>
      <c r="H44">
        <v>1.17</v>
      </c>
      <c r="I44">
        <v>0.67</v>
      </c>
      <c r="J44">
        <v>1.07</v>
      </c>
      <c r="K44">
        <v>1.1499999999999999</v>
      </c>
    </row>
    <row r="45" spans="1:11" s="9" customFormat="1">
      <c r="A45" s="9" t="s">
        <v>10</v>
      </c>
      <c r="B45">
        <v>0.63</v>
      </c>
      <c r="C45">
        <v>0.67</v>
      </c>
      <c r="D45">
        <v>0.67</v>
      </c>
      <c r="E45">
        <v>0.63</v>
      </c>
      <c r="F45">
        <v>0.84</v>
      </c>
      <c r="G45">
        <v>0.69</v>
      </c>
      <c r="H45">
        <v>0.68</v>
      </c>
      <c r="I45">
        <v>0.65</v>
      </c>
      <c r="J45">
        <v>0.66</v>
      </c>
      <c r="K45">
        <v>0.66</v>
      </c>
    </row>
    <row r="46" spans="1:11" s="9" customFormat="1">
      <c r="A46" s="9" t="s">
        <v>11</v>
      </c>
      <c r="B46">
        <v>0.15</v>
      </c>
      <c r="C46">
        <v>0.43</v>
      </c>
      <c r="D46">
        <v>0.27</v>
      </c>
      <c r="E46">
        <v>0.2</v>
      </c>
      <c r="F46">
        <v>0.16</v>
      </c>
      <c r="G46">
        <v>0.13</v>
      </c>
      <c r="H46">
        <v>0.11</v>
      </c>
      <c r="I46">
        <v>0.13</v>
      </c>
      <c r="J46">
        <v>0.1</v>
      </c>
      <c r="K46">
        <v>0.09</v>
      </c>
    </row>
    <row r="47" spans="1:11" s="9" customFormat="1">
      <c r="A47" s="9" t="s">
        <v>12</v>
      </c>
      <c r="B47">
        <v>4.5</v>
      </c>
      <c r="C47">
        <v>4.8099999999999996</v>
      </c>
      <c r="D47">
        <v>5.2</v>
      </c>
      <c r="E47">
        <v>5.47</v>
      </c>
      <c r="F47">
        <v>5.0999999999999996</v>
      </c>
      <c r="G47">
        <v>5.96</v>
      </c>
      <c r="H47">
        <v>5.3</v>
      </c>
      <c r="I47">
        <v>5.27</v>
      </c>
      <c r="J47">
        <v>5.62</v>
      </c>
      <c r="K47">
        <v>6.36</v>
      </c>
    </row>
    <row r="48" spans="1:11" s="9" customFormat="1">
      <c r="A48" s="9" t="s">
        <v>13</v>
      </c>
      <c r="B48">
        <v>1.38</v>
      </c>
      <c r="C48">
        <v>1.32</v>
      </c>
      <c r="D48">
        <v>1.69</v>
      </c>
      <c r="E48">
        <v>1.5</v>
      </c>
      <c r="F48">
        <v>1.43</v>
      </c>
      <c r="G48">
        <v>1.5</v>
      </c>
      <c r="H48">
        <v>1.2</v>
      </c>
      <c r="I48">
        <v>1.45</v>
      </c>
      <c r="J48">
        <v>1.45</v>
      </c>
      <c r="K48">
        <v>1.5</v>
      </c>
    </row>
    <row r="49" spans="1:11" s="9" customFormat="1">
      <c r="A49" s="9" t="s">
        <v>14</v>
      </c>
      <c r="B49">
        <v>3.12</v>
      </c>
      <c r="C49">
        <v>3.49</v>
      </c>
      <c r="D49">
        <v>3.9</v>
      </c>
      <c r="E49">
        <v>3.97</v>
      </c>
      <c r="F49">
        <v>3.65</v>
      </c>
      <c r="G49">
        <v>4.4800000000000004</v>
      </c>
      <c r="H49">
        <v>4.22</v>
      </c>
      <c r="I49">
        <v>3.77</v>
      </c>
      <c r="J49">
        <v>4.12</v>
      </c>
      <c r="K49">
        <v>4.8600000000000003</v>
      </c>
    </row>
    <row r="50" spans="1:11">
      <c r="A50" s="9"/>
    </row>
    <row r="51" spans="1:11">
      <c r="A51" s="9"/>
    </row>
    <row r="52" spans="1:11">
      <c r="A52" s="9"/>
    </row>
    <row r="53" spans="1:11">
      <c r="A53" s="9"/>
    </row>
    <row r="54" spans="1:11">
      <c r="A54" s="9"/>
    </row>
    <row r="55" spans="1:11">
      <c r="A55" s="1" t="s">
        <v>40</v>
      </c>
    </row>
    <row r="56" spans="1:11" s="24" customFormat="1">
      <c r="A56" s="23" t="s">
        <v>38</v>
      </c>
      <c r="B56" s="16">
        <v>38807</v>
      </c>
      <c r="C56" s="16">
        <v>39172</v>
      </c>
      <c r="D56" s="16">
        <v>39538</v>
      </c>
      <c r="E56" s="16">
        <v>39903</v>
      </c>
      <c r="F56" s="16">
        <v>40268</v>
      </c>
      <c r="G56" s="16">
        <v>40633</v>
      </c>
      <c r="H56" s="16">
        <v>40999</v>
      </c>
      <c r="I56" s="16">
        <v>41364</v>
      </c>
      <c r="J56" s="16">
        <v>41729</v>
      </c>
      <c r="K56" s="16">
        <v>42094</v>
      </c>
    </row>
    <row r="57" spans="1:11">
      <c r="A57" s="9" t="s">
        <v>24</v>
      </c>
      <c r="B57">
        <v>12.2</v>
      </c>
      <c r="C57">
        <v>12.2</v>
      </c>
      <c r="D57">
        <v>12.2</v>
      </c>
      <c r="E57">
        <v>12.2</v>
      </c>
      <c r="F57">
        <v>10.61</v>
      </c>
      <c r="G57">
        <v>10.61</v>
      </c>
      <c r="H57">
        <v>10.61</v>
      </c>
      <c r="I57">
        <v>10.61</v>
      </c>
      <c r="J57">
        <v>10.61</v>
      </c>
      <c r="K57">
        <v>10.61</v>
      </c>
    </row>
    <row r="58" spans="1:11">
      <c r="A58" s="9" t="s">
        <v>25</v>
      </c>
      <c r="B58">
        <v>16.52</v>
      </c>
      <c r="C58">
        <v>18.22</v>
      </c>
      <c r="D58">
        <v>22.02</v>
      </c>
      <c r="E58">
        <v>25.99</v>
      </c>
      <c r="F58">
        <v>36.1</v>
      </c>
      <c r="G58">
        <v>42.87</v>
      </c>
      <c r="H58">
        <v>50.24</v>
      </c>
      <c r="I58">
        <v>60.55</v>
      </c>
      <c r="J58">
        <v>71.23</v>
      </c>
      <c r="K58">
        <v>84.03</v>
      </c>
    </row>
    <row r="59" spans="1:11">
      <c r="A59" s="9" t="s">
        <v>62</v>
      </c>
      <c r="B59">
        <v>7.56</v>
      </c>
      <c r="C59">
        <v>6.1</v>
      </c>
      <c r="D59">
        <v>13.27</v>
      </c>
      <c r="E59">
        <v>10.95</v>
      </c>
      <c r="F59">
        <v>9.07</v>
      </c>
      <c r="G59">
        <v>23.99</v>
      </c>
      <c r="H59">
        <v>21.64</v>
      </c>
      <c r="I59">
        <v>14.73</v>
      </c>
      <c r="J59">
        <v>6.37</v>
      </c>
      <c r="K59">
        <v>0.75</v>
      </c>
    </row>
    <row r="60" spans="1:11">
      <c r="A60" s="9" t="s">
        <v>63</v>
      </c>
      <c r="B60">
        <v>16.7</v>
      </c>
      <c r="C60">
        <v>19.670000000000002</v>
      </c>
      <c r="D60">
        <v>16.53</v>
      </c>
      <c r="E60">
        <v>20.81</v>
      </c>
      <c r="F60">
        <v>26.7</v>
      </c>
      <c r="G60">
        <v>36.11</v>
      </c>
      <c r="H60">
        <v>20.9</v>
      </c>
      <c r="I60">
        <v>28.21</v>
      </c>
      <c r="J60">
        <v>32.54</v>
      </c>
      <c r="K60">
        <v>27.87</v>
      </c>
    </row>
    <row r="61" spans="1:11" s="1" customFormat="1">
      <c r="A61" s="1" t="s">
        <v>26</v>
      </c>
      <c r="B61">
        <v>52.98</v>
      </c>
      <c r="C61">
        <v>56.19</v>
      </c>
      <c r="D61">
        <v>64.02</v>
      </c>
      <c r="E61">
        <v>69.95</v>
      </c>
      <c r="F61">
        <v>82.48</v>
      </c>
      <c r="G61">
        <v>113.58</v>
      </c>
      <c r="H61">
        <v>103.39</v>
      </c>
      <c r="I61">
        <v>114.1</v>
      </c>
      <c r="J61">
        <v>120.75</v>
      </c>
      <c r="K61">
        <v>123.26</v>
      </c>
    </row>
    <row r="62" spans="1:11">
      <c r="A62" s="9" t="s">
        <v>27</v>
      </c>
      <c r="B62">
        <v>18.760000000000002</v>
      </c>
      <c r="C62">
        <v>16.399999999999999</v>
      </c>
      <c r="D62">
        <v>18.71</v>
      </c>
      <c r="E62">
        <v>18.440000000000001</v>
      </c>
      <c r="F62">
        <v>20.09</v>
      </c>
      <c r="G62">
        <v>30.87</v>
      </c>
      <c r="H62">
        <v>31.75</v>
      </c>
      <c r="I62">
        <v>30.33</v>
      </c>
      <c r="J62">
        <v>28.15</v>
      </c>
      <c r="K62">
        <v>26.19</v>
      </c>
    </row>
    <row r="63" spans="1:11">
      <c r="A63" s="9" t="s">
        <v>28</v>
      </c>
      <c r="B63">
        <v>0.03</v>
      </c>
      <c r="E63">
        <v>1.45</v>
      </c>
      <c r="F63">
        <v>0.02</v>
      </c>
      <c r="G63">
        <v>0.05</v>
      </c>
      <c r="I63">
        <v>0.01</v>
      </c>
    </row>
    <row r="64" spans="1:11">
      <c r="A64" s="9" t="s">
        <v>29</v>
      </c>
      <c r="B64">
        <v>1</v>
      </c>
      <c r="E64">
        <v>3.8</v>
      </c>
      <c r="F64">
        <v>6.26</v>
      </c>
      <c r="G64">
        <v>6.68</v>
      </c>
      <c r="H64">
        <v>4.08</v>
      </c>
      <c r="I64">
        <v>3.59</v>
      </c>
      <c r="K64">
        <v>6.01</v>
      </c>
    </row>
    <row r="65" spans="1:11">
      <c r="A65" s="9" t="s">
        <v>64</v>
      </c>
      <c r="B65">
        <v>33.19</v>
      </c>
      <c r="C65">
        <v>39.79</v>
      </c>
      <c r="D65">
        <v>45.31</v>
      </c>
      <c r="E65">
        <v>46.26</v>
      </c>
      <c r="F65">
        <v>56.11</v>
      </c>
      <c r="G65">
        <v>75.98</v>
      </c>
      <c r="H65">
        <v>67.56</v>
      </c>
      <c r="I65">
        <v>80.17</v>
      </c>
      <c r="J65">
        <v>92.6</v>
      </c>
      <c r="K65">
        <v>91.06</v>
      </c>
    </row>
    <row r="66" spans="1:11" s="1" customFormat="1">
      <c r="A66" s="1" t="s">
        <v>26</v>
      </c>
      <c r="B66">
        <v>52.98</v>
      </c>
      <c r="C66">
        <v>56.19</v>
      </c>
      <c r="D66">
        <v>64.02</v>
      </c>
      <c r="E66">
        <v>69.95</v>
      </c>
      <c r="F66">
        <v>82.48</v>
      </c>
      <c r="G66">
        <v>113.58</v>
      </c>
      <c r="H66">
        <v>103.39</v>
      </c>
      <c r="I66">
        <v>114.1</v>
      </c>
      <c r="J66">
        <v>120.75</v>
      </c>
      <c r="K66">
        <v>123.26</v>
      </c>
    </row>
    <row r="67" spans="1:11" s="9" customFormat="1">
      <c r="A67" s="9" t="s">
        <v>69</v>
      </c>
      <c r="B67">
        <v>8.9600000000000009</v>
      </c>
      <c r="C67">
        <v>11.71</v>
      </c>
      <c r="D67">
        <v>15.14</v>
      </c>
      <c r="E67">
        <v>18.54</v>
      </c>
      <c r="F67">
        <v>19.16</v>
      </c>
      <c r="G67">
        <v>25.52</v>
      </c>
      <c r="H67">
        <v>28.85</v>
      </c>
      <c r="I67">
        <v>39.06</v>
      </c>
      <c r="J67">
        <v>42.46</v>
      </c>
      <c r="K67">
        <v>33.869999999999997</v>
      </c>
    </row>
    <row r="68" spans="1:11">
      <c r="A68" s="9" t="s">
        <v>45</v>
      </c>
      <c r="B68">
        <v>18.61</v>
      </c>
      <c r="C68">
        <v>19.13</v>
      </c>
      <c r="D68">
        <v>16.63</v>
      </c>
      <c r="E68">
        <v>17.11</v>
      </c>
      <c r="F68">
        <v>19.760000000000002</v>
      </c>
      <c r="G68">
        <v>29.58</v>
      </c>
      <c r="H68">
        <v>30.04</v>
      </c>
      <c r="I68">
        <v>35.28</v>
      </c>
      <c r="J68">
        <v>37.83</v>
      </c>
      <c r="K68">
        <v>39.479999999999997</v>
      </c>
    </row>
    <row r="69" spans="1:11">
      <c r="A69" s="5" t="s">
        <v>78</v>
      </c>
      <c r="B69">
        <v>1.64</v>
      </c>
      <c r="C69">
        <v>2.81</v>
      </c>
      <c r="D69">
        <v>5.64</v>
      </c>
      <c r="E69">
        <v>1.72</v>
      </c>
      <c r="F69">
        <v>1.07</v>
      </c>
      <c r="G69">
        <v>1.25</v>
      </c>
      <c r="H69">
        <v>2.4900000000000002</v>
      </c>
      <c r="I69">
        <v>0.76</v>
      </c>
      <c r="J69">
        <v>4.9000000000000004</v>
      </c>
      <c r="K69">
        <v>7.85</v>
      </c>
    </row>
    <row r="70" spans="1:11">
      <c r="A70" s="5" t="s">
        <v>65</v>
      </c>
      <c r="B70">
        <v>12200000</v>
      </c>
      <c r="C70">
        <v>12200000</v>
      </c>
      <c r="D70">
        <v>12200000</v>
      </c>
      <c r="E70">
        <v>12200000</v>
      </c>
      <c r="F70">
        <v>10610000</v>
      </c>
      <c r="G70">
        <v>10610000</v>
      </c>
      <c r="H70">
        <v>10610000</v>
      </c>
      <c r="I70">
        <v>10610000</v>
      </c>
      <c r="J70">
        <v>10610000</v>
      </c>
      <c r="K70">
        <v>10610000</v>
      </c>
    </row>
    <row r="71" spans="1:11">
      <c r="A71" s="5" t="s">
        <v>66</v>
      </c>
    </row>
    <row r="72" spans="1:11">
      <c r="A72" s="5" t="s">
        <v>79</v>
      </c>
      <c r="B72">
        <v>10</v>
      </c>
      <c r="C72">
        <v>10</v>
      </c>
      <c r="D72">
        <v>10</v>
      </c>
      <c r="E72">
        <v>10</v>
      </c>
      <c r="F72">
        <v>10</v>
      </c>
      <c r="G72">
        <v>10</v>
      </c>
      <c r="H72">
        <v>10</v>
      </c>
      <c r="I72">
        <v>10</v>
      </c>
      <c r="J72">
        <v>10</v>
      </c>
      <c r="K72">
        <v>10</v>
      </c>
    </row>
    <row r="74" spans="1:11">
      <c r="A74" s="9"/>
    </row>
    <row r="75" spans="1:11">
      <c r="A75" s="9"/>
    </row>
    <row r="76" spans="1:11">
      <c r="A76" s="9"/>
    </row>
    <row r="77" spans="1:11">
      <c r="A77" s="9"/>
    </row>
    <row r="78" spans="1:11">
      <c r="A78" s="9"/>
    </row>
    <row r="79" spans="1:11">
      <c r="A79" s="9"/>
    </row>
    <row r="80" spans="1:11">
      <c r="A80" s="1" t="s">
        <v>41</v>
      </c>
    </row>
    <row r="81" spans="1:11" s="24" customFormat="1">
      <c r="A81" s="23" t="s">
        <v>38</v>
      </c>
      <c r="B81" s="16">
        <v>38807</v>
      </c>
      <c r="C81" s="16">
        <v>39172</v>
      </c>
      <c r="D81" s="16">
        <v>39538</v>
      </c>
      <c r="E81" s="16">
        <v>39903</v>
      </c>
      <c r="F81" s="16">
        <v>40268</v>
      </c>
      <c r="G81" s="16">
        <v>40633</v>
      </c>
      <c r="H81" s="16">
        <v>40999</v>
      </c>
      <c r="I81" s="16">
        <v>41364</v>
      </c>
      <c r="J81" s="16">
        <v>41729</v>
      </c>
      <c r="K81" s="16">
        <v>42094</v>
      </c>
    </row>
    <row r="82" spans="1:11" s="1" customFormat="1">
      <c r="A82" s="9" t="s">
        <v>32</v>
      </c>
      <c r="B82">
        <v>1.56</v>
      </c>
      <c r="C82">
        <v>1.95</v>
      </c>
      <c r="D82">
        <v>-0.11</v>
      </c>
      <c r="E82">
        <v>6.51</v>
      </c>
      <c r="F82">
        <v>6.6</v>
      </c>
      <c r="G82">
        <v>2.0299999999999998</v>
      </c>
      <c r="H82">
        <v>18.71</v>
      </c>
      <c r="I82">
        <v>9.76</v>
      </c>
      <c r="J82">
        <v>13.98</v>
      </c>
      <c r="K82">
        <v>19.329999999999998</v>
      </c>
    </row>
    <row r="83" spans="1:11" s="9" customFormat="1">
      <c r="A83" s="9" t="s">
        <v>33</v>
      </c>
      <c r="B83">
        <v>-0.85</v>
      </c>
      <c r="C83">
        <v>1.68</v>
      </c>
      <c r="D83">
        <v>-3.48</v>
      </c>
      <c r="E83">
        <v>-6.91</v>
      </c>
      <c r="F83">
        <v>2.0499999999999998</v>
      </c>
      <c r="G83">
        <v>-13.58</v>
      </c>
      <c r="H83">
        <v>-2.5299999999999998</v>
      </c>
      <c r="I83">
        <v>-0.76</v>
      </c>
      <c r="J83">
        <v>2.42</v>
      </c>
      <c r="K83">
        <v>-7.12</v>
      </c>
    </row>
    <row r="84" spans="1:11" s="9" customFormat="1">
      <c r="A84" s="9" t="s">
        <v>34</v>
      </c>
      <c r="B84">
        <v>-0.15</v>
      </c>
      <c r="C84">
        <v>-2.46</v>
      </c>
      <c r="D84">
        <v>6.43</v>
      </c>
      <c r="E84">
        <v>-3.53</v>
      </c>
      <c r="F84">
        <v>-9.3000000000000007</v>
      </c>
      <c r="G84">
        <v>11.61</v>
      </c>
      <c r="H84">
        <v>-14.99</v>
      </c>
      <c r="I84">
        <v>-10.89</v>
      </c>
      <c r="J84">
        <v>-12.38</v>
      </c>
      <c r="K84">
        <v>-9.41</v>
      </c>
    </row>
    <row r="85" spans="1:11" s="1" customFormat="1">
      <c r="A85" s="9" t="s">
        <v>35</v>
      </c>
      <c r="B85">
        <v>0.56000000000000005</v>
      </c>
      <c r="C85">
        <v>1.17</v>
      </c>
      <c r="D85">
        <v>2.84</v>
      </c>
      <c r="E85">
        <v>-3.93</v>
      </c>
      <c r="F85">
        <v>-0.65</v>
      </c>
      <c r="G85">
        <v>0.06</v>
      </c>
      <c r="H85">
        <v>1.19</v>
      </c>
      <c r="I85">
        <v>-1.89</v>
      </c>
      <c r="J85">
        <v>4.0199999999999996</v>
      </c>
      <c r="K85">
        <v>2.8</v>
      </c>
    </row>
    <row r="86" spans="1:11">
      <c r="A86" s="9"/>
    </row>
    <row r="87" spans="1:11">
      <c r="A87" s="9"/>
    </row>
    <row r="88" spans="1:11">
      <c r="A88" s="9"/>
    </row>
    <row r="89" spans="1:11">
      <c r="A89" s="9"/>
    </row>
    <row r="90" spans="1:11" s="1" customFormat="1">
      <c r="A90" s="1" t="s">
        <v>68</v>
      </c>
      <c r="B90" t="s">
        <v>81</v>
      </c>
      <c r="C90">
        <v>29.3</v>
      </c>
      <c r="D90">
        <v>28.86</v>
      </c>
      <c r="E90">
        <v>17.25</v>
      </c>
      <c r="F90">
        <v>39.74</v>
      </c>
      <c r="G90">
        <v>44.54</v>
      </c>
      <c r="H90">
        <v>38.89</v>
      </c>
      <c r="I90">
        <v>46.52</v>
      </c>
      <c r="J90">
        <v>49.66</v>
      </c>
      <c r="K90">
        <v>134.93</v>
      </c>
    </row>
    <row r="92" spans="1:11" s="1" customFormat="1">
      <c r="A92" s="1" t="s">
        <v>67</v>
      </c>
    </row>
    <row r="93" spans="1:11">
      <c r="A93" s="5" t="s">
        <v>80</v>
      </c>
      <c r="B93" s="28">
        <f>IF($B7&gt;0,(B70*B72/$B7)+SUM(C71:$K71),0)/10000000</f>
        <v>1.22</v>
      </c>
      <c r="C93" s="28">
        <f>IF($B7&gt;0,(C70*C72/$B7)+SUM(D71:$K71),0)/10000000</f>
        <v>1.22</v>
      </c>
      <c r="D93" s="28">
        <f>IF($B7&gt;0,(D70*D72/$B7)+SUM(E71:$K71),0)/10000000</f>
        <v>1.22</v>
      </c>
      <c r="E93" s="28">
        <f>IF($B7&gt;0,(E70*E72/$B7)+SUM(F71:$K71),0)/10000000</f>
        <v>1.22</v>
      </c>
      <c r="F93" s="28">
        <f>IF($B7&gt;0,(F70*F72/$B7)+SUM(G71:$K71),0)/10000000</f>
        <v>1.0609999999999999</v>
      </c>
      <c r="G93" s="28">
        <f>IF($B7&gt;0,(G70*G72/$B7)+SUM(H71:$K71),0)/10000000</f>
        <v>1.0609999999999999</v>
      </c>
      <c r="H93" s="28">
        <f>IF($B7&gt;0,(H70*H72/$B7)+SUM(I71:$K71),0)/10000000</f>
        <v>1.0609999999999999</v>
      </c>
      <c r="I93" s="28">
        <f>IF($B7&gt;0,(I70*I72/$B7)+SUM(J71:$K71),0)/10000000</f>
        <v>1.0609999999999999</v>
      </c>
      <c r="J93" s="28">
        <f>IF($B7&gt;0,(J70*J72/$B7)+SUM(K71:$K71),0)/10000000</f>
        <v>1.0609999999999999</v>
      </c>
      <c r="K93" s="28">
        <f>IF($B7&gt;0,(K70*K72/$B7),0)/10000000</f>
        <v>1.0609999999999999</v>
      </c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Profit &amp; Loss</vt:lpstr>
      <vt:lpstr>Quarters</vt:lpstr>
      <vt:lpstr>Balance Sheet</vt:lpstr>
      <vt:lpstr>Cash Flow</vt:lpstr>
      <vt:lpstr>Customization</vt:lpstr>
      <vt:lpstr>Data Sheet</vt:lpstr>
      <vt:lpstr>UPDATE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Desktop</cp:lastModifiedBy>
  <cp:lastPrinted>2012-12-06T18:14:13Z</cp:lastPrinted>
  <dcterms:created xsi:type="dcterms:W3CDTF">2012-08-17T09:55:37Z</dcterms:created>
  <dcterms:modified xsi:type="dcterms:W3CDTF">2016-02-09T03:17:59Z</dcterms:modified>
</cp:coreProperties>
</file>