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saukumar\PERSONAL\STOCKS\"/>
    </mc:Choice>
  </mc:AlternateContent>
  <bookViews>
    <workbookView xWindow="240" yWindow="75" windowWidth="19440" windowHeight="7935" tabRatio="698" activeTab="7"/>
  </bookViews>
  <sheets>
    <sheet name="Profit &amp; Loss" sheetId="1" r:id="rId1"/>
    <sheet name="Quarters" sheetId="3" r:id="rId2"/>
    <sheet name="Balance Sheet" sheetId="2" r:id="rId3"/>
    <sheet name="Cash Flow" sheetId="4" r:id="rId4"/>
    <sheet name="Customization" sheetId="5" r:id="rId5"/>
    <sheet name="Data Sheet" sheetId="6" r:id="rId6"/>
    <sheet name="Financial Analysis" sheetId="7" r:id="rId7"/>
    <sheet name="Insights" sheetId="8" r:id="rId8"/>
  </sheets>
  <definedNames>
    <definedName name="UPDATE">'Data Sheet'!$E$1</definedName>
  </definedNames>
  <calcPr calcId="152511"/>
</workbook>
</file>

<file path=xl/calcChain.xml><?xml version="1.0" encoding="utf-8"?>
<calcChain xmlns="http://schemas.openxmlformats.org/spreadsheetml/2006/main">
  <c r="D71" i="7" l="1"/>
  <c r="E71" i="7"/>
  <c r="F71" i="7"/>
  <c r="G71" i="7"/>
  <c r="H71" i="7"/>
  <c r="I71" i="7"/>
  <c r="J71" i="7"/>
  <c r="K71" i="7"/>
  <c r="L71" i="7"/>
  <c r="C71" i="7"/>
  <c r="D70" i="7"/>
  <c r="E70" i="7"/>
  <c r="F70" i="7"/>
  <c r="G70" i="7"/>
  <c r="H70" i="7"/>
  <c r="I70" i="7"/>
  <c r="J70" i="7"/>
  <c r="K70" i="7"/>
  <c r="L70" i="7"/>
  <c r="C70" i="7"/>
  <c r="O4" i="7"/>
  <c r="P3" i="7"/>
  <c r="O3" i="7"/>
  <c r="O23" i="7"/>
  <c r="O22" i="7"/>
  <c r="O21" i="7"/>
  <c r="O20" i="7"/>
  <c r="O19" i="7"/>
  <c r="O18" i="7"/>
  <c r="O17" i="7"/>
  <c r="O16" i="7"/>
  <c r="O15" i="7"/>
  <c r="O14" i="7"/>
  <c r="O13" i="7"/>
  <c r="N13" i="7"/>
  <c r="L106" i="7"/>
  <c r="N34" i="7"/>
  <c r="N23" i="7"/>
  <c r="N22" i="7"/>
  <c r="N21" i="7"/>
  <c r="N20" i="7"/>
  <c r="N19" i="7"/>
  <c r="N18" i="7"/>
  <c r="N17" i="7"/>
  <c r="N16" i="7"/>
  <c r="N15" i="7"/>
  <c r="N14" i="7"/>
  <c r="D72" i="7" l="1"/>
  <c r="E72" i="7"/>
  <c r="F72" i="7"/>
  <c r="G72" i="7"/>
  <c r="H72" i="7"/>
  <c r="I72" i="7"/>
  <c r="J72" i="7"/>
  <c r="K72" i="7"/>
  <c r="L72" i="7"/>
  <c r="C72" i="7"/>
  <c r="D69" i="7"/>
  <c r="E69" i="7"/>
  <c r="F69" i="7"/>
  <c r="G69" i="7"/>
  <c r="H69" i="7"/>
  <c r="I69" i="7"/>
  <c r="J69" i="7"/>
  <c r="K69" i="7"/>
  <c r="L69" i="7"/>
  <c r="C69" i="7"/>
  <c r="D68" i="7"/>
  <c r="E68" i="7"/>
  <c r="F68" i="7"/>
  <c r="G68" i="7"/>
  <c r="H68" i="7"/>
  <c r="I68" i="7"/>
  <c r="J68" i="7"/>
  <c r="K68" i="7"/>
  <c r="L68" i="7"/>
  <c r="C68" i="7"/>
  <c r="O8" i="7"/>
  <c r="N8" i="7"/>
  <c r="O7" i="7"/>
  <c r="N7" i="7"/>
  <c r="O6" i="7"/>
  <c r="N6" i="7"/>
  <c r="O5" i="7"/>
  <c r="N5" i="7"/>
  <c r="N4" i="7"/>
  <c r="N3" i="7"/>
  <c r="C99" i="7"/>
  <c r="D98" i="7"/>
  <c r="E98" i="7"/>
  <c r="F98" i="7"/>
  <c r="G98" i="7"/>
  <c r="H98" i="7"/>
  <c r="I98" i="7"/>
  <c r="J98" i="7"/>
  <c r="K98" i="7"/>
  <c r="L98" i="7"/>
  <c r="C98" i="7"/>
  <c r="D97" i="7"/>
  <c r="E97" i="7"/>
  <c r="F97" i="7"/>
  <c r="G97" i="7"/>
  <c r="H97" i="7"/>
  <c r="I97" i="7"/>
  <c r="J97" i="7"/>
  <c r="K97" i="7"/>
  <c r="L97" i="7"/>
  <c r="N97" i="7" s="1"/>
  <c r="C97" i="7"/>
  <c r="D96" i="7"/>
  <c r="E96" i="7"/>
  <c r="F96" i="7"/>
  <c r="G96" i="7"/>
  <c r="H96" i="7"/>
  <c r="I96" i="7"/>
  <c r="J96" i="7"/>
  <c r="K96" i="7"/>
  <c r="L96" i="7"/>
  <c r="C96" i="7"/>
  <c r="D101" i="7"/>
  <c r="E101" i="7"/>
  <c r="F101" i="7"/>
  <c r="G101" i="7"/>
  <c r="H101" i="7"/>
  <c r="I101" i="7"/>
  <c r="J101" i="7"/>
  <c r="K101" i="7"/>
  <c r="L101" i="7"/>
  <c r="N101" i="7" s="1"/>
  <c r="C101" i="7"/>
  <c r="D100" i="7"/>
  <c r="E100" i="7"/>
  <c r="F100" i="7"/>
  <c r="G100" i="7"/>
  <c r="H100" i="7"/>
  <c r="I100" i="7"/>
  <c r="J100" i="7"/>
  <c r="K100" i="7"/>
  <c r="L100" i="7"/>
  <c r="C100" i="7"/>
  <c r="D94" i="7"/>
  <c r="E94" i="7"/>
  <c r="F94" i="7"/>
  <c r="G94" i="7"/>
  <c r="H94" i="7"/>
  <c r="I94" i="7"/>
  <c r="J94" i="7"/>
  <c r="K94" i="7"/>
  <c r="L94" i="7"/>
  <c r="N94" i="7" s="1"/>
  <c r="C94" i="7"/>
  <c r="D92" i="7"/>
  <c r="E92" i="7"/>
  <c r="F92" i="7"/>
  <c r="G92" i="7"/>
  <c r="H92" i="7"/>
  <c r="I92" i="7"/>
  <c r="J92" i="7"/>
  <c r="K92" i="7"/>
  <c r="L92" i="7"/>
  <c r="C92" i="7"/>
  <c r="D15" i="7"/>
  <c r="E15" i="7"/>
  <c r="F15" i="7"/>
  <c r="G15" i="7"/>
  <c r="H15" i="7"/>
  <c r="I15" i="7"/>
  <c r="J15" i="7"/>
  <c r="K15" i="7"/>
  <c r="L15" i="7"/>
  <c r="D16" i="7"/>
  <c r="E16" i="7"/>
  <c r="F16" i="7"/>
  <c r="G16" i="7"/>
  <c r="H16" i="7"/>
  <c r="I16" i="7"/>
  <c r="J16" i="7"/>
  <c r="K16" i="7"/>
  <c r="L16" i="7"/>
  <c r="D17" i="7"/>
  <c r="E17" i="7"/>
  <c r="F17" i="7"/>
  <c r="G17" i="7"/>
  <c r="H17" i="7"/>
  <c r="I17" i="7"/>
  <c r="J17" i="7"/>
  <c r="K17" i="7"/>
  <c r="L17" i="7"/>
  <c r="D18" i="7"/>
  <c r="E18" i="7"/>
  <c r="F18" i="7"/>
  <c r="G18" i="7"/>
  <c r="H18" i="7"/>
  <c r="I18" i="7"/>
  <c r="J18" i="7"/>
  <c r="K18" i="7"/>
  <c r="L18" i="7"/>
  <c r="D19" i="7"/>
  <c r="E19" i="7"/>
  <c r="F19" i="7"/>
  <c r="G19" i="7"/>
  <c r="H19" i="7"/>
  <c r="I19" i="7"/>
  <c r="J19" i="7"/>
  <c r="K19" i="7"/>
  <c r="L19" i="7"/>
  <c r="D20" i="7"/>
  <c r="E20" i="7"/>
  <c r="F20" i="7"/>
  <c r="G20" i="7"/>
  <c r="H20" i="7"/>
  <c r="I20" i="7"/>
  <c r="J20" i="7"/>
  <c r="K20" i="7"/>
  <c r="L20" i="7"/>
  <c r="D21" i="7"/>
  <c r="E21" i="7"/>
  <c r="F21" i="7"/>
  <c r="G21" i="7"/>
  <c r="H21" i="7"/>
  <c r="I21" i="7"/>
  <c r="J21" i="7"/>
  <c r="K21" i="7"/>
  <c r="L21" i="7"/>
  <c r="D22" i="7"/>
  <c r="E22" i="7"/>
  <c r="F22" i="7"/>
  <c r="G22" i="7"/>
  <c r="H22" i="7"/>
  <c r="I22" i="7"/>
  <c r="J22" i="7"/>
  <c r="K22" i="7"/>
  <c r="L22" i="7"/>
  <c r="D23" i="7"/>
  <c r="E23" i="7"/>
  <c r="F23" i="7"/>
  <c r="G23" i="7"/>
  <c r="H23" i="7"/>
  <c r="I23" i="7"/>
  <c r="J23" i="7"/>
  <c r="K23" i="7"/>
  <c r="L23" i="7"/>
  <c r="C23" i="7"/>
  <c r="C22" i="7"/>
  <c r="C17" i="7"/>
  <c r="C21" i="7"/>
  <c r="C20" i="7"/>
  <c r="C19" i="7"/>
  <c r="C18" i="7"/>
  <c r="C16" i="7"/>
  <c r="C15" i="7"/>
  <c r="C85" i="7"/>
  <c r="D73" i="7"/>
  <c r="D95" i="7" s="1"/>
  <c r="E73" i="7"/>
  <c r="E95" i="7" s="1"/>
  <c r="F73" i="7"/>
  <c r="F95" i="7" s="1"/>
  <c r="G73" i="7"/>
  <c r="G95" i="7" s="1"/>
  <c r="H73" i="7"/>
  <c r="H95" i="7" s="1"/>
  <c r="I73" i="7"/>
  <c r="I95" i="7" s="1"/>
  <c r="J73" i="7"/>
  <c r="J95" i="7" s="1"/>
  <c r="K73" i="7"/>
  <c r="K95" i="7" s="1"/>
  <c r="L73" i="7"/>
  <c r="L95" i="7" s="1"/>
  <c r="C73" i="7"/>
  <c r="C95" i="7" s="1"/>
  <c r="C65" i="7"/>
  <c r="D48" i="7"/>
  <c r="E48" i="7"/>
  <c r="E77" i="7" s="1"/>
  <c r="F48" i="7"/>
  <c r="F75" i="7" s="1"/>
  <c r="G48" i="7"/>
  <c r="H48" i="7"/>
  <c r="I48" i="7"/>
  <c r="I75" i="7" s="1"/>
  <c r="J48" i="7"/>
  <c r="K48" i="7"/>
  <c r="L48" i="7"/>
  <c r="C48" i="7"/>
  <c r="C75" i="7" s="1"/>
  <c r="D30" i="7"/>
  <c r="E30" i="7"/>
  <c r="F30" i="7"/>
  <c r="G30" i="7"/>
  <c r="H30" i="7"/>
  <c r="I30" i="7"/>
  <c r="J30" i="7"/>
  <c r="K30" i="7"/>
  <c r="L30" i="7"/>
  <c r="N30" i="7" s="1"/>
  <c r="C30" i="7"/>
  <c r="D29" i="7"/>
  <c r="E29" i="7"/>
  <c r="F29" i="7"/>
  <c r="G29" i="7"/>
  <c r="H29" i="7"/>
  <c r="I29" i="7"/>
  <c r="J29" i="7"/>
  <c r="K29" i="7"/>
  <c r="L29" i="7"/>
  <c r="C29" i="7"/>
  <c r="D28" i="7"/>
  <c r="E28" i="7"/>
  <c r="F28" i="7"/>
  <c r="G28" i="7"/>
  <c r="H28" i="7"/>
  <c r="I28" i="7"/>
  <c r="J28" i="7"/>
  <c r="K28" i="7"/>
  <c r="L28" i="7"/>
  <c r="N28" i="7" s="1"/>
  <c r="C28" i="7"/>
  <c r="D26" i="7"/>
  <c r="E26" i="7"/>
  <c r="F26" i="7"/>
  <c r="G26" i="7"/>
  <c r="H26" i="7"/>
  <c r="I26" i="7"/>
  <c r="J26" i="7"/>
  <c r="K26" i="7"/>
  <c r="L26" i="7"/>
  <c r="C26" i="7"/>
  <c r="D47" i="7"/>
  <c r="D93" i="7" s="1"/>
  <c r="E47" i="7"/>
  <c r="E93" i="7" s="1"/>
  <c r="F47" i="7"/>
  <c r="F93" i="7" s="1"/>
  <c r="G47" i="7"/>
  <c r="G93" i="7" s="1"/>
  <c r="H47" i="7"/>
  <c r="H93" i="7" s="1"/>
  <c r="I47" i="7"/>
  <c r="I93" i="7" s="1"/>
  <c r="J47" i="7"/>
  <c r="J93" i="7" s="1"/>
  <c r="K47" i="7"/>
  <c r="K93" i="7" s="1"/>
  <c r="L47" i="7"/>
  <c r="C47" i="7"/>
  <c r="C93" i="7" s="1"/>
  <c r="D43" i="7"/>
  <c r="D44" i="7" s="1"/>
  <c r="E43" i="7"/>
  <c r="E44" i="7" s="1"/>
  <c r="F43" i="7"/>
  <c r="F44" i="7" s="1"/>
  <c r="G43" i="7"/>
  <c r="G44" i="7" s="1"/>
  <c r="H43" i="7"/>
  <c r="H44" i="7" s="1"/>
  <c r="I43" i="7"/>
  <c r="I44" i="7" s="1"/>
  <c r="J43" i="7"/>
  <c r="J44" i="7" s="1"/>
  <c r="K43" i="7"/>
  <c r="K44" i="7" s="1"/>
  <c r="L43" i="7"/>
  <c r="C43" i="7"/>
  <c r="C44" i="7" s="1"/>
  <c r="D41" i="7"/>
  <c r="D42" i="7" s="1"/>
  <c r="D46" i="7" s="1"/>
  <c r="E41" i="7"/>
  <c r="E42" i="7" s="1"/>
  <c r="E46" i="7" s="1"/>
  <c r="F41" i="7"/>
  <c r="F42" i="7" s="1"/>
  <c r="F45" i="7" s="1"/>
  <c r="G41" i="7"/>
  <c r="G42" i="7" s="1"/>
  <c r="G46" i="7" s="1"/>
  <c r="H41" i="7"/>
  <c r="H42" i="7" s="1"/>
  <c r="H46" i="7" s="1"/>
  <c r="I41" i="7"/>
  <c r="I42" i="7" s="1"/>
  <c r="I46" i="7" s="1"/>
  <c r="J41" i="7"/>
  <c r="J42" i="7" s="1"/>
  <c r="J45" i="7" s="1"/>
  <c r="K41" i="7"/>
  <c r="K42" i="7" s="1"/>
  <c r="K46" i="7" s="1"/>
  <c r="L41" i="7"/>
  <c r="C41" i="7"/>
  <c r="C42" i="7" s="1"/>
  <c r="C46" i="7" s="1"/>
  <c r="D37" i="7"/>
  <c r="E37" i="7"/>
  <c r="F37" i="7"/>
  <c r="G37" i="7"/>
  <c r="H37" i="7"/>
  <c r="I37" i="7"/>
  <c r="J37" i="7"/>
  <c r="K37" i="7"/>
  <c r="L37" i="7"/>
  <c r="C37" i="7"/>
  <c r="C36" i="7"/>
  <c r="J36" i="7"/>
  <c r="K36" i="7"/>
  <c r="L36" i="7"/>
  <c r="D35" i="7"/>
  <c r="D111" i="7" s="1"/>
  <c r="D112" i="7" s="1"/>
  <c r="E35" i="7"/>
  <c r="E111" i="7" s="1"/>
  <c r="E112" i="7" s="1"/>
  <c r="F35" i="7"/>
  <c r="F111" i="7" s="1"/>
  <c r="F112" i="7" s="1"/>
  <c r="G35" i="7"/>
  <c r="G111" i="7" s="1"/>
  <c r="G112" i="7" s="1"/>
  <c r="H35" i="7"/>
  <c r="H111" i="7" s="1"/>
  <c r="H112" i="7" s="1"/>
  <c r="I35" i="7"/>
  <c r="I111" i="7" s="1"/>
  <c r="I112" i="7" s="1"/>
  <c r="J35" i="7"/>
  <c r="J111" i="7" s="1"/>
  <c r="J112" i="7" s="1"/>
  <c r="K35" i="7"/>
  <c r="K111" i="7" s="1"/>
  <c r="K112" i="7" s="1"/>
  <c r="L35" i="7"/>
  <c r="C35" i="7"/>
  <c r="C111" i="7" s="1"/>
  <c r="C112" i="7" s="1"/>
  <c r="L39" i="7"/>
  <c r="L99" i="7" s="1"/>
  <c r="D39" i="7"/>
  <c r="E39" i="7"/>
  <c r="E99" i="7" s="1"/>
  <c r="F39" i="7"/>
  <c r="F99" i="7" s="1"/>
  <c r="G39" i="7"/>
  <c r="G99" i="7" s="1"/>
  <c r="H39" i="7"/>
  <c r="H99" i="7" s="1"/>
  <c r="I39" i="7"/>
  <c r="I99" i="7" s="1"/>
  <c r="J39" i="7"/>
  <c r="J99" i="7" s="1"/>
  <c r="K39" i="7"/>
  <c r="K99" i="7" s="1"/>
  <c r="N37" i="7" l="1"/>
  <c r="N29" i="7"/>
  <c r="N92" i="7"/>
  <c r="N96" i="7"/>
  <c r="N72" i="7"/>
  <c r="N26" i="7"/>
  <c r="N100" i="7"/>
  <c r="N98" i="7"/>
  <c r="N68" i="7"/>
  <c r="L111" i="7"/>
  <c r="L112" i="7" s="1"/>
  <c r="N35" i="7"/>
  <c r="L42" i="7"/>
  <c r="N41" i="7"/>
  <c r="L93" i="7"/>
  <c r="N93" i="7" s="1"/>
  <c r="N47" i="7"/>
  <c r="N69" i="7"/>
  <c r="D99" i="7"/>
  <c r="N99" i="7" s="1"/>
  <c r="N39" i="7"/>
  <c r="L110" i="7"/>
  <c r="N95" i="7"/>
  <c r="L44" i="7"/>
  <c r="N44" i="7" s="1"/>
  <c r="N43" i="7"/>
  <c r="L77" i="7"/>
  <c r="N48" i="7"/>
  <c r="L74" i="7"/>
  <c r="K81" i="7"/>
  <c r="G81" i="7"/>
  <c r="E75" i="7"/>
  <c r="K76" i="7"/>
  <c r="K74" i="7"/>
  <c r="J81" i="7"/>
  <c r="F81" i="7"/>
  <c r="G74" i="7"/>
  <c r="J77" i="7"/>
  <c r="I77" i="7"/>
  <c r="K75" i="7"/>
  <c r="E76" i="7"/>
  <c r="E74" i="7"/>
  <c r="J75" i="7"/>
  <c r="I76" i="7"/>
  <c r="D76" i="7"/>
  <c r="I74" i="7"/>
  <c r="D74" i="7"/>
  <c r="C76" i="7"/>
  <c r="H76" i="7"/>
  <c r="C77" i="7"/>
  <c r="G77" i="7"/>
  <c r="I81" i="7"/>
  <c r="E81" i="7"/>
  <c r="C74" i="7"/>
  <c r="H74" i="7"/>
  <c r="G75" i="7"/>
  <c r="L76" i="7"/>
  <c r="G76" i="7"/>
  <c r="K77" i="7"/>
  <c r="F77" i="7"/>
  <c r="L81" i="7"/>
  <c r="H81" i="7"/>
  <c r="J74" i="7"/>
  <c r="F74" i="7"/>
  <c r="L75" i="7"/>
  <c r="H75" i="7"/>
  <c r="D75" i="7"/>
  <c r="J76" i="7"/>
  <c r="F76" i="7"/>
  <c r="H77" i="7"/>
  <c r="D77" i="7"/>
  <c r="D81" i="7"/>
  <c r="L64" i="7"/>
  <c r="H64" i="7"/>
  <c r="D64" i="7"/>
  <c r="J57" i="7"/>
  <c r="F57" i="7"/>
  <c r="K64" i="7"/>
  <c r="G64" i="7"/>
  <c r="C57" i="7"/>
  <c r="I57" i="7"/>
  <c r="E57" i="7"/>
  <c r="J64" i="7"/>
  <c r="F64" i="7"/>
  <c r="L57" i="7"/>
  <c r="H57" i="7"/>
  <c r="D57" i="7"/>
  <c r="C64" i="7"/>
  <c r="I64" i="7"/>
  <c r="E64" i="7"/>
  <c r="K57" i="7"/>
  <c r="G57" i="7"/>
  <c r="J52" i="7"/>
  <c r="F52" i="7"/>
  <c r="I45" i="7"/>
  <c r="I53" i="7" s="1"/>
  <c r="E45" i="7"/>
  <c r="C45" i="7"/>
  <c r="C53" i="7" s="1"/>
  <c r="L51" i="7"/>
  <c r="H51" i="7"/>
  <c r="D51" i="7"/>
  <c r="J46" i="7"/>
  <c r="J54" i="7" s="1"/>
  <c r="F46" i="7"/>
  <c r="F54" i="7" s="1"/>
  <c r="C52" i="7"/>
  <c r="E53" i="7"/>
  <c r="H54" i="7"/>
  <c r="D54" i="7"/>
  <c r="K52" i="7"/>
  <c r="G52" i="7"/>
  <c r="J53" i="7"/>
  <c r="F53" i="7"/>
  <c r="K54" i="7"/>
  <c r="G54" i="7"/>
  <c r="H45" i="7"/>
  <c r="H53" i="7" s="1"/>
  <c r="D45" i="7"/>
  <c r="D53" i="7" s="1"/>
  <c r="K51" i="7"/>
  <c r="G51" i="7"/>
  <c r="C51" i="7"/>
  <c r="I52" i="7"/>
  <c r="E52" i="7"/>
  <c r="K45" i="7"/>
  <c r="K53" i="7" s="1"/>
  <c r="G45" i="7"/>
  <c r="G53" i="7" s="1"/>
  <c r="J51" i="7"/>
  <c r="F51" i="7"/>
  <c r="H52" i="7"/>
  <c r="D52" i="7"/>
  <c r="C54" i="7"/>
  <c r="I54" i="7"/>
  <c r="E54" i="7"/>
  <c r="I51" i="7"/>
  <c r="E51" i="7"/>
  <c r="N57" i="7" l="1"/>
  <c r="L46" i="7"/>
  <c r="N42" i="7"/>
  <c r="L52" i="7"/>
  <c r="N52" i="7" s="1"/>
  <c r="L45" i="7"/>
  <c r="N51" i="7"/>
  <c r="D38" i="7"/>
  <c r="E38" i="7"/>
  <c r="F38" i="7"/>
  <c r="G38" i="7"/>
  <c r="H38" i="7"/>
  <c r="I38" i="7"/>
  <c r="J38" i="7"/>
  <c r="K38" i="7"/>
  <c r="L38" i="7"/>
  <c r="N38" i="7" s="1"/>
  <c r="C38" i="7"/>
  <c r="C11" i="7"/>
  <c r="D10" i="7"/>
  <c r="E10" i="7"/>
  <c r="F10" i="7"/>
  <c r="G10" i="7"/>
  <c r="H10" i="7"/>
  <c r="I10" i="7"/>
  <c r="J10" i="7"/>
  <c r="K10" i="7"/>
  <c r="L10" i="7"/>
  <c r="C10" i="7"/>
  <c r="C14" i="7"/>
  <c r="C13" i="7"/>
  <c r="D8" i="7"/>
  <c r="E8" i="7"/>
  <c r="F8" i="7"/>
  <c r="G8" i="7"/>
  <c r="H8" i="7"/>
  <c r="I8" i="7"/>
  <c r="J8" i="7"/>
  <c r="K8" i="7"/>
  <c r="L8" i="7"/>
  <c r="L109" i="7" s="1"/>
  <c r="C8" i="7"/>
  <c r="D7" i="7"/>
  <c r="E7" i="7"/>
  <c r="F7" i="7"/>
  <c r="G7" i="7"/>
  <c r="H7" i="7"/>
  <c r="I7" i="7"/>
  <c r="J7" i="7"/>
  <c r="K7" i="7"/>
  <c r="L7" i="7"/>
  <c r="C7" i="7"/>
  <c r="D6" i="7"/>
  <c r="E6" i="7"/>
  <c r="F6" i="7"/>
  <c r="G6" i="7"/>
  <c r="H6" i="7"/>
  <c r="I6" i="7"/>
  <c r="J6" i="7"/>
  <c r="K6" i="7"/>
  <c r="L6" i="7"/>
  <c r="C6" i="7"/>
  <c r="D5" i="7"/>
  <c r="E5" i="7"/>
  <c r="F5" i="7"/>
  <c r="G5" i="7"/>
  <c r="H5" i="7"/>
  <c r="I5" i="7"/>
  <c r="J5" i="7"/>
  <c r="K5" i="7"/>
  <c r="L5" i="7"/>
  <c r="C5" i="7"/>
  <c r="D4" i="7"/>
  <c r="E4" i="7"/>
  <c r="F4" i="7"/>
  <c r="G4" i="7"/>
  <c r="H4" i="7"/>
  <c r="I4" i="7"/>
  <c r="J4" i="7"/>
  <c r="K4" i="7"/>
  <c r="L4" i="7"/>
  <c r="C4" i="7"/>
  <c r="D3" i="7"/>
  <c r="E3" i="7"/>
  <c r="F3" i="7"/>
  <c r="G3" i="7"/>
  <c r="H3" i="7"/>
  <c r="I3" i="7"/>
  <c r="J3" i="7"/>
  <c r="K3" i="7"/>
  <c r="L3" i="7"/>
  <c r="C3" i="7"/>
  <c r="L85" i="7"/>
  <c r="L86" i="7"/>
  <c r="L83" i="7"/>
  <c r="L82" i="7"/>
  <c r="L65" i="7"/>
  <c r="L62" i="7"/>
  <c r="L61" i="7"/>
  <c r="L59" i="7"/>
  <c r="L55" i="7"/>
  <c r="L13" i="7"/>
  <c r="L14" i="7"/>
  <c r="D27" i="7"/>
  <c r="E27" i="7"/>
  <c r="F27" i="7"/>
  <c r="G27" i="7"/>
  <c r="H27" i="7"/>
  <c r="I27" i="7"/>
  <c r="J27" i="7"/>
  <c r="K27" i="7"/>
  <c r="C27" i="7"/>
  <c r="L3" i="4"/>
  <c r="L4" i="4"/>
  <c r="L5" i="4"/>
  <c r="L6" i="4"/>
  <c r="L7" i="4"/>
  <c r="L3" i="2"/>
  <c r="L4" i="2"/>
  <c r="L23" i="2" s="1"/>
  <c r="L5" i="2"/>
  <c r="L6" i="2"/>
  <c r="L7" i="2"/>
  <c r="L8" i="2"/>
  <c r="L10" i="2"/>
  <c r="L24" i="2" s="1"/>
  <c r="L11" i="2"/>
  <c r="L12" i="2"/>
  <c r="L13" i="2"/>
  <c r="L14" i="2"/>
  <c r="L16" i="2"/>
  <c r="L17" i="2"/>
  <c r="L18" i="2"/>
  <c r="L20" i="2"/>
  <c r="L21" i="2"/>
  <c r="L3" i="1"/>
  <c r="L53" i="7" l="1"/>
  <c r="N53" i="7" s="1"/>
  <c r="N45" i="7"/>
  <c r="N46" i="7"/>
  <c r="L54" i="7"/>
  <c r="N54" i="7" s="1"/>
  <c r="L27" i="7"/>
  <c r="N27" i="7" s="1"/>
  <c r="L60" i="7"/>
  <c r="L63" i="7" l="1"/>
  <c r="L93" i="6"/>
  <c r="B6" i="6"/>
  <c r="D36" i="7" l="1"/>
  <c r="D110" i="7" s="1"/>
  <c r="E36" i="7"/>
  <c r="E110" i="7" s="1"/>
  <c r="F36" i="7"/>
  <c r="F110" i="7" s="1"/>
  <c r="G36" i="7"/>
  <c r="G110" i="7" s="1"/>
  <c r="H36" i="7"/>
  <c r="H110" i="7" s="1"/>
  <c r="I36" i="7"/>
  <c r="J110" i="7"/>
  <c r="K110" i="7"/>
  <c r="C110" i="7"/>
  <c r="C106" i="7"/>
  <c r="D85" i="7"/>
  <c r="E85" i="7"/>
  <c r="F85" i="7"/>
  <c r="G85" i="7"/>
  <c r="H85" i="7"/>
  <c r="I85" i="7"/>
  <c r="J85" i="7"/>
  <c r="K85" i="7"/>
  <c r="C86" i="7"/>
  <c r="D86" i="7"/>
  <c r="E86" i="7"/>
  <c r="F86" i="7"/>
  <c r="G86" i="7"/>
  <c r="H86" i="7"/>
  <c r="I86" i="7"/>
  <c r="J86" i="7"/>
  <c r="K86" i="7"/>
  <c r="E13" i="7"/>
  <c r="F13" i="7"/>
  <c r="G13" i="7"/>
  <c r="H13" i="7"/>
  <c r="I13" i="7"/>
  <c r="J13" i="7"/>
  <c r="K13" i="7"/>
  <c r="D13" i="7"/>
  <c r="E14" i="7"/>
  <c r="F14" i="7"/>
  <c r="G14" i="7"/>
  <c r="H14" i="7"/>
  <c r="I14" i="7"/>
  <c r="J14" i="7"/>
  <c r="K14" i="7"/>
  <c r="D14" i="7"/>
  <c r="D83" i="7"/>
  <c r="E83" i="7"/>
  <c r="F83" i="7"/>
  <c r="G83" i="7"/>
  <c r="H83" i="7"/>
  <c r="I83" i="7"/>
  <c r="J83" i="7"/>
  <c r="K83" i="7"/>
  <c r="C83" i="7"/>
  <c r="D82" i="7"/>
  <c r="E82" i="7"/>
  <c r="F82" i="7"/>
  <c r="G82" i="7"/>
  <c r="H82" i="7"/>
  <c r="I82" i="7"/>
  <c r="J82" i="7"/>
  <c r="K82" i="7"/>
  <c r="C82" i="7"/>
  <c r="D65" i="7"/>
  <c r="E65" i="7"/>
  <c r="F65" i="7"/>
  <c r="G65" i="7"/>
  <c r="H65" i="7"/>
  <c r="I65" i="7"/>
  <c r="J65" i="7"/>
  <c r="K65" i="7"/>
  <c r="D62" i="7"/>
  <c r="E62" i="7"/>
  <c r="F62" i="7"/>
  <c r="G62" i="7"/>
  <c r="H62" i="7"/>
  <c r="I62" i="7"/>
  <c r="J62" i="7"/>
  <c r="K62" i="7"/>
  <c r="C62" i="7"/>
  <c r="N62" i="7" s="1"/>
  <c r="D61" i="7"/>
  <c r="E61" i="7"/>
  <c r="F61" i="7"/>
  <c r="G61" i="7"/>
  <c r="H61" i="7"/>
  <c r="I61" i="7"/>
  <c r="J61" i="7"/>
  <c r="K61" i="7"/>
  <c r="C61" i="7"/>
  <c r="N61" i="7" s="1"/>
  <c r="D59" i="7"/>
  <c r="E59" i="7"/>
  <c r="F59" i="7"/>
  <c r="G59" i="7"/>
  <c r="H59" i="7"/>
  <c r="I59" i="7"/>
  <c r="J59" i="7"/>
  <c r="K59" i="7"/>
  <c r="C59" i="7"/>
  <c r="N59" i="7" s="1"/>
  <c r="D55" i="7"/>
  <c r="E55" i="7"/>
  <c r="F55" i="7"/>
  <c r="G55" i="7"/>
  <c r="H55" i="7"/>
  <c r="I55" i="7"/>
  <c r="J55" i="7"/>
  <c r="K55" i="7"/>
  <c r="C55" i="7"/>
  <c r="N55" i="7" s="1"/>
  <c r="C60" i="7"/>
  <c r="N60" i="7" s="1"/>
  <c r="I110" i="7" l="1"/>
  <c r="N36" i="7"/>
  <c r="C63" i="7"/>
  <c r="N63" i="7" s="1"/>
  <c r="L1" i="7"/>
  <c r="C6" i="3"/>
  <c r="D6" i="3"/>
  <c r="E6" i="3"/>
  <c r="F6" i="3"/>
  <c r="G6" i="3"/>
  <c r="H6" i="3"/>
  <c r="I6" i="3"/>
  <c r="J6" i="3"/>
  <c r="K6" i="3"/>
  <c r="B6" i="3"/>
  <c r="C5" i="1"/>
  <c r="D5" i="1"/>
  <c r="E5" i="1"/>
  <c r="F5" i="1"/>
  <c r="G5" i="1"/>
  <c r="H5" i="1"/>
  <c r="I5" i="1"/>
  <c r="J5" i="1"/>
  <c r="K5" i="1"/>
  <c r="K93" i="6"/>
  <c r="C93" i="6"/>
  <c r="D93" i="6"/>
  <c r="E93" i="6"/>
  <c r="F93" i="6"/>
  <c r="G93" i="6"/>
  <c r="H93" i="6"/>
  <c r="I93" i="6"/>
  <c r="J93" i="6"/>
  <c r="B93" i="6"/>
  <c r="L32" i="7" l="1"/>
  <c r="L50" i="7" s="1"/>
  <c r="L67" i="7" s="1"/>
  <c r="L91" i="7" s="1"/>
  <c r="L25" i="7"/>
  <c r="C17" i="2"/>
  <c r="D17" i="2"/>
  <c r="E17" i="2"/>
  <c r="F17" i="2"/>
  <c r="G17" i="2"/>
  <c r="H17" i="2"/>
  <c r="I17" i="2"/>
  <c r="J17" i="2"/>
  <c r="K17" i="2"/>
  <c r="C18" i="2"/>
  <c r="D18" i="2"/>
  <c r="E18" i="2"/>
  <c r="F18" i="2"/>
  <c r="G18" i="2"/>
  <c r="H18" i="2"/>
  <c r="I18" i="2"/>
  <c r="J18" i="2"/>
  <c r="K18" i="2"/>
  <c r="B17" i="2"/>
  <c r="C4" i="2"/>
  <c r="D4" i="2"/>
  <c r="E4" i="2"/>
  <c r="F4" i="2"/>
  <c r="G4" i="2"/>
  <c r="H4" i="2"/>
  <c r="I4" i="2"/>
  <c r="J4" i="2"/>
  <c r="K4" i="2"/>
  <c r="C5" i="2"/>
  <c r="D5" i="2"/>
  <c r="E5" i="2"/>
  <c r="F5" i="2"/>
  <c r="G5" i="2"/>
  <c r="H5" i="2"/>
  <c r="I5" i="2"/>
  <c r="J5" i="2"/>
  <c r="K5" i="2"/>
  <c r="C6" i="2"/>
  <c r="D6" i="2"/>
  <c r="E6" i="2"/>
  <c r="F6" i="2"/>
  <c r="G6" i="2"/>
  <c r="H6" i="2"/>
  <c r="I6" i="2"/>
  <c r="J6" i="2"/>
  <c r="K6" i="2"/>
  <c r="C7" i="2"/>
  <c r="D7" i="2"/>
  <c r="E7" i="2"/>
  <c r="F7" i="2"/>
  <c r="G7" i="2"/>
  <c r="H7" i="2"/>
  <c r="I7" i="2"/>
  <c r="J7" i="2"/>
  <c r="K7" i="2"/>
  <c r="C8" i="2"/>
  <c r="D8" i="2"/>
  <c r="E8" i="2"/>
  <c r="F8" i="2"/>
  <c r="G8" i="2"/>
  <c r="H8" i="2"/>
  <c r="I8" i="2"/>
  <c r="J8" i="2"/>
  <c r="K8" i="2"/>
  <c r="C10" i="2"/>
  <c r="D10" i="2"/>
  <c r="E10" i="2"/>
  <c r="F10" i="2"/>
  <c r="G10" i="2"/>
  <c r="H10" i="2"/>
  <c r="I10" i="2"/>
  <c r="J10" i="2"/>
  <c r="K10" i="2"/>
  <c r="C11" i="2"/>
  <c r="D11" i="2"/>
  <c r="E11" i="2"/>
  <c r="F11" i="2"/>
  <c r="G11" i="2"/>
  <c r="H11" i="2"/>
  <c r="I11" i="2"/>
  <c r="J11" i="2"/>
  <c r="K11" i="2"/>
  <c r="C12" i="2"/>
  <c r="D12" i="2"/>
  <c r="E12" i="2"/>
  <c r="F12" i="2"/>
  <c r="G12" i="2"/>
  <c r="H12" i="2"/>
  <c r="I12" i="2"/>
  <c r="J12" i="2"/>
  <c r="K12" i="2"/>
  <c r="C13" i="2"/>
  <c r="D13" i="2"/>
  <c r="E13" i="2"/>
  <c r="F13" i="2"/>
  <c r="G13" i="2"/>
  <c r="H13" i="2"/>
  <c r="I13" i="2"/>
  <c r="J13" i="2"/>
  <c r="K13" i="2"/>
  <c r="C14" i="2"/>
  <c r="D14" i="2"/>
  <c r="E14" i="2"/>
  <c r="F14" i="2"/>
  <c r="G14" i="2"/>
  <c r="H14" i="2"/>
  <c r="I14" i="2"/>
  <c r="J14" i="2"/>
  <c r="K14" i="2"/>
  <c r="B14" i="2"/>
  <c r="B5" i="2"/>
  <c r="B4" i="2"/>
  <c r="C4" i="4"/>
  <c r="D4" i="4"/>
  <c r="E4" i="4"/>
  <c r="F4" i="4"/>
  <c r="G4" i="4"/>
  <c r="H4" i="4"/>
  <c r="I4" i="4"/>
  <c r="J4" i="4"/>
  <c r="K4" i="4"/>
  <c r="C5" i="4"/>
  <c r="D5" i="4"/>
  <c r="E5" i="4"/>
  <c r="F5" i="4"/>
  <c r="G5" i="4"/>
  <c r="H5" i="4"/>
  <c r="I5" i="4"/>
  <c r="J5" i="4"/>
  <c r="K5" i="4"/>
  <c r="C6" i="4"/>
  <c r="D6" i="4"/>
  <c r="E6" i="4"/>
  <c r="F6" i="4"/>
  <c r="G6" i="4"/>
  <c r="H6" i="4"/>
  <c r="I6" i="4"/>
  <c r="J6" i="4"/>
  <c r="K6" i="4"/>
  <c r="C7" i="4"/>
  <c r="D7" i="4"/>
  <c r="E7" i="4"/>
  <c r="F7" i="4"/>
  <c r="G7" i="4"/>
  <c r="H7" i="4"/>
  <c r="I7" i="4"/>
  <c r="J7" i="4"/>
  <c r="K7" i="4"/>
  <c r="C4" i="3"/>
  <c r="D4" i="3"/>
  <c r="E4" i="3"/>
  <c r="F4" i="3"/>
  <c r="G4" i="3"/>
  <c r="H4" i="3"/>
  <c r="I4" i="3"/>
  <c r="J4" i="3"/>
  <c r="K4" i="3"/>
  <c r="C5" i="3"/>
  <c r="D5" i="3"/>
  <c r="E5" i="3"/>
  <c r="F5" i="3"/>
  <c r="G5" i="3"/>
  <c r="H5" i="3"/>
  <c r="I5" i="3"/>
  <c r="J5" i="3"/>
  <c r="K5" i="3"/>
  <c r="C7" i="3"/>
  <c r="D7" i="3"/>
  <c r="E7" i="3"/>
  <c r="F7" i="3"/>
  <c r="G7" i="3"/>
  <c r="H7" i="3"/>
  <c r="I7" i="3"/>
  <c r="J7" i="3"/>
  <c r="K7" i="3"/>
  <c r="C8" i="3"/>
  <c r="D8" i="3"/>
  <c r="E8" i="3"/>
  <c r="F8" i="3"/>
  <c r="G8" i="3"/>
  <c r="H8" i="3"/>
  <c r="I8" i="3"/>
  <c r="J8" i="3"/>
  <c r="K8" i="3"/>
  <c r="C9" i="3"/>
  <c r="D9" i="3"/>
  <c r="E9" i="3"/>
  <c r="F9" i="3"/>
  <c r="G9" i="3"/>
  <c r="H9" i="3"/>
  <c r="I9" i="3"/>
  <c r="J9" i="3"/>
  <c r="K9" i="3"/>
  <c r="C10" i="3"/>
  <c r="D10" i="3"/>
  <c r="E10" i="3"/>
  <c r="F10" i="3"/>
  <c r="G10" i="3"/>
  <c r="H10" i="3"/>
  <c r="I10" i="3"/>
  <c r="J10" i="3"/>
  <c r="K10" i="3"/>
  <c r="C11" i="3"/>
  <c r="D11" i="3"/>
  <c r="E11" i="3"/>
  <c r="F11" i="3"/>
  <c r="G11" i="3"/>
  <c r="H11" i="3"/>
  <c r="I11" i="3"/>
  <c r="J11" i="3"/>
  <c r="K11" i="3"/>
  <c r="C12" i="3"/>
  <c r="D12" i="3"/>
  <c r="E12" i="3"/>
  <c r="F12" i="3"/>
  <c r="G12" i="3"/>
  <c r="H12" i="3"/>
  <c r="I12" i="3"/>
  <c r="J12" i="3"/>
  <c r="K12" i="3"/>
  <c r="B5" i="3"/>
  <c r="C18" i="1"/>
  <c r="D18" i="1"/>
  <c r="E18" i="1"/>
  <c r="F18" i="1"/>
  <c r="G18" i="1"/>
  <c r="H18" i="1"/>
  <c r="I18" i="1"/>
  <c r="J18" i="1"/>
  <c r="K18" i="1"/>
  <c r="B18" i="1"/>
  <c r="C4" i="1"/>
  <c r="D4" i="1"/>
  <c r="E4" i="1"/>
  <c r="F4" i="1"/>
  <c r="G4" i="1"/>
  <c r="H4" i="1"/>
  <c r="I4" i="1"/>
  <c r="J4" i="1"/>
  <c r="K4" i="1"/>
  <c r="C7" i="1"/>
  <c r="D7" i="1"/>
  <c r="E7" i="1"/>
  <c r="F7" i="1"/>
  <c r="G7" i="1"/>
  <c r="H7" i="1"/>
  <c r="I7" i="1"/>
  <c r="J7" i="1"/>
  <c r="K7" i="1"/>
  <c r="C8" i="1"/>
  <c r="D8" i="1"/>
  <c r="E8" i="1"/>
  <c r="F8" i="1"/>
  <c r="G8" i="1"/>
  <c r="H8" i="1"/>
  <c r="I8" i="1"/>
  <c r="J8" i="1"/>
  <c r="K8" i="1"/>
  <c r="C9" i="1"/>
  <c r="D9" i="1"/>
  <c r="E9" i="1"/>
  <c r="F9" i="1"/>
  <c r="G9" i="1"/>
  <c r="H9" i="1"/>
  <c r="I9" i="1"/>
  <c r="J9" i="1"/>
  <c r="K9" i="1"/>
  <c r="C10" i="1"/>
  <c r="D10" i="1"/>
  <c r="E10" i="1"/>
  <c r="F10" i="1"/>
  <c r="G10" i="1"/>
  <c r="H10" i="1"/>
  <c r="I10" i="1"/>
  <c r="J10" i="1"/>
  <c r="K10" i="1"/>
  <c r="C11" i="1"/>
  <c r="D11" i="1"/>
  <c r="E11" i="1"/>
  <c r="F11" i="1"/>
  <c r="G11" i="1"/>
  <c r="H11" i="1"/>
  <c r="I11" i="1"/>
  <c r="J11" i="1"/>
  <c r="K11" i="1"/>
  <c r="C12" i="1"/>
  <c r="D12" i="1"/>
  <c r="D13" i="1" s="1"/>
  <c r="E12" i="1"/>
  <c r="F12" i="1"/>
  <c r="G12" i="1"/>
  <c r="H12" i="1"/>
  <c r="H13" i="1" s="1"/>
  <c r="I12" i="1"/>
  <c r="I13" i="1" s="1"/>
  <c r="J12" i="1"/>
  <c r="K12" i="1"/>
  <c r="C15" i="1"/>
  <c r="C14" i="1" s="1"/>
  <c r="D15" i="1"/>
  <c r="D14" i="1" s="1"/>
  <c r="E15" i="1"/>
  <c r="E14" i="1" s="1"/>
  <c r="F15" i="1"/>
  <c r="F14" i="1" s="1"/>
  <c r="G15" i="1"/>
  <c r="G14" i="1" s="1"/>
  <c r="H15" i="1"/>
  <c r="H14" i="1" s="1"/>
  <c r="I15" i="1"/>
  <c r="I14" i="1" s="1"/>
  <c r="J15" i="1"/>
  <c r="J14" i="1" s="1"/>
  <c r="K15" i="1"/>
  <c r="K14" i="1" s="1"/>
  <c r="B15" i="1"/>
  <c r="B14" i="1" s="1"/>
  <c r="A1" i="1"/>
  <c r="E1" i="6"/>
  <c r="E13" i="1" l="1"/>
  <c r="F106" i="7" s="1"/>
  <c r="F60" i="7"/>
  <c r="F63" i="7" s="1"/>
  <c r="K13" i="1"/>
  <c r="Q7" i="7"/>
  <c r="G13" i="1"/>
  <c r="H60" i="7"/>
  <c r="H63" i="7" s="1"/>
  <c r="C13" i="1"/>
  <c r="D106" i="7" s="1"/>
  <c r="D60" i="7"/>
  <c r="D63" i="7" s="1"/>
  <c r="I23" i="2"/>
  <c r="E23" i="2"/>
  <c r="Q6" i="7"/>
  <c r="Q4" i="7"/>
  <c r="J13" i="1"/>
  <c r="F13" i="1"/>
  <c r="G60" i="7"/>
  <c r="G63" i="7" s="1"/>
  <c r="J60" i="7"/>
  <c r="J63" i="7" s="1"/>
  <c r="I60" i="7"/>
  <c r="I63" i="7" s="1"/>
  <c r="E60" i="7"/>
  <c r="E63" i="7" s="1"/>
  <c r="I106" i="7"/>
  <c r="G106" i="7"/>
  <c r="J106" i="7"/>
  <c r="E106" i="7"/>
  <c r="J23" i="2"/>
  <c r="E1" i="2"/>
  <c r="E1" i="4"/>
  <c r="E1" i="3"/>
  <c r="H16" i="2"/>
  <c r="D16" i="2"/>
  <c r="K23" i="2"/>
  <c r="G16" i="2"/>
  <c r="F23" i="2"/>
  <c r="C23" i="2"/>
  <c r="I16" i="2"/>
  <c r="E16" i="2"/>
  <c r="K16" i="2"/>
  <c r="C16" i="2"/>
  <c r="G23" i="2"/>
  <c r="J16" i="2"/>
  <c r="F16" i="2"/>
  <c r="E6" i="1"/>
  <c r="H23" i="2"/>
  <c r="D23" i="2"/>
  <c r="I6" i="1"/>
  <c r="J6" i="1"/>
  <c r="F6" i="1"/>
  <c r="K6" i="1"/>
  <c r="G6" i="1"/>
  <c r="C6" i="1"/>
  <c r="C19" i="1" s="1"/>
  <c r="H6" i="1"/>
  <c r="D6" i="1"/>
  <c r="H1" i="1"/>
  <c r="K106" i="7" l="1"/>
  <c r="K109" i="7" s="1"/>
  <c r="I24" i="2"/>
  <c r="H106" i="7"/>
  <c r="H109" i="7" s="1"/>
  <c r="D109" i="7"/>
  <c r="E109" i="7"/>
  <c r="J19" i="1"/>
  <c r="E19" i="1"/>
  <c r="I19" i="1"/>
  <c r="K60" i="7"/>
  <c r="K63" i="7" s="1"/>
  <c r="Q3" i="7"/>
  <c r="Q14" i="7"/>
  <c r="Q13" i="7"/>
  <c r="H19" i="1"/>
  <c r="F19" i="1"/>
  <c r="C24" i="2"/>
  <c r="G19" i="1"/>
  <c r="Q8" i="7"/>
  <c r="D19" i="1"/>
  <c r="K19" i="1"/>
  <c r="Q5" i="7"/>
  <c r="J109" i="7"/>
  <c r="I109" i="7"/>
  <c r="F109" i="7"/>
  <c r="G109" i="7"/>
  <c r="D24" i="2"/>
  <c r="E24" i="2"/>
  <c r="G24" i="2"/>
  <c r="F24" i="2"/>
  <c r="K24" i="2"/>
  <c r="J24" i="2"/>
  <c r="H24" i="2"/>
  <c r="C3" i="4"/>
  <c r="D3" i="4"/>
  <c r="E3" i="4"/>
  <c r="F3" i="4"/>
  <c r="G3" i="4"/>
  <c r="H3" i="4"/>
  <c r="I3" i="4"/>
  <c r="J3" i="4"/>
  <c r="K3" i="4"/>
  <c r="C3" i="2"/>
  <c r="D3" i="2"/>
  <c r="E3" i="2"/>
  <c r="F3" i="2"/>
  <c r="G3" i="2"/>
  <c r="H3" i="2"/>
  <c r="I3" i="2"/>
  <c r="J3" i="2"/>
  <c r="K3" i="2"/>
  <c r="C3" i="3"/>
  <c r="D3" i="3"/>
  <c r="E3" i="3"/>
  <c r="F3" i="3"/>
  <c r="G3" i="3"/>
  <c r="H3" i="3"/>
  <c r="I3" i="3"/>
  <c r="J3" i="3"/>
  <c r="K3" i="3"/>
  <c r="C3" i="1"/>
  <c r="C1" i="7" s="1"/>
  <c r="D3" i="1"/>
  <c r="D1" i="7" s="1"/>
  <c r="E3" i="1"/>
  <c r="E1" i="7" s="1"/>
  <c r="F3" i="1"/>
  <c r="F1" i="7" s="1"/>
  <c r="G3" i="1"/>
  <c r="G1" i="7" s="1"/>
  <c r="H3" i="1"/>
  <c r="H1" i="7" s="1"/>
  <c r="I3" i="1"/>
  <c r="I1" i="7" s="1"/>
  <c r="J3" i="1"/>
  <c r="J1" i="7" s="1"/>
  <c r="K3" i="1"/>
  <c r="K1" i="7" s="1"/>
  <c r="H32" i="7" l="1"/>
  <c r="H50" i="7" s="1"/>
  <c r="H67" i="7" s="1"/>
  <c r="H91" i="7" s="1"/>
  <c r="H25" i="7"/>
  <c r="K32" i="7"/>
  <c r="K50" i="7" s="1"/>
  <c r="K67" i="7" s="1"/>
  <c r="K91" i="7" s="1"/>
  <c r="K25" i="7"/>
  <c r="G32" i="7"/>
  <c r="G50" i="7" s="1"/>
  <c r="G67" i="7" s="1"/>
  <c r="G91" i="7" s="1"/>
  <c r="G25" i="7"/>
  <c r="C32" i="7"/>
  <c r="C50" i="7" s="1"/>
  <c r="C67" i="7" s="1"/>
  <c r="C91" i="7" s="1"/>
  <c r="C25" i="7"/>
  <c r="D32" i="7"/>
  <c r="D50" i="7" s="1"/>
  <c r="D67" i="7" s="1"/>
  <c r="D91" i="7" s="1"/>
  <c r="D25" i="7"/>
  <c r="J32" i="7"/>
  <c r="J50" i="7" s="1"/>
  <c r="J67" i="7" s="1"/>
  <c r="J91" i="7" s="1"/>
  <c r="J25" i="7"/>
  <c r="F32" i="7"/>
  <c r="F50" i="7" s="1"/>
  <c r="F67" i="7" s="1"/>
  <c r="F91" i="7" s="1"/>
  <c r="F25" i="7"/>
  <c r="I32" i="7"/>
  <c r="I50" i="7" s="1"/>
  <c r="I67" i="7" s="1"/>
  <c r="I91" i="7" s="1"/>
  <c r="I25" i="7"/>
  <c r="E32" i="7"/>
  <c r="E50" i="7" s="1"/>
  <c r="E67" i="7" s="1"/>
  <c r="E91" i="7" s="1"/>
  <c r="E25" i="7"/>
  <c r="B7" i="4"/>
  <c r="B6" i="4"/>
  <c r="B5" i="4"/>
  <c r="B4" i="4"/>
  <c r="B3" i="4"/>
  <c r="K21" i="2"/>
  <c r="J21" i="2"/>
  <c r="I21" i="2"/>
  <c r="H21" i="2"/>
  <c r="G21" i="2"/>
  <c r="F21" i="2"/>
  <c r="E21" i="2"/>
  <c r="D21" i="2"/>
  <c r="C21" i="2"/>
  <c r="B18" i="2"/>
  <c r="B21" i="2" s="1"/>
  <c r="B13" i="2"/>
  <c r="B12" i="2"/>
  <c r="B11" i="2"/>
  <c r="B10" i="2"/>
  <c r="B8" i="2"/>
  <c r="B7" i="2"/>
  <c r="B6" i="2"/>
  <c r="B3" i="2"/>
  <c r="J14" i="3"/>
  <c r="H14" i="3"/>
  <c r="F14" i="3"/>
  <c r="D14" i="3"/>
  <c r="B12" i="3"/>
  <c r="B11" i="3"/>
  <c r="B10" i="3"/>
  <c r="B9" i="3"/>
  <c r="B8" i="3"/>
  <c r="B7" i="3"/>
  <c r="B4" i="3"/>
  <c r="B3" i="3"/>
  <c r="L15" i="1"/>
  <c r="B20" i="2"/>
  <c r="B3" i="1"/>
  <c r="B23" i="2" l="1"/>
  <c r="B16" i="2"/>
  <c r="B24" i="2" s="1"/>
  <c r="B14" i="3"/>
  <c r="E14" i="3"/>
  <c r="I14" i="3"/>
  <c r="C14" i="3"/>
  <c r="G14" i="3"/>
  <c r="K14" i="3"/>
  <c r="K23" i="1"/>
  <c r="G20" i="2"/>
  <c r="I20" i="2"/>
  <c r="K20" i="2"/>
  <c r="D20" i="2"/>
  <c r="F20" i="2"/>
  <c r="H20" i="2"/>
  <c r="J20" i="2"/>
  <c r="C20" i="2"/>
  <c r="E20" i="2"/>
  <c r="L12" i="1"/>
  <c r="L13" i="1" s="1"/>
  <c r="L14" i="1" s="1"/>
  <c r="L25" i="1" s="1"/>
  <c r="K24" i="1"/>
  <c r="L11" i="1"/>
  <c r="L10" i="1"/>
  <c r="L9" i="1"/>
  <c r="L8" i="1"/>
  <c r="L7" i="1"/>
  <c r="L6" i="1"/>
  <c r="L4" i="1"/>
  <c r="L23" i="1" s="1"/>
  <c r="A1" i="3"/>
  <c r="A1" i="2"/>
  <c r="A1" i="4" s="1"/>
  <c r="H23" i="1"/>
  <c r="I24" i="1"/>
  <c r="I23" i="1"/>
  <c r="J24" i="1"/>
  <c r="J23" i="1"/>
  <c r="B19" i="1"/>
  <c r="H24" i="1" s="1"/>
  <c r="L19" i="1" l="1"/>
  <c r="L24" i="1" s="1"/>
  <c r="L5" i="1"/>
  <c r="H25" i="1"/>
  <c r="J25" i="1"/>
  <c r="K25" i="1"/>
  <c r="I25" i="1"/>
</calcChain>
</file>

<file path=xl/comments1.xml><?xml version="1.0" encoding="utf-8"?>
<comments xmlns="http://schemas.openxmlformats.org/spreadsheetml/2006/main">
  <authors>
    <author>Kumar Saurabh</author>
  </authors>
  <commentList>
    <comment ref="B82" authorId="0" shapeId="0">
      <text>
        <r>
          <rPr>
            <b/>
            <sz val="9"/>
            <color indexed="81"/>
            <rFont val="Tahoma"/>
            <family val="2"/>
          </rPr>
          <t>Kumar Saurabh:</t>
        </r>
        <r>
          <rPr>
            <sz val="9"/>
            <color indexed="81"/>
            <rFont val="Tahoma"/>
            <family val="2"/>
          </rPr>
          <t xml:space="preserve">
COGS or Sales?</t>
        </r>
      </text>
    </comment>
    <comment ref="B85" authorId="0" shapeId="0">
      <text>
        <r>
          <rPr>
            <b/>
            <sz val="9"/>
            <color indexed="81"/>
            <rFont val="Tahoma"/>
            <family val="2"/>
          </rPr>
          <t>Kumar Saurabh:</t>
        </r>
        <r>
          <rPr>
            <sz val="9"/>
            <color indexed="81"/>
            <rFont val="Tahoma"/>
            <family val="2"/>
          </rPr>
          <t xml:space="preserve">
COGS or Sales?</t>
        </r>
      </text>
    </comment>
  </commentList>
</comments>
</file>

<file path=xl/sharedStrings.xml><?xml version="1.0" encoding="utf-8"?>
<sst xmlns="http://schemas.openxmlformats.org/spreadsheetml/2006/main" count="357" uniqueCount="282">
  <si>
    <t>COMPANY NAME</t>
  </si>
  <si>
    <t>SCREENER.IN</t>
  </si>
  <si>
    <t>Narration</t>
  </si>
  <si>
    <t>Sales</t>
  </si>
  <si>
    <t>Expenses</t>
  </si>
  <si>
    <t>Operating Profit</t>
  </si>
  <si>
    <t>Other Income</t>
  </si>
  <si>
    <t>Depreciation</t>
  </si>
  <si>
    <t>Interest</t>
  </si>
  <si>
    <t>Profit before tax</t>
  </si>
  <si>
    <t>Tax</t>
  </si>
  <si>
    <t>Net profit</t>
  </si>
  <si>
    <t>RATIOS:</t>
  </si>
  <si>
    <t>Price to earning</t>
  </si>
  <si>
    <t>Dividend Payout</t>
  </si>
  <si>
    <t>OPM</t>
  </si>
  <si>
    <t>TRENDS:</t>
  </si>
  <si>
    <t>Sales Growth</t>
  </si>
  <si>
    <t>Price to Earning</t>
  </si>
  <si>
    <t>Equity Share Capital</t>
  </si>
  <si>
    <t>Reserves</t>
  </si>
  <si>
    <t>Total</t>
  </si>
  <si>
    <t>Net Block</t>
  </si>
  <si>
    <t>Capital Work in Progress</t>
  </si>
  <si>
    <t>Investments</t>
  </si>
  <si>
    <t>Working Capital</t>
  </si>
  <si>
    <t>Face Value</t>
  </si>
  <si>
    <t>Cash from Operating Activity</t>
  </si>
  <si>
    <t>Cash from Investing Activity</t>
  </si>
  <si>
    <t>Cash from Financing Activity</t>
  </si>
  <si>
    <t>Net Cash Flow</t>
  </si>
  <si>
    <t>PLEASE DO NOT MAKE ANY CHANGES TO THIS SHEET</t>
  </si>
  <si>
    <t>PROFIT &amp; LOSS</t>
  </si>
  <si>
    <t>Report Date</t>
  </si>
  <si>
    <t>Quarters</t>
  </si>
  <si>
    <t>BALANCE SHEET</t>
  </si>
  <si>
    <t>CASH FLOW:</t>
  </si>
  <si>
    <t>Number of shares</t>
  </si>
  <si>
    <t>Current Price</t>
  </si>
  <si>
    <t>Debtors</t>
  </si>
  <si>
    <t>Inventory</t>
  </si>
  <si>
    <t>Debtor Days</t>
  </si>
  <si>
    <t>Inventory Turnover</t>
  </si>
  <si>
    <t>You can customize this workbook as you want.</t>
  </si>
  <si>
    <t>Please don't edit the "Data Sheet" only.</t>
  </si>
  <si>
    <t>After customization, you can upload this back on Screener.</t>
  </si>
  <si>
    <t>Upload on:</t>
  </si>
  <si>
    <t>Download your customized workbooks now onwards.</t>
  </si>
  <si>
    <t>Now whenever you will "Export to excel" from Screener, it will export your customized file.</t>
  </si>
  <si>
    <t>TESTING:</t>
  </si>
  <si>
    <t>This is a testing feature currently.</t>
  </si>
  <si>
    <t>You can report any formula errors on the worksheet at:</t>
  </si>
  <si>
    <t>How to use it?</t>
  </si>
  <si>
    <t>EPS</t>
  </si>
  <si>
    <t>Price</t>
  </si>
  <si>
    <t>Return on Equity</t>
  </si>
  <si>
    <t>Return on Capital Emp</t>
  </si>
  <si>
    <t>LATEST VERSION</t>
  </si>
  <si>
    <t>CURRENT VERSION</t>
  </si>
  <si>
    <t>META</t>
  </si>
  <si>
    <t>10 YEARS</t>
  </si>
  <si>
    <t>7 YEARS</t>
  </si>
  <si>
    <t>5 YEARS</t>
  </si>
  <si>
    <t>3 YEARS</t>
  </si>
  <si>
    <t>RECENT</t>
  </si>
  <si>
    <t>Dividend Amount</t>
  </si>
  <si>
    <t>Borrowings</t>
  </si>
  <si>
    <t>Other Liabilities</t>
  </si>
  <si>
    <t>Other Assets</t>
  </si>
  <si>
    <t>No. of Equity Shares</t>
  </si>
  <si>
    <t>New Bonus Shares</t>
  </si>
  <si>
    <t>DERIVED:</t>
  </si>
  <si>
    <t>PRICE:</t>
  </si>
  <si>
    <t>Receivables</t>
  </si>
  <si>
    <t>Market Capitalization</t>
  </si>
  <si>
    <t>Raw Material Cost</t>
  </si>
  <si>
    <t>Change in Inventory</t>
  </si>
  <si>
    <t>Power and Fuel</t>
  </si>
  <si>
    <t>Other Mfr. Exp</t>
  </si>
  <si>
    <t>Employee Cost</t>
  </si>
  <si>
    <t>Selling and admin</t>
  </si>
  <si>
    <t>Other Expenses</t>
  </si>
  <si>
    <t>Cash &amp; Bank</t>
  </si>
  <si>
    <t>Face value</t>
  </si>
  <si>
    <t>Adjusted Equity Shares in Cr</t>
  </si>
  <si>
    <t>You can add custom formating, add conditional formating, add your own formulas… do ANYTHING.</t>
  </si>
  <si>
    <t xml:space="preserve"> https://www.screener.in/excel/</t>
  </si>
  <si>
    <t xml:space="preserve"> screener.feedback@dalal-street.in</t>
  </si>
  <si>
    <t>Revenue Growth Rate</t>
  </si>
  <si>
    <t>Expense Growth Rate</t>
  </si>
  <si>
    <t>Operating profit Growth Rate</t>
  </si>
  <si>
    <t>PBT Growth Rate</t>
  </si>
  <si>
    <t>PAT Growth Rate</t>
  </si>
  <si>
    <t>Expense as a % of Revenue</t>
  </si>
  <si>
    <t>Interest as a % of Revenue</t>
  </si>
  <si>
    <t>Operating profit Margin</t>
  </si>
  <si>
    <t>PBT Margin</t>
  </si>
  <si>
    <t>PAT Margin</t>
  </si>
  <si>
    <t>Return on Capital Employed</t>
  </si>
  <si>
    <t>Return on Invested Capital</t>
  </si>
  <si>
    <t>Profit Margin</t>
  </si>
  <si>
    <t>Asset turnover</t>
  </si>
  <si>
    <t>Financial Leverage</t>
  </si>
  <si>
    <t>Dividend Yield</t>
  </si>
  <si>
    <t>Dividend Payout Ratio</t>
  </si>
  <si>
    <t>EPS Growth Rate</t>
  </si>
  <si>
    <t>Debt Equity Ratio</t>
  </si>
  <si>
    <t>Interest Coverage Ratio</t>
  </si>
  <si>
    <t>Cashflow to Debt Ratio</t>
  </si>
  <si>
    <t>Return on Asset</t>
  </si>
  <si>
    <t>Current Ratio</t>
  </si>
  <si>
    <t>Quick Ratio</t>
  </si>
  <si>
    <t>Cash Ratio</t>
  </si>
  <si>
    <t>Cash Conversion Cycle</t>
  </si>
  <si>
    <t>Fixed Asset Turnover</t>
  </si>
  <si>
    <t>Revenue per Employee</t>
  </si>
  <si>
    <t>Operating Cycle</t>
  </si>
  <si>
    <t>Operating Cash flow to Sales Ratio</t>
  </si>
  <si>
    <t>Free Cash Flow to Sales Ratio</t>
  </si>
  <si>
    <t>P/E Ratio</t>
  </si>
  <si>
    <t>P/B Ratio</t>
  </si>
  <si>
    <t>EV/EBITDA</t>
  </si>
  <si>
    <t>PEG Ratio</t>
  </si>
  <si>
    <t>Market Cap to Sales Ratio</t>
  </si>
  <si>
    <t>Enterprise Value</t>
  </si>
  <si>
    <t>Book Value</t>
  </si>
  <si>
    <t>Inventory Growth</t>
  </si>
  <si>
    <t>Accounts Receivable Growth</t>
  </si>
  <si>
    <t>NIM</t>
  </si>
  <si>
    <t>Gross NPA %</t>
  </si>
  <si>
    <t>Net NPA %</t>
  </si>
  <si>
    <t>Capital Adequacy Ratio</t>
  </si>
  <si>
    <t>CEO Salary as a % of PAT</t>
  </si>
  <si>
    <t>CEO Salary as a % of OCF</t>
  </si>
  <si>
    <t>CEO Salary as a % of FCF</t>
  </si>
  <si>
    <t>Promoter's Share</t>
  </si>
  <si>
    <t>Pledged Share</t>
  </si>
  <si>
    <t>Unnecessary expenses</t>
  </si>
  <si>
    <t>Unnecessary Diversification</t>
  </si>
  <si>
    <t>Cash per Share</t>
  </si>
  <si>
    <t>Share Price</t>
  </si>
  <si>
    <t>ROE by Dupont Analysis</t>
  </si>
  <si>
    <t>Days Payable Outstanding</t>
  </si>
  <si>
    <t>Market Cap</t>
  </si>
  <si>
    <t>Indicator 1</t>
  </si>
  <si>
    <t>Indicator 2</t>
  </si>
  <si>
    <t>YoY Change</t>
  </si>
  <si>
    <t>COGS/Net Revenue from Operations</t>
  </si>
  <si>
    <t>Operating profit/Net Revenue from Operations</t>
  </si>
  <si>
    <t>Interest/Net Revenue from Operations</t>
  </si>
  <si>
    <t>PBT/Net Revenue from Operations</t>
  </si>
  <si>
    <t>PAT/Net Revenue from Operations</t>
  </si>
  <si>
    <t>PAT/Total Assets</t>
  </si>
  <si>
    <t>Return on Real Assets</t>
  </si>
  <si>
    <t>PAT/Shareholder's Equity</t>
  </si>
  <si>
    <t>Dividend Paid/Net Revenue from Operations</t>
  </si>
  <si>
    <t>Dividend Paid/Share Price</t>
  </si>
  <si>
    <t>Profit Margin*Asset Turnover*Financial Leverage</t>
  </si>
  <si>
    <t>Total Debt/Total Equity</t>
  </si>
  <si>
    <t>Share Price on Recorded Date</t>
  </si>
  <si>
    <t>Share Price* No. of Equity Shares</t>
  </si>
  <si>
    <t>Share Price/Diluted EPS</t>
  </si>
  <si>
    <t>(P/E)/EPS Growth Rate</t>
  </si>
  <si>
    <t>Market Capitalization/Net Revenue from Operations</t>
  </si>
  <si>
    <t>Cash and Bank Balance/no. of Outstanding Equity Shares</t>
  </si>
  <si>
    <t>PAT/Sales</t>
  </si>
  <si>
    <t>Sales/Asset</t>
  </si>
  <si>
    <t>Asset/Shareholder's Equity</t>
  </si>
  <si>
    <t>Capital Employed</t>
  </si>
  <si>
    <t>Working Capital as a % of Sales</t>
  </si>
  <si>
    <t>Capital Employed as a % of Sales</t>
  </si>
  <si>
    <t>Working Capital Growth Rate</t>
  </si>
  <si>
    <t>Capital Employed Growth Rate</t>
  </si>
  <si>
    <t>EBIT/Capital Employed</t>
  </si>
  <si>
    <t>(Total Asset - Current Liabilities) or (Shareholder's Equity + Debt Liabilities)</t>
  </si>
  <si>
    <t>Working Capital/Sales</t>
  </si>
  <si>
    <t>Capital Employed/Sales</t>
  </si>
  <si>
    <t>Working Capital as a % of PAT</t>
  </si>
  <si>
    <t>Capital Employed as a % of PAT</t>
  </si>
  <si>
    <t>Working Capital as a % of CFO</t>
  </si>
  <si>
    <t>Capital Employed as a % of CFO</t>
  </si>
  <si>
    <t>Working Capital/PAT</t>
  </si>
  <si>
    <t>Working Capital/CFO</t>
  </si>
  <si>
    <t>Capital Employed/CFO</t>
  </si>
  <si>
    <t>Working Capital Ratio</t>
  </si>
  <si>
    <t>Current Assets - Current Liabilities</t>
  </si>
  <si>
    <t>Current Assets/Current Liabilities</t>
  </si>
  <si>
    <t>EBIT/Interest Expense</t>
  </si>
  <si>
    <t>(Current Assets - Inventories)/Current Liabilities</t>
  </si>
  <si>
    <t>(Cash + Cash Equivalent + Invested Funds)/ Current Liabilities</t>
  </si>
  <si>
    <t>DIO+DSO-DPO</t>
  </si>
  <si>
    <t>(Inventory/COGS)*365</t>
  </si>
  <si>
    <t>Sales/Inventory</t>
  </si>
  <si>
    <t>(Sales/Net Block)*365</t>
  </si>
  <si>
    <t>Saless/No. of Employees</t>
  </si>
  <si>
    <t>(Accounts Receivable/Total Credit Sales)*365</t>
  </si>
  <si>
    <t>(Accounts Payable/Cost of Sales)*365</t>
  </si>
  <si>
    <t>CEO Salary/PAT</t>
  </si>
  <si>
    <t>CEO Salary/OCF</t>
  </si>
  <si>
    <t>CEO Salary/FCF</t>
  </si>
  <si>
    <t>Calculation</t>
  </si>
  <si>
    <t>Operating Cashflow/Total Debt</t>
  </si>
  <si>
    <t>Operating Cashflow/Net Sales</t>
  </si>
  <si>
    <t>Free Cashflow/Net Sales</t>
  </si>
  <si>
    <t>Operating Cashflow Growth Rate</t>
  </si>
  <si>
    <t>Free Cashflow Growth Rate</t>
  </si>
  <si>
    <t>Short Term Debt Coverage</t>
  </si>
  <si>
    <t>CAPEX Coverage</t>
  </si>
  <si>
    <t>Operating Cash flow/Short Term Debt</t>
  </si>
  <si>
    <t>Operating Cash Flow/CAPEX</t>
  </si>
  <si>
    <t>Market Value of Common Stock + Market Value of Preferred Stock + Market Value of Debt + Minority Interest - Cash and Investments</t>
  </si>
  <si>
    <t>Share Price/Book Value per Share</t>
  </si>
  <si>
    <t>Enterprise Value/EBITDA</t>
  </si>
  <si>
    <t>(Interest Return - Interest Expense)/Average Earning Assets</t>
  </si>
  <si>
    <t>As per Annual Report</t>
  </si>
  <si>
    <t>KITEX GARMENTS LTD</t>
  </si>
  <si>
    <t>No. of Employees</t>
  </si>
  <si>
    <t>For IT Companies</t>
  </si>
  <si>
    <t>Operating Cash flow</t>
  </si>
  <si>
    <t>CAPEX</t>
  </si>
  <si>
    <t>Free Cash Flow</t>
  </si>
  <si>
    <t>Total Dividend Paid</t>
  </si>
  <si>
    <t>No. of Shares Outstanding(Crores)</t>
  </si>
  <si>
    <t>Value</t>
  </si>
  <si>
    <t>Working Capital1</t>
  </si>
  <si>
    <t>Working Capital2 (Without Cash)</t>
  </si>
  <si>
    <t>Invested Capital1 (Equity + Long Debt)</t>
  </si>
  <si>
    <t>Invested Capital2 (Equity + Long Debt- Cash)</t>
  </si>
  <si>
    <t>invested Capital3(Net Block + Work in Progress + WC w/o cash)</t>
  </si>
  <si>
    <t>invested Capital4(Net Block  + WC w/o cash)</t>
  </si>
  <si>
    <t>EBIT</t>
  </si>
  <si>
    <t>Return on Invested Capital1</t>
  </si>
  <si>
    <t>Return on Invested Capital2</t>
  </si>
  <si>
    <t>Return on Invested Capital3</t>
  </si>
  <si>
    <t>Return on Invested Capital4</t>
  </si>
  <si>
    <t>Days Inventory Outstanding/Inventory Days</t>
  </si>
  <si>
    <t>Days Sales Outstanding/Debtor Days</t>
  </si>
  <si>
    <t>Current Assets - Current Liabilities - Cash and Cash Equivalents</t>
  </si>
  <si>
    <t>Change in Net Block + Change in WIP + Depreciation</t>
  </si>
  <si>
    <t>Derived Numbers</t>
  </si>
  <si>
    <t>Return Ratios</t>
  </si>
  <si>
    <t>Operating Ratio</t>
  </si>
  <si>
    <t>Leverage Ratio</t>
  </si>
  <si>
    <t>Valuation Ratio</t>
  </si>
  <si>
    <t>Corporate Governance Ratio</t>
  </si>
  <si>
    <t>Banking Ratio</t>
  </si>
  <si>
    <t>Growth Ratio</t>
  </si>
  <si>
    <t>Margin Ratio</t>
  </si>
  <si>
    <t>PAT/Capital Employed</t>
  </si>
  <si>
    <t>P&amp;L Items</t>
  </si>
  <si>
    <t>Cash Flow Items</t>
  </si>
  <si>
    <t>Balance Sheet Items</t>
  </si>
  <si>
    <t>Equity Share Capital Growth Rate</t>
  </si>
  <si>
    <t>Reserves &amp; Surplus Growth Rate</t>
  </si>
  <si>
    <t>Shareholder's Equity Growth Rate</t>
  </si>
  <si>
    <t>Total Asset Growth Rate</t>
  </si>
  <si>
    <t>Net Fixed Asset Growth Rate</t>
  </si>
  <si>
    <t>Current Asset Growth Rate</t>
  </si>
  <si>
    <t>Total Liability Growth Rate</t>
  </si>
  <si>
    <t>Long Term Borrowing Growth Rate</t>
  </si>
  <si>
    <t>Current Liability Growth Rate</t>
  </si>
  <si>
    <t>Cash as a % of Share Price</t>
  </si>
  <si>
    <t>Cash per Share/Share Price</t>
  </si>
  <si>
    <t>CAGR Overall</t>
  </si>
  <si>
    <t>CAGR 5 Years</t>
  </si>
  <si>
    <t>CAGR 3 Years</t>
  </si>
  <si>
    <t>Accounts Recievable as a % of Sales</t>
  </si>
  <si>
    <t>Accounts Receivable/Sales</t>
  </si>
  <si>
    <t>Inventory as a % of Sales</t>
  </si>
  <si>
    <t>Inventory/Sales</t>
  </si>
  <si>
    <t>Reciebales and Inventory as a % of Sales</t>
  </si>
  <si>
    <t>(Receivables+Inventory)/Sales</t>
  </si>
  <si>
    <t>In 2007, this used to be a highly leveraged company (moe than 6 debt equity ratio) working at 6% PAT margin</t>
  </si>
  <si>
    <t>What this company did exceptionally well is:
1. Increased Revenue by 17% CAGR for 9 years
2. Managed cost control by process control and against revenue cost increased only at 12% CAGR
3. This resulted in huge lift in PAT amrgin from 6% to 21%</t>
  </si>
  <si>
    <t>That’s the story in summary</t>
  </si>
  <si>
    <t>Where are turbulant times</t>
  </si>
  <si>
    <t>Cash as a % of Long Term Debt</t>
  </si>
  <si>
    <t>Cash/Long Term Debt</t>
  </si>
  <si>
    <t>Interest as a % of Long Term Debt</t>
  </si>
  <si>
    <t>Historical Quick Resignations</t>
  </si>
  <si>
    <t>As per dupont analysis, even in 2007 the company gave handsome return on equity of 40% but this was highly risky return backed by financial levrage,however, by growing revenue, effiocient managemnt of processes and cost control, regular payment of interest without unnecessary expansion and diversification to unrelated business, year on year loan repayment, now, it provides ROE of 30% without leveraging much</t>
  </si>
  <si>
    <t>I believe, turbulant times are in accounts receivable and revenue seasonality pattern of 2 years each, non-utilization of cash for long term debt repayment and increasing debtor days. Also, from valuation perspective , too much of hype and then realization of actual price based on hard and soft facts of the business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</si>
</sst>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_ * #,##0.00_ ;_ * \-#,##0.00_ ;_ * &quot;-&quot;??_ ;_ @_ "/>
    <numFmt numFmtId="165" formatCode="[$-409]mmm\-yy;@"/>
    <numFmt numFmtId="166" formatCode="[$-409]d\-mmm\-yy;@"/>
    <numFmt numFmtId="167" formatCode="0.0%"/>
    <numFmt numFmtId="168" formatCode="0.0"/>
  </numFmts>
  <fonts count="19" x14ac:knownFonts="1">
    <font>
      <sz val="11"/>
      <color theme="1"/>
      <name val="Calibri"/>
      <family val="2"/>
      <scheme val="minor"/>
    </font>
    <font>
      <b/>
      <sz val="11"/>
      <color theme="1"/>
      <name val="Calibri"/>
      <family val="2"/>
      <scheme val="minor"/>
    </font>
    <font>
      <b/>
      <sz val="11"/>
      <color theme="0"/>
      <name val="Calibri"/>
      <family val="2"/>
      <scheme val="minor"/>
    </font>
    <font>
      <sz val="11"/>
      <color theme="1"/>
      <name val="Calibri"/>
      <family val="2"/>
      <scheme val="minor"/>
    </font>
    <font>
      <u/>
      <sz val="11"/>
      <color theme="10"/>
      <name val="Calibri"/>
      <family val="2"/>
    </font>
    <font>
      <sz val="11"/>
      <color theme="0"/>
      <name val="Calibri"/>
      <family val="2"/>
      <scheme val="minor"/>
    </font>
    <font>
      <b/>
      <u/>
      <sz val="11"/>
      <color theme="10"/>
      <name val="Calibri"/>
      <family val="2"/>
    </font>
    <font>
      <b/>
      <sz val="16"/>
      <color theme="1"/>
      <name val="Calibri"/>
      <family val="2"/>
      <scheme val="minor"/>
    </font>
    <font>
      <b/>
      <sz val="11"/>
      <color rgb="FFFF0000"/>
      <name val="Calibri"/>
      <family val="2"/>
      <scheme val="minor"/>
    </font>
    <font>
      <sz val="11"/>
      <name val="Calibri"/>
      <family val="2"/>
      <scheme val="minor"/>
    </font>
    <font>
      <i/>
      <sz val="11"/>
      <color theme="1"/>
      <name val="Calibri"/>
      <family val="2"/>
      <scheme val="minor"/>
    </font>
    <font>
      <b/>
      <i/>
      <sz val="11"/>
      <color theme="1"/>
      <name val="Calibri"/>
      <family val="2"/>
      <scheme val="minor"/>
    </font>
    <font>
      <i/>
      <sz val="8"/>
      <color theme="1"/>
      <name val="Calibri"/>
      <family val="2"/>
      <scheme val="minor"/>
    </font>
    <font>
      <b/>
      <i/>
      <sz val="8"/>
      <color theme="1"/>
      <name val="Calibri"/>
      <family val="2"/>
      <scheme val="minor"/>
    </font>
    <font>
      <sz val="8"/>
      <color theme="1"/>
      <name val="Calibri"/>
      <family val="2"/>
      <scheme val="minor"/>
    </font>
    <font>
      <sz val="9"/>
      <color indexed="81"/>
      <name val="Tahoma"/>
      <family val="2"/>
    </font>
    <font>
      <b/>
      <sz val="9"/>
      <color indexed="81"/>
      <name val="Tahoma"/>
      <family val="2"/>
    </font>
    <font>
      <b/>
      <u/>
      <sz val="14"/>
      <color theme="1"/>
      <name val="Calibri"/>
      <family val="2"/>
      <scheme val="minor"/>
    </font>
    <font>
      <b/>
      <u/>
      <sz val="13"/>
      <color theme="1"/>
      <name val="Calibri"/>
      <family val="2"/>
      <scheme val="minor"/>
    </font>
  </fonts>
  <fills count="6">
    <fill>
      <patternFill patternType="none"/>
    </fill>
    <fill>
      <patternFill patternType="gray125"/>
    </fill>
    <fill>
      <patternFill patternType="solid">
        <fgColor theme="4" tint="0.39997558519241921"/>
        <bgColor indexed="65"/>
      </patternFill>
    </fill>
    <fill>
      <patternFill patternType="solid">
        <fgColor theme="6" tint="0.39997558519241921"/>
        <bgColor indexed="65"/>
      </patternFill>
    </fill>
    <fill>
      <patternFill patternType="solid">
        <fgColor theme="9"/>
      </patternFill>
    </fill>
    <fill>
      <patternFill patternType="solid">
        <fgColor rgb="FF0275D8"/>
        <bgColor indexed="64"/>
      </patternFill>
    </fill>
  </fills>
  <borders count="1">
    <border>
      <left/>
      <right/>
      <top/>
      <bottom/>
      <diagonal/>
    </border>
  </borders>
  <cellStyleXfs count="7">
    <xf numFmtId="0" fontId="0" fillId="0" borderId="0"/>
    <xf numFmtId="164" fontId="3" fillId="0" borderId="0" applyFont="0" applyFill="0" applyBorder="0" applyAlignment="0" applyProtection="0"/>
    <xf numFmtId="0" fontId="4" fillId="0" borderId="0" applyNumberFormat="0" applyFill="0" applyBorder="0" applyAlignment="0" applyProtection="0">
      <alignment vertical="top"/>
      <protection locked="0"/>
    </xf>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9" fontId="3" fillId="0" borderId="0" applyFont="0" applyFill="0" applyBorder="0" applyAlignment="0" applyProtection="0"/>
  </cellStyleXfs>
  <cellXfs count="65">
    <xf numFmtId="0" fontId="0" fillId="0" borderId="0" xfId="0"/>
    <xf numFmtId="164" fontId="1" fillId="0" borderId="0" xfId="1" applyFont="1" applyBorder="1"/>
    <xf numFmtId="0" fontId="1" fillId="0" borderId="0" xfId="0" applyFont="1" applyFill="1" applyBorder="1"/>
    <xf numFmtId="0" fontId="8" fillId="0" borderId="0" xfId="0" applyFont="1" applyFill="1" applyBorder="1" applyAlignment="1"/>
    <xf numFmtId="0" fontId="1" fillId="0" borderId="0" xfId="0" applyFont="1" applyFill="1" applyBorder="1" applyAlignment="1"/>
    <xf numFmtId="164" fontId="0" fillId="0" borderId="0" xfId="1" applyFont="1" applyBorder="1"/>
    <xf numFmtId="0" fontId="0" fillId="0" borderId="0" xfId="0" applyFont="1" applyBorder="1"/>
    <xf numFmtId="10" fontId="0" fillId="0" borderId="0" xfId="0" applyNumberFormat="1" applyFont="1" applyBorder="1"/>
    <xf numFmtId="0" fontId="1" fillId="0" borderId="0" xfId="0" applyFont="1" applyBorder="1"/>
    <xf numFmtId="164" fontId="3" fillId="0" borderId="0" xfId="1" applyFont="1" applyBorder="1"/>
    <xf numFmtId="9" fontId="3" fillId="0" borderId="0" xfId="1" applyNumberFormat="1" applyFont="1" applyBorder="1"/>
    <xf numFmtId="0" fontId="0" fillId="0" borderId="0" xfId="0" applyBorder="1"/>
    <xf numFmtId="164" fontId="2" fillId="2" borderId="0" xfId="3" applyNumberFormat="1" applyFont="1" applyBorder="1"/>
    <xf numFmtId="164" fontId="2" fillId="3" borderId="0" xfId="4" applyNumberFormat="1" applyFont="1" applyBorder="1"/>
    <xf numFmtId="9" fontId="1" fillId="0" borderId="0" xfId="6" applyFont="1" applyBorder="1"/>
    <xf numFmtId="0" fontId="2" fillId="5" borderId="0" xfId="0" applyFont="1" applyFill="1" applyBorder="1"/>
    <xf numFmtId="165" fontId="2" fillId="5" borderId="0" xfId="0" applyNumberFormat="1" applyFont="1" applyFill="1" applyBorder="1" applyAlignment="1">
      <alignment horizontal="center"/>
    </xf>
    <xf numFmtId="0" fontId="2" fillId="5" borderId="0" xfId="0" applyFont="1" applyFill="1" applyBorder="1" applyAlignment="1">
      <alignment horizontal="center"/>
    </xf>
    <xf numFmtId="0" fontId="0" fillId="0" borderId="0" xfId="0" applyFill="1" applyBorder="1"/>
    <xf numFmtId="164" fontId="0" fillId="0" borderId="0" xfId="1" applyNumberFormat="1" applyFont="1" applyBorder="1" applyAlignment="1">
      <alignment horizontal="center"/>
    </xf>
    <xf numFmtId="164" fontId="1" fillId="0" borderId="0" xfId="1" applyNumberFormat="1" applyFont="1" applyBorder="1" applyAlignment="1">
      <alignment horizontal="center"/>
    </xf>
    <xf numFmtId="164" fontId="0" fillId="0" borderId="0" xfId="1" applyNumberFormat="1" applyFont="1" applyBorder="1"/>
    <xf numFmtId="10" fontId="1" fillId="0" borderId="0" xfId="0" applyNumberFormat="1" applyFont="1" applyBorder="1"/>
    <xf numFmtId="165" fontId="2" fillId="5" borderId="0" xfId="1" applyNumberFormat="1" applyFont="1" applyFill="1" applyBorder="1"/>
    <xf numFmtId="165" fontId="9" fillId="0" borderId="0" xfId="1" applyNumberFormat="1" applyFont="1" applyFill="1" applyBorder="1"/>
    <xf numFmtId="0" fontId="7" fillId="0" borderId="0" xfId="0" applyFont="1" applyBorder="1"/>
    <xf numFmtId="0" fontId="0" fillId="0" borderId="0" xfId="0" applyBorder="1" applyAlignment="1">
      <alignment horizontal="left"/>
    </xf>
    <xf numFmtId="0" fontId="6" fillId="0" borderId="0" xfId="2" applyFont="1" applyBorder="1" applyAlignment="1" applyProtection="1">
      <alignment horizontal="left"/>
    </xf>
    <xf numFmtId="0" fontId="6" fillId="0" borderId="0" xfId="2" applyFont="1" applyBorder="1" applyAlignment="1" applyProtection="1"/>
    <xf numFmtId="0" fontId="0" fillId="0" borderId="0" xfId="0" applyFont="1" applyFill="1" applyBorder="1"/>
    <xf numFmtId="0" fontId="9" fillId="0" borderId="0" xfId="0" applyFont="1" applyFill="1" applyBorder="1"/>
    <xf numFmtId="43" fontId="0" fillId="0" borderId="0" xfId="1" applyNumberFormat="1" applyFont="1" applyBorder="1"/>
    <xf numFmtId="9" fontId="0" fillId="0" borderId="0" xfId="6" applyFont="1" applyAlignment="1">
      <alignment horizontal="center" vertical="center"/>
    </xf>
    <xf numFmtId="0" fontId="0" fillId="0" borderId="0" xfId="0" applyAlignment="1">
      <alignment horizontal="center" vertical="center"/>
    </xf>
    <xf numFmtId="9" fontId="0" fillId="0" borderId="0" xfId="0" applyNumberFormat="1" applyAlignment="1">
      <alignment horizontal="center" vertical="center"/>
    </xf>
    <xf numFmtId="167" fontId="0" fillId="0" borderId="0" xfId="6" applyNumberFormat="1" applyFont="1" applyAlignment="1">
      <alignment horizontal="center" vertical="center"/>
    </xf>
    <xf numFmtId="2" fontId="0" fillId="0" borderId="0" xfId="0" applyNumberFormat="1" applyAlignment="1">
      <alignment horizontal="center" vertical="center"/>
    </xf>
    <xf numFmtId="168" fontId="0" fillId="0" borderId="0" xfId="0" applyNumberFormat="1" applyAlignment="1">
      <alignment horizontal="center" vertical="center"/>
    </xf>
    <xf numFmtId="0" fontId="1" fillId="0" borderId="0" xfId="0" applyFont="1"/>
    <xf numFmtId="166" fontId="1" fillId="0" borderId="0" xfId="0" applyNumberFormat="1" applyFont="1"/>
    <xf numFmtId="1" fontId="0" fillId="0" borderId="0" xfId="0" applyNumberFormat="1" applyAlignment="1">
      <alignment horizontal="center" vertical="center"/>
    </xf>
    <xf numFmtId="0" fontId="12" fillId="0" borderId="0" xfId="0" applyFont="1" applyAlignment="1">
      <alignment wrapText="1"/>
    </xf>
    <xf numFmtId="0" fontId="1" fillId="0" borderId="0" xfId="0" applyFont="1" applyAlignment="1">
      <alignment wrapText="1"/>
    </xf>
    <xf numFmtId="0" fontId="13" fillId="0" borderId="0" xfId="0" applyFont="1" applyAlignment="1">
      <alignment wrapText="1"/>
    </xf>
    <xf numFmtId="0" fontId="14" fillId="0" borderId="0" xfId="0" applyFont="1" applyAlignment="1">
      <alignment wrapText="1"/>
    </xf>
    <xf numFmtId="0" fontId="1" fillId="0" borderId="0" xfId="0" applyFont="1" applyAlignment="1">
      <alignment horizontal="center" vertical="center"/>
    </xf>
    <xf numFmtId="2" fontId="0" fillId="0" borderId="0" xfId="6" applyNumberFormat="1" applyFont="1" applyAlignment="1">
      <alignment horizontal="center" vertical="center"/>
    </xf>
    <xf numFmtId="168" fontId="0" fillId="0" borderId="0" xfId="6" applyNumberFormat="1" applyFont="1" applyAlignment="1">
      <alignment horizontal="center" vertical="center"/>
    </xf>
    <xf numFmtId="0" fontId="0" fillId="0" borderId="0" xfId="0" applyFill="1" applyAlignment="1">
      <alignment horizontal="center" vertical="center"/>
    </xf>
    <xf numFmtId="0" fontId="0" fillId="0" borderId="0" xfId="0" applyFill="1" applyAlignment="1">
      <alignment horizontal="center"/>
    </xf>
    <xf numFmtId="1" fontId="0" fillId="0" borderId="0" xfId="0" applyNumberFormat="1" applyFill="1" applyAlignment="1">
      <alignment horizontal="center" vertical="center"/>
    </xf>
    <xf numFmtId="168" fontId="0" fillId="0" borderId="0" xfId="0" applyNumberFormat="1" applyFill="1" applyAlignment="1">
      <alignment horizontal="center" vertical="center"/>
    </xf>
    <xf numFmtId="166" fontId="1" fillId="0" borderId="0" xfId="6" applyNumberFormat="1" applyFont="1" applyAlignment="1">
      <alignment horizontal="center" vertical="center"/>
    </xf>
    <xf numFmtId="166" fontId="1" fillId="0" borderId="0" xfId="0" applyNumberFormat="1" applyFont="1" applyAlignment="1">
      <alignment horizontal="center" vertical="center"/>
    </xf>
    <xf numFmtId="9" fontId="3" fillId="0" borderId="0" xfId="6" applyFont="1" applyAlignment="1">
      <alignment horizontal="center" vertical="center"/>
    </xf>
    <xf numFmtId="0" fontId="0" fillId="0" borderId="0" xfId="0" applyAlignment="1">
      <alignment wrapText="1"/>
    </xf>
    <xf numFmtId="1" fontId="0" fillId="0" borderId="0" xfId="6" applyNumberFormat="1" applyFont="1" applyAlignment="1">
      <alignment horizontal="center" vertical="center"/>
    </xf>
    <xf numFmtId="0" fontId="17" fillId="0" borderId="0" xfId="0" applyFont="1" applyAlignment="1">
      <alignment horizontal="left" vertical="center"/>
    </xf>
    <xf numFmtId="0" fontId="18" fillId="0" borderId="0" xfId="0" applyFont="1" applyAlignment="1">
      <alignment horizontal="left" vertical="center"/>
    </xf>
    <xf numFmtId="0" fontId="10" fillId="0" borderId="0" xfId="0" applyFont="1" applyAlignment="1">
      <alignment horizontal="left" vertical="center"/>
    </xf>
    <xf numFmtId="0" fontId="10" fillId="0" borderId="0" xfId="0" applyFont="1" applyFill="1" applyAlignment="1">
      <alignment horizontal="left" vertical="center"/>
    </xf>
    <xf numFmtId="0" fontId="11" fillId="0" borderId="0" xfId="0" applyFont="1" applyAlignment="1">
      <alignment horizontal="left" vertical="center"/>
    </xf>
    <xf numFmtId="0" fontId="0" fillId="0" borderId="0" xfId="0" applyAlignment="1">
      <alignment horizontal="left" vertical="center"/>
    </xf>
    <xf numFmtId="164" fontId="4" fillId="0" borderId="0" xfId="2" applyNumberFormat="1" applyBorder="1" applyAlignment="1" applyProtection="1">
      <alignment horizontal="center"/>
    </xf>
    <xf numFmtId="164" fontId="2" fillId="4" borderId="0" xfId="5" applyNumberFormat="1" applyFont="1" applyBorder="1" applyAlignment="1">
      <alignment horizontal="center"/>
    </xf>
  </cellXfs>
  <cellStyles count="7">
    <cellStyle name="60% - Accent1" xfId="3" builtinId="32"/>
    <cellStyle name="60% - Accent3" xfId="4" builtinId="40"/>
    <cellStyle name="Accent6" xfId="5" builtinId="49"/>
    <cellStyle name="Comma" xfId="1" builtinId="3"/>
    <cellStyle name="Hyperlink" xfId="2" builtinId="8"/>
    <cellStyle name="Normal" xfId="0" builtinId="0"/>
    <cellStyle name="Percent" xfId="6" builtinId="5"/>
  </cellStyles>
  <dxfs count="33">
    <dxf>
      <font>
        <b/>
        <i val="0"/>
        <color theme="0"/>
      </font>
      <fill>
        <patternFill>
          <bgColor theme="5"/>
        </patternFill>
      </fill>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fill>
        <patternFill patternType="solid">
          <fgColor theme="4"/>
          <bgColor rgb="FF0275D8"/>
        </patternFill>
      </fill>
      <border diagonalUp="0" diagonalDown="0" outline="0">
        <left style="thin">
          <color theme="4"/>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4"/>
          <bgColor rgb="FF0275D8"/>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4"/>
          <bgColor rgb="FF0275D8"/>
        </patternFill>
      </fill>
      <alignment horizontal="center" vertical="bottom" textRotation="0" wrapText="0" relativeIndent="0" justifyLastLine="0" shrinkToFit="0" readingOrder="0"/>
      <border diagonalUp="0" diagonalDown="0" outline="0">
        <left/>
        <right style="thin">
          <color theme="4"/>
        </right>
        <top/>
        <bottom/>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4"/>
          <bgColor rgb="FF0275D8"/>
        </patternFill>
      </fill>
      <border diagonalUp="0" diagonalDown="0" outline="0">
        <left/>
        <right/>
        <top/>
        <bottom/>
      </border>
    </dxf>
    <dxf>
      <font>
        <b/>
        <i val="0"/>
        <strike val="0"/>
        <condense val="0"/>
        <extend val="0"/>
        <outline val="0"/>
        <shadow val="0"/>
        <u val="none"/>
        <vertAlign val="baseline"/>
        <sz val="11"/>
        <color theme="0"/>
        <name val="Calibri"/>
        <scheme val="minor"/>
      </font>
      <fill>
        <patternFill patternType="solid">
          <fgColor theme="4"/>
          <bgColor rgb="FF0275D8"/>
        </patternFill>
      </fill>
      <alignment horizontal="center" vertical="bottom" textRotation="0" wrapText="0" relativeIndent="0" justifyLastLine="0" shrinkToFit="0" readingOrder="0"/>
    </dxf>
  </dxfs>
  <tableStyles count="0" defaultTableStyle="TableStyleMedium9" defaultPivotStyle="PivotStyleLight16"/>
  <colors>
    <mruColors>
      <color rgb="FF0275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id="1" name="Annual" displayName="Annual" ref="A3:O19" headerRowCount="0" totalsRowShown="0" headerRowDxfId="32">
  <tableColumns count="15">
    <tableColumn id="1" name="Column1" headerRowDxfId="31" dataDxfId="30"/>
    <tableColumn id="2" name="Column2" headerRowDxfId="29"/>
    <tableColumn id="3" name="Column3" headerRowDxfId="28"/>
    <tableColumn id="4" name="Column4" headerRowDxfId="27"/>
    <tableColumn id="5" name="Column5" headerRowDxfId="26"/>
    <tableColumn id="6" name="Column6" headerRowDxfId="25"/>
    <tableColumn id="7" name="Column7" headerRowDxfId="24"/>
    <tableColumn id="8" name="Column8" headerRowDxfId="23"/>
    <tableColumn id="9" name="Column9" headerRowDxfId="22"/>
    <tableColumn id="10" name="Column10" headerRowDxfId="21"/>
    <tableColumn id="11" name="Column11" headerRowDxfId="20"/>
    <tableColumn id="12" name="Column12" headerRowDxfId="19"/>
    <tableColumn id="13" name="Column13" headerRowDxfId="18" dataDxfId="17"/>
    <tableColumn id="14" name="Column14" headerRowDxfId="16" dataDxfId="15"/>
    <tableColumn id="15" name="Column15" headerRowDxfId="14" dataDxfId="13"/>
  </tableColumns>
  <tableStyleInfo showFirstColumn="0" showLastColumn="0" showRowStripes="0" showColumnStripes="0"/>
</table>
</file>

<file path=xl/tables/table2.xml><?xml version="1.0" encoding="utf-8"?>
<table xmlns="http://schemas.openxmlformats.org/spreadsheetml/2006/main" id="2" name="Quarters" displayName="Quarters" ref="A3:K14" headerRowCount="0" totalsRowShown="0" headerRowDxfId="12">
  <tableColumns count="11">
    <tableColumn id="1" name="Column1" headerRowDxfId="11"/>
    <tableColumn id="2" name="Column2" headerRowDxfId="10"/>
    <tableColumn id="3" name="Column3" headerRowDxfId="9"/>
    <tableColumn id="4" name="Column4" headerRowDxfId="8"/>
    <tableColumn id="5" name="Column5" headerRowDxfId="7"/>
    <tableColumn id="6" name="Column6" headerRowDxfId="6"/>
    <tableColumn id="7" name="Column7" headerRowDxfId="5"/>
    <tableColumn id="8" name="Column8" headerRowDxfId="4"/>
    <tableColumn id="9" name="Column9" headerRowDxfId="3"/>
    <tableColumn id="10" name="Column10" headerRowDxfId="2"/>
    <tableColumn id="11" name="Column11" headerRowDxfId="1"/>
  </tableColumns>
  <tableStyleInfo name="TableStyleLight1" showFirstColumn="0" showLastColumn="0" showRowStripes="0"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Adjacency">
  <a:themeElements>
    <a:clrScheme name="Concourse">
      <a:dk1>
        <a:sysClr val="windowText" lastClr="000000"/>
      </a:dk1>
      <a:lt1>
        <a:sysClr val="window" lastClr="FFFFFF"/>
      </a:lt1>
      <a:dk2>
        <a:srgbClr val="464646"/>
      </a:dk2>
      <a:lt2>
        <a:srgbClr val="DEF5FA"/>
      </a:lt2>
      <a:accent1>
        <a:srgbClr val="2DA2BF"/>
      </a:accent1>
      <a:accent2>
        <a:srgbClr val="DA1F28"/>
      </a:accent2>
      <a:accent3>
        <a:srgbClr val="EB641B"/>
      </a:accent3>
      <a:accent4>
        <a:srgbClr val="39639D"/>
      </a:accent4>
      <a:accent5>
        <a:srgbClr val="474B78"/>
      </a:accent5>
      <a:accent6>
        <a:srgbClr val="7D3C4A"/>
      </a:accent6>
      <a:hlink>
        <a:srgbClr val="FF8119"/>
      </a:hlink>
      <a:folHlink>
        <a:srgbClr val="44B9E8"/>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djacency">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www.screener.in/"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http://www.screener.in/"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screener.in/"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creener.in/"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www.screener.in/exce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screener.in/excel/"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25"/>
  <sheetViews>
    <sheetView zoomScaleSheetLayoutView="100" workbookViewId="0">
      <pane xSplit="1" ySplit="4" topLeftCell="B5" activePane="bottomRight" state="frozen"/>
      <selection activeCell="I2" sqref="I2"/>
      <selection pane="topRight" activeCell="I2" sqref="I2"/>
      <selection pane="bottomLeft" activeCell="I2" sqref="I2"/>
      <selection pane="bottomRight" activeCell="M22" sqref="M22:N25"/>
    </sheetView>
  </sheetViews>
  <sheetFormatPr defaultRowHeight="15" x14ac:dyDescent="0.25"/>
  <cols>
    <col min="1" max="1" width="20.7109375" style="6" customWidth="1"/>
    <col min="2" max="6" width="13.5703125" style="6" customWidth="1"/>
    <col min="7" max="7" width="14.85546875" style="6" bestFit="1" customWidth="1"/>
    <col min="8" max="11" width="13.5703125" style="6" customWidth="1"/>
    <col min="12" max="12" width="13.28515625" style="6" customWidth="1"/>
    <col min="13" max="13" width="12.140625" style="6" customWidth="1"/>
    <col min="14" max="14" width="9.42578125" style="6" bestFit="1" customWidth="1"/>
    <col min="15" max="16384" width="9.140625" style="6"/>
  </cols>
  <sheetData>
    <row r="1" spans="1:15" s="8" customFormat="1" x14ac:dyDescent="0.25">
      <c r="A1" s="8" t="str">
        <f>'Data Sheet'!B1</f>
        <v>KITEX GARMENTS LTD</v>
      </c>
      <c r="H1" t="str">
        <f>UPDATE</f>
        <v/>
      </c>
      <c r="J1" s="3"/>
      <c r="K1" s="3"/>
      <c r="M1" s="8" t="s">
        <v>1</v>
      </c>
    </row>
    <row r="3" spans="1:15" s="2" customFormat="1" x14ac:dyDescent="0.25">
      <c r="A3" s="15" t="s">
        <v>2</v>
      </c>
      <c r="B3" s="16">
        <f>'Data Sheet'!B16</f>
        <v>38807</v>
      </c>
      <c r="C3" s="16">
        <f>'Data Sheet'!C16</f>
        <v>39172</v>
      </c>
      <c r="D3" s="16">
        <f>'Data Sheet'!D16</f>
        <v>39538</v>
      </c>
      <c r="E3" s="16">
        <f>'Data Sheet'!E16</f>
        <v>39903</v>
      </c>
      <c r="F3" s="16">
        <f>'Data Sheet'!F16</f>
        <v>40268</v>
      </c>
      <c r="G3" s="16">
        <f>'Data Sheet'!G16</f>
        <v>40633</v>
      </c>
      <c r="H3" s="16">
        <f>'Data Sheet'!H16</f>
        <v>40999</v>
      </c>
      <c r="I3" s="16">
        <f>'Data Sheet'!I16</f>
        <v>41364</v>
      </c>
      <c r="J3" s="16">
        <f>'Data Sheet'!J16</f>
        <v>41729</v>
      </c>
      <c r="K3" s="16">
        <f>'Data Sheet'!K16</f>
        <v>42094</v>
      </c>
      <c r="L3" s="16">
        <f>'Data Sheet'!L16</f>
        <v>42430</v>
      </c>
      <c r="M3" s="17"/>
      <c r="N3" s="17"/>
      <c r="O3" s="17"/>
    </row>
    <row r="4" spans="1:15" s="8" customFormat="1" x14ac:dyDescent="0.25">
      <c r="A4" s="8" t="s">
        <v>3</v>
      </c>
      <c r="B4" s="1"/>
      <c r="C4" s="1">
        <f>'Data Sheet'!C17</f>
        <v>152.96</v>
      </c>
      <c r="D4" s="1">
        <f>'Data Sheet'!D17</f>
        <v>176.11</v>
      </c>
      <c r="E4" s="1">
        <f>'Data Sheet'!E17</f>
        <v>182.39</v>
      </c>
      <c r="F4" s="1">
        <f>'Data Sheet'!F17</f>
        <v>247.42</v>
      </c>
      <c r="G4" s="1">
        <f>'Data Sheet'!G17</f>
        <v>242.28</v>
      </c>
      <c r="H4" s="1">
        <f>'Data Sheet'!H17</f>
        <v>312</v>
      </c>
      <c r="I4" s="1">
        <f>'Data Sheet'!I17</f>
        <v>316.98</v>
      </c>
      <c r="J4" s="1">
        <f>'Data Sheet'!J17</f>
        <v>442.21</v>
      </c>
      <c r="K4" s="1">
        <f>'Data Sheet'!K17</f>
        <v>511.1</v>
      </c>
      <c r="L4" s="1">
        <f>SUM(Quarters!H4:K4)</f>
        <v>545.81999999999994</v>
      </c>
      <c r="M4" s="1"/>
      <c r="N4" s="1"/>
    </row>
    <row r="5" spans="1:15" x14ac:dyDescent="0.25">
      <c r="A5" s="6" t="s">
        <v>4</v>
      </c>
      <c r="B5" s="9"/>
      <c r="C5" s="9">
        <f>SUM('Data Sheet'!C18,'Data Sheet'!C20:C24, -1*'Data Sheet'!C19)</f>
        <v>140.79</v>
      </c>
      <c r="D5" s="9">
        <f>SUM('Data Sheet'!D18,'Data Sheet'!D20:D24, -1*'Data Sheet'!D19)</f>
        <v>164.06</v>
      </c>
      <c r="E5" s="9">
        <f>SUM('Data Sheet'!E18,'Data Sheet'!E20:E24, -1*'Data Sheet'!E19)</f>
        <v>164.12</v>
      </c>
      <c r="F5" s="9">
        <f>SUM('Data Sheet'!F18,'Data Sheet'!F20:F24, -1*'Data Sheet'!F19)</f>
        <v>223.86000000000004</v>
      </c>
      <c r="G5" s="9">
        <f>SUM('Data Sheet'!G18,'Data Sheet'!G20:G24, -1*'Data Sheet'!G19)</f>
        <v>208.32000000000002</v>
      </c>
      <c r="H5" s="9">
        <f>SUM('Data Sheet'!H18,'Data Sheet'!H20:H24, -1*'Data Sheet'!H19)</f>
        <v>252.61000000000004</v>
      </c>
      <c r="I5" s="9">
        <f>SUM('Data Sheet'!I18,'Data Sheet'!I20:I24, -1*'Data Sheet'!I19)</f>
        <v>255.18999999999997</v>
      </c>
      <c r="J5" s="9">
        <f>SUM('Data Sheet'!J18,'Data Sheet'!J20:J24, -1*'Data Sheet'!J19)</f>
        <v>345.36000000000007</v>
      </c>
      <c r="K5" s="9">
        <f>SUM('Data Sheet'!K18,'Data Sheet'!K20:K24, -1*'Data Sheet'!K19)</f>
        <v>340.39</v>
      </c>
      <c r="L5" s="9">
        <f>SUM(Quarters!H5:K5)</f>
        <v>359.53999999999996</v>
      </c>
      <c r="M5" s="9"/>
      <c r="N5" s="9"/>
    </row>
    <row r="6" spans="1:15" s="8" customFormat="1" x14ac:dyDescent="0.25">
      <c r="A6" s="8" t="s">
        <v>5</v>
      </c>
      <c r="B6" s="1"/>
      <c r="C6" s="1">
        <f t="shared" ref="C6:K6" si="0">C4-C5</f>
        <v>12.170000000000016</v>
      </c>
      <c r="D6" s="1">
        <f t="shared" si="0"/>
        <v>12.050000000000011</v>
      </c>
      <c r="E6" s="1">
        <f t="shared" si="0"/>
        <v>18.269999999999982</v>
      </c>
      <c r="F6" s="1">
        <f t="shared" si="0"/>
        <v>23.559999999999945</v>
      </c>
      <c r="G6" s="1">
        <f t="shared" si="0"/>
        <v>33.95999999999998</v>
      </c>
      <c r="H6" s="1">
        <f t="shared" si="0"/>
        <v>59.389999999999958</v>
      </c>
      <c r="I6" s="1">
        <f t="shared" si="0"/>
        <v>61.790000000000049</v>
      </c>
      <c r="J6" s="1">
        <f t="shared" si="0"/>
        <v>96.849999999999909</v>
      </c>
      <c r="K6" s="1">
        <f t="shared" si="0"/>
        <v>170.71000000000004</v>
      </c>
      <c r="L6" s="1">
        <f>SUM(Quarters!H6:K6)</f>
        <v>186.28</v>
      </c>
      <c r="M6" s="1"/>
      <c r="N6" s="1"/>
    </row>
    <row r="7" spans="1:15" x14ac:dyDescent="0.25">
      <c r="A7" s="6" t="s">
        <v>6</v>
      </c>
      <c r="B7" s="9"/>
      <c r="C7" s="9">
        <f>'Data Sheet'!C25</f>
        <v>10.24</v>
      </c>
      <c r="D7" s="9">
        <f>'Data Sheet'!D25</f>
        <v>18.68</v>
      </c>
      <c r="E7" s="9">
        <f>'Data Sheet'!E25</f>
        <v>20.100000000000001</v>
      </c>
      <c r="F7" s="9">
        <f>'Data Sheet'!F25</f>
        <v>26</v>
      </c>
      <c r="G7" s="9">
        <f>'Data Sheet'!G25</f>
        <v>19.05</v>
      </c>
      <c r="H7" s="9">
        <f>'Data Sheet'!H25</f>
        <v>6.35</v>
      </c>
      <c r="I7" s="9">
        <f>'Data Sheet'!I25</f>
        <v>4.03</v>
      </c>
      <c r="J7" s="9">
        <f>'Data Sheet'!J25</f>
        <v>13.34</v>
      </c>
      <c r="K7" s="9">
        <f>'Data Sheet'!K25</f>
        <v>13.42</v>
      </c>
      <c r="L7" s="9">
        <f>SUM(Quarters!H7:K7)</f>
        <v>19.810000000000002</v>
      </c>
      <c r="M7" s="9"/>
      <c r="N7" s="9"/>
    </row>
    <row r="8" spans="1:15" x14ac:dyDescent="0.25">
      <c r="A8" s="6" t="s">
        <v>7</v>
      </c>
      <c r="B8" s="9"/>
      <c r="C8" s="9">
        <f>'Data Sheet'!C26</f>
        <v>1.94</v>
      </c>
      <c r="D8" s="9">
        <f>'Data Sheet'!D26</f>
        <v>4.92</v>
      </c>
      <c r="E8" s="9">
        <f>'Data Sheet'!E26</f>
        <v>6.08</v>
      </c>
      <c r="F8" s="9">
        <f>'Data Sheet'!F26</f>
        <v>6.55</v>
      </c>
      <c r="G8" s="9">
        <f>'Data Sheet'!G26</f>
        <v>6.89</v>
      </c>
      <c r="H8" s="9">
        <f>'Data Sheet'!H26</f>
        <v>6.87</v>
      </c>
      <c r="I8" s="9">
        <f>'Data Sheet'!I26</f>
        <v>8.6199999999999992</v>
      </c>
      <c r="J8" s="9">
        <f>'Data Sheet'!J26</f>
        <v>9.68</v>
      </c>
      <c r="K8" s="9">
        <f>'Data Sheet'!K26</f>
        <v>21.33</v>
      </c>
      <c r="L8" s="9">
        <f>SUM(Quarters!H8:K8)</f>
        <v>21.279999999999998</v>
      </c>
      <c r="M8" s="9"/>
      <c r="N8" s="9"/>
    </row>
    <row r="9" spans="1:15" x14ac:dyDescent="0.25">
      <c r="A9" s="6" t="s">
        <v>8</v>
      </c>
      <c r="B9" s="9"/>
      <c r="C9" s="9">
        <f>'Data Sheet'!C27</f>
        <v>5.24</v>
      </c>
      <c r="D9" s="9">
        <f>'Data Sheet'!D27</f>
        <v>11.29</v>
      </c>
      <c r="E9" s="9">
        <f>'Data Sheet'!E27</f>
        <v>16.25</v>
      </c>
      <c r="F9" s="9">
        <f>'Data Sheet'!F27</f>
        <v>15.22</v>
      </c>
      <c r="G9" s="9">
        <f>'Data Sheet'!G27</f>
        <v>14.88</v>
      </c>
      <c r="H9" s="9">
        <f>'Data Sheet'!H27</f>
        <v>18.760000000000002</v>
      </c>
      <c r="I9" s="9">
        <f>'Data Sheet'!I27</f>
        <v>13.14</v>
      </c>
      <c r="J9" s="9">
        <f>'Data Sheet'!J27</f>
        <v>12.32</v>
      </c>
      <c r="K9" s="9">
        <f>'Data Sheet'!K27</f>
        <v>21.13</v>
      </c>
      <c r="L9" s="9">
        <f>SUM(Quarters!H9:K9)</f>
        <v>13.76</v>
      </c>
      <c r="M9" s="9"/>
      <c r="N9" s="9"/>
    </row>
    <row r="10" spans="1:15" x14ac:dyDescent="0.25">
      <c r="A10" s="6" t="s">
        <v>9</v>
      </c>
      <c r="B10" s="9"/>
      <c r="C10" s="9">
        <f>'Data Sheet'!C28</f>
        <v>15.23</v>
      </c>
      <c r="D10" s="9">
        <f>'Data Sheet'!D28</f>
        <v>14.52</v>
      </c>
      <c r="E10" s="9">
        <f>'Data Sheet'!E28</f>
        <v>16.04</v>
      </c>
      <c r="F10" s="9">
        <f>'Data Sheet'!F28</f>
        <v>27.79</v>
      </c>
      <c r="G10" s="9">
        <f>'Data Sheet'!G28</f>
        <v>31.24</v>
      </c>
      <c r="H10" s="9">
        <f>'Data Sheet'!H28</f>
        <v>40.11</v>
      </c>
      <c r="I10" s="9">
        <f>'Data Sheet'!I28</f>
        <v>44.04</v>
      </c>
      <c r="J10" s="9">
        <f>'Data Sheet'!J28</f>
        <v>88.19</v>
      </c>
      <c r="K10" s="9">
        <f>'Data Sheet'!K28</f>
        <v>141.66999999999999</v>
      </c>
      <c r="L10" s="9">
        <f>SUM(Quarters!H10:K10)</f>
        <v>171.04000000000002</v>
      </c>
      <c r="M10" s="9"/>
      <c r="N10" s="9"/>
    </row>
    <row r="11" spans="1:15" x14ac:dyDescent="0.25">
      <c r="A11" s="6" t="s">
        <v>10</v>
      </c>
      <c r="B11" s="9"/>
      <c r="C11" s="9">
        <f>'Data Sheet'!C29</f>
        <v>5.68</v>
      </c>
      <c r="D11" s="9">
        <f>'Data Sheet'!D29</f>
        <v>5.68</v>
      </c>
      <c r="E11" s="9">
        <f>'Data Sheet'!E29</f>
        <v>6.08</v>
      </c>
      <c r="F11" s="9">
        <f>'Data Sheet'!F29</f>
        <v>9.2899999999999991</v>
      </c>
      <c r="G11" s="9">
        <f>'Data Sheet'!G29</f>
        <v>10.61</v>
      </c>
      <c r="H11" s="9">
        <f>'Data Sheet'!H29</f>
        <v>12.99</v>
      </c>
      <c r="I11" s="9">
        <f>'Data Sheet'!I29</f>
        <v>14.66</v>
      </c>
      <c r="J11" s="9">
        <f>'Data Sheet'!J29</f>
        <v>30.82</v>
      </c>
      <c r="K11" s="9">
        <f>'Data Sheet'!K29</f>
        <v>43.15</v>
      </c>
      <c r="L11" s="9">
        <f>SUM(Quarters!H11:K11)</f>
        <v>58.960000000000008</v>
      </c>
      <c r="M11" s="10"/>
      <c r="N11" s="10"/>
    </row>
    <row r="12" spans="1:15" s="8" customFormat="1" x14ac:dyDescent="0.25">
      <c r="A12" s="8" t="s">
        <v>11</v>
      </c>
      <c r="B12" s="1"/>
      <c r="C12" s="1">
        <f>'Data Sheet'!C30</f>
        <v>9.5500000000000007</v>
      </c>
      <c r="D12" s="1">
        <f>'Data Sheet'!D30</f>
        <v>8.84</v>
      </c>
      <c r="E12" s="1">
        <f>'Data Sheet'!E30</f>
        <v>9.9600000000000009</v>
      </c>
      <c r="F12" s="1">
        <f>'Data Sheet'!F30</f>
        <v>18.5</v>
      </c>
      <c r="G12" s="1">
        <f>'Data Sheet'!G30</f>
        <v>20.63</v>
      </c>
      <c r="H12" s="1">
        <f>'Data Sheet'!H30</f>
        <v>27.12</v>
      </c>
      <c r="I12" s="1">
        <f>'Data Sheet'!I30</f>
        <v>29.38</v>
      </c>
      <c r="J12" s="1">
        <f>'Data Sheet'!J30</f>
        <v>57.37</v>
      </c>
      <c r="K12" s="1">
        <f>'Data Sheet'!K30</f>
        <v>98.52</v>
      </c>
      <c r="L12" s="1">
        <f>SUM(Quarters!H12:K12)</f>
        <v>112.1</v>
      </c>
      <c r="M12" s="1"/>
      <c r="N12" s="1"/>
    </row>
    <row r="13" spans="1:15" x14ac:dyDescent="0.25">
      <c r="A13" s="11" t="s">
        <v>53</v>
      </c>
      <c r="B13" s="9"/>
      <c r="C13" s="9">
        <f>IF('Data Sheet'!C93&gt;0,C12/'Data Sheet'!C93,0)</f>
        <v>2.0105263157894737</v>
      </c>
      <c r="D13" s="9">
        <f>IF('Data Sheet'!D93&gt;0,D12/'Data Sheet'!D93,0)</f>
        <v>1.8610526315789473</v>
      </c>
      <c r="E13" s="9">
        <f>IF('Data Sheet'!E93&gt;0,E12/'Data Sheet'!E93,0)</f>
        <v>2.0968421052631583</v>
      </c>
      <c r="F13" s="9">
        <f>IF('Data Sheet'!F93&gt;0,F12/'Data Sheet'!F93,0)</f>
        <v>3.8947368421052633</v>
      </c>
      <c r="G13" s="9">
        <f>IF('Data Sheet'!G93&gt;0,G12/'Data Sheet'!G93,0)</f>
        <v>4.3431578947368417</v>
      </c>
      <c r="H13" s="9">
        <f>IF('Data Sheet'!H93&gt;0,H12/'Data Sheet'!H93,0)</f>
        <v>5.7094736842105265</v>
      </c>
      <c r="I13" s="9">
        <f>IF('Data Sheet'!I93&gt;0,I12/'Data Sheet'!I93,0)</f>
        <v>6.1852631578947364</v>
      </c>
      <c r="J13" s="9">
        <f>IF('Data Sheet'!J93&gt;0,J12/'Data Sheet'!J93,0)</f>
        <v>12.077894736842104</v>
      </c>
      <c r="K13" s="9">
        <f>IF('Data Sheet'!K93&gt;0,K12/'Data Sheet'!K93,0)</f>
        <v>20.741052631578945</v>
      </c>
      <c r="L13" s="9">
        <f>IF('Data Sheet'!$B6&gt;0,'Profit &amp; Loss'!L12/'Data Sheet'!$B6,0)</f>
        <v>23.599944832229202</v>
      </c>
      <c r="M13" s="9"/>
      <c r="N13" s="9"/>
    </row>
    <row r="14" spans="1:15" x14ac:dyDescent="0.25">
      <c r="A14" s="6" t="s">
        <v>13</v>
      </c>
      <c r="B14" s="9" t="str">
        <f>IF(B15&gt;0,B15/B13,"")</f>
        <v/>
      </c>
      <c r="C14" s="9" t="str">
        <f t="shared" ref="C14:K14" si="1">IF(C15&gt;0,C15/C13,"")</f>
        <v/>
      </c>
      <c r="D14" s="9" t="str">
        <f t="shared" si="1"/>
        <v/>
      </c>
      <c r="E14" s="9" t="str">
        <f t="shared" si="1"/>
        <v/>
      </c>
      <c r="F14" s="9" t="str">
        <f t="shared" si="1"/>
        <v/>
      </c>
      <c r="G14" s="9" t="str">
        <f t="shared" si="1"/>
        <v/>
      </c>
      <c r="H14" s="9" t="str">
        <f t="shared" si="1"/>
        <v/>
      </c>
      <c r="I14" s="9" t="str">
        <f t="shared" si="1"/>
        <v/>
      </c>
      <c r="J14" s="9" t="str">
        <f t="shared" si="1"/>
        <v/>
      </c>
      <c r="K14" s="9" t="str">
        <f t="shared" si="1"/>
        <v/>
      </c>
      <c r="L14" s="9">
        <f t="shared" ref="L14" si="2">IF(L13&gt;0,L15/L13,0)</f>
        <v>19.080553077609274</v>
      </c>
      <c r="M14" s="9"/>
      <c r="N14" s="9"/>
    </row>
    <row r="15" spans="1:15" s="8" customFormat="1" x14ac:dyDescent="0.25">
      <c r="A15" s="8" t="s">
        <v>54</v>
      </c>
      <c r="B15" s="1">
        <f>'Data Sheet'!B90</f>
        <v>0</v>
      </c>
      <c r="C15" s="1">
        <f>'Data Sheet'!C90</f>
        <v>0</v>
      </c>
      <c r="D15" s="1">
        <f>'Data Sheet'!D90</f>
        <v>0</v>
      </c>
      <c r="E15" s="1">
        <f>'Data Sheet'!E90</f>
        <v>0</v>
      </c>
      <c r="F15" s="1">
        <f>'Data Sheet'!F90</f>
        <v>0</v>
      </c>
      <c r="G15" s="1">
        <f>'Data Sheet'!G90</f>
        <v>0</v>
      </c>
      <c r="H15" s="1">
        <f>'Data Sheet'!H90</f>
        <v>0</v>
      </c>
      <c r="I15" s="1">
        <f>'Data Sheet'!I90</f>
        <v>0</v>
      </c>
      <c r="J15" s="1">
        <f>'Data Sheet'!J90</f>
        <v>0</v>
      </c>
      <c r="K15" s="1">
        <f>'Data Sheet'!K90</f>
        <v>0</v>
      </c>
      <c r="L15" s="1">
        <f>'Data Sheet'!B8</f>
        <v>450.3</v>
      </c>
      <c r="M15" s="12"/>
      <c r="N15" s="13"/>
    </row>
    <row r="17" spans="1:14" s="8" customFormat="1" x14ac:dyDescent="0.25">
      <c r="A17" s="8" t="s">
        <v>12</v>
      </c>
    </row>
    <row r="18" spans="1:14" x14ac:dyDescent="0.25">
      <c r="A18" s="6" t="s">
        <v>14</v>
      </c>
      <c r="B18" s="7">
        <f>IF('Data Sheet'!B30&gt;0, 'Data Sheet'!B31/'Data Sheet'!B30, 0)</f>
        <v>0</v>
      </c>
      <c r="C18" s="7">
        <f>IF('Data Sheet'!C30&gt;0, 'Data Sheet'!C31/'Data Sheet'!C30, 0)</f>
        <v>7.4345549738219885E-2</v>
      </c>
      <c r="D18" s="7">
        <f>IF('Data Sheet'!D30&gt;0, 'Data Sheet'!D31/'Data Sheet'!D30, 0)</f>
        <v>0.10746606334841628</v>
      </c>
      <c r="E18" s="7">
        <f>IF('Data Sheet'!E30&gt;0, 'Data Sheet'!E31/'Data Sheet'!E30, 0)</f>
        <v>0.11947791164658633</v>
      </c>
      <c r="F18" s="7">
        <f>IF('Data Sheet'!F30&gt;0, 'Data Sheet'!F31/'Data Sheet'!F30, 0)</f>
        <v>7.675675675675675E-2</v>
      </c>
      <c r="G18" s="7">
        <f>IF('Data Sheet'!G30&gt;0, 'Data Sheet'!G31/'Data Sheet'!G30, 0)</f>
        <v>9.2098885118759091E-2</v>
      </c>
      <c r="H18" s="7">
        <f>IF('Data Sheet'!H30&gt;0, 'Data Sheet'!H31/'Data Sheet'!H30, 0)</f>
        <v>0.10508849557522124</v>
      </c>
      <c r="I18" s="7">
        <f>IF('Data Sheet'!I30&gt;0, 'Data Sheet'!I31/'Data Sheet'!I30, 0)</f>
        <v>0.12933968686181074</v>
      </c>
      <c r="J18" s="7">
        <f>IF('Data Sheet'!J30&gt;0, 'Data Sheet'!J31/'Data Sheet'!J30, 0)</f>
        <v>8.2795886351751793E-2</v>
      </c>
      <c r="K18" s="7">
        <f>IF('Data Sheet'!K30&gt;0, 'Data Sheet'!K31/'Data Sheet'!K30, 0)</f>
        <v>6.0292326431181494E-2</v>
      </c>
    </row>
    <row r="19" spans="1:14" x14ac:dyDescent="0.25">
      <c r="A19" s="6" t="s">
        <v>15</v>
      </c>
      <c r="B19" s="7">
        <f t="shared" ref="B19:L19" si="3">IF(B6&gt;0,B6/B4,0)</f>
        <v>0</v>
      </c>
      <c r="C19" s="7">
        <f t="shared" ref="C19:K19" si="4">IF(C6&gt;0,C6/C4,0)</f>
        <v>7.9563284518828548E-2</v>
      </c>
      <c r="D19" s="7">
        <f t="shared" si="4"/>
        <v>6.8423144625518198E-2</v>
      </c>
      <c r="E19" s="7">
        <f t="shared" si="4"/>
        <v>0.10016996545863251</v>
      </c>
      <c r="F19" s="7">
        <f t="shared" si="4"/>
        <v>9.522269824589745E-2</v>
      </c>
      <c r="G19" s="7">
        <f t="shared" si="4"/>
        <v>0.1401684001981178</v>
      </c>
      <c r="H19" s="7">
        <f t="shared" si="4"/>
        <v>0.19035256410256396</v>
      </c>
      <c r="I19" s="7">
        <f t="shared" si="4"/>
        <v>0.19493343428607499</v>
      </c>
      <c r="J19" s="7">
        <f t="shared" si="4"/>
        <v>0.21901359082788702</v>
      </c>
      <c r="K19" s="7">
        <f t="shared" si="4"/>
        <v>0.33400508706711018</v>
      </c>
      <c r="L19" s="7">
        <f t="shared" si="3"/>
        <v>0.34128467260268958</v>
      </c>
    </row>
    <row r="20" spans="1:14" x14ac:dyDescent="0.25">
      <c r="B20" s="7"/>
      <c r="C20" s="7"/>
      <c r="D20" s="7"/>
      <c r="E20" s="7"/>
      <c r="F20" s="7"/>
      <c r="G20" s="7"/>
      <c r="H20" s="7"/>
      <c r="I20" s="7"/>
      <c r="J20" s="7"/>
      <c r="K20" s="7"/>
      <c r="L20" s="7"/>
    </row>
    <row r="21" spans="1:14" x14ac:dyDescent="0.25">
      <c r="B21" s="7"/>
      <c r="C21" s="7"/>
      <c r="D21" s="7"/>
      <c r="E21" s="7"/>
      <c r="F21" s="7"/>
      <c r="G21" s="7"/>
      <c r="H21" s="7"/>
      <c r="I21" s="7"/>
      <c r="J21" s="7"/>
      <c r="K21" s="7"/>
      <c r="L21" s="7"/>
    </row>
    <row r="22" spans="1:14" s="2" customFormat="1" x14ac:dyDescent="0.25">
      <c r="A22" s="15"/>
      <c r="B22" s="16"/>
      <c r="C22" s="16"/>
      <c r="D22" s="16"/>
      <c r="E22" s="16"/>
      <c r="F22" s="16"/>
      <c r="G22" s="16" t="s">
        <v>16</v>
      </c>
      <c r="H22" s="16" t="s">
        <v>60</v>
      </c>
      <c r="I22" s="16" t="s">
        <v>61</v>
      </c>
      <c r="J22" s="16" t="s">
        <v>62</v>
      </c>
      <c r="K22" s="16" t="s">
        <v>63</v>
      </c>
      <c r="L22" s="17" t="s">
        <v>64</v>
      </c>
      <c r="M22" s="17"/>
      <c r="N22" s="17"/>
    </row>
    <row r="23" spans="1:14" s="8" customFormat="1" x14ac:dyDescent="0.25">
      <c r="A23" s="6"/>
      <c r="B23" s="6"/>
      <c r="C23" s="6"/>
      <c r="D23" s="6"/>
      <c r="E23" s="6"/>
      <c r="F23" s="6"/>
      <c r="G23" s="6" t="s">
        <v>17</v>
      </c>
      <c r="H23" s="7" t="str">
        <f>IF(B4=0,"",POWER($K4/B4,1/9)-1)</f>
        <v/>
      </c>
      <c r="I23" s="7">
        <f>IF(D4=0,"",POWER($K4/D4,1/7)-1)</f>
        <v>0.16440248445663541</v>
      </c>
      <c r="J23" s="7">
        <f>IF(F4=0,"",POWER($K4/F4,1/5)-1)</f>
        <v>0.1561500856129916</v>
      </c>
      <c r="K23" s="7">
        <f>IF(H4=0,"",POWER($K4/H4, 1/3)-1)</f>
        <v>0.17882796237946241</v>
      </c>
      <c r="L23" s="7">
        <f>IF(ISERROR(MAX(IF(J4=0,"",(K4-J4)/J4),IF(K4=0,"",(L4-K4)/K4))),"",MAX(IF(J4=0,"",(K4-J4)/J4),IF(K4=0,"",(L4-K4)/K4)))</f>
        <v>0.1557857126704508</v>
      </c>
      <c r="M23" s="22"/>
      <c r="N23" s="22"/>
    </row>
    <row r="24" spans="1:14" x14ac:dyDescent="0.25">
      <c r="G24" s="6" t="s">
        <v>15</v>
      </c>
      <c r="H24" s="7">
        <f>IF(SUM(B4:$K$4)=0,"",SUMPRODUCT(B19:$K$19,B4:$K$4)/SUM(B4:$K$4))</f>
        <v>0.18918500454818166</v>
      </c>
      <c r="I24" s="7">
        <f>IF(SUM(E4:$K$4)=0,"",SUMPRODUCT(E19:$K$19,E4:$K$4)/SUM(E4:$K$4))</f>
        <v>0.20605665415768409</v>
      </c>
      <c r="J24" s="7">
        <f>IF(SUM(G4:$K$4)=0,"",SUMPRODUCT(G19:$K$19,G4:$K$4)/SUM(G4:$K$4))</f>
        <v>0.23167102385767599</v>
      </c>
      <c r="K24" s="7">
        <f>IF(SUM(I4:$K$4)=0, "", SUMPRODUCT(I19:$K$19,I4:$K$4)/SUM(I4:$K$4))</f>
        <v>0.25927150493194467</v>
      </c>
      <c r="L24" s="7">
        <f>L19</f>
        <v>0.34128467260268958</v>
      </c>
      <c r="M24" s="22"/>
      <c r="N24" s="22"/>
    </row>
    <row r="25" spans="1:14" x14ac:dyDescent="0.25">
      <c r="G25" s="6" t="s">
        <v>18</v>
      </c>
      <c r="H25" s="9">
        <f>IF(ISERROR(AVERAGEIF(B14:$L14,"&gt;0")),"",AVERAGEIF(B14:$L14,"&gt;0"))</f>
        <v>19.080553077609274</v>
      </c>
      <c r="I25" s="9">
        <f>IF(ISERROR(AVERAGEIF(E14:$L14,"&gt;0")),"",AVERAGEIF(E14:$L14,"&gt;0"))</f>
        <v>19.080553077609274</v>
      </c>
      <c r="J25" s="9">
        <f>IF(ISERROR(AVERAGEIF(G14:$L14,"&gt;0")),"",AVERAGEIF(G14:$L14,"&gt;0"))</f>
        <v>19.080553077609274</v>
      </c>
      <c r="K25" s="9">
        <f>IF(ISERROR(AVERAGEIF(I14:$L14,"&gt;0")),"",AVERAGEIF(I14:$L14,"&gt;0"))</f>
        <v>19.080553077609274</v>
      </c>
      <c r="L25" s="9">
        <f>L14</f>
        <v>19.080553077609274</v>
      </c>
      <c r="M25" s="1"/>
      <c r="N25" s="1"/>
    </row>
  </sheetData>
  <hyperlinks>
    <hyperlink ref="M1" r:id="rId1"/>
  </hyperlinks>
  <printOptions gridLines="1"/>
  <pageMargins left="0.7" right="0.7" top="0.75" bottom="0.75" header="0.3" footer="0.3"/>
  <pageSetup paperSize="9" orientation="landscape" horizontalDpi="300" verticalDpi="300"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22"/>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5"/>
  <cols>
    <col min="1" max="1" width="20.7109375" style="6" customWidth="1"/>
    <col min="2" max="11" width="13.5703125" style="6" bestFit="1" customWidth="1"/>
    <col min="12" max="16384" width="9.140625" style="6"/>
  </cols>
  <sheetData>
    <row r="1" spans="1:11" s="8" customFormat="1" x14ac:dyDescent="0.25">
      <c r="A1" s="8" t="str">
        <f>'Profit &amp; Loss'!A1</f>
        <v>KITEX GARMENTS LTD</v>
      </c>
      <c r="E1" t="str">
        <f>UPDATE</f>
        <v/>
      </c>
      <c r="J1" s="4" t="s">
        <v>1</v>
      </c>
      <c r="K1" s="4"/>
    </row>
    <row r="3" spans="1:11" s="2" customFormat="1" x14ac:dyDescent="0.25">
      <c r="A3" s="15" t="s">
        <v>2</v>
      </c>
      <c r="B3" s="16">
        <f>'Data Sheet'!B41</f>
        <v>41639</v>
      </c>
      <c r="C3" s="16">
        <f>'Data Sheet'!C41</f>
        <v>41729</v>
      </c>
      <c r="D3" s="16">
        <f>'Data Sheet'!D41</f>
        <v>41820</v>
      </c>
      <c r="E3" s="16">
        <f>'Data Sheet'!E41</f>
        <v>41912</v>
      </c>
      <c r="F3" s="16">
        <f>'Data Sheet'!F41</f>
        <v>42004</v>
      </c>
      <c r="G3" s="16">
        <f>'Data Sheet'!G41</f>
        <v>42094</v>
      </c>
      <c r="H3" s="16">
        <f>'Data Sheet'!H41</f>
        <v>42185</v>
      </c>
      <c r="I3" s="16">
        <f>'Data Sheet'!I41</f>
        <v>42277</v>
      </c>
      <c r="J3" s="16">
        <f>'Data Sheet'!J41</f>
        <v>42369</v>
      </c>
      <c r="K3" s="16">
        <f>'Data Sheet'!K41</f>
        <v>42460</v>
      </c>
    </row>
    <row r="4" spans="1:11" s="8" customFormat="1" x14ac:dyDescent="0.25">
      <c r="A4" s="8" t="s">
        <v>3</v>
      </c>
      <c r="B4" s="1">
        <f>'Data Sheet'!B42</f>
        <v>99.45</v>
      </c>
      <c r="C4" s="1">
        <f>'Data Sheet'!C42</f>
        <v>142.19</v>
      </c>
      <c r="D4" s="1">
        <f>'Data Sheet'!D42</f>
        <v>102.76</v>
      </c>
      <c r="E4" s="1">
        <f>'Data Sheet'!E42</f>
        <v>128.19999999999999</v>
      </c>
      <c r="F4" s="1">
        <f>'Data Sheet'!F42</f>
        <v>122.1</v>
      </c>
      <c r="G4" s="1">
        <f>'Data Sheet'!G42</f>
        <v>158.03</v>
      </c>
      <c r="H4" s="1">
        <f>'Data Sheet'!H42</f>
        <v>109.08</v>
      </c>
      <c r="I4" s="1">
        <f>'Data Sheet'!I42</f>
        <v>134.25</v>
      </c>
      <c r="J4" s="1">
        <f>'Data Sheet'!J42</f>
        <v>118.13</v>
      </c>
      <c r="K4" s="1">
        <f>'Data Sheet'!K42</f>
        <v>184.36</v>
      </c>
    </row>
    <row r="5" spans="1:11" x14ac:dyDescent="0.25">
      <c r="A5" s="6" t="s">
        <v>4</v>
      </c>
      <c r="B5" s="9">
        <f>'Data Sheet'!B43</f>
        <v>79.17</v>
      </c>
      <c r="C5" s="9">
        <f>'Data Sheet'!C43</f>
        <v>100.53</v>
      </c>
      <c r="D5" s="9">
        <f>'Data Sheet'!D43</f>
        <v>75.56</v>
      </c>
      <c r="E5" s="9">
        <f>'Data Sheet'!E43</f>
        <v>94.55</v>
      </c>
      <c r="F5" s="9">
        <f>'Data Sheet'!F43</f>
        <v>80.180000000000007</v>
      </c>
      <c r="G5" s="9">
        <f>'Data Sheet'!G43</f>
        <v>92.07</v>
      </c>
      <c r="H5" s="9">
        <f>'Data Sheet'!H43</f>
        <v>78.930000000000007</v>
      </c>
      <c r="I5" s="9">
        <f>'Data Sheet'!I43</f>
        <v>89.12</v>
      </c>
      <c r="J5" s="9">
        <f>'Data Sheet'!J43</f>
        <v>76.459999999999994</v>
      </c>
      <c r="K5" s="9">
        <f>'Data Sheet'!K43</f>
        <v>115.03</v>
      </c>
    </row>
    <row r="6" spans="1:11" s="8" customFormat="1" x14ac:dyDescent="0.25">
      <c r="A6" s="8" t="s">
        <v>5</v>
      </c>
      <c r="B6" s="1">
        <f>'Data Sheet'!B50</f>
        <v>20.28</v>
      </c>
      <c r="C6" s="1">
        <f>'Data Sheet'!C50</f>
        <v>41.66</v>
      </c>
      <c r="D6" s="1">
        <f>'Data Sheet'!D50</f>
        <v>27.2</v>
      </c>
      <c r="E6" s="1">
        <f>'Data Sheet'!E50</f>
        <v>33.65</v>
      </c>
      <c r="F6" s="1">
        <f>'Data Sheet'!F50</f>
        <v>41.92</v>
      </c>
      <c r="G6" s="1">
        <f>'Data Sheet'!G50</f>
        <v>65.959999999999994</v>
      </c>
      <c r="H6" s="1">
        <f>'Data Sheet'!H50</f>
        <v>30.15</v>
      </c>
      <c r="I6" s="1">
        <f>'Data Sheet'!I50</f>
        <v>45.13</v>
      </c>
      <c r="J6" s="1">
        <f>'Data Sheet'!J50</f>
        <v>41.67</v>
      </c>
      <c r="K6" s="1">
        <f>'Data Sheet'!K50</f>
        <v>69.33</v>
      </c>
    </row>
    <row r="7" spans="1:11" x14ac:dyDescent="0.25">
      <c r="A7" s="6" t="s">
        <v>6</v>
      </c>
      <c r="B7" s="9">
        <f>'Data Sheet'!B44</f>
        <v>1.98</v>
      </c>
      <c r="C7" s="9">
        <f>'Data Sheet'!C44</f>
        <v>-3.68</v>
      </c>
      <c r="D7" s="9">
        <f>'Data Sheet'!D44</f>
        <v>2.4300000000000002</v>
      </c>
      <c r="E7" s="9">
        <f>'Data Sheet'!E44</f>
        <v>5.26</v>
      </c>
      <c r="F7" s="9">
        <f>'Data Sheet'!F44</f>
        <v>5.0999999999999996</v>
      </c>
      <c r="G7" s="9">
        <f>'Data Sheet'!G44</f>
        <v>0.63</v>
      </c>
      <c r="H7" s="9">
        <f>'Data Sheet'!H44</f>
        <v>5.9</v>
      </c>
      <c r="I7" s="9">
        <f>'Data Sheet'!I44</f>
        <v>6.81</v>
      </c>
      <c r="J7" s="9">
        <f>'Data Sheet'!J44</f>
        <v>5.37</v>
      </c>
      <c r="K7" s="9">
        <f>'Data Sheet'!K44</f>
        <v>1.73</v>
      </c>
    </row>
    <row r="8" spans="1:11" x14ac:dyDescent="0.25">
      <c r="A8" s="6" t="s">
        <v>7</v>
      </c>
      <c r="B8" s="9">
        <f>'Data Sheet'!B45</f>
        <v>2.5099999999999998</v>
      </c>
      <c r="C8" s="9">
        <f>'Data Sheet'!C45</f>
        <v>2.81</v>
      </c>
      <c r="D8" s="9">
        <f>'Data Sheet'!D45</f>
        <v>5.04</v>
      </c>
      <c r="E8" s="9">
        <f>'Data Sheet'!E45</f>
        <v>5.18</v>
      </c>
      <c r="F8" s="9">
        <f>'Data Sheet'!F45</f>
        <v>5.28</v>
      </c>
      <c r="G8" s="9">
        <f>'Data Sheet'!G45</f>
        <v>5.83</v>
      </c>
      <c r="H8" s="9">
        <f>'Data Sheet'!H45</f>
        <v>5.46</v>
      </c>
      <c r="I8" s="9">
        <f>'Data Sheet'!I45</f>
        <v>5.49</v>
      </c>
      <c r="J8" s="9">
        <f>'Data Sheet'!J45</f>
        <v>5.54</v>
      </c>
      <c r="K8" s="9">
        <f>'Data Sheet'!K45</f>
        <v>4.79</v>
      </c>
    </row>
    <row r="9" spans="1:11" x14ac:dyDescent="0.25">
      <c r="A9" s="6" t="s">
        <v>8</v>
      </c>
      <c r="B9" s="9">
        <f>'Data Sheet'!B46</f>
        <v>2.5499999999999998</v>
      </c>
      <c r="C9" s="9">
        <f>'Data Sheet'!C46</f>
        <v>3.2</v>
      </c>
      <c r="D9" s="9">
        <f>'Data Sheet'!D46</f>
        <v>3.56</v>
      </c>
      <c r="E9" s="9">
        <f>'Data Sheet'!E46</f>
        <v>4.1100000000000003</v>
      </c>
      <c r="F9" s="9">
        <f>'Data Sheet'!F46</f>
        <v>6.55</v>
      </c>
      <c r="G9" s="9">
        <f>'Data Sheet'!G46</f>
        <v>4.95</v>
      </c>
      <c r="H9" s="9">
        <f>'Data Sheet'!H46</f>
        <v>4.7699999999999996</v>
      </c>
      <c r="I9" s="9">
        <f>'Data Sheet'!I46</f>
        <v>4.4000000000000004</v>
      </c>
      <c r="J9" s="9">
        <f>'Data Sheet'!J46</f>
        <v>4.2300000000000004</v>
      </c>
      <c r="K9" s="9">
        <f>'Data Sheet'!K46</f>
        <v>0.36</v>
      </c>
    </row>
    <row r="10" spans="1:11" x14ac:dyDescent="0.25">
      <c r="A10" s="6" t="s">
        <v>9</v>
      </c>
      <c r="B10" s="9">
        <f>'Data Sheet'!B47</f>
        <v>17.190000000000001</v>
      </c>
      <c r="C10" s="9">
        <f>'Data Sheet'!C47</f>
        <v>31.97</v>
      </c>
      <c r="D10" s="9">
        <f>'Data Sheet'!D47</f>
        <v>21.04</v>
      </c>
      <c r="E10" s="9">
        <f>'Data Sheet'!E47</f>
        <v>29.63</v>
      </c>
      <c r="F10" s="9">
        <f>'Data Sheet'!F47</f>
        <v>35.18</v>
      </c>
      <c r="G10" s="9">
        <f>'Data Sheet'!G47</f>
        <v>55.82</v>
      </c>
      <c r="H10" s="9">
        <f>'Data Sheet'!H47</f>
        <v>25.81</v>
      </c>
      <c r="I10" s="9">
        <f>'Data Sheet'!I47</f>
        <v>42.06</v>
      </c>
      <c r="J10" s="9">
        <f>'Data Sheet'!J47</f>
        <v>37.270000000000003</v>
      </c>
      <c r="K10" s="9">
        <f>'Data Sheet'!K47</f>
        <v>65.900000000000006</v>
      </c>
    </row>
    <row r="11" spans="1:11" x14ac:dyDescent="0.25">
      <c r="A11" s="6" t="s">
        <v>10</v>
      </c>
      <c r="B11" s="9">
        <f>'Data Sheet'!B48</f>
        <v>5.87</v>
      </c>
      <c r="C11" s="9">
        <f>'Data Sheet'!C48</f>
        <v>10.89</v>
      </c>
      <c r="D11" s="9">
        <f>'Data Sheet'!D48</f>
        <v>6.6</v>
      </c>
      <c r="E11" s="9">
        <f>'Data Sheet'!E48</f>
        <v>10.31</v>
      </c>
      <c r="F11" s="9">
        <f>'Data Sheet'!F48</f>
        <v>12.05</v>
      </c>
      <c r="G11" s="9">
        <f>'Data Sheet'!G48</f>
        <v>14.19</v>
      </c>
      <c r="H11" s="9">
        <f>'Data Sheet'!H48</f>
        <v>9.84</v>
      </c>
      <c r="I11" s="9">
        <f>'Data Sheet'!I48</f>
        <v>14.9</v>
      </c>
      <c r="J11" s="9">
        <f>'Data Sheet'!J48</f>
        <v>13.21</v>
      </c>
      <c r="K11" s="9">
        <f>'Data Sheet'!K48</f>
        <v>21.01</v>
      </c>
    </row>
    <row r="12" spans="1:11" s="8" customFormat="1" x14ac:dyDescent="0.25">
      <c r="A12" s="8" t="s">
        <v>11</v>
      </c>
      <c r="B12" s="1">
        <f>'Data Sheet'!B49</f>
        <v>11.32</v>
      </c>
      <c r="C12" s="1">
        <f>'Data Sheet'!C49</f>
        <v>21.08</v>
      </c>
      <c r="D12" s="1">
        <f>'Data Sheet'!D49</f>
        <v>14.44</v>
      </c>
      <c r="E12" s="1">
        <f>'Data Sheet'!E49</f>
        <v>19.32</v>
      </c>
      <c r="F12" s="1">
        <f>'Data Sheet'!F49</f>
        <v>23.13</v>
      </c>
      <c r="G12" s="1">
        <f>'Data Sheet'!G49</f>
        <v>41.63</v>
      </c>
      <c r="H12" s="1">
        <f>'Data Sheet'!H49</f>
        <v>15.97</v>
      </c>
      <c r="I12" s="1">
        <f>'Data Sheet'!I49</f>
        <v>27.16</v>
      </c>
      <c r="J12" s="1">
        <f>'Data Sheet'!J49</f>
        <v>24.07</v>
      </c>
      <c r="K12" s="1">
        <f>'Data Sheet'!K49</f>
        <v>44.9</v>
      </c>
    </row>
    <row r="14" spans="1:11" s="8" customFormat="1" x14ac:dyDescent="0.25">
      <c r="A14" s="2" t="s">
        <v>15</v>
      </c>
      <c r="B14" s="14">
        <f>IF(B4&gt;0,B6/B4,"")</f>
        <v>0.20392156862745098</v>
      </c>
      <c r="C14" s="14">
        <f t="shared" ref="C14:K14" si="0">IF(C4&gt;0,C6/C4,"")</f>
        <v>0.29298825515155774</v>
      </c>
      <c r="D14" s="14">
        <f t="shared" si="0"/>
        <v>0.26469443363176332</v>
      </c>
      <c r="E14" s="14">
        <f t="shared" si="0"/>
        <v>0.2624804992199688</v>
      </c>
      <c r="F14" s="14">
        <f t="shared" si="0"/>
        <v>0.34332514332514336</v>
      </c>
      <c r="G14" s="14">
        <f t="shared" si="0"/>
        <v>0.41738910333480983</v>
      </c>
      <c r="H14" s="14">
        <f t="shared" si="0"/>
        <v>0.27640264026402639</v>
      </c>
      <c r="I14" s="14">
        <f t="shared" si="0"/>
        <v>0.33616387337057729</v>
      </c>
      <c r="J14" s="14">
        <f t="shared" si="0"/>
        <v>0.35274697367307206</v>
      </c>
      <c r="K14" s="14">
        <f t="shared" si="0"/>
        <v>0.37605771316988496</v>
      </c>
    </row>
    <row r="22" s="30" customFormat="1" x14ac:dyDescent="0.25"/>
  </sheetData>
  <hyperlinks>
    <hyperlink ref="J1" r:id="rId1"/>
  </hyperlinks>
  <printOptions gridLines="1"/>
  <pageMargins left="0.7" right="0.7" top="0.75" bottom="0.75" header="0.3" footer="0.3"/>
  <pageSetup paperSize="9" scale="83" orientation="landscape" horizontalDpi="300" verticalDpi="300"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L25"/>
  <sheetViews>
    <sheetView workbookViewId="0">
      <pane xSplit="1" ySplit="3" topLeftCell="B4" activePane="bottomRight" state="frozen"/>
      <selection activeCell="C4" sqref="C4"/>
      <selection pane="topRight" activeCell="C4" sqref="C4"/>
      <selection pane="bottomLeft" activeCell="C4" sqref="C4"/>
      <selection pane="bottomRight" activeCell="C13" sqref="C13"/>
    </sheetView>
  </sheetViews>
  <sheetFormatPr defaultRowHeight="15" x14ac:dyDescent="0.25"/>
  <cols>
    <col min="1" max="1" width="22.85546875" style="11" bestFit="1" customWidth="1"/>
    <col min="2" max="2" width="13.5703125" style="11" customWidth="1"/>
    <col min="3" max="11" width="15.5703125" style="11" customWidth="1"/>
    <col min="12" max="16384" width="9.140625" style="11"/>
  </cols>
  <sheetData>
    <row r="1" spans="1:12" s="8" customFormat="1" x14ac:dyDescent="0.25">
      <c r="A1" s="8" t="str">
        <f>'Profit &amp; Loss'!A1</f>
        <v>KITEX GARMENTS LTD</v>
      </c>
      <c r="E1" t="str">
        <f>UPDATE</f>
        <v/>
      </c>
      <c r="G1"/>
      <c r="J1" s="4" t="s">
        <v>1</v>
      </c>
      <c r="K1" s="4"/>
    </row>
    <row r="2" spans="1:12" x14ac:dyDescent="0.25">
      <c r="G2" s="8"/>
      <c r="H2" s="8"/>
    </row>
    <row r="3" spans="1:12" s="18" customFormat="1" x14ac:dyDescent="0.25">
      <c r="A3" s="15" t="s">
        <v>2</v>
      </c>
      <c r="B3" s="16">
        <f>'Data Sheet'!B56</f>
        <v>38807</v>
      </c>
      <c r="C3" s="16">
        <f>'Data Sheet'!C56</f>
        <v>39172</v>
      </c>
      <c r="D3" s="16">
        <f>'Data Sheet'!D56</f>
        <v>39538</v>
      </c>
      <c r="E3" s="16">
        <f>'Data Sheet'!E56</f>
        <v>39903</v>
      </c>
      <c r="F3" s="16">
        <f>'Data Sheet'!F56</f>
        <v>40268</v>
      </c>
      <c r="G3" s="16">
        <f>'Data Sheet'!G56</f>
        <v>40633</v>
      </c>
      <c r="H3" s="16">
        <f>'Data Sheet'!H56</f>
        <v>40999</v>
      </c>
      <c r="I3" s="16">
        <f>'Data Sheet'!I56</f>
        <v>41364</v>
      </c>
      <c r="J3" s="16">
        <f>'Data Sheet'!J56</f>
        <v>41729</v>
      </c>
      <c r="K3" s="16">
        <f>'Data Sheet'!K56</f>
        <v>42094</v>
      </c>
      <c r="L3" s="16">
        <f>'Data Sheet'!L56</f>
        <v>42460</v>
      </c>
    </row>
    <row r="4" spans="1:12" x14ac:dyDescent="0.25">
      <c r="A4" s="6" t="s">
        <v>19</v>
      </c>
      <c r="B4" s="19">
        <f>'Data Sheet'!B57</f>
        <v>0</v>
      </c>
      <c r="C4" s="19">
        <f>'Data Sheet'!C57</f>
        <v>4.75</v>
      </c>
      <c r="D4" s="19">
        <f>'Data Sheet'!D57</f>
        <v>4.75</v>
      </c>
      <c r="E4" s="19">
        <f>'Data Sheet'!E57</f>
        <v>4.75</v>
      </c>
      <c r="F4" s="19">
        <f>'Data Sheet'!F57</f>
        <v>4.75</v>
      </c>
      <c r="G4" s="19">
        <f>'Data Sheet'!G57</f>
        <v>4.75</v>
      </c>
      <c r="H4" s="19">
        <f>'Data Sheet'!H57</f>
        <v>4.75</v>
      </c>
      <c r="I4" s="19">
        <f>'Data Sheet'!I57</f>
        <v>4.75</v>
      </c>
      <c r="J4" s="19">
        <f>'Data Sheet'!J57</f>
        <v>4.75</v>
      </c>
      <c r="K4" s="19">
        <f>'Data Sheet'!K57</f>
        <v>4.75</v>
      </c>
      <c r="L4" s="19">
        <f>'Data Sheet'!L57</f>
        <v>4.75</v>
      </c>
    </row>
    <row r="5" spans="1:12" s="6" customFormat="1" x14ac:dyDescent="0.25">
      <c r="A5" s="6" t="s">
        <v>20</v>
      </c>
      <c r="B5" s="19">
        <f>'Data Sheet'!B58</f>
        <v>0</v>
      </c>
      <c r="C5" s="19">
        <f>'Data Sheet'!C58</f>
        <v>17.3</v>
      </c>
      <c r="D5" s="19">
        <f>'Data Sheet'!D58</f>
        <v>25.05</v>
      </c>
      <c r="E5" s="19">
        <f>'Data Sheet'!E58</f>
        <v>33.619999999999997</v>
      </c>
      <c r="F5" s="19">
        <f>'Data Sheet'!F58</f>
        <v>50.46</v>
      </c>
      <c r="G5" s="19">
        <f>'Data Sheet'!G58</f>
        <v>68.87</v>
      </c>
      <c r="H5" s="19">
        <f>'Data Sheet'!H58</f>
        <v>92.68</v>
      </c>
      <c r="I5" s="19">
        <f>'Data Sheet'!I58</f>
        <v>117.61</v>
      </c>
      <c r="J5" s="19">
        <f>'Data Sheet'!J58</f>
        <v>169.42</v>
      </c>
      <c r="K5" s="19">
        <f>'Data Sheet'!K58</f>
        <v>259.13</v>
      </c>
      <c r="L5" s="19">
        <f>'Data Sheet'!L58</f>
        <v>362.64</v>
      </c>
    </row>
    <row r="6" spans="1:12" x14ac:dyDescent="0.25">
      <c r="A6" s="11" t="s">
        <v>66</v>
      </c>
      <c r="B6" s="19">
        <f>'Data Sheet'!B59</f>
        <v>0</v>
      </c>
      <c r="C6" s="19">
        <f>'Data Sheet'!C59</f>
        <v>113.43</v>
      </c>
      <c r="D6" s="19">
        <f>'Data Sheet'!D59</f>
        <v>114.61</v>
      </c>
      <c r="E6" s="19">
        <f>'Data Sheet'!E59</f>
        <v>137.88</v>
      </c>
      <c r="F6" s="19">
        <f>'Data Sheet'!F59</f>
        <v>69.69</v>
      </c>
      <c r="G6" s="19">
        <f>'Data Sheet'!G59</f>
        <v>108.4</v>
      </c>
      <c r="H6" s="19">
        <f>'Data Sheet'!H59</f>
        <v>101.5</v>
      </c>
      <c r="I6" s="19">
        <f>'Data Sheet'!I59</f>
        <v>101.17</v>
      </c>
      <c r="J6" s="19">
        <f>'Data Sheet'!J59</f>
        <v>134.15</v>
      </c>
      <c r="K6" s="19">
        <f>'Data Sheet'!K59</f>
        <v>161.22999999999999</v>
      </c>
      <c r="L6" s="19">
        <f>'Data Sheet'!L59</f>
        <v>110.09</v>
      </c>
    </row>
    <row r="7" spans="1:12" s="6" customFormat="1" x14ac:dyDescent="0.25">
      <c r="A7" s="11" t="s">
        <v>67</v>
      </c>
      <c r="B7" s="19">
        <f>'Data Sheet'!B60</f>
        <v>0</v>
      </c>
      <c r="C7" s="19">
        <f>'Data Sheet'!C60</f>
        <v>29.12</v>
      </c>
      <c r="D7" s="19">
        <f>'Data Sheet'!D60</f>
        <v>39.159999999999997</v>
      </c>
      <c r="E7" s="19">
        <f>'Data Sheet'!E60</f>
        <v>37.880000000000003</v>
      </c>
      <c r="F7" s="19">
        <f>'Data Sheet'!F60</f>
        <v>58.71</v>
      </c>
      <c r="G7" s="19">
        <f>'Data Sheet'!G60</f>
        <v>68.34</v>
      </c>
      <c r="H7" s="19">
        <f>'Data Sheet'!H60</f>
        <v>69.099999999999994</v>
      </c>
      <c r="I7" s="19">
        <f>'Data Sheet'!I60</f>
        <v>72.34</v>
      </c>
      <c r="J7" s="19">
        <f>'Data Sheet'!J60</f>
        <v>96.29</v>
      </c>
      <c r="K7" s="19">
        <f>'Data Sheet'!K60</f>
        <v>111.37</v>
      </c>
      <c r="L7" s="19">
        <f>'Data Sheet'!L60</f>
        <v>143.13999999999999</v>
      </c>
    </row>
    <row r="8" spans="1:12" s="8" customFormat="1" x14ac:dyDescent="0.25">
      <c r="A8" s="8" t="s">
        <v>21</v>
      </c>
      <c r="B8" s="20">
        <f>'Data Sheet'!B61</f>
        <v>0</v>
      </c>
      <c r="C8" s="20">
        <f>'Data Sheet'!C61</f>
        <v>164.6</v>
      </c>
      <c r="D8" s="20">
        <f>'Data Sheet'!D61</f>
        <v>183.57</v>
      </c>
      <c r="E8" s="20">
        <f>'Data Sheet'!E61</f>
        <v>214.13</v>
      </c>
      <c r="F8" s="20">
        <f>'Data Sheet'!F61</f>
        <v>183.61</v>
      </c>
      <c r="G8" s="20">
        <f>'Data Sheet'!G61</f>
        <v>250.36</v>
      </c>
      <c r="H8" s="20">
        <f>'Data Sheet'!H61</f>
        <v>268.02999999999997</v>
      </c>
      <c r="I8" s="20">
        <f>'Data Sheet'!I61</f>
        <v>295.87</v>
      </c>
      <c r="J8" s="20">
        <f>'Data Sheet'!J61</f>
        <v>404.61</v>
      </c>
      <c r="K8" s="20">
        <f>'Data Sheet'!K61</f>
        <v>536.48</v>
      </c>
      <c r="L8" s="20">
        <f>'Data Sheet'!L61</f>
        <v>620.62</v>
      </c>
    </row>
    <row r="9" spans="1:12" s="8" customFormat="1" x14ac:dyDescent="0.25">
      <c r="B9" s="20"/>
      <c r="C9" s="20"/>
      <c r="D9" s="20"/>
      <c r="E9" s="20"/>
      <c r="F9" s="20"/>
      <c r="G9" s="20"/>
      <c r="H9" s="20"/>
      <c r="I9" s="20"/>
      <c r="J9" s="20"/>
      <c r="K9" s="20"/>
      <c r="L9" s="20"/>
    </row>
    <row r="10" spans="1:12" x14ac:dyDescent="0.25">
      <c r="A10" s="6" t="s">
        <v>22</v>
      </c>
      <c r="B10" s="19">
        <f>'Data Sheet'!B62</f>
        <v>0</v>
      </c>
      <c r="C10" s="19">
        <f>'Data Sheet'!C62</f>
        <v>91.52</v>
      </c>
      <c r="D10" s="19">
        <f>'Data Sheet'!D62</f>
        <v>101.36</v>
      </c>
      <c r="E10" s="19">
        <f>'Data Sheet'!E62</f>
        <v>123.03</v>
      </c>
      <c r="F10" s="19">
        <f>'Data Sheet'!F62</f>
        <v>118.66</v>
      </c>
      <c r="G10" s="19">
        <f>'Data Sheet'!G62</f>
        <v>122.31</v>
      </c>
      <c r="H10" s="19">
        <f>'Data Sheet'!H62</f>
        <v>122.79</v>
      </c>
      <c r="I10" s="19">
        <f>'Data Sheet'!I62</f>
        <v>117.25</v>
      </c>
      <c r="J10" s="19">
        <f>'Data Sheet'!J62</f>
        <v>181.21</v>
      </c>
      <c r="K10" s="19">
        <f>'Data Sheet'!K62</f>
        <v>188.23</v>
      </c>
      <c r="L10" s="19">
        <f>'Data Sheet'!L62</f>
        <v>172.99</v>
      </c>
    </row>
    <row r="11" spans="1:12" x14ac:dyDescent="0.25">
      <c r="A11" s="6" t="s">
        <v>23</v>
      </c>
      <c r="B11" s="19">
        <f>'Data Sheet'!B63</f>
        <v>0</v>
      </c>
      <c r="C11" s="19">
        <f>'Data Sheet'!C63</f>
        <v>13.19</v>
      </c>
      <c r="D11" s="19">
        <f>'Data Sheet'!D63</f>
        <v>13.34</v>
      </c>
      <c r="E11" s="19">
        <f>'Data Sheet'!E63</f>
        <v>0.69</v>
      </c>
      <c r="F11" s="19">
        <f>'Data Sheet'!F63</f>
        <v>0.81</v>
      </c>
      <c r="G11" s="19">
        <f>'Data Sheet'!G63</f>
        <v>0.94</v>
      </c>
      <c r="H11" s="19">
        <f>'Data Sheet'!H63</f>
        <v>0.35</v>
      </c>
      <c r="I11" s="19">
        <f>'Data Sheet'!I63</f>
        <v>2.2799999999999998</v>
      </c>
      <c r="J11" s="19">
        <f>'Data Sheet'!J63</f>
        <v>0.67</v>
      </c>
      <c r="K11" s="19">
        <f>'Data Sheet'!K63</f>
        <v>0.28999999999999998</v>
      </c>
      <c r="L11" s="19">
        <f>'Data Sheet'!L63</f>
        <v>1.24</v>
      </c>
    </row>
    <row r="12" spans="1:12" x14ac:dyDescent="0.25">
      <c r="A12" s="6" t="s">
        <v>24</v>
      </c>
      <c r="B12" s="19">
        <f>'Data Sheet'!B64</f>
        <v>0</v>
      </c>
      <c r="C12" s="19">
        <f>'Data Sheet'!C64</f>
        <v>0</v>
      </c>
      <c r="D12" s="19">
        <f>'Data Sheet'!D64</f>
        <v>0</v>
      </c>
      <c r="E12" s="19">
        <f>'Data Sheet'!E64</f>
        <v>0</v>
      </c>
      <c r="F12" s="19">
        <f>'Data Sheet'!F64</f>
        <v>0</v>
      </c>
      <c r="G12" s="19">
        <f>'Data Sheet'!G64</f>
        <v>0</v>
      </c>
      <c r="H12" s="19">
        <f>'Data Sheet'!H64</f>
        <v>0</v>
      </c>
      <c r="I12" s="19">
        <f>'Data Sheet'!I64</f>
        <v>0</v>
      </c>
      <c r="J12" s="19">
        <f>'Data Sheet'!J64</f>
        <v>0</v>
      </c>
      <c r="K12" s="19">
        <f>'Data Sheet'!K64</f>
        <v>0</v>
      </c>
      <c r="L12" s="19">
        <f>'Data Sheet'!L64</f>
        <v>4.62</v>
      </c>
    </row>
    <row r="13" spans="1:12" x14ac:dyDescent="0.25">
      <c r="A13" s="11" t="s">
        <v>68</v>
      </c>
      <c r="B13" s="19">
        <f>'Data Sheet'!B65</f>
        <v>0</v>
      </c>
      <c r="C13" s="19">
        <f>'Data Sheet'!C65</f>
        <v>59.89</v>
      </c>
      <c r="D13" s="19">
        <f>'Data Sheet'!D65</f>
        <v>68.87</v>
      </c>
      <c r="E13" s="19">
        <f>'Data Sheet'!E65</f>
        <v>90.41</v>
      </c>
      <c r="F13" s="19">
        <f>'Data Sheet'!F65</f>
        <v>64.14</v>
      </c>
      <c r="G13" s="19">
        <f>'Data Sheet'!G65</f>
        <v>127.11</v>
      </c>
      <c r="H13" s="19">
        <f>'Data Sheet'!H65</f>
        <v>144.88999999999999</v>
      </c>
      <c r="I13" s="19">
        <f>'Data Sheet'!I65</f>
        <v>176.34</v>
      </c>
      <c r="J13" s="19">
        <f>'Data Sheet'!J65</f>
        <v>222.73</v>
      </c>
      <c r="K13" s="19">
        <f>'Data Sheet'!K65</f>
        <v>347.96</v>
      </c>
      <c r="L13" s="19">
        <f>'Data Sheet'!L65</f>
        <v>441.77</v>
      </c>
    </row>
    <row r="14" spans="1:12" s="8" customFormat="1" x14ac:dyDescent="0.25">
      <c r="A14" s="8" t="s">
        <v>21</v>
      </c>
      <c r="B14" s="19">
        <f>'Data Sheet'!B66</f>
        <v>0</v>
      </c>
      <c r="C14" s="19">
        <f>'Data Sheet'!C66</f>
        <v>164.6</v>
      </c>
      <c r="D14" s="19">
        <f>'Data Sheet'!D66</f>
        <v>183.57</v>
      </c>
      <c r="E14" s="19">
        <f>'Data Sheet'!E66</f>
        <v>214.13</v>
      </c>
      <c r="F14" s="19">
        <f>'Data Sheet'!F66</f>
        <v>183.61</v>
      </c>
      <c r="G14" s="19">
        <f>'Data Sheet'!G66</f>
        <v>250.36</v>
      </c>
      <c r="H14" s="19">
        <f>'Data Sheet'!H66</f>
        <v>268.02999999999997</v>
      </c>
      <c r="I14" s="19">
        <f>'Data Sheet'!I66</f>
        <v>295.87</v>
      </c>
      <c r="J14" s="19">
        <f>'Data Sheet'!J66</f>
        <v>404.61</v>
      </c>
      <c r="K14" s="19">
        <f>'Data Sheet'!K66</f>
        <v>536.48</v>
      </c>
      <c r="L14" s="19">
        <f>'Data Sheet'!L66</f>
        <v>620.62</v>
      </c>
    </row>
    <row r="15" spans="1:12" x14ac:dyDescent="0.25">
      <c r="A15" s="6"/>
      <c r="B15" s="21"/>
      <c r="C15" s="21"/>
      <c r="D15" s="21"/>
      <c r="E15" s="21"/>
      <c r="F15" s="21"/>
      <c r="G15" s="21"/>
      <c r="H15" s="21"/>
      <c r="I15" s="21"/>
      <c r="J15" s="21"/>
      <c r="K15" s="21"/>
      <c r="L15" s="21"/>
    </row>
    <row r="16" spans="1:12" x14ac:dyDescent="0.25">
      <c r="A16" s="29" t="s">
        <v>25</v>
      </c>
      <c r="B16" s="21">
        <f>B13-B7</f>
        <v>0</v>
      </c>
      <c r="C16" s="21">
        <f t="shared" ref="C16:K16" si="0">C13-C7</f>
        <v>30.77</v>
      </c>
      <c r="D16" s="21">
        <f t="shared" si="0"/>
        <v>29.710000000000008</v>
      </c>
      <c r="E16" s="21">
        <f t="shared" si="0"/>
        <v>52.529999999999994</v>
      </c>
      <c r="F16" s="21">
        <f t="shared" si="0"/>
        <v>5.43</v>
      </c>
      <c r="G16" s="21">
        <f t="shared" si="0"/>
        <v>58.769999999999996</v>
      </c>
      <c r="H16" s="21">
        <f t="shared" si="0"/>
        <v>75.789999999999992</v>
      </c>
      <c r="I16" s="21">
        <f t="shared" si="0"/>
        <v>104</v>
      </c>
      <c r="J16" s="21">
        <f t="shared" si="0"/>
        <v>126.43999999999998</v>
      </c>
      <c r="K16" s="21">
        <f t="shared" si="0"/>
        <v>236.58999999999997</v>
      </c>
      <c r="L16" s="21">
        <f t="shared" ref="L16" si="1">L13-L7</f>
        <v>298.63</v>
      </c>
    </row>
    <row r="17" spans="1:12" x14ac:dyDescent="0.25">
      <c r="A17" s="11" t="s">
        <v>39</v>
      </c>
      <c r="B17" s="21">
        <f>'Data Sheet'!B67</f>
        <v>0</v>
      </c>
      <c r="C17" s="21">
        <f>'Data Sheet'!C67</f>
        <v>26.15</v>
      </c>
      <c r="D17" s="21">
        <f>'Data Sheet'!D67</f>
        <v>31.25</v>
      </c>
      <c r="E17" s="21">
        <f>'Data Sheet'!E67</f>
        <v>55.31</v>
      </c>
      <c r="F17" s="21">
        <f>'Data Sheet'!F67</f>
        <v>5.19</v>
      </c>
      <c r="G17" s="21">
        <f>'Data Sheet'!G67</f>
        <v>39.29</v>
      </c>
      <c r="H17" s="21">
        <f>'Data Sheet'!H67</f>
        <v>31.83</v>
      </c>
      <c r="I17" s="21">
        <f>'Data Sheet'!I67</f>
        <v>50.63</v>
      </c>
      <c r="J17" s="21">
        <f>'Data Sheet'!J67</f>
        <v>53.06</v>
      </c>
      <c r="K17" s="21">
        <f>'Data Sheet'!K67</f>
        <v>62.66</v>
      </c>
      <c r="L17" s="21">
        <f>'Data Sheet'!L67</f>
        <v>96.01</v>
      </c>
    </row>
    <row r="18" spans="1:12" x14ac:dyDescent="0.25">
      <c r="A18" s="11" t="s">
        <v>40</v>
      </c>
      <c r="B18" s="21">
        <f>'Data Sheet'!B68</f>
        <v>0</v>
      </c>
      <c r="C18" s="21">
        <f>'Data Sheet'!C68</f>
        <v>10.57</v>
      </c>
      <c r="D18" s="21">
        <f>'Data Sheet'!D68</f>
        <v>17.78</v>
      </c>
      <c r="E18" s="21">
        <f>'Data Sheet'!E68</f>
        <v>24.14</v>
      </c>
      <c r="F18" s="21">
        <f>'Data Sheet'!F68</f>
        <v>22.26</v>
      </c>
      <c r="G18" s="21">
        <f>'Data Sheet'!G68</f>
        <v>56.59</v>
      </c>
      <c r="H18" s="21">
        <f>'Data Sheet'!H68</f>
        <v>51.96</v>
      </c>
      <c r="I18" s="21">
        <f>'Data Sheet'!I68</f>
        <v>45.86</v>
      </c>
      <c r="J18" s="21">
        <f>'Data Sheet'!J68</f>
        <v>10.8</v>
      </c>
      <c r="K18" s="21">
        <f>'Data Sheet'!K68</f>
        <v>11.2</v>
      </c>
      <c r="L18" s="21">
        <f>'Data Sheet'!L68</f>
        <v>13.02</v>
      </c>
    </row>
    <row r="20" spans="1:12" x14ac:dyDescent="0.25">
      <c r="A20" s="11" t="s">
        <v>41</v>
      </c>
      <c r="B20" s="5">
        <f>IF('Profit &amp; Loss'!B4&gt;0,'Balance Sheet'!B17/('Profit &amp; Loss'!B4/365),0)</f>
        <v>0</v>
      </c>
      <c r="C20" s="5">
        <f>IF('Profit &amp; Loss'!C4&gt;0,'Balance Sheet'!C17/('Profit &amp; Loss'!C4/365),0)</f>
        <v>62.400300732217566</v>
      </c>
      <c r="D20" s="5">
        <f>IF('Profit &amp; Loss'!D4&gt;0,'Balance Sheet'!D17/('Profit &amp; Loss'!D4/365),0)</f>
        <v>64.767758787121679</v>
      </c>
      <c r="E20" s="5">
        <f>IF('Profit &amp; Loss'!E4&gt;0,'Balance Sheet'!E17/('Profit &amp; Loss'!E4/365),0)</f>
        <v>110.68671528044301</v>
      </c>
      <c r="F20" s="5">
        <f>IF('Profit &amp; Loss'!F4&gt;0,'Balance Sheet'!F17/('Profit &amp; Loss'!F4/365),0)</f>
        <v>7.656414194487108</v>
      </c>
      <c r="G20" s="5">
        <f>IF('Profit &amp; Loss'!G4&gt;0,'Balance Sheet'!G17/('Profit &amp; Loss'!G4/365),0)</f>
        <v>59.191225028892191</v>
      </c>
      <c r="H20" s="5">
        <f>IF('Profit &amp; Loss'!H4&gt;0,'Balance Sheet'!H17/('Profit &amp; Loss'!H4/365),0)</f>
        <v>37.237019230769228</v>
      </c>
      <c r="I20" s="5">
        <f>IF('Profit &amp; Loss'!I4&gt;0,'Balance Sheet'!I17/('Profit &amp; Loss'!I4/365),0)</f>
        <v>58.30005047637075</v>
      </c>
      <c r="J20" s="5">
        <f>IF('Profit &amp; Loss'!J4&gt;0,'Balance Sheet'!J17/('Profit &amp; Loss'!J4/365),0)</f>
        <v>43.795707921575726</v>
      </c>
      <c r="K20" s="5">
        <f>IF('Profit &amp; Loss'!K4&gt;0,'Balance Sheet'!K17/('Profit &amp; Loss'!K4/365),0)</f>
        <v>44.748385834474661</v>
      </c>
      <c r="L20" s="5">
        <f>IF('Profit &amp; Loss'!L4&gt;0,'Balance Sheet'!L17/('Profit &amp; Loss'!L4/365),0)</f>
        <v>64.203675204279804</v>
      </c>
    </row>
    <row r="21" spans="1:12" x14ac:dyDescent="0.25">
      <c r="A21" s="11" t="s">
        <v>42</v>
      </c>
      <c r="B21" s="5">
        <f>IF('Balance Sheet'!B18&gt;0,'Profit &amp; Loss'!B4/'Balance Sheet'!B18,0)</f>
        <v>0</v>
      </c>
      <c r="C21" s="5">
        <f>IF('Balance Sheet'!C18&gt;0,'Profit &amp; Loss'!C4/'Balance Sheet'!C18,0)</f>
        <v>14.471144749290445</v>
      </c>
      <c r="D21" s="5">
        <f>IF('Balance Sheet'!D18&gt;0,'Profit &amp; Loss'!D4/'Balance Sheet'!D18,0)</f>
        <v>9.9049493813273344</v>
      </c>
      <c r="E21" s="5">
        <f>IF('Balance Sheet'!E18&gt;0,'Profit &amp; Loss'!E4/'Balance Sheet'!E18,0)</f>
        <v>7.5555095277547633</v>
      </c>
      <c r="F21" s="5">
        <f>IF('Balance Sheet'!F18&gt;0,'Profit &amp; Loss'!F4/'Balance Sheet'!F18,0)</f>
        <v>11.115004492362981</v>
      </c>
      <c r="G21" s="5">
        <f>IF('Balance Sheet'!G18&gt;0,'Profit &amp; Loss'!G4/'Balance Sheet'!G18,0)</f>
        <v>4.2813217883018195</v>
      </c>
      <c r="H21" s="5">
        <f>IF('Balance Sheet'!H18&gt;0,'Profit &amp; Loss'!H4/'Balance Sheet'!H18,0)</f>
        <v>6.0046189376443415</v>
      </c>
      <c r="I21" s="5">
        <f>IF('Balance Sheet'!I18&gt;0,'Profit &amp; Loss'!I4/'Balance Sheet'!I18,0)</f>
        <v>6.9119058002616667</v>
      </c>
      <c r="J21" s="5">
        <f>IF('Balance Sheet'!J18&gt;0,'Profit &amp; Loss'!J4/'Balance Sheet'!J18,0)</f>
        <v>40.945370370370362</v>
      </c>
      <c r="K21" s="5">
        <f>IF('Balance Sheet'!K18&gt;0,'Profit &amp; Loss'!K4/'Balance Sheet'!K18,0)</f>
        <v>45.633928571428577</v>
      </c>
      <c r="L21" s="5">
        <f>IF('Balance Sheet'!L18&gt;0,'Profit &amp; Loss'!L4/'Balance Sheet'!L18,0)</f>
        <v>41.92165898617511</v>
      </c>
    </row>
    <row r="23" spans="1:12" s="8" customFormat="1" x14ac:dyDescent="0.25">
      <c r="A23" s="8" t="s">
        <v>55</v>
      </c>
      <c r="B23" s="14" t="str">
        <f>IF(SUM('Balance Sheet'!B4:B5)&gt;0,'Profit &amp; Loss'!B12/SUM('Balance Sheet'!B4:B5),"")</f>
        <v/>
      </c>
      <c r="C23" s="14">
        <f>IF(SUM('Balance Sheet'!C4:C5)&gt;0,'Profit &amp; Loss'!C12/SUM('Balance Sheet'!C4:C5),"")</f>
        <v>0.43310657596371882</v>
      </c>
      <c r="D23" s="14">
        <f>IF(SUM('Balance Sheet'!D4:D5)&gt;0,'Profit &amp; Loss'!D12/SUM('Balance Sheet'!D4:D5),"")</f>
        <v>0.29664429530201342</v>
      </c>
      <c r="E23" s="14">
        <f>IF(SUM('Balance Sheet'!E4:E5)&gt;0,'Profit &amp; Loss'!E12/SUM('Balance Sheet'!E4:E5),"")</f>
        <v>0.25957779515246288</v>
      </c>
      <c r="F23" s="14">
        <f>IF(SUM('Balance Sheet'!F4:F5)&gt;0,'Profit &amp; Loss'!F12/SUM('Balance Sheet'!F4:F5),"")</f>
        <v>0.33508422387248687</v>
      </c>
      <c r="G23" s="14">
        <f>IF(SUM('Balance Sheet'!G4:G5)&gt;0,'Profit &amp; Loss'!G12/SUM('Balance Sheet'!G4:G5),"")</f>
        <v>0.28022276555283887</v>
      </c>
      <c r="H23" s="14">
        <f>IF(SUM('Balance Sheet'!H4:H5)&gt;0,'Profit &amp; Loss'!H12/SUM('Balance Sheet'!H4:H5),"")</f>
        <v>0.27835368982859487</v>
      </c>
      <c r="I23" s="14">
        <f>IF(SUM('Balance Sheet'!I4:I5)&gt;0,'Profit &amp; Loss'!I12/SUM('Balance Sheet'!I4:I5),"")</f>
        <v>0.24011114743380188</v>
      </c>
      <c r="J23" s="14">
        <f>IF(SUM('Balance Sheet'!J4:J5)&gt;0,'Profit &amp; Loss'!J12/SUM('Balance Sheet'!J4:J5),"")</f>
        <v>0.32939082505597977</v>
      </c>
      <c r="K23" s="14">
        <f>IF(SUM('Balance Sheet'!K4:K5)&gt;0,'Profit &amp; Loss'!K12/SUM('Balance Sheet'!K4:K5),"")</f>
        <v>0.37335152341973621</v>
      </c>
      <c r="L23" s="14">
        <f>IF(SUM('Balance Sheet'!L4:L5)&gt;0,'Profit &amp; Loss'!L12/SUM('Balance Sheet'!L4:L5),"")</f>
        <v>0.30512534364027327</v>
      </c>
    </row>
    <row r="24" spans="1:12" s="8" customFormat="1" x14ac:dyDescent="0.25">
      <c r="A24" s="8" t="s">
        <v>56</v>
      </c>
      <c r="B24" s="14" t="str">
        <f>IF(('Balance Sheet'!B10+'Balance Sheet'!B16)&gt;0,('Profit &amp; Loss'!B6-'Profit &amp; Loss'!B8-'Profit &amp; Loss'!B11)/('Balance Sheet'!B10+'Balance Sheet'!B16),"")</f>
        <v/>
      </c>
      <c r="C24" s="14">
        <f>IF(('Balance Sheet'!C10+'Balance Sheet'!C16)&gt;0,('Profit &amp; Loss'!C6-'Profit &amp; Loss'!C8-'Profit &amp; Loss'!C11)/('Balance Sheet'!C10+'Balance Sheet'!C16),"")</f>
        <v>3.7206639954207352E-2</v>
      </c>
      <c r="D24" s="14">
        <f>IF(('Balance Sheet'!D10+'Balance Sheet'!D16)&gt;0,('Profit &amp; Loss'!D6-'Profit &amp; Loss'!D8-'Profit &amp; Loss'!D11)/('Balance Sheet'!D10+'Balance Sheet'!D16),"")</f>
        <v>1.1062790875104997E-2</v>
      </c>
      <c r="E24" s="14">
        <f>IF(('Balance Sheet'!E10+'Balance Sheet'!E16)&gt;0,('Profit &amp; Loss'!E6-'Profit &amp; Loss'!E8-'Profit &amp; Loss'!E11)/('Balance Sheet'!E10+'Balance Sheet'!E16),"")</f>
        <v>3.4802916381863648E-2</v>
      </c>
      <c r="F24" s="14">
        <f>IF(('Balance Sheet'!F10+'Balance Sheet'!F16)&gt;0,('Profit &amp; Loss'!F6-'Profit &amp; Loss'!F8-'Profit &amp; Loss'!F11)/('Balance Sheet'!F10+'Balance Sheet'!F16),"")</f>
        <v>6.2212909984688092E-2</v>
      </c>
      <c r="G24" s="14">
        <f>IF(('Balance Sheet'!G10+'Balance Sheet'!G16)&gt;0,('Profit &amp; Loss'!G6-'Profit &amp; Loss'!G8-'Profit &amp; Loss'!G11)/('Balance Sheet'!G10+'Balance Sheet'!G16),"")</f>
        <v>9.0899050143582835E-2</v>
      </c>
      <c r="H24" s="14">
        <f>IF(('Balance Sheet'!H10+'Balance Sheet'!H16)&gt;0,('Profit &amp; Loss'!H6-'Profit &amp; Loss'!H8-'Profit &amp; Loss'!H11)/('Balance Sheet'!H10+'Balance Sheet'!H16),"")</f>
        <v>0.19906334978346238</v>
      </c>
      <c r="I24" s="14">
        <f>IF(('Balance Sheet'!I10+'Balance Sheet'!I16)&gt;0,('Profit &amp; Loss'!I6-'Profit &amp; Loss'!I8-'Profit &amp; Loss'!I11)/('Balance Sheet'!I10+'Balance Sheet'!I16),"")</f>
        <v>0.17405649717514146</v>
      </c>
      <c r="J24" s="14">
        <f>IF(('Balance Sheet'!J10+'Balance Sheet'!J16)&gt;0,('Profit &amp; Loss'!J6-'Profit &amp; Loss'!J8-'Profit &amp; Loss'!J11)/('Balance Sheet'!J10+'Balance Sheet'!J16),"")</f>
        <v>0.1831626848691692</v>
      </c>
      <c r="K24" s="14">
        <f>IF(('Balance Sheet'!K10+'Balance Sheet'!K16)&gt;0,('Profit &amp; Loss'!K6-'Profit &amp; Loss'!K8-'Profit &amp; Loss'!K11)/('Balance Sheet'!K10+'Balance Sheet'!K16),"")</f>
        <v>0.25005884845346277</v>
      </c>
      <c r="L24" s="14">
        <f>IF(('Balance Sheet'!L10+'Balance Sheet'!L16)&gt;0,('Profit &amp; Loss'!L6-'Profit &amp; Loss'!L8-'Profit &amp; Loss'!L11)/('Balance Sheet'!L10+'Balance Sheet'!L16),"")</f>
        <v>0.22484203384080401</v>
      </c>
    </row>
    <row r="25" spans="1:12" s="18" customFormat="1" x14ac:dyDescent="0.25"/>
  </sheetData>
  <hyperlinks>
    <hyperlink ref="J1" r:id="rId1"/>
  </hyperlinks>
  <printOptions gridLines="1"/>
  <pageMargins left="0.7" right="0.7" top="0.75" bottom="0.75" header="0.3" footer="0.3"/>
  <pageSetup paperSize="9" orientation="landscape" horizontalDpi="0"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L24"/>
  <sheetViews>
    <sheetView workbookViewId="0">
      <pane xSplit="1" ySplit="3" topLeftCell="B4" activePane="bottomRight" state="frozen"/>
      <selection pane="topRight" activeCell="B1" sqref="B1"/>
      <selection pane="bottomLeft" activeCell="A4" sqref="A4"/>
      <selection pane="bottomRight" activeCell="L4" sqref="L4"/>
    </sheetView>
  </sheetViews>
  <sheetFormatPr defaultRowHeight="15" x14ac:dyDescent="0.25"/>
  <cols>
    <col min="1" max="1" width="26.85546875" style="6" bestFit="1" customWidth="1"/>
    <col min="2" max="6" width="13.5703125" style="6" customWidth="1"/>
    <col min="7" max="11" width="13.5703125" style="6" bestFit="1" customWidth="1"/>
    <col min="12" max="12" width="10.85546875" style="6" customWidth="1"/>
    <col min="13" max="16384" width="9.140625" style="6"/>
  </cols>
  <sheetData>
    <row r="1" spans="1:12" s="8" customFormat="1" x14ac:dyDescent="0.25">
      <c r="A1" s="8" t="str">
        <f>'Balance Sheet'!A1</f>
        <v>KITEX GARMENTS LTD</v>
      </c>
      <c r="E1" t="str">
        <f>UPDATE</f>
        <v/>
      </c>
      <c r="F1"/>
      <c r="J1" s="4" t="s">
        <v>1</v>
      </c>
      <c r="K1" s="4"/>
    </row>
    <row r="3" spans="1:12" s="2" customFormat="1" x14ac:dyDescent="0.25">
      <c r="A3" s="15" t="s">
        <v>2</v>
      </c>
      <c r="B3" s="16">
        <f>'Data Sheet'!B81</f>
        <v>38807</v>
      </c>
      <c r="C3" s="16">
        <f>'Data Sheet'!C81</f>
        <v>39172</v>
      </c>
      <c r="D3" s="16">
        <f>'Data Sheet'!D81</f>
        <v>39538</v>
      </c>
      <c r="E3" s="16">
        <f>'Data Sheet'!E81</f>
        <v>39903</v>
      </c>
      <c r="F3" s="16">
        <f>'Data Sheet'!F81</f>
        <v>40268</v>
      </c>
      <c r="G3" s="16">
        <f>'Data Sheet'!G81</f>
        <v>40633</v>
      </c>
      <c r="H3" s="16">
        <f>'Data Sheet'!H81</f>
        <v>40999</v>
      </c>
      <c r="I3" s="16">
        <f>'Data Sheet'!I81</f>
        <v>41364</v>
      </c>
      <c r="J3" s="16">
        <f>'Data Sheet'!J81</f>
        <v>41729</v>
      </c>
      <c r="K3" s="16">
        <f>'Data Sheet'!K81</f>
        <v>42094</v>
      </c>
      <c r="L3" s="16">
        <f>'Data Sheet'!L81</f>
        <v>42460</v>
      </c>
    </row>
    <row r="4" spans="1:12" s="8" customFormat="1" x14ac:dyDescent="0.25">
      <c r="A4" s="8" t="s">
        <v>27</v>
      </c>
      <c r="B4" s="1">
        <f>'Data Sheet'!B82</f>
        <v>0</v>
      </c>
      <c r="C4" s="1">
        <f>'Data Sheet'!C82</f>
        <v>16.22</v>
      </c>
      <c r="D4" s="1">
        <f>'Data Sheet'!D82</f>
        <v>16.600000000000001</v>
      </c>
      <c r="E4" s="1">
        <f>'Data Sheet'!E82</f>
        <v>0.8</v>
      </c>
      <c r="F4" s="1">
        <f>'Data Sheet'!F82</f>
        <v>87.32</v>
      </c>
      <c r="G4" s="1">
        <f>'Data Sheet'!G82</f>
        <v>-15.64</v>
      </c>
      <c r="H4" s="1">
        <f>'Data Sheet'!H82</f>
        <v>62.57</v>
      </c>
      <c r="I4" s="1">
        <f>'Data Sheet'!I82</f>
        <v>24.37</v>
      </c>
      <c r="J4" s="1">
        <f>'Data Sheet'!J82</f>
        <v>115.35</v>
      </c>
      <c r="K4" s="1">
        <f>'Data Sheet'!K82</f>
        <v>128.36000000000001</v>
      </c>
      <c r="L4" s="1">
        <f>'Data Sheet'!L82</f>
        <v>134.05000000000001</v>
      </c>
    </row>
    <row r="5" spans="1:12" x14ac:dyDescent="0.25">
      <c r="A5" s="6" t="s">
        <v>28</v>
      </c>
      <c r="B5" s="9">
        <f>'Data Sheet'!B83</f>
        <v>0</v>
      </c>
      <c r="C5" s="9">
        <f>'Data Sheet'!C83</f>
        <v>-73.260000000000005</v>
      </c>
      <c r="D5" s="9">
        <f>'Data Sheet'!D83</f>
        <v>-14.91</v>
      </c>
      <c r="E5" s="9">
        <f>'Data Sheet'!E83</f>
        <v>-15.34</v>
      </c>
      <c r="F5" s="9">
        <f>'Data Sheet'!F83</f>
        <v>-2.2999999999999998</v>
      </c>
      <c r="G5" s="9">
        <f>'Data Sheet'!G83</f>
        <v>-10.68</v>
      </c>
      <c r="H5" s="9">
        <f>'Data Sheet'!H83</f>
        <v>-6.77</v>
      </c>
      <c r="I5" s="9">
        <f>'Data Sheet'!I83</f>
        <v>-4.7699999999999996</v>
      </c>
      <c r="J5" s="9">
        <f>'Data Sheet'!J83</f>
        <v>-71.62</v>
      </c>
      <c r="K5" s="9">
        <f>'Data Sheet'!K83</f>
        <v>-29.83</v>
      </c>
      <c r="L5" s="9">
        <f>'Data Sheet'!L83</f>
        <v>-11.37</v>
      </c>
    </row>
    <row r="6" spans="1:12" x14ac:dyDescent="0.25">
      <c r="A6" s="6" t="s">
        <v>29</v>
      </c>
      <c r="B6" s="9">
        <f>'Data Sheet'!B84</f>
        <v>0</v>
      </c>
      <c r="C6" s="9">
        <f>'Data Sheet'!C84</f>
        <v>69.61</v>
      </c>
      <c r="D6" s="9">
        <f>'Data Sheet'!D84</f>
        <v>-9.2899999999999991</v>
      </c>
      <c r="E6" s="9">
        <f>'Data Sheet'!E84</f>
        <v>9.18</v>
      </c>
      <c r="F6" s="9">
        <f>'Data Sheet'!F84</f>
        <v>-80.66</v>
      </c>
      <c r="G6" s="9">
        <f>'Data Sheet'!G84</f>
        <v>24.39</v>
      </c>
      <c r="H6" s="9">
        <f>'Data Sheet'!H84</f>
        <v>-26.74</v>
      </c>
      <c r="I6" s="9">
        <f>'Data Sheet'!I84</f>
        <v>-15.29</v>
      </c>
      <c r="J6" s="9">
        <f>'Data Sheet'!J84</f>
        <v>18.29</v>
      </c>
      <c r="K6" s="9">
        <f>'Data Sheet'!K84</f>
        <v>2.4</v>
      </c>
      <c r="L6" s="9">
        <f>'Data Sheet'!L84</f>
        <v>-76.56</v>
      </c>
    </row>
    <row r="7" spans="1:12" s="8" customFormat="1" x14ac:dyDescent="0.25">
      <c r="A7" s="8" t="s">
        <v>30</v>
      </c>
      <c r="B7" s="1">
        <f>'Data Sheet'!B85</f>
        <v>0</v>
      </c>
      <c r="C7" s="1">
        <f>'Data Sheet'!C85</f>
        <v>12.57</v>
      </c>
      <c r="D7" s="1">
        <f>'Data Sheet'!D85</f>
        <v>-7.6</v>
      </c>
      <c r="E7" s="1">
        <f>'Data Sheet'!E85</f>
        <v>-5.36</v>
      </c>
      <c r="F7" s="1">
        <f>'Data Sheet'!F85</f>
        <v>4.3600000000000003</v>
      </c>
      <c r="G7" s="1">
        <f>'Data Sheet'!G85</f>
        <v>-1.93</v>
      </c>
      <c r="H7" s="1">
        <f>'Data Sheet'!H85</f>
        <v>29.06</v>
      </c>
      <c r="I7" s="1">
        <f>'Data Sheet'!I85</f>
        <v>4.3099999999999996</v>
      </c>
      <c r="J7" s="1">
        <f>'Data Sheet'!J85</f>
        <v>62.02</v>
      </c>
      <c r="K7" s="1">
        <f>'Data Sheet'!K85</f>
        <v>100.93</v>
      </c>
      <c r="L7" s="1">
        <f>'Data Sheet'!L85</f>
        <v>46.12</v>
      </c>
    </row>
    <row r="8" spans="1:12" x14ac:dyDescent="0.25">
      <c r="A8" s="29"/>
      <c r="B8" s="9"/>
      <c r="C8" s="9"/>
      <c r="D8" s="9"/>
      <c r="E8" s="9"/>
      <c r="F8" s="9"/>
      <c r="G8" s="9"/>
      <c r="H8" s="9"/>
      <c r="I8" s="9"/>
      <c r="J8" s="9"/>
      <c r="K8" s="9"/>
    </row>
    <row r="24" s="29" customFormat="1" x14ac:dyDescent="0.25"/>
  </sheetData>
  <hyperlinks>
    <hyperlink ref="J1" r:id="rId1"/>
  </hyperlinks>
  <printOptions gridLines="1"/>
  <pageMargins left="0.7" right="0.7" top="0.75" bottom="0.75" header="0.3" footer="0.3"/>
  <pageSetup paperSize="9" orientation="landscape" horizontalDpi="0"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16"/>
  <sheetViews>
    <sheetView workbookViewId="0">
      <selection activeCell="B8" sqref="B8"/>
    </sheetView>
  </sheetViews>
  <sheetFormatPr defaultRowHeight="15" x14ac:dyDescent="0.25"/>
  <cols>
    <col min="1" max="1" width="9.140625" style="8"/>
    <col min="2" max="2" width="10.5703125" style="11" customWidth="1"/>
    <col min="3" max="3" width="13.28515625" style="26" customWidth="1"/>
    <col min="4" max="5" width="9.140625" style="11"/>
    <col min="6" max="6" width="6.85546875" style="11" customWidth="1"/>
    <col min="7" max="16384" width="9.140625" style="11"/>
  </cols>
  <sheetData>
    <row r="1" spans="1:7" ht="21" x14ac:dyDescent="0.35">
      <c r="A1" s="25" t="s">
        <v>52</v>
      </c>
    </row>
    <row r="3" spans="1:7" x14ac:dyDescent="0.25">
      <c r="A3" s="8" t="s">
        <v>43</v>
      </c>
    </row>
    <row r="4" spans="1:7" x14ac:dyDescent="0.25">
      <c r="B4" s="11" t="s">
        <v>85</v>
      </c>
    </row>
    <row r="5" spans="1:7" x14ac:dyDescent="0.25">
      <c r="B5" s="11" t="s">
        <v>44</v>
      </c>
    </row>
    <row r="7" spans="1:7" x14ac:dyDescent="0.25">
      <c r="A7" s="8" t="s">
        <v>45</v>
      </c>
    </row>
    <row r="8" spans="1:7" x14ac:dyDescent="0.25">
      <c r="B8" s="11" t="s">
        <v>46</v>
      </c>
      <c r="C8" s="27" t="s">
        <v>86</v>
      </c>
    </row>
    <row r="10" spans="1:7" x14ac:dyDescent="0.25">
      <c r="A10" s="8" t="s">
        <v>47</v>
      </c>
    </row>
    <row r="11" spans="1:7" x14ac:dyDescent="0.25">
      <c r="B11" s="11" t="s">
        <v>48</v>
      </c>
    </row>
    <row r="14" spans="1:7" x14ac:dyDescent="0.25">
      <c r="A14" s="8" t="s">
        <v>49</v>
      </c>
    </row>
    <row r="15" spans="1:7" x14ac:dyDescent="0.25">
      <c r="B15" s="11" t="s">
        <v>50</v>
      </c>
    </row>
    <row r="16" spans="1:7" x14ac:dyDescent="0.25">
      <c r="B16" s="11" t="s">
        <v>51</v>
      </c>
      <c r="G16" s="28" t="s">
        <v>87</v>
      </c>
    </row>
  </sheetData>
  <hyperlinks>
    <hyperlink ref="C8" r:id="rId1" display=" http://www.screener.in/excel"/>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3"/>
  <sheetViews>
    <sheetView workbookViewId="0">
      <pane xSplit="1" ySplit="1" topLeftCell="B43" activePane="bottomRight" state="frozen"/>
      <selection activeCell="C4" sqref="C4"/>
      <selection pane="topRight" activeCell="C4" sqref="C4"/>
      <selection pane="bottomLeft" activeCell="C4" sqref="C4"/>
      <selection pane="bottomRight" activeCell="J69" sqref="J69"/>
    </sheetView>
  </sheetViews>
  <sheetFormatPr defaultRowHeight="15" x14ac:dyDescent="0.25"/>
  <cols>
    <col min="1" max="1" width="27.7109375" style="5" bestFit="1" customWidth="1"/>
    <col min="2" max="11" width="13.5703125" style="5" bestFit="1" customWidth="1"/>
    <col min="12" max="16384" width="9.140625" style="5"/>
  </cols>
  <sheetData>
    <row r="1" spans="1:12" s="1" customFormat="1" x14ac:dyDescent="0.25">
      <c r="A1" s="1" t="s">
        <v>0</v>
      </c>
      <c r="B1" s="1" t="s">
        <v>215</v>
      </c>
      <c r="E1" s="63" t="str">
        <f>IF(B2&lt;&gt;B3, "A NEW VERSION OF THE WORKSHEET IS AVAILABLE", "")</f>
        <v/>
      </c>
      <c r="F1" s="63"/>
      <c r="G1" s="63"/>
      <c r="H1" s="63"/>
      <c r="I1" s="63"/>
      <c r="J1" s="63"/>
      <c r="K1" s="63"/>
    </row>
    <row r="2" spans="1:12" x14ac:dyDescent="0.25">
      <c r="A2" s="1" t="s">
        <v>57</v>
      </c>
      <c r="B2" s="5">
        <v>2.1</v>
      </c>
      <c r="E2" s="64" t="s">
        <v>31</v>
      </c>
      <c r="F2" s="64"/>
      <c r="G2" s="64"/>
      <c r="H2" s="64"/>
      <c r="I2" s="64"/>
      <c r="J2" s="64"/>
      <c r="K2" s="64"/>
    </row>
    <row r="3" spans="1:12" x14ac:dyDescent="0.25">
      <c r="A3" s="1" t="s">
        <v>58</v>
      </c>
      <c r="B3" s="5">
        <v>2.1</v>
      </c>
    </row>
    <row r="4" spans="1:12" x14ac:dyDescent="0.25">
      <c r="A4" s="1"/>
    </row>
    <row r="5" spans="1:12" x14ac:dyDescent="0.25">
      <c r="A5" s="1" t="s">
        <v>59</v>
      </c>
    </row>
    <row r="6" spans="1:12" x14ac:dyDescent="0.25">
      <c r="A6" s="5" t="s">
        <v>37</v>
      </c>
      <c r="B6" s="5">
        <f>IF(B9&gt;0, B9/B8, 0)</f>
        <v>4.7500111037086379</v>
      </c>
    </row>
    <row r="7" spans="1:12" x14ac:dyDescent="0.25">
      <c r="A7" s="5" t="s">
        <v>26</v>
      </c>
      <c r="B7">
        <v>1</v>
      </c>
    </row>
    <row r="8" spans="1:12" x14ac:dyDescent="0.25">
      <c r="A8" s="5" t="s">
        <v>38</v>
      </c>
      <c r="B8">
        <v>450.3</v>
      </c>
    </row>
    <row r="9" spans="1:12" x14ac:dyDescent="0.25">
      <c r="A9" s="5" t="s">
        <v>74</v>
      </c>
      <c r="B9">
        <v>2138.9299999999998</v>
      </c>
    </row>
    <row r="15" spans="1:12" x14ac:dyDescent="0.25">
      <c r="A15" s="1" t="s">
        <v>32</v>
      </c>
    </row>
    <row r="16" spans="1:12" s="24" customFormat="1" x14ac:dyDescent="0.25">
      <c r="A16" s="23" t="s">
        <v>33</v>
      </c>
      <c r="B16" s="16">
        <v>38807</v>
      </c>
      <c r="C16" s="16">
        <v>39172</v>
      </c>
      <c r="D16" s="16">
        <v>39538</v>
      </c>
      <c r="E16" s="16">
        <v>39903</v>
      </c>
      <c r="F16" s="16">
        <v>40268</v>
      </c>
      <c r="G16" s="16">
        <v>40633</v>
      </c>
      <c r="H16" s="16">
        <v>40999</v>
      </c>
      <c r="I16" s="16">
        <v>41364</v>
      </c>
      <c r="J16" s="16">
        <v>41729</v>
      </c>
      <c r="K16" s="16">
        <v>42094</v>
      </c>
      <c r="L16" s="16">
        <v>42430</v>
      </c>
    </row>
    <row r="17" spans="1:12" s="9" customFormat="1" x14ac:dyDescent="0.25">
      <c r="A17" s="9" t="s">
        <v>3</v>
      </c>
      <c r="B17"/>
      <c r="C17">
        <v>152.96</v>
      </c>
      <c r="D17">
        <v>176.11</v>
      </c>
      <c r="E17">
        <v>182.39</v>
      </c>
      <c r="F17">
        <v>247.42</v>
      </c>
      <c r="G17">
        <v>242.28</v>
      </c>
      <c r="H17">
        <v>312</v>
      </c>
      <c r="I17">
        <v>316.98</v>
      </c>
      <c r="J17">
        <v>442.21</v>
      </c>
      <c r="K17">
        <v>511.1</v>
      </c>
      <c r="L17">
        <v>545.82000000000005</v>
      </c>
    </row>
    <row r="18" spans="1:12" s="9" customFormat="1" x14ac:dyDescent="0.25">
      <c r="A18" s="5" t="s">
        <v>75</v>
      </c>
      <c r="C18">
        <v>101.94</v>
      </c>
      <c r="D18">
        <v>114.61</v>
      </c>
      <c r="E18">
        <v>112.88</v>
      </c>
      <c r="F18">
        <v>135.34</v>
      </c>
      <c r="G18">
        <v>130.5</v>
      </c>
      <c r="H18">
        <v>174.91</v>
      </c>
      <c r="I18">
        <v>161.27000000000001</v>
      </c>
      <c r="J18">
        <v>234.77</v>
      </c>
      <c r="K18">
        <v>209.79</v>
      </c>
      <c r="L18">
        <v>209.76</v>
      </c>
    </row>
    <row r="19" spans="1:12" s="9" customFormat="1" x14ac:dyDescent="0.25">
      <c r="A19" s="5" t="s">
        <v>76</v>
      </c>
      <c r="C19">
        <v>-2.4900000000000002</v>
      </c>
      <c r="D19">
        <v>0.47</v>
      </c>
      <c r="E19">
        <v>1.5</v>
      </c>
      <c r="F19">
        <v>0.5</v>
      </c>
      <c r="G19">
        <v>-0.36</v>
      </c>
      <c r="H19">
        <v>2.66</v>
      </c>
      <c r="I19">
        <v>-3.89</v>
      </c>
      <c r="J19">
        <v>-1.18</v>
      </c>
      <c r="K19">
        <v>0.22</v>
      </c>
      <c r="L19">
        <v>-0.3</v>
      </c>
    </row>
    <row r="20" spans="1:12" s="9" customFormat="1" x14ac:dyDescent="0.25">
      <c r="A20" s="5" t="s">
        <v>77</v>
      </c>
      <c r="B20"/>
      <c r="C20">
        <v>1.69</v>
      </c>
      <c r="D20">
        <v>3.49</v>
      </c>
      <c r="E20">
        <v>5.0599999999999996</v>
      </c>
      <c r="F20">
        <v>8.2200000000000006</v>
      </c>
      <c r="G20">
        <v>10.78</v>
      </c>
      <c r="H20">
        <v>14.1</v>
      </c>
      <c r="I20">
        <v>13.8</v>
      </c>
      <c r="J20">
        <v>16.36</v>
      </c>
      <c r="K20">
        <v>18.989999999999998</v>
      </c>
      <c r="L20">
        <v>17.54</v>
      </c>
    </row>
    <row r="21" spans="1:12" s="9" customFormat="1" x14ac:dyDescent="0.25">
      <c r="A21" s="5" t="s">
        <v>78</v>
      </c>
      <c r="B21"/>
      <c r="C21">
        <v>1.83</v>
      </c>
      <c r="D21">
        <v>3.29</v>
      </c>
      <c r="E21">
        <v>4.1500000000000004</v>
      </c>
      <c r="F21">
        <v>28.86</v>
      </c>
      <c r="G21">
        <v>21.02</v>
      </c>
      <c r="H21">
        <v>17.61</v>
      </c>
      <c r="I21">
        <v>20.92</v>
      </c>
      <c r="J21">
        <v>26.47</v>
      </c>
      <c r="K21">
        <v>22.73</v>
      </c>
      <c r="L21">
        <v>32.35</v>
      </c>
    </row>
    <row r="22" spans="1:12" s="9" customFormat="1" x14ac:dyDescent="0.25">
      <c r="A22" s="5" t="s">
        <v>79</v>
      </c>
      <c r="B22"/>
      <c r="C22">
        <v>27.87</v>
      </c>
      <c r="D22">
        <v>36.61</v>
      </c>
      <c r="E22">
        <v>38.57</v>
      </c>
      <c r="F22">
        <v>43.77</v>
      </c>
      <c r="G22">
        <v>35.19</v>
      </c>
      <c r="H22">
        <v>37.799999999999997</v>
      </c>
      <c r="I22">
        <v>43.76</v>
      </c>
      <c r="J22">
        <v>56.97</v>
      </c>
      <c r="K22">
        <v>74.5</v>
      </c>
      <c r="L22">
        <v>83.62</v>
      </c>
    </row>
    <row r="23" spans="1:12" s="9" customFormat="1" x14ac:dyDescent="0.25">
      <c r="A23" s="5" t="s">
        <v>80</v>
      </c>
      <c r="B23"/>
      <c r="C23">
        <v>4.8</v>
      </c>
      <c r="D23">
        <v>6.46</v>
      </c>
      <c r="E23">
        <v>4.72</v>
      </c>
      <c r="F23">
        <v>8.09</v>
      </c>
      <c r="G23">
        <v>9.83</v>
      </c>
      <c r="H23">
        <v>7.24</v>
      </c>
      <c r="I23">
        <v>7.57</v>
      </c>
      <c r="J23">
        <v>8.19</v>
      </c>
      <c r="K23">
        <v>11.48</v>
      </c>
      <c r="L23">
        <v>9.7899999999999991</v>
      </c>
    </row>
    <row r="24" spans="1:12" s="9" customFormat="1" x14ac:dyDescent="0.25">
      <c r="A24" s="5" t="s">
        <v>81</v>
      </c>
      <c r="B24"/>
      <c r="C24">
        <v>0.17</v>
      </c>
      <c r="D24">
        <v>7.0000000000000007E-2</v>
      </c>
      <c r="E24">
        <v>0.24</v>
      </c>
      <c r="F24">
        <v>0.08</v>
      </c>
      <c r="G24">
        <v>0.64</v>
      </c>
      <c r="H24">
        <v>3.61</v>
      </c>
      <c r="I24">
        <v>3.98</v>
      </c>
      <c r="J24">
        <v>1.42</v>
      </c>
      <c r="K24">
        <v>3.12</v>
      </c>
      <c r="L24">
        <v>3.79</v>
      </c>
    </row>
    <row r="25" spans="1:12" s="9" customFormat="1" x14ac:dyDescent="0.25">
      <c r="A25" s="9" t="s">
        <v>6</v>
      </c>
      <c r="B25"/>
      <c r="C25">
        <v>10.24</v>
      </c>
      <c r="D25">
        <v>18.68</v>
      </c>
      <c r="E25">
        <v>20.100000000000001</v>
      </c>
      <c r="F25">
        <v>26</v>
      </c>
      <c r="G25">
        <v>19.05</v>
      </c>
      <c r="H25">
        <v>6.35</v>
      </c>
      <c r="I25">
        <v>4.03</v>
      </c>
      <c r="J25">
        <v>13.34</v>
      </c>
      <c r="K25">
        <v>13.42</v>
      </c>
      <c r="L25">
        <v>19.82</v>
      </c>
    </row>
    <row r="26" spans="1:12" s="9" customFormat="1" x14ac:dyDescent="0.25">
      <c r="A26" s="9" t="s">
        <v>7</v>
      </c>
      <c r="B26"/>
      <c r="C26">
        <v>1.94</v>
      </c>
      <c r="D26">
        <v>4.92</v>
      </c>
      <c r="E26">
        <v>6.08</v>
      </c>
      <c r="F26">
        <v>6.55</v>
      </c>
      <c r="G26">
        <v>6.89</v>
      </c>
      <c r="H26">
        <v>6.87</v>
      </c>
      <c r="I26">
        <v>8.6199999999999992</v>
      </c>
      <c r="J26">
        <v>9.68</v>
      </c>
      <c r="K26">
        <v>21.33</v>
      </c>
      <c r="L26">
        <v>21.27</v>
      </c>
    </row>
    <row r="27" spans="1:12" s="9" customFormat="1" x14ac:dyDescent="0.25">
      <c r="A27" s="9" t="s">
        <v>8</v>
      </c>
      <c r="B27"/>
      <c r="C27">
        <v>5.24</v>
      </c>
      <c r="D27">
        <v>11.29</v>
      </c>
      <c r="E27">
        <v>16.25</v>
      </c>
      <c r="F27">
        <v>15.22</v>
      </c>
      <c r="G27">
        <v>14.88</v>
      </c>
      <c r="H27">
        <v>18.760000000000002</v>
      </c>
      <c r="I27">
        <v>13.14</v>
      </c>
      <c r="J27">
        <v>12.32</v>
      </c>
      <c r="K27">
        <v>21.13</v>
      </c>
      <c r="L27">
        <v>16.149999999999999</v>
      </c>
    </row>
    <row r="28" spans="1:12" s="9" customFormat="1" x14ac:dyDescent="0.25">
      <c r="A28" s="9" t="s">
        <v>9</v>
      </c>
      <c r="B28"/>
      <c r="C28">
        <v>15.23</v>
      </c>
      <c r="D28">
        <v>14.52</v>
      </c>
      <c r="E28">
        <v>16.04</v>
      </c>
      <c r="F28">
        <v>27.79</v>
      </c>
      <c r="G28">
        <v>31.24</v>
      </c>
      <c r="H28">
        <v>40.11</v>
      </c>
      <c r="I28">
        <v>44.04</v>
      </c>
      <c r="J28">
        <v>88.19</v>
      </c>
      <c r="K28">
        <v>141.66999999999999</v>
      </c>
      <c r="L28">
        <v>171.06</v>
      </c>
    </row>
    <row r="29" spans="1:12" s="9" customFormat="1" x14ac:dyDescent="0.25">
      <c r="A29" s="9" t="s">
        <v>10</v>
      </c>
      <c r="B29"/>
      <c r="C29">
        <v>5.68</v>
      </c>
      <c r="D29">
        <v>5.68</v>
      </c>
      <c r="E29">
        <v>6.08</v>
      </c>
      <c r="F29">
        <v>9.2899999999999991</v>
      </c>
      <c r="G29">
        <v>10.61</v>
      </c>
      <c r="H29">
        <v>12.99</v>
      </c>
      <c r="I29">
        <v>14.66</v>
      </c>
      <c r="J29">
        <v>30.82</v>
      </c>
      <c r="K29">
        <v>43.15</v>
      </c>
      <c r="L29">
        <v>58.96</v>
      </c>
    </row>
    <row r="30" spans="1:12" s="9" customFormat="1" x14ac:dyDescent="0.25">
      <c r="A30" s="9" t="s">
        <v>11</v>
      </c>
      <c r="B30"/>
      <c r="C30">
        <v>9.5500000000000007</v>
      </c>
      <c r="D30">
        <v>8.84</v>
      </c>
      <c r="E30">
        <v>9.9600000000000009</v>
      </c>
      <c r="F30">
        <v>18.5</v>
      </c>
      <c r="G30">
        <v>20.63</v>
      </c>
      <c r="H30">
        <v>27.12</v>
      </c>
      <c r="I30">
        <v>29.38</v>
      </c>
      <c r="J30">
        <v>57.37</v>
      </c>
      <c r="K30">
        <v>98.52</v>
      </c>
      <c r="L30">
        <v>112.1</v>
      </c>
    </row>
    <row r="31" spans="1:12" s="9" customFormat="1" x14ac:dyDescent="0.25">
      <c r="A31" s="9" t="s">
        <v>65</v>
      </c>
      <c r="B31"/>
      <c r="C31">
        <v>0.71</v>
      </c>
      <c r="D31">
        <v>0.95</v>
      </c>
      <c r="E31">
        <v>1.19</v>
      </c>
      <c r="F31">
        <v>1.42</v>
      </c>
      <c r="G31">
        <v>1.9</v>
      </c>
      <c r="H31">
        <v>2.85</v>
      </c>
      <c r="I31">
        <v>3.8</v>
      </c>
      <c r="J31">
        <v>4.75</v>
      </c>
      <c r="K31">
        <v>5.94</v>
      </c>
      <c r="L31">
        <v>7.13</v>
      </c>
    </row>
    <row r="32" spans="1:12" s="9" customFormat="1" x14ac:dyDescent="0.25"/>
    <row r="33" spans="1:11" x14ac:dyDescent="0.25">
      <c r="A33" s="9"/>
    </row>
    <row r="34" spans="1:11" x14ac:dyDescent="0.25">
      <c r="A34" s="9"/>
    </row>
    <row r="35" spans="1:11" x14ac:dyDescent="0.25">
      <c r="A35" s="9"/>
    </row>
    <row r="36" spans="1:11" x14ac:dyDescent="0.25">
      <c r="A36" s="9"/>
    </row>
    <row r="37" spans="1:11" x14ac:dyDescent="0.25">
      <c r="A37" s="9"/>
    </row>
    <row r="38" spans="1:11" x14ac:dyDescent="0.25">
      <c r="A38" s="9"/>
    </row>
    <row r="39" spans="1:11" x14ac:dyDescent="0.25">
      <c r="A39" s="9"/>
    </row>
    <row r="40" spans="1:11" x14ac:dyDescent="0.25">
      <c r="A40" s="1" t="s">
        <v>34</v>
      </c>
    </row>
    <row r="41" spans="1:11" s="24" customFormat="1" x14ac:dyDescent="0.25">
      <c r="A41" s="23" t="s">
        <v>33</v>
      </c>
      <c r="B41" s="16">
        <v>41639</v>
      </c>
      <c r="C41" s="16">
        <v>41729</v>
      </c>
      <c r="D41" s="16">
        <v>41820</v>
      </c>
      <c r="E41" s="16">
        <v>41912</v>
      </c>
      <c r="F41" s="16">
        <v>42004</v>
      </c>
      <c r="G41" s="16">
        <v>42094</v>
      </c>
      <c r="H41" s="16">
        <v>42185</v>
      </c>
      <c r="I41" s="16">
        <v>42277</v>
      </c>
      <c r="J41" s="16">
        <v>42369</v>
      </c>
      <c r="K41" s="16">
        <v>42460</v>
      </c>
    </row>
    <row r="42" spans="1:11" s="9" customFormat="1" x14ac:dyDescent="0.25">
      <c r="A42" s="9" t="s">
        <v>3</v>
      </c>
      <c r="B42">
        <v>99.45</v>
      </c>
      <c r="C42">
        <v>142.19</v>
      </c>
      <c r="D42">
        <v>102.76</v>
      </c>
      <c r="E42">
        <v>128.19999999999999</v>
      </c>
      <c r="F42">
        <v>122.1</v>
      </c>
      <c r="G42">
        <v>158.03</v>
      </c>
      <c r="H42">
        <v>109.08</v>
      </c>
      <c r="I42">
        <v>134.25</v>
      </c>
      <c r="J42">
        <v>118.13</v>
      </c>
      <c r="K42">
        <v>184.36</v>
      </c>
    </row>
    <row r="43" spans="1:11" s="9" customFormat="1" x14ac:dyDescent="0.25">
      <c r="A43" s="9" t="s">
        <v>4</v>
      </c>
      <c r="B43">
        <v>79.17</v>
      </c>
      <c r="C43">
        <v>100.53</v>
      </c>
      <c r="D43">
        <v>75.56</v>
      </c>
      <c r="E43">
        <v>94.55</v>
      </c>
      <c r="F43">
        <v>80.180000000000007</v>
      </c>
      <c r="G43">
        <v>92.07</v>
      </c>
      <c r="H43">
        <v>78.930000000000007</v>
      </c>
      <c r="I43">
        <v>89.12</v>
      </c>
      <c r="J43">
        <v>76.459999999999994</v>
      </c>
      <c r="K43">
        <v>115.03</v>
      </c>
    </row>
    <row r="44" spans="1:11" s="9" customFormat="1" x14ac:dyDescent="0.25">
      <c r="A44" s="9" t="s">
        <v>6</v>
      </c>
      <c r="B44">
        <v>1.98</v>
      </c>
      <c r="C44">
        <v>-3.68</v>
      </c>
      <c r="D44">
        <v>2.4300000000000002</v>
      </c>
      <c r="E44">
        <v>5.26</v>
      </c>
      <c r="F44">
        <v>5.0999999999999996</v>
      </c>
      <c r="G44">
        <v>0.63</v>
      </c>
      <c r="H44">
        <v>5.9</v>
      </c>
      <c r="I44">
        <v>6.81</v>
      </c>
      <c r="J44">
        <v>5.37</v>
      </c>
      <c r="K44">
        <v>1.73</v>
      </c>
    </row>
    <row r="45" spans="1:11" s="9" customFormat="1" x14ac:dyDescent="0.25">
      <c r="A45" s="9" t="s">
        <v>7</v>
      </c>
      <c r="B45">
        <v>2.5099999999999998</v>
      </c>
      <c r="C45">
        <v>2.81</v>
      </c>
      <c r="D45">
        <v>5.04</v>
      </c>
      <c r="E45">
        <v>5.18</v>
      </c>
      <c r="F45">
        <v>5.28</v>
      </c>
      <c r="G45">
        <v>5.83</v>
      </c>
      <c r="H45">
        <v>5.46</v>
      </c>
      <c r="I45">
        <v>5.49</v>
      </c>
      <c r="J45">
        <v>5.54</v>
      </c>
      <c r="K45">
        <v>4.79</v>
      </c>
    </row>
    <row r="46" spans="1:11" s="9" customFormat="1" x14ac:dyDescent="0.25">
      <c r="A46" s="9" t="s">
        <v>8</v>
      </c>
      <c r="B46">
        <v>2.5499999999999998</v>
      </c>
      <c r="C46">
        <v>3.2</v>
      </c>
      <c r="D46">
        <v>3.56</v>
      </c>
      <c r="E46">
        <v>4.1100000000000003</v>
      </c>
      <c r="F46">
        <v>6.55</v>
      </c>
      <c r="G46">
        <v>4.95</v>
      </c>
      <c r="H46">
        <v>4.7699999999999996</v>
      </c>
      <c r="I46">
        <v>4.4000000000000004</v>
      </c>
      <c r="J46">
        <v>4.2300000000000004</v>
      </c>
      <c r="K46">
        <v>0.36</v>
      </c>
    </row>
    <row r="47" spans="1:11" s="9" customFormat="1" x14ac:dyDescent="0.25">
      <c r="A47" s="9" t="s">
        <v>9</v>
      </c>
      <c r="B47">
        <v>17.190000000000001</v>
      </c>
      <c r="C47">
        <v>31.97</v>
      </c>
      <c r="D47">
        <v>21.04</v>
      </c>
      <c r="E47">
        <v>29.63</v>
      </c>
      <c r="F47">
        <v>35.18</v>
      </c>
      <c r="G47">
        <v>55.82</v>
      </c>
      <c r="H47">
        <v>25.81</v>
      </c>
      <c r="I47">
        <v>42.06</v>
      </c>
      <c r="J47">
        <v>37.270000000000003</v>
      </c>
      <c r="K47">
        <v>65.900000000000006</v>
      </c>
    </row>
    <row r="48" spans="1:11" s="9" customFormat="1" x14ac:dyDescent="0.25">
      <c r="A48" s="9" t="s">
        <v>10</v>
      </c>
      <c r="B48">
        <v>5.87</v>
      </c>
      <c r="C48">
        <v>10.89</v>
      </c>
      <c r="D48">
        <v>6.6</v>
      </c>
      <c r="E48">
        <v>10.31</v>
      </c>
      <c r="F48">
        <v>12.05</v>
      </c>
      <c r="G48">
        <v>14.19</v>
      </c>
      <c r="H48">
        <v>9.84</v>
      </c>
      <c r="I48">
        <v>14.9</v>
      </c>
      <c r="J48">
        <v>13.21</v>
      </c>
      <c r="K48">
        <v>21.01</v>
      </c>
    </row>
    <row r="49" spans="1:12" s="9" customFormat="1" x14ac:dyDescent="0.25">
      <c r="A49" s="9" t="s">
        <v>11</v>
      </c>
      <c r="B49">
        <v>11.32</v>
      </c>
      <c r="C49">
        <v>21.08</v>
      </c>
      <c r="D49">
        <v>14.44</v>
      </c>
      <c r="E49">
        <v>19.32</v>
      </c>
      <c r="F49">
        <v>23.13</v>
      </c>
      <c r="G49">
        <v>41.63</v>
      </c>
      <c r="H49">
        <v>15.97</v>
      </c>
      <c r="I49">
        <v>27.16</v>
      </c>
      <c r="J49">
        <v>24.07</v>
      </c>
      <c r="K49">
        <v>44.9</v>
      </c>
    </row>
    <row r="50" spans="1:12" x14ac:dyDescent="0.25">
      <c r="A50" s="9" t="s">
        <v>5</v>
      </c>
      <c r="B50">
        <v>20.28</v>
      </c>
      <c r="C50">
        <v>41.66</v>
      </c>
      <c r="D50">
        <v>27.2</v>
      </c>
      <c r="E50">
        <v>33.65</v>
      </c>
      <c r="F50">
        <v>41.92</v>
      </c>
      <c r="G50">
        <v>65.959999999999994</v>
      </c>
      <c r="H50">
        <v>30.15</v>
      </c>
      <c r="I50">
        <v>45.13</v>
      </c>
      <c r="J50">
        <v>41.67</v>
      </c>
      <c r="K50">
        <v>69.33</v>
      </c>
    </row>
    <row r="51" spans="1:12" x14ac:dyDescent="0.25">
      <c r="A51" s="9"/>
    </row>
    <row r="52" spans="1:12" x14ac:dyDescent="0.25">
      <c r="A52" s="9"/>
    </row>
    <row r="53" spans="1:12" x14ac:dyDescent="0.25">
      <c r="A53" s="9"/>
    </row>
    <row r="54" spans="1:12" x14ac:dyDescent="0.25">
      <c r="A54" s="9"/>
    </row>
    <row r="55" spans="1:12" x14ac:dyDescent="0.25">
      <c r="A55" s="1" t="s">
        <v>35</v>
      </c>
    </row>
    <row r="56" spans="1:12" s="24" customFormat="1" x14ac:dyDescent="0.25">
      <c r="A56" s="23" t="s">
        <v>33</v>
      </c>
      <c r="B56" s="16">
        <v>38807</v>
      </c>
      <c r="C56" s="16">
        <v>39172</v>
      </c>
      <c r="D56" s="16">
        <v>39538</v>
      </c>
      <c r="E56" s="16">
        <v>39903</v>
      </c>
      <c r="F56" s="16">
        <v>40268</v>
      </c>
      <c r="G56" s="16">
        <v>40633</v>
      </c>
      <c r="H56" s="16">
        <v>40999</v>
      </c>
      <c r="I56" s="16">
        <v>41364</v>
      </c>
      <c r="J56" s="16">
        <v>41729</v>
      </c>
      <c r="K56" s="16">
        <v>42094</v>
      </c>
      <c r="L56" s="16">
        <v>42460</v>
      </c>
    </row>
    <row r="57" spans="1:12" x14ac:dyDescent="0.25">
      <c r="A57" s="9" t="s">
        <v>19</v>
      </c>
      <c r="B57"/>
      <c r="C57">
        <v>4.75</v>
      </c>
      <c r="D57">
        <v>4.75</v>
      </c>
      <c r="E57">
        <v>4.75</v>
      </c>
      <c r="F57">
        <v>4.75</v>
      </c>
      <c r="G57">
        <v>4.75</v>
      </c>
      <c r="H57">
        <v>4.75</v>
      </c>
      <c r="I57">
        <v>4.75</v>
      </c>
      <c r="J57">
        <v>4.75</v>
      </c>
      <c r="K57">
        <v>4.75</v>
      </c>
      <c r="L57">
        <v>4.75</v>
      </c>
    </row>
    <row r="58" spans="1:12" x14ac:dyDescent="0.25">
      <c r="A58" s="9" t="s">
        <v>20</v>
      </c>
      <c r="B58"/>
      <c r="C58">
        <v>17.3</v>
      </c>
      <c r="D58">
        <v>25.05</v>
      </c>
      <c r="E58">
        <v>33.619999999999997</v>
      </c>
      <c r="F58">
        <v>50.46</v>
      </c>
      <c r="G58">
        <v>68.87</v>
      </c>
      <c r="H58">
        <v>92.68</v>
      </c>
      <c r="I58">
        <v>117.61</v>
      </c>
      <c r="J58">
        <v>169.42</v>
      </c>
      <c r="K58">
        <v>259.13</v>
      </c>
      <c r="L58">
        <v>362.64</v>
      </c>
    </row>
    <row r="59" spans="1:12" x14ac:dyDescent="0.25">
      <c r="A59" s="9" t="s">
        <v>66</v>
      </c>
      <c r="B59"/>
      <c r="C59">
        <v>113.43</v>
      </c>
      <c r="D59">
        <v>114.61</v>
      </c>
      <c r="E59">
        <v>137.88</v>
      </c>
      <c r="F59">
        <v>69.69</v>
      </c>
      <c r="G59">
        <v>108.4</v>
      </c>
      <c r="H59">
        <v>101.5</v>
      </c>
      <c r="I59">
        <v>101.17</v>
      </c>
      <c r="J59">
        <v>134.15</v>
      </c>
      <c r="K59">
        <v>161.22999999999999</v>
      </c>
      <c r="L59">
        <v>110.09</v>
      </c>
    </row>
    <row r="60" spans="1:12" x14ac:dyDescent="0.25">
      <c r="A60" s="9" t="s">
        <v>67</v>
      </c>
      <c r="B60"/>
      <c r="C60">
        <v>29.12</v>
      </c>
      <c r="D60">
        <v>39.159999999999997</v>
      </c>
      <c r="E60">
        <v>37.880000000000003</v>
      </c>
      <c r="F60">
        <v>58.71</v>
      </c>
      <c r="G60">
        <v>68.34</v>
      </c>
      <c r="H60">
        <v>69.099999999999994</v>
      </c>
      <c r="I60">
        <v>72.34</v>
      </c>
      <c r="J60">
        <v>96.29</v>
      </c>
      <c r="K60">
        <v>111.37</v>
      </c>
      <c r="L60">
        <v>143.13999999999999</v>
      </c>
    </row>
    <row r="61" spans="1:12" s="1" customFormat="1" x14ac:dyDescent="0.25">
      <c r="A61" s="1" t="s">
        <v>21</v>
      </c>
      <c r="B61"/>
      <c r="C61">
        <v>164.6</v>
      </c>
      <c r="D61">
        <v>183.57</v>
      </c>
      <c r="E61">
        <v>214.13</v>
      </c>
      <c r="F61">
        <v>183.61</v>
      </c>
      <c r="G61">
        <v>250.36</v>
      </c>
      <c r="H61">
        <v>268.02999999999997</v>
      </c>
      <c r="I61">
        <v>295.87</v>
      </c>
      <c r="J61">
        <v>404.61</v>
      </c>
      <c r="K61">
        <v>536.48</v>
      </c>
      <c r="L61">
        <v>620.62</v>
      </c>
    </row>
    <row r="62" spans="1:12" x14ac:dyDescent="0.25">
      <c r="A62" s="9" t="s">
        <v>22</v>
      </c>
      <c r="B62"/>
      <c r="C62">
        <v>91.52</v>
      </c>
      <c r="D62">
        <v>101.36</v>
      </c>
      <c r="E62">
        <v>123.03</v>
      </c>
      <c r="F62">
        <v>118.66</v>
      </c>
      <c r="G62">
        <v>122.31</v>
      </c>
      <c r="H62">
        <v>122.79</v>
      </c>
      <c r="I62">
        <v>117.25</v>
      </c>
      <c r="J62">
        <v>181.21</v>
      </c>
      <c r="K62">
        <v>188.23</v>
      </c>
      <c r="L62">
        <v>172.99</v>
      </c>
    </row>
    <row r="63" spans="1:12" x14ac:dyDescent="0.25">
      <c r="A63" s="9" t="s">
        <v>23</v>
      </c>
      <c r="C63">
        <v>13.19</v>
      </c>
      <c r="D63">
        <v>13.34</v>
      </c>
      <c r="E63">
        <v>0.69</v>
      </c>
      <c r="F63">
        <v>0.81</v>
      </c>
      <c r="G63">
        <v>0.94</v>
      </c>
      <c r="H63">
        <v>0.35</v>
      </c>
      <c r="I63">
        <v>2.2799999999999998</v>
      </c>
      <c r="J63">
        <v>0.67</v>
      </c>
      <c r="K63">
        <v>0.28999999999999998</v>
      </c>
      <c r="L63">
        <v>1.24</v>
      </c>
    </row>
    <row r="64" spans="1:12" x14ac:dyDescent="0.25">
      <c r="A64" s="9" t="s">
        <v>24</v>
      </c>
      <c r="B64"/>
      <c r="L64">
        <v>4.62</v>
      </c>
    </row>
    <row r="65" spans="1:12" x14ac:dyDescent="0.25">
      <c r="A65" s="9" t="s">
        <v>68</v>
      </c>
      <c r="B65"/>
      <c r="C65">
        <v>59.89</v>
      </c>
      <c r="D65">
        <v>68.87</v>
      </c>
      <c r="E65">
        <v>90.41</v>
      </c>
      <c r="F65">
        <v>64.14</v>
      </c>
      <c r="G65">
        <v>127.11</v>
      </c>
      <c r="H65">
        <v>144.88999999999999</v>
      </c>
      <c r="I65">
        <v>176.34</v>
      </c>
      <c r="J65">
        <v>222.73</v>
      </c>
      <c r="K65">
        <v>347.96</v>
      </c>
      <c r="L65">
        <v>441.77</v>
      </c>
    </row>
    <row r="66" spans="1:12" s="1" customFormat="1" x14ac:dyDescent="0.25">
      <c r="A66" s="1" t="s">
        <v>21</v>
      </c>
      <c r="B66"/>
      <c r="C66">
        <v>164.6</v>
      </c>
      <c r="D66">
        <v>183.57</v>
      </c>
      <c r="E66">
        <v>214.13</v>
      </c>
      <c r="F66">
        <v>183.61</v>
      </c>
      <c r="G66">
        <v>250.36</v>
      </c>
      <c r="H66">
        <v>268.02999999999997</v>
      </c>
      <c r="I66">
        <v>295.87</v>
      </c>
      <c r="J66">
        <v>404.61</v>
      </c>
      <c r="K66">
        <v>536.48</v>
      </c>
      <c r="L66">
        <v>620.62</v>
      </c>
    </row>
    <row r="67" spans="1:12" s="9" customFormat="1" x14ac:dyDescent="0.25">
      <c r="A67" s="9" t="s">
        <v>73</v>
      </c>
      <c r="C67">
        <v>26.15</v>
      </c>
      <c r="D67">
        <v>31.25</v>
      </c>
      <c r="E67">
        <v>55.31</v>
      </c>
      <c r="F67">
        <v>5.19</v>
      </c>
      <c r="G67">
        <v>39.29</v>
      </c>
      <c r="H67">
        <v>31.83</v>
      </c>
      <c r="I67">
        <v>50.63</v>
      </c>
      <c r="J67">
        <v>53.06</v>
      </c>
      <c r="K67">
        <v>62.66</v>
      </c>
      <c r="L67">
        <v>96.01</v>
      </c>
    </row>
    <row r="68" spans="1:12" x14ac:dyDescent="0.25">
      <c r="A68" s="9" t="s">
        <v>40</v>
      </c>
      <c r="C68">
        <v>10.57</v>
      </c>
      <c r="D68">
        <v>17.78</v>
      </c>
      <c r="E68">
        <v>24.14</v>
      </c>
      <c r="F68">
        <v>22.26</v>
      </c>
      <c r="G68">
        <v>56.59</v>
      </c>
      <c r="H68">
        <v>51.96</v>
      </c>
      <c r="I68">
        <v>45.86</v>
      </c>
      <c r="J68">
        <v>10.8</v>
      </c>
      <c r="K68">
        <v>11.2</v>
      </c>
      <c r="L68">
        <v>13.02</v>
      </c>
    </row>
    <row r="69" spans="1:12" x14ac:dyDescent="0.25">
      <c r="A69" s="5" t="s">
        <v>82</v>
      </c>
      <c r="B69"/>
      <c r="C69">
        <v>15.17</v>
      </c>
      <c r="D69">
        <v>7.65</v>
      </c>
      <c r="E69">
        <v>2.86</v>
      </c>
      <c r="F69">
        <v>8.11</v>
      </c>
      <c r="G69">
        <v>6.39</v>
      </c>
      <c r="H69">
        <v>36.520000000000003</v>
      </c>
      <c r="I69">
        <v>41.18</v>
      </c>
      <c r="J69">
        <v>103.61</v>
      </c>
      <c r="K69">
        <v>203.26</v>
      </c>
      <c r="L69">
        <v>249.91</v>
      </c>
    </row>
    <row r="70" spans="1:12" x14ac:dyDescent="0.25">
      <c r="A70" s="5" t="s">
        <v>69</v>
      </c>
      <c r="B70"/>
      <c r="C70">
        <v>47500000</v>
      </c>
      <c r="D70">
        <v>47500000</v>
      </c>
      <c r="E70">
        <v>47500000</v>
      </c>
      <c r="F70">
        <v>47500000</v>
      </c>
      <c r="G70">
        <v>47500000</v>
      </c>
      <c r="H70">
        <v>47500000</v>
      </c>
      <c r="I70">
        <v>47500000</v>
      </c>
      <c r="J70">
        <v>47500000</v>
      </c>
      <c r="K70">
        <v>47500000</v>
      </c>
      <c r="L70">
        <v>47500000</v>
      </c>
    </row>
    <row r="71" spans="1:12" x14ac:dyDescent="0.25">
      <c r="A71" s="5" t="s">
        <v>70</v>
      </c>
    </row>
    <row r="72" spans="1:12" x14ac:dyDescent="0.25">
      <c r="A72" s="5" t="s">
        <v>83</v>
      </c>
      <c r="B72"/>
      <c r="C72">
        <v>1</v>
      </c>
      <c r="D72">
        <v>1</v>
      </c>
      <c r="E72">
        <v>1</v>
      </c>
      <c r="F72">
        <v>1</v>
      </c>
      <c r="G72">
        <v>1</v>
      </c>
      <c r="H72">
        <v>1</v>
      </c>
      <c r="I72">
        <v>1</v>
      </c>
      <c r="J72">
        <v>1</v>
      </c>
      <c r="K72">
        <v>1</v>
      </c>
      <c r="L72">
        <v>1</v>
      </c>
    </row>
    <row r="74" spans="1:12" x14ac:dyDescent="0.25">
      <c r="A74" s="9"/>
    </row>
    <row r="75" spans="1:12" x14ac:dyDescent="0.25">
      <c r="A75" s="9"/>
    </row>
    <row r="76" spans="1:12" x14ac:dyDescent="0.25">
      <c r="A76" s="9"/>
    </row>
    <row r="77" spans="1:12" x14ac:dyDescent="0.25">
      <c r="A77" s="9"/>
    </row>
    <row r="78" spans="1:12" x14ac:dyDescent="0.25">
      <c r="A78" s="9"/>
    </row>
    <row r="79" spans="1:12" x14ac:dyDescent="0.25">
      <c r="A79" s="9"/>
    </row>
    <row r="80" spans="1:12" x14ac:dyDescent="0.25">
      <c r="A80" s="1" t="s">
        <v>36</v>
      </c>
    </row>
    <row r="81" spans="1:12" s="24" customFormat="1" x14ac:dyDescent="0.25">
      <c r="A81" s="23" t="s">
        <v>33</v>
      </c>
      <c r="B81" s="16">
        <v>38807</v>
      </c>
      <c r="C81" s="16">
        <v>39172</v>
      </c>
      <c r="D81" s="16">
        <v>39538</v>
      </c>
      <c r="E81" s="16">
        <v>39903</v>
      </c>
      <c r="F81" s="16">
        <v>40268</v>
      </c>
      <c r="G81" s="16">
        <v>40633</v>
      </c>
      <c r="H81" s="16">
        <v>40999</v>
      </c>
      <c r="I81" s="16">
        <v>41364</v>
      </c>
      <c r="J81" s="16">
        <v>41729</v>
      </c>
      <c r="K81" s="16">
        <v>42094</v>
      </c>
      <c r="L81" s="16">
        <v>42460</v>
      </c>
    </row>
    <row r="82" spans="1:12" s="1" customFormat="1" x14ac:dyDescent="0.25">
      <c r="A82" s="9" t="s">
        <v>27</v>
      </c>
      <c r="B82"/>
      <c r="C82">
        <v>16.22</v>
      </c>
      <c r="D82">
        <v>16.600000000000001</v>
      </c>
      <c r="E82">
        <v>0.8</v>
      </c>
      <c r="F82">
        <v>87.32</v>
      </c>
      <c r="G82">
        <v>-15.64</v>
      </c>
      <c r="H82">
        <v>62.57</v>
      </c>
      <c r="I82">
        <v>24.37</v>
      </c>
      <c r="J82">
        <v>115.35</v>
      </c>
      <c r="K82">
        <v>128.36000000000001</v>
      </c>
      <c r="L82">
        <v>134.05000000000001</v>
      </c>
    </row>
    <row r="83" spans="1:12" s="9" customFormat="1" x14ac:dyDescent="0.25">
      <c r="A83" s="9" t="s">
        <v>28</v>
      </c>
      <c r="B83"/>
      <c r="C83">
        <v>-73.260000000000005</v>
      </c>
      <c r="D83">
        <v>-14.91</v>
      </c>
      <c r="E83">
        <v>-15.34</v>
      </c>
      <c r="F83">
        <v>-2.2999999999999998</v>
      </c>
      <c r="G83">
        <v>-10.68</v>
      </c>
      <c r="H83">
        <v>-6.77</v>
      </c>
      <c r="I83">
        <v>-4.7699999999999996</v>
      </c>
      <c r="J83">
        <v>-71.62</v>
      </c>
      <c r="K83">
        <v>-29.83</v>
      </c>
      <c r="L83">
        <v>-11.37</v>
      </c>
    </row>
    <row r="84" spans="1:12" s="9" customFormat="1" x14ac:dyDescent="0.25">
      <c r="A84" s="9" t="s">
        <v>29</v>
      </c>
      <c r="B84"/>
      <c r="C84">
        <v>69.61</v>
      </c>
      <c r="D84">
        <v>-9.2899999999999991</v>
      </c>
      <c r="E84">
        <v>9.18</v>
      </c>
      <c r="F84">
        <v>-80.66</v>
      </c>
      <c r="G84">
        <v>24.39</v>
      </c>
      <c r="H84">
        <v>-26.74</v>
      </c>
      <c r="I84">
        <v>-15.29</v>
      </c>
      <c r="J84">
        <v>18.29</v>
      </c>
      <c r="K84">
        <v>2.4</v>
      </c>
      <c r="L84">
        <v>-76.56</v>
      </c>
    </row>
    <row r="85" spans="1:12" s="1" customFormat="1" x14ac:dyDescent="0.25">
      <c r="A85" s="9" t="s">
        <v>30</v>
      </c>
      <c r="B85"/>
      <c r="C85">
        <v>12.57</v>
      </c>
      <c r="D85">
        <v>-7.6</v>
      </c>
      <c r="E85">
        <v>-5.36</v>
      </c>
      <c r="F85">
        <v>4.3600000000000003</v>
      </c>
      <c r="G85">
        <v>-1.93</v>
      </c>
      <c r="H85">
        <v>29.06</v>
      </c>
      <c r="I85">
        <v>4.3099999999999996</v>
      </c>
      <c r="J85">
        <v>62.02</v>
      </c>
      <c r="K85">
        <v>100.93</v>
      </c>
      <c r="L85">
        <v>46.12</v>
      </c>
    </row>
    <row r="86" spans="1:12" x14ac:dyDescent="0.25">
      <c r="A86" s="9"/>
    </row>
    <row r="87" spans="1:12" x14ac:dyDescent="0.25">
      <c r="A87" s="9"/>
    </row>
    <row r="88" spans="1:12" x14ac:dyDescent="0.25">
      <c r="A88" s="9"/>
    </row>
    <row r="89" spans="1:12" x14ac:dyDescent="0.25">
      <c r="A89" s="9"/>
    </row>
    <row r="90" spans="1:12" s="1" customFormat="1" x14ac:dyDescent="0.25">
      <c r="A90" s="1" t="s">
        <v>72</v>
      </c>
    </row>
    <row r="92" spans="1:12" s="1" customFormat="1" x14ac:dyDescent="0.25">
      <c r="A92" s="1" t="s">
        <v>71</v>
      </c>
    </row>
    <row r="93" spans="1:12" x14ac:dyDescent="0.25">
      <c r="A93" s="5" t="s">
        <v>84</v>
      </c>
      <c r="B93" s="31">
        <f>IF($B7&gt;0,(B70*B72/$B7)+SUM(C71:$K71),0)/10000000</f>
        <v>0</v>
      </c>
      <c r="C93" s="31">
        <f>IF($B7&gt;0,(C70*C72/$B7)+SUM(D71:$K71),0)/10000000</f>
        <v>4.75</v>
      </c>
      <c r="D93" s="31">
        <f>IF($B7&gt;0,(D70*D72/$B7)+SUM(E71:$K71),0)/10000000</f>
        <v>4.75</v>
      </c>
      <c r="E93" s="31">
        <f>IF($B7&gt;0,(E70*E72/$B7)+SUM(F71:$K71),0)/10000000</f>
        <v>4.75</v>
      </c>
      <c r="F93" s="31">
        <f>IF($B7&gt;0,(F70*F72/$B7)+SUM(G71:$K71),0)/10000000</f>
        <v>4.75</v>
      </c>
      <c r="G93" s="31">
        <f>IF($B7&gt;0,(G70*G72/$B7)+SUM(H71:$K71),0)/10000000</f>
        <v>4.75</v>
      </c>
      <c r="H93" s="31">
        <f>IF($B7&gt;0,(H70*H72/$B7)+SUM(I71:$K71),0)/10000000</f>
        <v>4.75</v>
      </c>
      <c r="I93" s="31">
        <f>IF($B7&gt;0,(I70*I72/$B7)+SUM(J71:$K71),0)/10000000</f>
        <v>4.75</v>
      </c>
      <c r="J93" s="31">
        <f>IF($B7&gt;0,(J70*J72/$B7)+SUM(K71:$K71),0)/10000000</f>
        <v>4.75</v>
      </c>
      <c r="K93" s="31">
        <f>IF($B7&gt;0,(K70*K72/$B7),0)/10000000</f>
        <v>4.75</v>
      </c>
      <c r="L93" s="31">
        <f>IF($B7&gt;0,(L70*L72/$B7),0)/10000000</f>
        <v>4.75</v>
      </c>
    </row>
  </sheetData>
  <mergeCells count="2">
    <mergeCell ref="E1:K1"/>
    <mergeCell ref="E2:K2"/>
  </mergeCells>
  <conditionalFormatting sqref="E1:K1">
    <cfRule type="cellIs" dxfId="0" priority="1" operator="notEqual">
      <formula>""</formula>
    </cfRule>
  </conditionalFormatting>
  <hyperlinks>
    <hyperlink ref="E1:K1" r:id="rId1" display="https://www.screener.in/excel/"/>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30"/>
  <sheetViews>
    <sheetView topLeftCell="A66" workbookViewId="0">
      <selection activeCell="I86" sqref="I86"/>
    </sheetView>
  </sheetViews>
  <sheetFormatPr defaultRowHeight="15" x14ac:dyDescent="0.25"/>
  <cols>
    <col min="1" max="1" width="38" style="62" customWidth="1"/>
    <col min="2" max="2" width="21.5703125" style="44" customWidth="1"/>
    <col min="3" max="12" width="11.42578125" customWidth="1"/>
    <col min="13" max="13" width="2.7109375" customWidth="1"/>
    <col min="14" max="14" width="12.85546875" bestFit="1" customWidth="1"/>
    <col min="15" max="16" width="12.7109375" bestFit="1" customWidth="1"/>
    <col min="17" max="18" width="10.28515625" bestFit="1" customWidth="1"/>
  </cols>
  <sheetData>
    <row r="1" spans="1:18" ht="18.75" x14ac:dyDescent="0.25">
      <c r="A1" s="57" t="s">
        <v>246</v>
      </c>
      <c r="B1" s="42" t="s">
        <v>200</v>
      </c>
      <c r="C1" s="39">
        <f>'Profit &amp; Loss'!C3</f>
        <v>39172</v>
      </c>
      <c r="D1" s="39">
        <f>'Profit &amp; Loss'!D3</f>
        <v>39538</v>
      </c>
      <c r="E1" s="39">
        <f>'Profit &amp; Loss'!E3</f>
        <v>39903</v>
      </c>
      <c r="F1" s="39">
        <f>'Profit &amp; Loss'!F3</f>
        <v>40268</v>
      </c>
      <c r="G1" s="39">
        <f>'Profit &amp; Loss'!G3</f>
        <v>40633</v>
      </c>
      <c r="H1" s="39">
        <f>'Profit &amp; Loss'!H3</f>
        <v>40999</v>
      </c>
      <c r="I1" s="39">
        <f>'Profit &amp; Loss'!I3</f>
        <v>41364</v>
      </c>
      <c r="J1" s="39">
        <f>'Profit &amp; Loss'!J3</f>
        <v>41729</v>
      </c>
      <c r="K1" s="39">
        <f>'Profit &amp; Loss'!K3</f>
        <v>42094</v>
      </c>
      <c r="L1" s="39">
        <f>'Profit &amp; Loss'!L3</f>
        <v>42430</v>
      </c>
      <c r="M1" s="39"/>
      <c r="N1" s="38" t="s">
        <v>263</v>
      </c>
      <c r="O1" s="38" t="s">
        <v>264</v>
      </c>
      <c r="P1" s="38" t="s">
        <v>265</v>
      </c>
      <c r="Q1" s="45" t="s">
        <v>144</v>
      </c>
      <c r="R1" s="45" t="s">
        <v>145</v>
      </c>
    </row>
    <row r="2" spans="1:18" ht="17.25" x14ac:dyDescent="0.25">
      <c r="A2" s="58" t="s">
        <v>249</v>
      </c>
      <c r="B2" s="42"/>
      <c r="C2" s="39"/>
      <c r="D2" s="39"/>
      <c r="E2" s="39"/>
      <c r="F2" s="39"/>
      <c r="G2" s="39"/>
      <c r="H2" s="39"/>
      <c r="I2" s="39"/>
      <c r="J2" s="39"/>
      <c r="K2" s="39"/>
      <c r="L2" s="39"/>
      <c r="M2" s="39"/>
      <c r="N2" s="38"/>
      <c r="O2" s="38"/>
      <c r="P2" s="38"/>
      <c r="Q2" s="45"/>
      <c r="R2" s="45"/>
    </row>
    <row r="3" spans="1:18" x14ac:dyDescent="0.25">
      <c r="A3" s="59" t="s">
        <v>88</v>
      </c>
      <c r="B3" s="41" t="s">
        <v>146</v>
      </c>
      <c r="C3" s="32" t="str">
        <f>IFERROR(('Profit &amp; Loss'!C4-'Profit &amp; Loss'!B4)/'Profit &amp; Loss'!B4,"NA")</f>
        <v>NA</v>
      </c>
      <c r="D3" s="32">
        <f>IFERROR(('Profit &amp; Loss'!D4-'Profit &amp; Loss'!C4)/'Profit &amp; Loss'!C4,"NA")</f>
        <v>0.15134675732217576</v>
      </c>
      <c r="E3" s="32">
        <f>IFERROR(('Profit &amp; Loss'!E4-'Profit &amp; Loss'!D4)/'Profit &amp; Loss'!D4,"NA")</f>
        <v>3.5659530974958678E-2</v>
      </c>
      <c r="F3" s="32">
        <f>IFERROR(('Profit &amp; Loss'!F4-'Profit &amp; Loss'!E4)/'Profit &amp; Loss'!E4,"NA")</f>
        <v>0.35654367015735516</v>
      </c>
      <c r="G3" s="32">
        <f>IFERROR(('Profit &amp; Loss'!G4-'Profit &amp; Loss'!F4)/'Profit &amp; Loss'!F4,"NA")</f>
        <v>-2.0774391722576939E-2</v>
      </c>
      <c r="H3" s="32">
        <f>IFERROR(('Profit &amp; Loss'!H4-'Profit &amp; Loss'!G4)/'Profit &amp; Loss'!G4,"NA")</f>
        <v>0.28776622090143633</v>
      </c>
      <c r="I3" s="32">
        <f>IFERROR(('Profit &amp; Loss'!I4-'Profit &amp; Loss'!H4)/'Profit &amp; Loss'!H4,"NA")</f>
        <v>1.596153846153852E-2</v>
      </c>
      <c r="J3" s="32">
        <f>IFERROR(('Profit &amp; Loss'!J4-'Profit &amp; Loss'!I4)/'Profit &amp; Loss'!I4,"NA")</f>
        <v>0.39507224430563426</v>
      </c>
      <c r="K3" s="32">
        <f>IFERROR(('Profit &amp; Loss'!K4-'Profit &amp; Loss'!J4)/'Profit &amp; Loss'!J4,"NA")</f>
        <v>0.1557857126704508</v>
      </c>
      <c r="L3" s="32">
        <f>IFERROR(('Profit &amp; Loss'!L4-'Profit &amp; Loss'!K4)/'Profit &amp; Loss'!K4,"NA")</f>
        <v>6.7931911563294686E-2</v>
      </c>
      <c r="N3" s="32">
        <f>('Profit &amp; Loss'!L4/'Profit &amp; Loss'!C4)^(1/(9-1))-1</f>
        <v>0.17235447702006446</v>
      </c>
      <c r="O3" s="32">
        <f>('Profit &amp; Loss'!L4/'Profit &amp; Loss'!G4)^(1/(5-1))-1</f>
        <v>0.22513224373238172</v>
      </c>
      <c r="P3" s="32">
        <f>('Profit &amp; Loss'!L4/'Profit &amp; Loss'!I4)^(1/(3-1))-1</f>
        <v>0.31222646392943898</v>
      </c>
      <c r="Q3" t="str">
        <f>IF(N3&gt;0.15,"Excellent",IF(N3&lt;0.1,"Bad","Good"))</f>
        <v>Excellent</v>
      </c>
    </row>
    <row r="4" spans="1:18" x14ac:dyDescent="0.25">
      <c r="A4" s="59" t="s">
        <v>89</v>
      </c>
      <c r="B4" s="41" t="s">
        <v>146</v>
      </c>
      <c r="C4" s="32" t="str">
        <f>IFERROR(('Profit &amp; Loss'!C5-'Profit &amp; Loss'!B5)/'Profit &amp; Loss'!B5,"NA")</f>
        <v>NA</v>
      </c>
      <c r="D4" s="32">
        <f>IFERROR(('Profit &amp; Loss'!D5-'Profit &amp; Loss'!C5)/'Profit &amp; Loss'!C5,"NA")</f>
        <v>0.16528162511542022</v>
      </c>
      <c r="E4" s="32">
        <f>IFERROR(('Profit &amp; Loss'!E5-'Profit &amp; Loss'!D5)/'Profit &amp; Loss'!D5,"NA")</f>
        <v>3.6571985858833522E-4</v>
      </c>
      <c r="F4" s="32">
        <f>IFERROR(('Profit &amp; Loss'!F5-'Profit &amp; Loss'!E5)/'Profit &amp; Loss'!E5,"NA")</f>
        <v>0.36400194979283473</v>
      </c>
      <c r="G4" s="32">
        <f>IFERROR(('Profit &amp; Loss'!G5-'Profit &amp; Loss'!F5)/'Profit &amp; Loss'!F5,"NA")</f>
        <v>-6.9418386491557307E-2</v>
      </c>
      <c r="H4" s="32">
        <f>IFERROR(('Profit &amp; Loss'!H5-'Profit &amp; Loss'!G5)/'Profit &amp; Loss'!G5,"NA")</f>
        <v>0.21260560675883264</v>
      </c>
      <c r="I4" s="32">
        <f>IFERROR(('Profit &amp; Loss'!I5-'Profit &amp; Loss'!H5)/'Profit &amp; Loss'!H5,"NA")</f>
        <v>1.0213372392224879E-2</v>
      </c>
      <c r="J4" s="32">
        <f>IFERROR(('Profit &amp; Loss'!J5-'Profit &amp; Loss'!I5)/'Profit &amp; Loss'!I5,"NA")</f>
        <v>0.35334456679337006</v>
      </c>
      <c r="K4" s="32">
        <f>IFERROR(('Profit &amp; Loss'!K5-'Profit &amp; Loss'!J5)/'Profit &amp; Loss'!J5,"NA")</f>
        <v>-1.4390780634700263E-2</v>
      </c>
      <c r="L4" s="32">
        <f>IFERROR(('Profit &amp; Loss'!L5-'Profit &amp; Loss'!K5)/'Profit &amp; Loss'!K5,"NA")</f>
        <v>5.6258997032815235E-2</v>
      </c>
      <c r="N4" s="32">
        <f>('Profit &amp; Loss'!L5/'Profit &amp; Loss'!C5)^(1/(9-1))-1</f>
        <v>0.12433809473382529</v>
      </c>
      <c r="O4" s="32">
        <f>('Profit &amp; Loss'!L5/'Profit &amp; Loss'!G5)^(1/(5-1))-1</f>
        <v>0.14618326132003934</v>
      </c>
      <c r="P4" s="32"/>
      <c r="Q4" t="str">
        <f>IF(N4&gt;N3+0.1,"Bad",IF(N4&lt;N3,"Excellent","Good"))</f>
        <v>Excellent</v>
      </c>
    </row>
    <row r="5" spans="1:18" x14ac:dyDescent="0.25">
      <c r="A5" s="59" t="s">
        <v>90</v>
      </c>
      <c r="B5" s="41" t="s">
        <v>146</v>
      </c>
      <c r="C5" s="32" t="str">
        <f>IFERROR(('Profit &amp; Loss'!C6-'Profit &amp; Loss'!B6)/'Profit &amp; Loss'!B6,"NA")</f>
        <v>NA</v>
      </c>
      <c r="D5" s="32">
        <f>IFERROR(('Profit &amp; Loss'!D6-'Profit &amp; Loss'!C6)/'Profit &amp; Loss'!C6,"NA")</f>
        <v>-9.8603122432213957E-3</v>
      </c>
      <c r="E5" s="32">
        <f>IFERROR(('Profit &amp; Loss'!E6-'Profit &amp; Loss'!D6)/'Profit &amp; Loss'!D6,"NA")</f>
        <v>0.51618257261410494</v>
      </c>
      <c r="F5" s="32">
        <f>IFERROR(('Profit &amp; Loss'!F6-'Profit &amp; Loss'!E6)/'Profit &amp; Loss'!E6,"NA")</f>
        <v>0.28954570333880508</v>
      </c>
      <c r="G5" s="32">
        <f>IFERROR(('Profit &amp; Loss'!G6-'Profit &amp; Loss'!F6)/'Profit &amp; Loss'!F6,"NA")</f>
        <v>0.4414261460101892</v>
      </c>
      <c r="H5" s="32">
        <f>IFERROR(('Profit &amp; Loss'!H6-'Profit &amp; Loss'!G6)/'Profit &amp; Loss'!G6,"NA")</f>
        <v>0.74882214369846856</v>
      </c>
      <c r="I5" s="32">
        <f>IFERROR(('Profit &amp; Loss'!I6-'Profit &amp; Loss'!H6)/'Profit &amp; Loss'!H6,"NA")</f>
        <v>4.0410843576361218E-2</v>
      </c>
      <c r="J5" s="32">
        <f>IFERROR(('Profit &amp; Loss'!J6-'Profit &amp; Loss'!I6)/'Profit &amp; Loss'!I6,"NA")</f>
        <v>0.56740572908237308</v>
      </c>
      <c r="K5" s="32">
        <f>IFERROR(('Profit &amp; Loss'!K6-'Profit &amp; Loss'!J6)/'Profit &amp; Loss'!J6,"NA")</f>
        <v>0.76262261228704387</v>
      </c>
      <c r="L5" s="32">
        <f>IFERROR(('Profit &amp; Loss'!L6-'Profit &amp; Loss'!K6)/'Profit &amp; Loss'!K6,"NA")</f>
        <v>9.1207310643781625E-2</v>
      </c>
      <c r="N5" s="32">
        <f>('Profit &amp; Loss'!L6/'Profit &amp; Loss'!C6)^(1/(9-1))-1</f>
        <v>0.4064019386401494</v>
      </c>
      <c r="O5" s="32">
        <f>('Profit &amp; Loss'!L6/'Profit &amp; Loss'!G6)^(1/(5-1))-1</f>
        <v>0.53038125275132941</v>
      </c>
      <c r="P5" s="32"/>
      <c r="Q5" t="str">
        <f>IF(N5&gt;0.15,"Excellent",IF(N5&lt;0.1,"Bad","Good"))</f>
        <v>Excellent</v>
      </c>
    </row>
    <row r="6" spans="1:18" x14ac:dyDescent="0.25">
      <c r="A6" s="59" t="s">
        <v>91</v>
      </c>
      <c r="B6" s="41" t="s">
        <v>146</v>
      </c>
      <c r="C6" s="32" t="str">
        <f>IFERROR(('Profit &amp; Loss'!C10-'Profit &amp; Loss'!B10)/'Profit &amp; Loss'!B10,"NA")</f>
        <v>NA</v>
      </c>
      <c r="D6" s="32">
        <f>IFERROR(('Profit &amp; Loss'!D10-'Profit &amp; Loss'!C10)/'Profit &amp; Loss'!C10,"NA")</f>
        <v>-4.66185160866711E-2</v>
      </c>
      <c r="E6" s="32">
        <f>IFERROR(('Profit &amp; Loss'!E10-'Profit &amp; Loss'!D10)/'Profit &amp; Loss'!D10,"NA")</f>
        <v>0.10468319559228648</v>
      </c>
      <c r="F6" s="32">
        <f>IFERROR(('Profit &amp; Loss'!F10-'Profit &amp; Loss'!E10)/'Profit &amp; Loss'!E10,"NA")</f>
        <v>0.7325436408977557</v>
      </c>
      <c r="G6" s="32">
        <f>IFERROR(('Profit &amp; Loss'!G10-'Profit &amp; Loss'!F10)/'Profit &amp; Loss'!F10,"NA")</f>
        <v>0.12414537603454479</v>
      </c>
      <c r="H6" s="32">
        <f>IFERROR(('Profit &amp; Loss'!H10-'Profit &amp; Loss'!G10)/'Profit &amp; Loss'!G10,"NA")</f>
        <v>0.28393085787451988</v>
      </c>
      <c r="I6" s="32">
        <f>IFERROR(('Profit &amp; Loss'!I10-'Profit &amp; Loss'!H10)/'Profit &amp; Loss'!H10,"NA")</f>
        <v>9.7980553477935675E-2</v>
      </c>
      <c r="J6" s="32">
        <f>IFERROR(('Profit &amp; Loss'!J10-'Profit &amp; Loss'!I10)/'Profit &amp; Loss'!I10,"NA")</f>
        <v>1.0024977293369663</v>
      </c>
      <c r="K6" s="32">
        <f>IFERROR(('Profit &amp; Loss'!K10-'Profit &amp; Loss'!J10)/'Profit &amp; Loss'!J10,"NA")</f>
        <v>0.60641796122009284</v>
      </c>
      <c r="L6" s="32">
        <f>IFERROR(('Profit &amp; Loss'!L10-'Profit &amp; Loss'!K10)/'Profit &amp; Loss'!K10,"NA")</f>
        <v>0.20731276911131527</v>
      </c>
      <c r="N6" s="32">
        <f>('Profit &amp; Loss'!L10/'Profit &amp; Loss'!C10)^(1/(9-1))-1</f>
        <v>0.35300600172858609</v>
      </c>
      <c r="O6" s="32">
        <f>('Profit &amp; Loss'!L10/'Profit &amp; Loss'!G10)^(1/(5-1))-1</f>
        <v>0.52966618303467294</v>
      </c>
      <c r="P6" s="32"/>
      <c r="Q6" t="str">
        <f>IF(N6&gt;0.15,"Excellent",IF(N6&lt;0.1,"Bad","Good"))</f>
        <v>Excellent</v>
      </c>
    </row>
    <row r="7" spans="1:18" x14ac:dyDescent="0.25">
      <c r="A7" s="59" t="s">
        <v>92</v>
      </c>
      <c r="B7" s="41" t="s">
        <v>146</v>
      </c>
      <c r="C7" s="32" t="str">
        <f>IFERROR(('Profit &amp; Loss'!C12-'Profit &amp; Loss'!B12)/'Profit &amp; Loss'!B12,"NA")</f>
        <v>NA</v>
      </c>
      <c r="D7" s="32">
        <f>IFERROR(('Profit &amp; Loss'!D12-'Profit &amp; Loss'!C12)/'Profit &amp; Loss'!C12,"NA")</f>
        <v>-7.4345549738219982E-2</v>
      </c>
      <c r="E7" s="32">
        <f>IFERROR(('Profit &amp; Loss'!E12-'Profit &amp; Loss'!D12)/'Profit &amp; Loss'!D12,"NA")</f>
        <v>0.12669683257918563</v>
      </c>
      <c r="F7" s="32">
        <f>IFERROR(('Profit &amp; Loss'!F12-'Profit &amp; Loss'!E12)/'Profit &amp; Loss'!E12,"NA")</f>
        <v>0.8574297188755019</v>
      </c>
      <c r="G7" s="32">
        <f>IFERROR(('Profit &amp; Loss'!G12-'Profit &amp; Loss'!F12)/'Profit &amp; Loss'!F12,"NA")</f>
        <v>0.11513513513513508</v>
      </c>
      <c r="H7" s="32">
        <f>IFERROR(('Profit &amp; Loss'!H12-'Profit &amp; Loss'!G12)/'Profit &amp; Loss'!G12,"NA")</f>
        <v>0.31459040232670876</v>
      </c>
      <c r="I7" s="32">
        <f>IFERROR(('Profit &amp; Loss'!I12-'Profit &amp; Loss'!H12)/'Profit &amp; Loss'!H12,"NA")</f>
        <v>8.3333333333333259E-2</v>
      </c>
      <c r="J7" s="32">
        <f>IFERROR(('Profit &amp; Loss'!J12-'Profit &amp; Loss'!I12)/'Profit &amp; Loss'!I12,"NA")</f>
        <v>0.95268890401633766</v>
      </c>
      <c r="K7" s="32">
        <f>IFERROR(('Profit &amp; Loss'!K12-'Profit &amp; Loss'!J12)/'Profit &amp; Loss'!J12,"NA")</f>
        <v>0.71727383649991283</v>
      </c>
      <c r="L7" s="32">
        <f>IFERROR(('Profit &amp; Loss'!L12-'Profit &amp; Loss'!K12)/'Profit &amp; Loss'!K12,"NA")</f>
        <v>0.13784003248071455</v>
      </c>
      <c r="N7" s="32">
        <f>('Profit &amp; Loss'!L12/'Profit &amp; Loss'!C12)^(1/(9-1))-1</f>
        <v>0.36050543208874575</v>
      </c>
      <c r="O7" s="32">
        <f>('Profit &amp; Loss'!L12/'Profit &amp; Loss'!G12)^(1/(5-1))-1</f>
        <v>0.5267804706120458</v>
      </c>
      <c r="P7" s="32"/>
      <c r="Q7" t="str">
        <f>IF(N7&gt;0.15,"Excellent",IF(N7&lt;0.1,"Bad","Good"))</f>
        <v>Excellent</v>
      </c>
    </row>
    <row r="8" spans="1:18" x14ac:dyDescent="0.25">
      <c r="A8" s="59" t="s">
        <v>105</v>
      </c>
      <c r="B8" s="41" t="s">
        <v>146</v>
      </c>
      <c r="C8" s="32" t="str">
        <f>IFERROR(('Profit &amp; Loss'!C13-'Profit &amp; Loss'!B13)/'Profit &amp; Loss'!B13,"NA")</f>
        <v>NA</v>
      </c>
      <c r="D8" s="32">
        <f>IFERROR(('Profit &amp; Loss'!D13-'Profit &amp; Loss'!C13)/'Profit &amp; Loss'!C13,"NA")</f>
        <v>-7.4345549738219954E-2</v>
      </c>
      <c r="E8" s="32">
        <f>IFERROR(('Profit &amp; Loss'!E13-'Profit &amp; Loss'!D13)/'Profit &amp; Loss'!D13,"NA")</f>
        <v>0.12669683257918576</v>
      </c>
      <c r="F8" s="32">
        <f>IFERROR(('Profit &amp; Loss'!F13-'Profit &amp; Loss'!E13)/'Profit &amp; Loss'!E13,"NA")</f>
        <v>0.85742971887550168</v>
      </c>
      <c r="G8" s="32">
        <f>IFERROR(('Profit &amp; Loss'!G13-'Profit &amp; Loss'!F13)/'Profit &amp; Loss'!F13,"NA")</f>
        <v>0.11513513513513499</v>
      </c>
      <c r="H8" s="32">
        <f>IFERROR(('Profit &amp; Loss'!H13-'Profit &amp; Loss'!G13)/'Profit &amp; Loss'!G13,"NA")</f>
        <v>0.31459040232670887</v>
      </c>
      <c r="I8" s="32">
        <f>IFERROR(('Profit &amp; Loss'!I13-'Profit &amp; Loss'!H13)/'Profit &amp; Loss'!H13,"NA")</f>
        <v>8.3333333333333218E-2</v>
      </c>
      <c r="J8" s="32">
        <f>IFERROR(('Profit &amp; Loss'!J13-'Profit &amp; Loss'!I13)/'Profit &amp; Loss'!I13,"NA")</f>
        <v>0.95268890401633766</v>
      </c>
      <c r="K8" s="32">
        <f>IFERROR(('Profit &amp; Loss'!K13-'Profit &amp; Loss'!J13)/'Profit &amp; Loss'!J13,"NA")</f>
        <v>0.71727383649991283</v>
      </c>
      <c r="L8" s="32">
        <f>IFERROR(('Profit &amp; Loss'!L13-'Profit &amp; Loss'!K13)/'Profit &amp; Loss'!K13,"NA")</f>
        <v>0.1378373726460487</v>
      </c>
      <c r="N8" s="32">
        <f>('Profit &amp; Loss'!L13/'Profit &amp; Loss'!C13)^(1/(9-1))-1</f>
        <v>0.36050503454569172</v>
      </c>
      <c r="O8" s="32">
        <f>('Profit &amp; Loss'!L13/'Profit &amp; Loss'!G13)^(1/(5-1))-1</f>
        <v>0.52677957835411249</v>
      </c>
      <c r="P8" s="32"/>
      <c r="Q8" t="str">
        <f>IF(N8&gt;0.15,"Excellent",IF(N8&lt;0.1,"Bad","Good"))</f>
        <v>Excellent</v>
      </c>
    </row>
    <row r="9" spans="1:18" ht="17.25" x14ac:dyDescent="0.25">
      <c r="A9" s="58" t="s">
        <v>250</v>
      </c>
      <c r="B9" s="41"/>
      <c r="C9" s="32"/>
      <c r="D9" s="32"/>
      <c r="E9" s="32"/>
      <c r="F9" s="32"/>
      <c r="G9" s="32"/>
      <c r="H9" s="32"/>
      <c r="I9" s="32"/>
      <c r="J9" s="32"/>
      <c r="K9" s="32"/>
      <c r="L9" s="32"/>
      <c r="N9" s="32"/>
      <c r="O9" s="32"/>
      <c r="P9" s="32"/>
    </row>
    <row r="10" spans="1:18" x14ac:dyDescent="0.25">
      <c r="A10" s="60" t="s">
        <v>204</v>
      </c>
      <c r="B10" s="41" t="s">
        <v>146</v>
      </c>
      <c r="C10" s="32" t="str">
        <f>IFERROR(('Cash Flow'!C4-'Cash Flow'!B4)/'Cash Flow'!B4,"NA")</f>
        <v>NA</v>
      </c>
      <c r="D10" s="32">
        <f>IFERROR(('Cash Flow'!D4-'Cash Flow'!C4)/'Cash Flow'!C4,"NA")</f>
        <v>2.342786683107291E-2</v>
      </c>
      <c r="E10" s="32">
        <f>IFERROR(('Cash Flow'!E4-'Cash Flow'!D4)/'Cash Flow'!D4,"NA")</f>
        <v>-0.95180722891566261</v>
      </c>
      <c r="F10" s="32">
        <f>IFERROR(('Cash Flow'!F4-'Cash Flow'!E4)/'Cash Flow'!E4,"NA")</f>
        <v>108.14999999999999</v>
      </c>
      <c r="G10" s="32">
        <f>IFERROR(('Cash Flow'!G4-'Cash Flow'!F4)/'Cash Flow'!F4,"NA")</f>
        <v>-1.1791113147045351</v>
      </c>
      <c r="H10" s="32">
        <f>IFERROR(('Cash Flow'!H4-'Cash Flow'!G4)/'Cash Flow'!G4,"NA")</f>
        <v>-5.0006393861892589</v>
      </c>
      <c r="I10" s="32">
        <f>IFERROR(('Cash Flow'!I4-'Cash Flow'!H4)/'Cash Flow'!H4,"NA")</f>
        <v>-0.61051622183154874</v>
      </c>
      <c r="J10" s="32">
        <f>IFERROR(('Cash Flow'!J4-'Cash Flow'!I4)/'Cash Flow'!I4,"NA")</f>
        <v>3.7332786212556415</v>
      </c>
      <c r="K10" s="32">
        <f>IFERROR(('Cash Flow'!K4-'Cash Flow'!J4)/'Cash Flow'!J4,"NA")</f>
        <v>0.11278716948417876</v>
      </c>
      <c r="L10" s="32">
        <f>IFERROR(('Cash Flow'!L4-'Cash Flow'!K4)/'Cash Flow'!K4,"NA")</f>
        <v>4.4328451230913037E-2</v>
      </c>
      <c r="N10" s="32"/>
      <c r="O10" s="32"/>
      <c r="P10" s="32"/>
    </row>
    <row r="11" spans="1:18" x14ac:dyDescent="0.25">
      <c r="A11" s="60" t="s">
        <v>205</v>
      </c>
      <c r="B11" s="41" t="s">
        <v>146</v>
      </c>
      <c r="C11" s="32" t="str">
        <f>IFERROR(('Cash Flow'!C5-'Cash Flow'!B5)/'Cash Flow'!B5,"NA")</f>
        <v>NA</v>
      </c>
      <c r="D11" s="32"/>
      <c r="E11" s="32"/>
      <c r="F11" s="32"/>
      <c r="G11" s="32"/>
      <c r="H11" s="32"/>
      <c r="I11" s="32"/>
      <c r="J11" s="32"/>
      <c r="K11" s="32"/>
      <c r="N11" s="32"/>
      <c r="O11" s="32"/>
      <c r="P11" s="32"/>
    </row>
    <row r="12" spans="1:18" ht="17.25" x14ac:dyDescent="0.25">
      <c r="A12" s="58" t="s">
        <v>251</v>
      </c>
      <c r="B12" s="41"/>
      <c r="C12" s="32"/>
      <c r="D12" s="32"/>
      <c r="E12" s="32"/>
      <c r="F12" s="32"/>
      <c r="G12" s="32"/>
      <c r="H12" s="32"/>
      <c r="I12" s="32"/>
      <c r="J12" s="32"/>
      <c r="K12" s="32"/>
      <c r="N12" s="32"/>
      <c r="O12" s="32"/>
      <c r="P12" s="32"/>
    </row>
    <row r="13" spans="1:18" x14ac:dyDescent="0.25">
      <c r="A13" s="59" t="s">
        <v>127</v>
      </c>
      <c r="B13" s="41" t="s">
        <v>146</v>
      </c>
      <c r="C13" s="32" t="str">
        <f>IFERROR(('Data Sheet'!C67-'Data Sheet'!B67)/'Data Sheet'!B67,"NA")</f>
        <v>NA</v>
      </c>
      <c r="D13" s="32">
        <f>IFERROR(('Data Sheet'!D67-'Data Sheet'!C67)/'Data Sheet'!C67,"NA")</f>
        <v>0.19502868068833659</v>
      </c>
      <c r="E13" s="32">
        <f>IFERROR(('Data Sheet'!E67-'Data Sheet'!D67)/'Data Sheet'!D67,"NA")</f>
        <v>0.76992000000000005</v>
      </c>
      <c r="F13" s="32">
        <f>IFERROR(('Data Sheet'!F67-'Data Sheet'!E67)/'Data Sheet'!E67,"NA")</f>
        <v>-0.90616525040679807</v>
      </c>
      <c r="G13" s="32">
        <f>IFERROR(('Data Sheet'!G67-'Data Sheet'!F67)/'Data Sheet'!F67,"NA")</f>
        <v>6.5703275529865124</v>
      </c>
      <c r="H13" s="32">
        <f>IFERROR(('Data Sheet'!H67-'Data Sheet'!G67)/'Data Sheet'!G67,"NA")</f>
        <v>-0.18987019597862054</v>
      </c>
      <c r="I13" s="32">
        <f>IFERROR(('Data Sheet'!I67-'Data Sheet'!H67)/'Data Sheet'!H67,"NA")</f>
        <v>0.59063776311655691</v>
      </c>
      <c r="J13" s="32">
        <f>IFERROR(('Data Sheet'!J67-'Data Sheet'!I67)/'Data Sheet'!I67,"NA")</f>
        <v>4.799525972743432E-2</v>
      </c>
      <c r="K13" s="32">
        <f>IFERROR(('Data Sheet'!K67-'Data Sheet'!J67)/'Data Sheet'!J67,"NA")</f>
        <v>0.18092725216735758</v>
      </c>
      <c r="L13" s="32">
        <f>IFERROR(('Data Sheet'!L67-'Data Sheet'!K67)/'Data Sheet'!K67,"NA")</f>
        <v>0.53223747207149719</v>
      </c>
      <c r="N13" s="32">
        <f>IFERROR(('Data Sheet'!L67/'Data Sheet'!C67)^(1/(9-1))-1,"NA")</f>
        <v>0.17653702043679087</v>
      </c>
      <c r="O13" s="32">
        <f>IFERROR(('Data Sheet'!L67/'Data Sheet'!G67)^(1/(5-1))-1,"NA")</f>
        <v>0.25028381780436848</v>
      </c>
      <c r="P13" s="32"/>
      <c r="Q13" t="str">
        <f>IF(N13&gt;$N$3+0.1,"Bad",IF(N13&lt;$N$3,"Excellent",IF(N13="NA","NA","Good")))</f>
        <v>Good</v>
      </c>
    </row>
    <row r="14" spans="1:18" x14ac:dyDescent="0.25">
      <c r="A14" s="59" t="s">
        <v>126</v>
      </c>
      <c r="B14" s="41" t="s">
        <v>146</v>
      </c>
      <c r="C14" s="32" t="str">
        <f>IFERROR(('Data Sheet'!C68-'Data Sheet'!B68)/'Data Sheet'!B68,"NA")</f>
        <v>NA</v>
      </c>
      <c r="D14" s="32">
        <f>IFERROR(('Data Sheet'!D68-'Data Sheet'!C68)/'Data Sheet'!C68,"NA")</f>
        <v>0.68211920529801329</v>
      </c>
      <c r="E14" s="32">
        <f>IFERROR(('Data Sheet'!E68-'Data Sheet'!D68)/'Data Sheet'!D68,"NA")</f>
        <v>0.35770528683914504</v>
      </c>
      <c r="F14" s="32">
        <f>IFERROR(('Data Sheet'!F68-'Data Sheet'!E68)/'Data Sheet'!E68,"NA")</f>
        <v>-7.7879038939519432E-2</v>
      </c>
      <c r="G14" s="32">
        <f>IFERROR(('Data Sheet'!G68-'Data Sheet'!F68)/'Data Sheet'!F68,"NA")</f>
        <v>1.5422282120395325</v>
      </c>
      <c r="H14" s="32">
        <f>IFERROR(('Data Sheet'!H68-'Data Sheet'!G68)/'Data Sheet'!G68,"NA")</f>
        <v>-8.1816575366672598E-2</v>
      </c>
      <c r="I14" s="32">
        <f>IFERROR(('Data Sheet'!I68-'Data Sheet'!H68)/'Data Sheet'!H68,"NA")</f>
        <v>-0.11739799846035415</v>
      </c>
      <c r="J14" s="32">
        <f>IFERROR(('Data Sheet'!J68-'Data Sheet'!I68)/'Data Sheet'!I68,"NA")</f>
        <v>-0.76450065416484958</v>
      </c>
      <c r="K14" s="32">
        <f>IFERROR(('Data Sheet'!K68-'Data Sheet'!J68)/'Data Sheet'!J68,"NA")</f>
        <v>3.7037037037036903E-2</v>
      </c>
      <c r="L14" s="32">
        <f>IFERROR(('Data Sheet'!L68-'Data Sheet'!K68)/'Data Sheet'!K68,"NA")</f>
        <v>0.16250000000000003</v>
      </c>
      <c r="N14" s="32">
        <f>IFERROR(('Data Sheet'!L68/'Data Sheet'!C68)^(1/(9-1))-1,"NA")</f>
        <v>2.6400841949075327E-2</v>
      </c>
      <c r="O14" s="32">
        <f>IFERROR(('Data Sheet'!L68/'Data Sheet'!G68)^(1/(5-1))-1,"NA")</f>
        <v>-0.30742338633825061</v>
      </c>
      <c r="P14" s="32"/>
      <c r="Q14" t="str">
        <f>IF(N14&gt;$N$3+0.1,"Bad",IF(N14&lt;$N$3,"Excellent",IF(N14="NA","NA","Good")))</f>
        <v>Excellent</v>
      </c>
    </row>
    <row r="15" spans="1:18" x14ac:dyDescent="0.25">
      <c r="A15" s="59" t="s">
        <v>252</v>
      </c>
      <c r="B15" s="41"/>
      <c r="C15" s="32" t="str">
        <f>IFERROR(('Data Sheet'!C57-'Data Sheet'!B57)/'Data Sheet'!B57,"NA")</f>
        <v>NA</v>
      </c>
      <c r="D15" s="32">
        <f>IFERROR(('Data Sheet'!D57-'Data Sheet'!C57)/'Data Sheet'!C57,"NA")</f>
        <v>0</v>
      </c>
      <c r="E15" s="32">
        <f>IFERROR(('Data Sheet'!E57-'Data Sheet'!D57)/'Data Sheet'!D57,"NA")</f>
        <v>0</v>
      </c>
      <c r="F15" s="32">
        <f>IFERROR(('Data Sheet'!F57-'Data Sheet'!E57)/'Data Sheet'!E57,"NA")</f>
        <v>0</v>
      </c>
      <c r="G15" s="32">
        <f>IFERROR(('Data Sheet'!G57-'Data Sheet'!F57)/'Data Sheet'!F57,"NA")</f>
        <v>0</v>
      </c>
      <c r="H15" s="32">
        <f>IFERROR(('Data Sheet'!H57-'Data Sheet'!G57)/'Data Sheet'!G57,"NA")</f>
        <v>0</v>
      </c>
      <c r="I15" s="32">
        <f>IFERROR(('Data Sheet'!I57-'Data Sheet'!H57)/'Data Sheet'!H57,"NA")</f>
        <v>0</v>
      </c>
      <c r="J15" s="32">
        <f>IFERROR(('Data Sheet'!J57-'Data Sheet'!I57)/'Data Sheet'!I57,"NA")</f>
        <v>0</v>
      </c>
      <c r="K15" s="32">
        <f>IFERROR(('Data Sheet'!K57-'Data Sheet'!J57)/'Data Sheet'!J57,"NA")</f>
        <v>0</v>
      </c>
      <c r="L15" s="32">
        <f>IFERROR(('Data Sheet'!L57-'Data Sheet'!K57)/'Data Sheet'!K57,"NA")</f>
        <v>0</v>
      </c>
      <c r="N15" s="32">
        <f>IFERROR(('Data Sheet'!L57/'Data Sheet'!C57)^(1/(9-1))-1,"NA")</f>
        <v>0</v>
      </c>
      <c r="O15" s="32">
        <f>IFERROR(('Data Sheet'!L57/'Data Sheet'!G57)^(1/(5-1))-1,"NA")</f>
        <v>0</v>
      </c>
      <c r="P15" s="32"/>
    </row>
    <row r="16" spans="1:18" x14ac:dyDescent="0.25">
      <c r="A16" s="59" t="s">
        <v>253</v>
      </c>
      <c r="B16" s="41"/>
      <c r="C16" s="32" t="str">
        <f>IFERROR(('Data Sheet'!C58-'Data Sheet'!B58)/'Data Sheet'!B58,"NA")</f>
        <v>NA</v>
      </c>
      <c r="D16" s="32">
        <f>IFERROR(('Data Sheet'!D58-'Data Sheet'!C58)/'Data Sheet'!C58,"NA")</f>
        <v>0.44797687861271673</v>
      </c>
      <c r="E16" s="32">
        <f>IFERROR(('Data Sheet'!E58-'Data Sheet'!D58)/'Data Sheet'!D58,"NA")</f>
        <v>0.34211576846307373</v>
      </c>
      <c r="F16" s="32">
        <f>IFERROR(('Data Sheet'!F58-'Data Sheet'!E58)/'Data Sheet'!E58,"NA")</f>
        <v>0.50089232599643085</v>
      </c>
      <c r="G16" s="32">
        <f>IFERROR(('Data Sheet'!G58-'Data Sheet'!F58)/'Data Sheet'!F58,"NA")</f>
        <v>0.36484344034879118</v>
      </c>
      <c r="H16" s="32">
        <f>IFERROR(('Data Sheet'!H58-'Data Sheet'!G58)/'Data Sheet'!G58,"NA")</f>
        <v>0.34572382750108904</v>
      </c>
      <c r="I16" s="32">
        <f>IFERROR(('Data Sheet'!I58-'Data Sheet'!H58)/'Data Sheet'!H58,"NA")</f>
        <v>0.26899007337073794</v>
      </c>
      <c r="J16" s="32">
        <f>IFERROR(('Data Sheet'!J58-'Data Sheet'!I58)/'Data Sheet'!I58,"NA")</f>
        <v>0.44052376498597046</v>
      </c>
      <c r="K16" s="32">
        <f>IFERROR(('Data Sheet'!K58-'Data Sheet'!J58)/'Data Sheet'!J58,"NA")</f>
        <v>0.52951245425569604</v>
      </c>
      <c r="L16" s="32">
        <f>IFERROR(('Data Sheet'!L58-'Data Sheet'!K58)/'Data Sheet'!K58,"NA")</f>
        <v>0.39945201250337664</v>
      </c>
      <c r="N16" s="32">
        <f>IFERROR(('Data Sheet'!L58/'Data Sheet'!C58)^(1/(9-1))-1,"NA")</f>
        <v>0.46277894438602063</v>
      </c>
      <c r="O16" s="32">
        <f>IFERROR(('Data Sheet'!L58/'Data Sheet'!G58)^(1/(5-1))-1,"NA")</f>
        <v>0.51482130918002889</v>
      </c>
      <c r="P16" s="32"/>
    </row>
    <row r="17" spans="1:16" x14ac:dyDescent="0.25">
      <c r="A17" s="59" t="s">
        <v>254</v>
      </c>
      <c r="B17" s="41"/>
      <c r="C17" s="32" t="str">
        <f>IFERROR(('Data Sheet'!C57+'Data Sheet'!C58-'Data Sheet'!B57-'Data Sheet'!B58)/('Data Sheet'!B57+'Data Sheet'!B58),"NA")</f>
        <v>NA</v>
      </c>
      <c r="D17" s="32">
        <f>IFERROR(('Data Sheet'!D57+'Data Sheet'!D58-'Data Sheet'!C57-'Data Sheet'!C58)/('Data Sheet'!C57+'Data Sheet'!C58),"NA")</f>
        <v>0.3514739229024943</v>
      </c>
      <c r="E17" s="32">
        <f>IFERROR(('Data Sheet'!E57+'Data Sheet'!E58-'Data Sheet'!D57-'Data Sheet'!D58)/('Data Sheet'!D57+'Data Sheet'!D58),"NA")</f>
        <v>0.28758389261744954</v>
      </c>
      <c r="F17" s="32">
        <f>IFERROR(('Data Sheet'!F57+'Data Sheet'!F58-'Data Sheet'!E57-'Data Sheet'!E58)/('Data Sheet'!E57+'Data Sheet'!E58),"NA")</f>
        <v>0.43888454521761805</v>
      </c>
      <c r="G17" s="32">
        <f>IFERROR(('Data Sheet'!G57+'Data Sheet'!G58-'Data Sheet'!F57-'Data Sheet'!F58)/('Data Sheet'!F57+'Data Sheet'!F58),"NA")</f>
        <v>0.33345408440499913</v>
      </c>
      <c r="H17" s="32">
        <f>IFERROR(('Data Sheet'!H57+'Data Sheet'!H58-'Data Sheet'!G57-'Data Sheet'!G58)/('Data Sheet'!G57+'Data Sheet'!G58),"NA")</f>
        <v>0.32341754957891877</v>
      </c>
      <c r="I17" s="32">
        <f>IFERROR(('Data Sheet'!I57+'Data Sheet'!I58-'Data Sheet'!H57-'Data Sheet'!H58)/('Data Sheet'!H57+'Data Sheet'!H58),"NA")</f>
        <v>0.25587601354818834</v>
      </c>
      <c r="J17" s="32">
        <f>IFERROR(('Data Sheet'!J57+'Data Sheet'!J58-'Data Sheet'!I57-'Data Sheet'!I58)/('Data Sheet'!I57+'Data Sheet'!I58),"NA")</f>
        <v>0.42342268715266418</v>
      </c>
      <c r="K17" s="32">
        <f>IFERROR(('Data Sheet'!K57+'Data Sheet'!K58-'Data Sheet'!J57-'Data Sheet'!J58)/('Data Sheet'!J57+'Data Sheet'!J58),"NA")</f>
        <v>0.51507148188551422</v>
      </c>
      <c r="L17" s="32">
        <f>IFERROR(('Data Sheet'!L57+'Data Sheet'!L58-'Data Sheet'!K57-'Data Sheet'!K58)/('Data Sheet'!K57+'Data Sheet'!K58),"NA")</f>
        <v>0.39226163407609516</v>
      </c>
      <c r="N17" s="32">
        <f>IFERROR((('Data Sheet'!L57+'Data Sheet'!L58)/('Data Sheet'!C57+'Data Sheet'!C58))^(1/(9-1))-1,"NA")</f>
        <v>0.42139519228996369</v>
      </c>
      <c r="O17" s="32">
        <f>IFERROR((('Data Sheet'!L57+'Data Sheet'!L58)/('Data Sheet'!G57+'Data Sheet'!G58))^(1/(5-1))-1,"NA")</f>
        <v>0.49462719304193126</v>
      </c>
      <c r="P17" s="32"/>
    </row>
    <row r="18" spans="1:16" x14ac:dyDescent="0.25">
      <c r="A18" s="59" t="s">
        <v>255</v>
      </c>
      <c r="B18" s="41"/>
      <c r="C18" s="32" t="str">
        <f>IFERROR(('Data Sheet'!C66-'Data Sheet'!B66)/'Data Sheet'!B66,"NA")</f>
        <v>NA</v>
      </c>
      <c r="D18" s="32">
        <f>IFERROR(('Data Sheet'!D66-'Data Sheet'!C66)/'Data Sheet'!C66,"NA")</f>
        <v>0.11524908869987849</v>
      </c>
      <c r="E18" s="32">
        <f>IFERROR(('Data Sheet'!E66-'Data Sheet'!D66)/'Data Sheet'!D66,"NA")</f>
        <v>0.16647600370430901</v>
      </c>
      <c r="F18" s="32">
        <f>IFERROR(('Data Sheet'!F66-'Data Sheet'!E66)/'Data Sheet'!E66,"NA")</f>
        <v>-0.14253023864007838</v>
      </c>
      <c r="G18" s="32">
        <f>IFERROR(('Data Sheet'!G66-'Data Sheet'!F66)/'Data Sheet'!F66,"NA")</f>
        <v>0.36354229072490601</v>
      </c>
      <c r="H18" s="32">
        <f>IFERROR(('Data Sheet'!H66-'Data Sheet'!G66)/'Data Sheet'!G66,"NA")</f>
        <v>7.057836715130196E-2</v>
      </c>
      <c r="I18" s="32">
        <f>IFERROR(('Data Sheet'!I66-'Data Sheet'!H66)/'Data Sheet'!H66,"NA")</f>
        <v>0.1038689698914302</v>
      </c>
      <c r="J18" s="32">
        <f>IFERROR(('Data Sheet'!J66-'Data Sheet'!I66)/'Data Sheet'!I66,"NA")</f>
        <v>0.36752627843309565</v>
      </c>
      <c r="K18" s="32">
        <f>IFERROR(('Data Sheet'!K66-'Data Sheet'!J66)/'Data Sheet'!J66,"NA")</f>
        <v>0.32591878599144858</v>
      </c>
      <c r="L18" s="32">
        <f>IFERROR(('Data Sheet'!L66-'Data Sheet'!K66)/'Data Sheet'!K66,"NA")</f>
        <v>0.15683716075156573</v>
      </c>
      <c r="N18" s="32">
        <f>IFERROR(('Data Sheet'!L66/'Data Sheet'!C66)^(1/(9-1))-1,"NA")</f>
        <v>0.18045515214909691</v>
      </c>
      <c r="O18" s="32">
        <f>IFERROR(('Data Sheet'!L66/'Data Sheet'!G66)^(1/(5-1))-1,"NA")</f>
        <v>0.25477311838700056</v>
      </c>
      <c r="P18" s="32"/>
    </row>
    <row r="19" spans="1:16" x14ac:dyDescent="0.25">
      <c r="A19" s="59" t="s">
        <v>256</v>
      </c>
      <c r="B19" s="41"/>
      <c r="C19" s="32" t="str">
        <f>IFERROR(('Data Sheet'!C62-'Data Sheet'!B62)/'Data Sheet'!B62,"NA")</f>
        <v>NA</v>
      </c>
      <c r="D19" s="32">
        <f>IFERROR(('Data Sheet'!D62-'Data Sheet'!C62)/'Data Sheet'!C62,"NA")</f>
        <v>0.10751748251748255</v>
      </c>
      <c r="E19" s="32">
        <f>IFERROR(('Data Sheet'!E62-'Data Sheet'!D62)/'Data Sheet'!D62,"NA")</f>
        <v>0.2137924230465667</v>
      </c>
      <c r="F19" s="32">
        <f>IFERROR(('Data Sheet'!F62-'Data Sheet'!E62)/'Data Sheet'!E62,"NA")</f>
        <v>-3.5519791920669792E-2</v>
      </c>
      <c r="G19" s="32">
        <f>IFERROR(('Data Sheet'!G62-'Data Sheet'!F62)/'Data Sheet'!F62,"NA")</f>
        <v>3.0760155064891336E-2</v>
      </c>
      <c r="H19" s="32">
        <f>IFERROR(('Data Sheet'!H62-'Data Sheet'!G62)/'Data Sheet'!G62,"NA")</f>
        <v>3.9244542555801161E-3</v>
      </c>
      <c r="I19" s="32">
        <f>IFERROR(('Data Sheet'!I62-'Data Sheet'!H62)/'Data Sheet'!H62,"NA")</f>
        <v>-4.5117680592882202E-2</v>
      </c>
      <c r="J19" s="32">
        <f>IFERROR(('Data Sheet'!J62-'Data Sheet'!I62)/'Data Sheet'!I62,"NA")</f>
        <v>0.54550106609808113</v>
      </c>
      <c r="K19" s="32">
        <f>IFERROR(('Data Sheet'!K62-'Data Sheet'!J62)/'Data Sheet'!J62,"NA")</f>
        <v>3.8739583908172739E-2</v>
      </c>
      <c r="L19" s="32">
        <f>IFERROR(('Data Sheet'!L62-'Data Sheet'!K62)/'Data Sheet'!K62,"NA")</f>
        <v>-8.0964777134356805E-2</v>
      </c>
      <c r="N19" s="32">
        <f>IFERROR(('Data Sheet'!L62/'Data Sheet'!C62)^(1/(9-1))-1,"NA")</f>
        <v>8.2837090820881309E-2</v>
      </c>
      <c r="O19" s="32">
        <f>IFERROR(('Data Sheet'!L62/'Data Sheet'!G62)^(1/(5-1))-1,"NA")</f>
        <v>9.0535375636269011E-2</v>
      </c>
      <c r="P19" s="32"/>
    </row>
    <row r="20" spans="1:16" x14ac:dyDescent="0.25">
      <c r="A20" s="59" t="s">
        <v>257</v>
      </c>
      <c r="B20" s="41"/>
      <c r="C20" s="32" t="str">
        <f>IFERROR(('Data Sheet'!C65-'Data Sheet'!B65)/'Data Sheet'!B65,"NA")</f>
        <v>NA</v>
      </c>
      <c r="D20" s="32">
        <f>IFERROR(('Data Sheet'!D65-'Data Sheet'!C65)/'Data Sheet'!C65,"NA")</f>
        <v>0.14994155952579735</v>
      </c>
      <c r="E20" s="32">
        <f>IFERROR(('Data Sheet'!E65-'Data Sheet'!D65)/'Data Sheet'!D65,"NA")</f>
        <v>0.31276317700014505</v>
      </c>
      <c r="F20" s="32">
        <f>IFERROR(('Data Sheet'!F65-'Data Sheet'!E65)/'Data Sheet'!E65,"NA")</f>
        <v>-0.29056520296427385</v>
      </c>
      <c r="G20" s="32">
        <f>IFERROR(('Data Sheet'!G65-'Data Sheet'!F65)/'Data Sheet'!F65,"NA")</f>
        <v>0.98175865294667908</v>
      </c>
      <c r="H20" s="32">
        <f>IFERROR(('Data Sheet'!H65-'Data Sheet'!G65)/'Data Sheet'!G65,"NA")</f>
        <v>0.13987884509479967</v>
      </c>
      <c r="I20" s="32">
        <f>IFERROR(('Data Sheet'!I65-'Data Sheet'!H65)/'Data Sheet'!H65,"NA")</f>
        <v>0.21706121885568377</v>
      </c>
      <c r="J20" s="32">
        <f>IFERROR(('Data Sheet'!J65-'Data Sheet'!I65)/'Data Sheet'!I65,"NA")</f>
        <v>0.26307133945786543</v>
      </c>
      <c r="K20" s="32">
        <f>IFERROR(('Data Sheet'!K65-'Data Sheet'!J65)/'Data Sheet'!J65,"NA")</f>
        <v>0.5622502581601041</v>
      </c>
      <c r="L20" s="32">
        <f>IFERROR(('Data Sheet'!L65-'Data Sheet'!K65)/'Data Sheet'!K65,"NA")</f>
        <v>0.2695999540177032</v>
      </c>
      <c r="N20" s="32">
        <f>IFERROR(('Data Sheet'!L65/'Data Sheet'!C65)^(1/(9-1))-1,"NA")</f>
        <v>0.28374935496232978</v>
      </c>
      <c r="O20" s="32">
        <f>IFERROR(('Data Sheet'!L65/'Data Sheet'!G65)^(1/(5-1))-1,"NA")</f>
        <v>0.36538184963202491</v>
      </c>
      <c r="P20" s="32"/>
    </row>
    <row r="21" spans="1:16" x14ac:dyDescent="0.25">
      <c r="A21" s="59" t="s">
        <v>258</v>
      </c>
      <c r="B21" s="41"/>
      <c r="C21" s="32" t="str">
        <f>IFERROR(('Data Sheet'!C59+'Data Sheet'!C60-'Data Sheet'!B59-'Data Sheet'!B60)/('Data Sheet'!B59+'Data Sheet'!B60),"NA")</f>
        <v>NA</v>
      </c>
      <c r="D21" s="32">
        <f>IFERROR(('Data Sheet'!D59+'Data Sheet'!D60-'Data Sheet'!C59-'Data Sheet'!C60)/('Data Sheet'!C59+'Data Sheet'!C60),"NA")</f>
        <v>7.87092248333916E-2</v>
      </c>
      <c r="E21" s="32">
        <f>IFERROR(('Data Sheet'!E59+'Data Sheet'!E60-'Data Sheet'!D59-'Data Sheet'!D60)/('Data Sheet'!D59+'Data Sheet'!D60),"NA")</f>
        <v>0.14300578786499316</v>
      </c>
      <c r="F21" s="32">
        <f>IFERROR(('Data Sheet'!F59+'Data Sheet'!F60-'Data Sheet'!E59-'Data Sheet'!E60)/('Data Sheet'!E59+'Data Sheet'!E60),"NA")</f>
        <v>-0.26945835229858894</v>
      </c>
      <c r="G21" s="32">
        <f>IFERROR(('Data Sheet'!G59+'Data Sheet'!G60-'Data Sheet'!F59-'Data Sheet'!F60)/('Data Sheet'!F59+'Data Sheet'!F60),"NA")</f>
        <v>0.37647975077881629</v>
      </c>
      <c r="H21" s="32">
        <f>IFERROR(('Data Sheet'!H59+'Data Sheet'!H60-'Data Sheet'!G59-'Data Sheet'!G60)/('Data Sheet'!G59+'Data Sheet'!G60),"NA")</f>
        <v>-3.4740296480706201E-2</v>
      </c>
      <c r="I21" s="32">
        <f>IFERROR(('Data Sheet'!I59+'Data Sheet'!I60-'Data Sheet'!H59-'Data Sheet'!H60)/('Data Sheet'!H59+'Data Sheet'!H60),"NA")</f>
        <v>1.7057444314185211E-2</v>
      </c>
      <c r="J21" s="32">
        <f>IFERROR(('Data Sheet'!J59+'Data Sheet'!J60-'Data Sheet'!I59-'Data Sheet'!I60)/('Data Sheet'!I59+'Data Sheet'!I60),"NA")</f>
        <v>0.32810789003515639</v>
      </c>
      <c r="K21" s="32">
        <f>IFERROR(('Data Sheet'!K59+'Data Sheet'!K60-'Data Sheet'!J59-'Data Sheet'!J60)/('Data Sheet'!J59+'Data Sheet'!J60),"NA")</f>
        <v>0.18295434820343695</v>
      </c>
      <c r="L21" s="32">
        <f>IFERROR(('Data Sheet'!L59+'Data Sheet'!L60-'Data Sheet'!K59-'Data Sheet'!K60)/('Data Sheet'!K59+'Data Sheet'!K60),"NA")</f>
        <v>-7.1056493030080714E-2</v>
      </c>
      <c r="N21" s="32">
        <f>IFERROR((('Data Sheet'!L59+'Data Sheet'!L60)/('Data Sheet'!C59+'Data Sheet'!C60))^(1/(9-1))-1,"NA")</f>
        <v>7.4468014558827234E-2</v>
      </c>
      <c r="O21" s="32">
        <f>IFERROR((('Data Sheet'!L59+'Data Sheet'!L60)/('Data Sheet'!G59+'Data Sheet'!G60))^(1/(5-1))-1,"NA")</f>
        <v>9.4069915555179406E-2</v>
      </c>
      <c r="P21" s="32"/>
    </row>
    <row r="22" spans="1:16" x14ac:dyDescent="0.25">
      <c r="A22" s="59" t="s">
        <v>259</v>
      </c>
      <c r="B22" s="41"/>
      <c r="C22" s="32" t="str">
        <f>IFERROR(('Data Sheet'!C59-'Data Sheet'!B59)/'Data Sheet'!B59,"NA")</f>
        <v>NA</v>
      </c>
      <c r="D22" s="32">
        <f>IFERROR(('Data Sheet'!D59-'Data Sheet'!C59)/'Data Sheet'!C59,"NA")</f>
        <v>1.0402891651238583E-2</v>
      </c>
      <c r="E22" s="32">
        <f>IFERROR(('Data Sheet'!E59-'Data Sheet'!D59)/'Data Sheet'!D59,"NA")</f>
        <v>0.20303638425966317</v>
      </c>
      <c r="F22" s="32">
        <f>IFERROR(('Data Sheet'!F59-'Data Sheet'!E59)/'Data Sheet'!E59,"NA")</f>
        <v>-0.4945604873803307</v>
      </c>
      <c r="G22" s="32">
        <f>IFERROR(('Data Sheet'!G59-'Data Sheet'!F59)/'Data Sheet'!F59,"NA")</f>
        <v>0.55545989381546867</v>
      </c>
      <c r="H22" s="32">
        <f>IFERROR(('Data Sheet'!H59-'Data Sheet'!G59)/'Data Sheet'!G59,"NA")</f>
        <v>-6.3653136531365367E-2</v>
      </c>
      <c r="I22" s="32">
        <f>IFERROR(('Data Sheet'!I59-'Data Sheet'!H59)/'Data Sheet'!H59,"NA")</f>
        <v>-3.2512315270935791E-3</v>
      </c>
      <c r="J22" s="32">
        <f>IFERROR(('Data Sheet'!J59-'Data Sheet'!I59)/'Data Sheet'!I59,"NA")</f>
        <v>0.3259859642186419</v>
      </c>
      <c r="K22" s="32">
        <f>IFERROR(('Data Sheet'!K59-'Data Sheet'!J59)/'Data Sheet'!J59,"NA")</f>
        <v>0.20186358553857608</v>
      </c>
      <c r="L22" s="32">
        <f>IFERROR(('Data Sheet'!L59-'Data Sheet'!K59)/'Data Sheet'!K59,"NA")</f>
        <v>-0.31718662779879669</v>
      </c>
      <c r="N22" s="32">
        <f>IFERROR(('Data Sheet'!L59/'Data Sheet'!C59)^(1/(9-1))-1,"NA")</f>
        <v>-3.7289916638336695E-3</v>
      </c>
      <c r="O22" s="32">
        <f>IFERROR(('Data Sheet'!L59/'Data Sheet'!G59)^(1/(5-1))-1,"NA")</f>
        <v>3.8750195682366595E-3</v>
      </c>
      <c r="P22" s="32"/>
    </row>
    <row r="23" spans="1:16" x14ac:dyDescent="0.25">
      <c r="A23" s="59" t="s">
        <v>260</v>
      </c>
      <c r="B23" s="41"/>
      <c r="C23" s="32" t="str">
        <f>IFERROR(('Data Sheet'!C60-'Data Sheet'!B60)/'Data Sheet'!B60,"NA")</f>
        <v>NA</v>
      </c>
      <c r="D23" s="32">
        <f>IFERROR(('Data Sheet'!D60-'Data Sheet'!C60)/'Data Sheet'!C60,"NA")</f>
        <v>0.34478021978021961</v>
      </c>
      <c r="E23" s="32">
        <f>IFERROR(('Data Sheet'!E60-'Data Sheet'!D60)/'Data Sheet'!D60,"NA")</f>
        <v>-3.2686414708886467E-2</v>
      </c>
      <c r="F23" s="32">
        <f>IFERROR(('Data Sheet'!F60-'Data Sheet'!E60)/'Data Sheet'!E60,"NA")</f>
        <v>0.54989440337909179</v>
      </c>
      <c r="G23" s="32">
        <f>IFERROR(('Data Sheet'!G60-'Data Sheet'!F60)/'Data Sheet'!F60,"NA")</f>
        <v>0.16402657128257542</v>
      </c>
      <c r="H23" s="32">
        <f>IFERROR(('Data Sheet'!H60-'Data Sheet'!G60)/'Data Sheet'!G60,"NA")</f>
        <v>1.1120866256950407E-2</v>
      </c>
      <c r="I23" s="32">
        <f>IFERROR(('Data Sheet'!I60-'Data Sheet'!H60)/'Data Sheet'!H60,"NA")</f>
        <v>4.6888567293777272E-2</v>
      </c>
      <c r="J23" s="32">
        <f>IFERROR(('Data Sheet'!J60-'Data Sheet'!I60)/'Data Sheet'!I60,"NA")</f>
        <v>0.33107547691457012</v>
      </c>
      <c r="K23" s="32">
        <f>IFERROR(('Data Sheet'!K60-'Data Sheet'!J60)/'Data Sheet'!J60,"NA")</f>
        <v>0.15661023990030115</v>
      </c>
      <c r="L23" s="32">
        <f>IFERROR(('Data Sheet'!L60-'Data Sheet'!K60)/'Data Sheet'!K60,"NA")</f>
        <v>0.28526533177695951</v>
      </c>
      <c r="N23" s="32">
        <f>IFERROR(('Data Sheet'!L60/'Data Sheet'!C60)^(1/(9-1))-1,"NA")</f>
        <v>0.22024266368091672</v>
      </c>
      <c r="O23" s="32">
        <f>IFERROR(('Data Sheet'!L60/'Data Sheet'!G60)^(1/(5-1))-1,"NA")</f>
        <v>0.2030162940395277</v>
      </c>
      <c r="P23" s="32"/>
    </row>
    <row r="24" spans="1:16" x14ac:dyDescent="0.25">
      <c r="A24" s="59"/>
      <c r="B24" s="41"/>
      <c r="C24" s="32"/>
      <c r="D24" s="32"/>
      <c r="E24" s="32"/>
      <c r="F24" s="32"/>
      <c r="G24" s="32"/>
      <c r="H24" s="32"/>
      <c r="I24" s="32"/>
      <c r="J24" s="32"/>
      <c r="K24" s="32"/>
      <c r="L24" s="32"/>
      <c r="N24" s="32"/>
      <c r="O24" s="32"/>
      <c r="P24" s="32"/>
    </row>
    <row r="25" spans="1:16" ht="18.75" x14ac:dyDescent="0.25">
      <c r="A25" s="57" t="s">
        <v>247</v>
      </c>
      <c r="B25" s="41"/>
      <c r="C25" s="53">
        <f>C1</f>
        <v>39172</v>
      </c>
      <c r="D25" s="53">
        <f t="shared" ref="D25:L25" si="0">D1</f>
        <v>39538</v>
      </c>
      <c r="E25" s="53">
        <f t="shared" si="0"/>
        <v>39903</v>
      </c>
      <c r="F25" s="53">
        <f t="shared" si="0"/>
        <v>40268</v>
      </c>
      <c r="G25" s="53">
        <f t="shared" si="0"/>
        <v>40633</v>
      </c>
      <c r="H25" s="53">
        <f t="shared" si="0"/>
        <v>40999</v>
      </c>
      <c r="I25" s="53">
        <f t="shared" si="0"/>
        <v>41364</v>
      </c>
      <c r="J25" s="53">
        <f t="shared" si="0"/>
        <v>41729</v>
      </c>
      <c r="K25" s="53">
        <f t="shared" si="0"/>
        <v>42094</v>
      </c>
      <c r="L25" s="53">
        <f t="shared" si="0"/>
        <v>42430</v>
      </c>
    </row>
    <row r="26" spans="1:16" ht="23.25" x14ac:dyDescent="0.25">
      <c r="A26" s="59" t="s">
        <v>93</v>
      </c>
      <c r="B26" s="41" t="s">
        <v>147</v>
      </c>
      <c r="C26" s="32">
        <f>IFERROR('Profit &amp; Loss'!C5/'Profit &amp; Loss'!C4,"NA")</f>
        <v>0.92043671548117145</v>
      </c>
      <c r="D26" s="32">
        <f>IFERROR('Profit &amp; Loss'!D5/'Profit &amp; Loss'!D4,"NA")</f>
        <v>0.93157685537448176</v>
      </c>
      <c r="E26" s="32">
        <f>IFERROR('Profit &amp; Loss'!E5/'Profit &amp; Loss'!E4,"NA")</f>
        <v>0.89983003454136745</v>
      </c>
      <c r="F26" s="32">
        <f>IFERROR('Profit &amp; Loss'!F5/'Profit &amp; Loss'!F4,"NA")</f>
        <v>0.90477730175410254</v>
      </c>
      <c r="G26" s="32">
        <f>IFERROR('Profit &amp; Loss'!G5/'Profit &amp; Loss'!G4,"NA")</f>
        <v>0.85983159980188217</v>
      </c>
      <c r="H26" s="32">
        <f>IFERROR('Profit &amp; Loss'!H5/'Profit &amp; Loss'!H4,"NA")</f>
        <v>0.80964743589743604</v>
      </c>
      <c r="I26" s="32">
        <f>IFERROR('Profit &amp; Loss'!I5/'Profit &amp; Loss'!I4,"NA")</f>
        <v>0.80506656571392499</v>
      </c>
      <c r="J26" s="32">
        <f>IFERROR('Profit &amp; Loss'!J5/'Profit &amp; Loss'!J4,"NA")</f>
        <v>0.78098640917211304</v>
      </c>
      <c r="K26" s="32">
        <f>IFERROR('Profit &amp; Loss'!K5/'Profit &amp; Loss'!K4,"NA")</f>
        <v>0.66599491293288982</v>
      </c>
      <c r="L26" s="32">
        <f>IFERROR('Profit &amp; Loss'!L5/'Profit &amp; Loss'!L4,"NA")</f>
        <v>0.65871532739731042</v>
      </c>
      <c r="N26" s="32">
        <f>(L26/C26)^(1/(9-1))-1</f>
        <v>-4.0957221751128592E-2</v>
      </c>
      <c r="O26" s="32"/>
      <c r="P26" s="32"/>
    </row>
    <row r="27" spans="1:16" ht="34.5" x14ac:dyDescent="0.25">
      <c r="A27" s="59" t="s">
        <v>95</v>
      </c>
      <c r="B27" s="41" t="s">
        <v>148</v>
      </c>
      <c r="C27" s="34">
        <f>IFERROR((1-C26),"NA")</f>
        <v>7.9563284518828548E-2</v>
      </c>
      <c r="D27" s="34">
        <f t="shared" ref="D27:L27" si="1">IFERROR((1-D26),"NA")</f>
        <v>6.842314462551824E-2</v>
      </c>
      <c r="E27" s="34">
        <f t="shared" si="1"/>
        <v>0.10016996545863255</v>
      </c>
      <c r="F27" s="34">
        <f t="shared" si="1"/>
        <v>9.5222698245897464E-2</v>
      </c>
      <c r="G27" s="34">
        <f t="shared" si="1"/>
        <v>0.14016840019811783</v>
      </c>
      <c r="H27" s="34">
        <f t="shared" si="1"/>
        <v>0.19035256410256396</v>
      </c>
      <c r="I27" s="34">
        <f t="shared" si="1"/>
        <v>0.19493343428607501</v>
      </c>
      <c r="J27" s="34">
        <f t="shared" si="1"/>
        <v>0.21901359082788696</v>
      </c>
      <c r="K27" s="34">
        <f t="shared" si="1"/>
        <v>0.33400508706711018</v>
      </c>
      <c r="L27" s="34">
        <f t="shared" si="1"/>
        <v>0.34128467260268958</v>
      </c>
      <c r="N27" s="32">
        <f t="shared" ref="N27:N30" si="2">(L27/C27)^(1/(9-1))-1</f>
        <v>0.199638817616832</v>
      </c>
      <c r="O27" s="32"/>
      <c r="P27" s="32"/>
    </row>
    <row r="28" spans="1:16" ht="23.25" x14ac:dyDescent="0.25">
      <c r="A28" s="59" t="s">
        <v>94</v>
      </c>
      <c r="B28" s="41" t="s">
        <v>149</v>
      </c>
      <c r="C28" s="32">
        <f>IFERROR('Profit &amp; Loss'!C9/'Profit &amp; Loss'!C4,"NA")</f>
        <v>3.425732217573222E-2</v>
      </c>
      <c r="D28" s="32">
        <f>IFERROR('Profit &amp; Loss'!D9/'Profit &amp; Loss'!D4,"NA")</f>
        <v>6.4107659985236487E-2</v>
      </c>
      <c r="E28" s="32">
        <f>IFERROR('Profit &amp; Loss'!E9/'Profit &amp; Loss'!E4,"NA")</f>
        <v>8.9094796863863152E-2</v>
      </c>
      <c r="F28" s="32">
        <f>IFERROR('Profit &amp; Loss'!F9/'Profit &amp; Loss'!F4,"NA")</f>
        <v>6.1514833077358347E-2</v>
      </c>
      <c r="G28" s="32">
        <f>IFERROR('Profit &amp; Loss'!G9/'Profit &amp; Loss'!G4,"NA")</f>
        <v>6.1416542842991584E-2</v>
      </c>
      <c r="H28" s="32">
        <f>IFERROR('Profit &amp; Loss'!H9/'Profit &amp; Loss'!H4,"NA")</f>
        <v>6.0128205128205131E-2</v>
      </c>
      <c r="I28" s="32">
        <f>IFERROR('Profit &amp; Loss'!I9/'Profit &amp; Loss'!I4,"NA")</f>
        <v>4.145371947756956E-2</v>
      </c>
      <c r="J28" s="32">
        <f>IFERROR('Profit &amp; Loss'!J9/'Profit &amp; Loss'!J4,"NA")</f>
        <v>2.7860066484249567E-2</v>
      </c>
      <c r="K28" s="32">
        <f>IFERROR('Profit &amp; Loss'!K9/'Profit &amp; Loss'!K4,"NA")</f>
        <v>4.134220309137155E-2</v>
      </c>
      <c r="L28" s="32">
        <f>IFERROR('Profit &amp; Loss'!L9/'Profit &amp; Loss'!L4,"NA")</f>
        <v>2.5209776116668501E-2</v>
      </c>
      <c r="N28" s="32">
        <f t="shared" si="2"/>
        <v>-3.7608126593194235E-2</v>
      </c>
      <c r="O28" s="32"/>
      <c r="P28" s="32"/>
    </row>
    <row r="29" spans="1:16" ht="23.25" x14ac:dyDescent="0.25">
      <c r="A29" s="59" t="s">
        <v>96</v>
      </c>
      <c r="B29" s="41" t="s">
        <v>150</v>
      </c>
      <c r="C29" s="32">
        <f>IFERROR('Profit &amp; Loss'!C10/'Profit &amp; Loss'!C4,"NA")</f>
        <v>9.9568514644351458E-2</v>
      </c>
      <c r="D29" s="32">
        <f>IFERROR('Profit &amp; Loss'!D10/'Profit &amp; Loss'!D4,"NA")</f>
        <v>8.2448469706433464E-2</v>
      </c>
      <c r="E29" s="32">
        <f>IFERROR('Profit &amp; Loss'!E10/'Profit &amp; Loss'!E4,"NA")</f>
        <v>8.7943417950545541E-2</v>
      </c>
      <c r="F29" s="32">
        <f>IFERROR('Profit &amp; Loss'!F10/'Profit &amp; Loss'!F4,"NA")</f>
        <v>0.11231913345727912</v>
      </c>
      <c r="G29" s="32">
        <f>IFERROR('Profit &amp; Loss'!G10/'Profit &amp; Loss'!G4,"NA")</f>
        <v>0.12894172032359252</v>
      </c>
      <c r="H29" s="32">
        <f>IFERROR('Profit &amp; Loss'!H10/'Profit &amp; Loss'!H4,"NA")</f>
        <v>0.12855769230769232</v>
      </c>
      <c r="I29" s="32">
        <f>IFERROR('Profit &amp; Loss'!I10/'Profit &amp; Loss'!I4,"NA")</f>
        <v>0.13893621048646601</v>
      </c>
      <c r="J29" s="32">
        <f>IFERROR('Profit &amp; Loss'!J10/'Profit &amp; Loss'!J4,"NA")</f>
        <v>0.19943013500373127</v>
      </c>
      <c r="K29" s="32">
        <f>IFERROR('Profit &amp; Loss'!K10/'Profit &amp; Loss'!K4,"NA")</f>
        <v>0.27718646057522989</v>
      </c>
      <c r="L29" s="32">
        <f>IFERROR('Profit &amp; Loss'!L10/'Profit &amp; Loss'!L4,"NA")</f>
        <v>0.31336337986882129</v>
      </c>
      <c r="N29" s="32">
        <f t="shared" si="2"/>
        <v>0.15409292005922026</v>
      </c>
      <c r="O29" s="32"/>
      <c r="P29" s="32"/>
    </row>
    <row r="30" spans="1:16" ht="23.25" x14ac:dyDescent="0.25">
      <c r="A30" s="59" t="s">
        <v>97</v>
      </c>
      <c r="B30" s="41" t="s">
        <v>151</v>
      </c>
      <c r="C30" s="32">
        <f>IFERROR('Profit &amp; Loss'!C12/'Profit &amp; Loss'!C4,"NA")</f>
        <v>6.2434623430962344E-2</v>
      </c>
      <c r="D30" s="32">
        <f>IFERROR('Profit &amp; Loss'!D12/'Profit &amp; Loss'!D4,"NA")</f>
        <v>5.0195900289591727E-2</v>
      </c>
      <c r="E30" s="32">
        <f>IFERROR('Profit &amp; Loss'!E12/'Profit &amp; Loss'!E4,"NA")</f>
        <v>5.4608257031635514E-2</v>
      </c>
      <c r="F30" s="32">
        <f>IFERROR('Profit &amp; Loss'!F12/'Profit &amp; Loss'!F4,"NA")</f>
        <v>7.4771643359469731E-2</v>
      </c>
      <c r="G30" s="32">
        <f>IFERROR('Profit &amp; Loss'!G12/'Profit &amp; Loss'!G4,"NA")</f>
        <v>8.5149413901271245E-2</v>
      </c>
      <c r="H30" s="32">
        <f>IFERROR('Profit &amp; Loss'!H12/'Profit &amp; Loss'!H4,"NA")</f>
        <v>8.6923076923076922E-2</v>
      </c>
      <c r="I30" s="32">
        <f>IFERROR('Profit &amp; Loss'!I12/'Profit &amp; Loss'!I4,"NA")</f>
        <v>9.2687235787746847E-2</v>
      </c>
      <c r="J30" s="32">
        <f>IFERROR('Profit &amp; Loss'!J12/'Profit &amp; Loss'!J4,"NA")</f>
        <v>0.12973474141245109</v>
      </c>
      <c r="K30" s="32">
        <f>IFERROR('Profit &amp; Loss'!K12/'Profit &amp; Loss'!K4,"NA")</f>
        <v>0.19276071218939542</v>
      </c>
      <c r="L30" s="32">
        <f>IFERROR('Profit &amp; Loss'!L12/'Profit &amp; Loss'!L4,"NA")</f>
        <v>0.20537906269466125</v>
      </c>
      <c r="N30" s="32">
        <f t="shared" si="2"/>
        <v>0.16048981665249462</v>
      </c>
      <c r="O30" s="32"/>
      <c r="P30" s="32"/>
    </row>
    <row r="31" spans="1:16" x14ac:dyDescent="0.25">
      <c r="A31" s="59"/>
      <c r="B31" s="41"/>
      <c r="C31" s="32"/>
      <c r="D31" s="32"/>
      <c r="E31" s="32"/>
      <c r="F31" s="32"/>
      <c r="G31" s="32"/>
      <c r="H31" s="32"/>
      <c r="I31" s="32"/>
      <c r="J31" s="32"/>
      <c r="K31" s="32"/>
      <c r="L31" s="32"/>
      <c r="N31" s="32"/>
      <c r="O31" s="32"/>
      <c r="P31" s="32"/>
    </row>
    <row r="32" spans="1:16" ht="18.75" x14ac:dyDescent="0.25">
      <c r="A32" s="57" t="s">
        <v>239</v>
      </c>
      <c r="B32" s="41"/>
      <c r="C32" s="52">
        <f>C1</f>
        <v>39172</v>
      </c>
      <c r="D32" s="52">
        <f t="shared" ref="D32:L32" si="3">D1</f>
        <v>39538</v>
      </c>
      <c r="E32" s="52">
        <f t="shared" si="3"/>
        <v>39903</v>
      </c>
      <c r="F32" s="52">
        <f t="shared" si="3"/>
        <v>40268</v>
      </c>
      <c r="G32" s="52">
        <f t="shared" si="3"/>
        <v>40633</v>
      </c>
      <c r="H32" s="52">
        <f t="shared" si="3"/>
        <v>40999</v>
      </c>
      <c r="I32" s="52">
        <f t="shared" si="3"/>
        <v>41364</v>
      </c>
      <c r="J32" s="52">
        <f t="shared" si="3"/>
        <v>41729</v>
      </c>
      <c r="K32" s="52">
        <f t="shared" si="3"/>
        <v>42094</v>
      </c>
      <c r="L32" s="52">
        <f t="shared" si="3"/>
        <v>42430</v>
      </c>
      <c r="N32" s="32"/>
      <c r="O32" s="32"/>
      <c r="P32" s="32"/>
    </row>
    <row r="33" spans="1:16" x14ac:dyDescent="0.25">
      <c r="A33" s="59" t="s">
        <v>216</v>
      </c>
      <c r="B33" s="41" t="s">
        <v>217</v>
      </c>
      <c r="C33" s="52"/>
      <c r="D33" s="52"/>
      <c r="E33" s="52"/>
      <c r="F33" s="52"/>
      <c r="G33" s="52"/>
      <c r="H33" s="52"/>
      <c r="I33" s="52"/>
      <c r="J33" s="52"/>
      <c r="K33" s="52"/>
      <c r="L33" s="52"/>
      <c r="N33" s="32"/>
      <c r="O33" s="32"/>
      <c r="P33" s="32"/>
    </row>
    <row r="34" spans="1:16" ht="23.25" x14ac:dyDescent="0.25">
      <c r="A34" s="59" t="s">
        <v>140</v>
      </c>
      <c r="B34" s="41" t="s">
        <v>159</v>
      </c>
      <c r="C34" s="48"/>
      <c r="D34" s="48"/>
      <c r="E34" s="48"/>
      <c r="F34" s="48"/>
      <c r="G34" s="48"/>
      <c r="H34" s="48"/>
      <c r="I34" s="48">
        <v>55</v>
      </c>
      <c r="J34" s="48">
        <v>90</v>
      </c>
      <c r="K34" s="48">
        <v>527</v>
      </c>
      <c r="L34" s="48">
        <v>420</v>
      </c>
      <c r="N34" s="32">
        <f>(L34/I34)^(1/(3-1))-1</f>
        <v>1.7633971188310298</v>
      </c>
      <c r="O34" s="32"/>
      <c r="P34" s="32"/>
    </row>
    <row r="35" spans="1:16" x14ac:dyDescent="0.25">
      <c r="A35" s="59" t="s">
        <v>222</v>
      </c>
      <c r="B35" s="44" t="s">
        <v>223</v>
      </c>
      <c r="C35" s="49">
        <f>'Data Sheet'!C70/10000000</f>
        <v>4.75</v>
      </c>
      <c r="D35" s="49">
        <f>'Data Sheet'!D70/10000000</f>
        <v>4.75</v>
      </c>
      <c r="E35" s="49">
        <f>'Data Sheet'!E70/10000000</f>
        <v>4.75</v>
      </c>
      <c r="F35" s="49">
        <f>'Data Sheet'!F70/10000000</f>
        <v>4.75</v>
      </c>
      <c r="G35" s="49">
        <f>'Data Sheet'!G70/10000000</f>
        <v>4.75</v>
      </c>
      <c r="H35" s="49">
        <f>'Data Sheet'!H70/10000000</f>
        <v>4.75</v>
      </c>
      <c r="I35" s="49">
        <f>'Data Sheet'!I70/10000000</f>
        <v>4.75</v>
      </c>
      <c r="J35" s="49">
        <f>'Data Sheet'!J70/10000000</f>
        <v>4.75</v>
      </c>
      <c r="K35" s="49">
        <f>'Data Sheet'!K70/10000000</f>
        <v>4.75</v>
      </c>
      <c r="L35" s="49">
        <f>'Data Sheet'!L70/10000000</f>
        <v>4.75</v>
      </c>
      <c r="N35" s="32">
        <f t="shared" ref="N35:N48" si="4">(L35/C35)^(1/(9-1))-1</f>
        <v>0</v>
      </c>
      <c r="O35" s="32"/>
      <c r="P35" s="32"/>
    </row>
    <row r="36" spans="1:16" ht="23.25" x14ac:dyDescent="0.25">
      <c r="A36" s="59" t="s">
        <v>143</v>
      </c>
      <c r="B36" s="41" t="s">
        <v>160</v>
      </c>
      <c r="C36" s="50">
        <f>'Data Sheet'!C70*'Financial Analysis'!C34/10000000</f>
        <v>0</v>
      </c>
      <c r="D36" s="50">
        <f>'Data Sheet'!D70*'Financial Analysis'!D34/10000000</f>
        <v>0</v>
      </c>
      <c r="E36" s="50">
        <f>'Data Sheet'!E70*'Financial Analysis'!E34/10000000</f>
        <v>0</v>
      </c>
      <c r="F36" s="50">
        <f>'Data Sheet'!F70*'Financial Analysis'!F34/10000000</f>
        <v>0</v>
      </c>
      <c r="G36" s="50">
        <f>'Data Sheet'!G70*'Financial Analysis'!G34/10000000</f>
        <v>0</v>
      </c>
      <c r="H36" s="50">
        <f>'Data Sheet'!H70*'Financial Analysis'!H34/10000000</f>
        <v>0</v>
      </c>
      <c r="I36" s="50">
        <f>'Data Sheet'!I70*'Financial Analysis'!I34/10000000</f>
        <v>261.25</v>
      </c>
      <c r="J36" s="50">
        <f>'Data Sheet'!J70*'Financial Analysis'!J34/10000000</f>
        <v>427.5</v>
      </c>
      <c r="K36" s="50">
        <f>'Data Sheet'!K70*'Financial Analysis'!K34/10000000</f>
        <v>2503.25</v>
      </c>
      <c r="L36" s="50">
        <f>'Data Sheet'!L70*'Financial Analysis'!L34/10000000</f>
        <v>1995</v>
      </c>
      <c r="N36" s="32">
        <f>(L36/I36)^(1/(3-1))-1</f>
        <v>1.7633971188310298</v>
      </c>
      <c r="O36" s="32"/>
      <c r="P36" s="32"/>
    </row>
    <row r="37" spans="1:16" x14ac:dyDescent="0.25">
      <c r="A37" s="59" t="s">
        <v>221</v>
      </c>
      <c r="B37" s="41" t="s">
        <v>223</v>
      </c>
      <c r="C37" s="51">
        <f>'Data Sheet'!C31</f>
        <v>0.71</v>
      </c>
      <c r="D37" s="51">
        <f>'Data Sheet'!D31</f>
        <v>0.95</v>
      </c>
      <c r="E37" s="51">
        <f>'Data Sheet'!E31</f>
        <v>1.19</v>
      </c>
      <c r="F37" s="51">
        <f>'Data Sheet'!F31</f>
        <v>1.42</v>
      </c>
      <c r="G37" s="51">
        <f>'Data Sheet'!G31</f>
        <v>1.9</v>
      </c>
      <c r="H37" s="51">
        <f>'Data Sheet'!H31</f>
        <v>2.85</v>
      </c>
      <c r="I37" s="51">
        <f>'Data Sheet'!I31</f>
        <v>3.8</v>
      </c>
      <c r="J37" s="51">
        <f>'Data Sheet'!J31</f>
        <v>4.75</v>
      </c>
      <c r="K37" s="51">
        <f>'Data Sheet'!K31</f>
        <v>5.94</v>
      </c>
      <c r="L37" s="51">
        <f>'Data Sheet'!L31</f>
        <v>7.13</v>
      </c>
      <c r="N37" s="32">
        <f t="shared" si="4"/>
        <v>0.33422445828271674</v>
      </c>
      <c r="O37" s="32"/>
      <c r="P37" s="32"/>
    </row>
    <row r="38" spans="1:16" x14ac:dyDescent="0.25">
      <c r="A38" s="59" t="s">
        <v>218</v>
      </c>
      <c r="B38" s="41" t="s">
        <v>223</v>
      </c>
      <c r="C38" s="47">
        <f>'Cash Flow'!C4</f>
        <v>16.22</v>
      </c>
      <c r="D38" s="47">
        <f>'Cash Flow'!D4</f>
        <v>16.600000000000001</v>
      </c>
      <c r="E38" s="47">
        <f>'Cash Flow'!E4</f>
        <v>0.8</v>
      </c>
      <c r="F38" s="47">
        <f>'Cash Flow'!F4</f>
        <v>87.32</v>
      </c>
      <c r="G38" s="47">
        <f>'Cash Flow'!G4</f>
        <v>-15.64</v>
      </c>
      <c r="H38" s="47">
        <f>'Cash Flow'!H4</f>
        <v>62.57</v>
      </c>
      <c r="I38" s="47">
        <f>'Cash Flow'!I4</f>
        <v>24.37</v>
      </c>
      <c r="J38" s="47">
        <f>'Cash Flow'!J4</f>
        <v>115.35</v>
      </c>
      <c r="K38" s="47">
        <f>'Cash Flow'!K4</f>
        <v>128.36000000000001</v>
      </c>
      <c r="L38" s="47">
        <f>'Cash Flow'!L4</f>
        <v>134.05000000000001</v>
      </c>
      <c r="N38" s="32">
        <f t="shared" si="4"/>
        <v>0.30212295784883514</v>
      </c>
      <c r="O38" s="32"/>
      <c r="P38" s="32"/>
    </row>
    <row r="39" spans="1:16" ht="34.5" x14ac:dyDescent="0.25">
      <c r="A39" s="59" t="s">
        <v>219</v>
      </c>
      <c r="B39" s="41" t="s">
        <v>238</v>
      </c>
      <c r="C39" s="47"/>
      <c r="D39" s="47">
        <f>('Data Sheet'!D62-'Data Sheet'!C62)+('Data Sheet'!D63-'Data Sheet'!C63)+'Data Sheet'!D26</f>
        <v>14.910000000000004</v>
      </c>
      <c r="E39" s="47">
        <f>('Data Sheet'!E62-'Data Sheet'!D62)+('Data Sheet'!E63-'Data Sheet'!D63)+'Data Sheet'!E26</f>
        <v>15.100000000000001</v>
      </c>
      <c r="F39" s="47">
        <f>('Data Sheet'!F62-'Data Sheet'!E62)+('Data Sheet'!F63-'Data Sheet'!E63)+'Data Sheet'!F26</f>
        <v>2.2999999999999954</v>
      </c>
      <c r="G39" s="47">
        <f>('Data Sheet'!G62-'Data Sheet'!F62)+('Data Sheet'!G63-'Data Sheet'!F63)+'Data Sheet'!G26</f>
        <v>10.670000000000005</v>
      </c>
      <c r="H39" s="47">
        <f>('Data Sheet'!H62-'Data Sheet'!G62)+('Data Sheet'!H63-'Data Sheet'!G63)+'Data Sheet'!H26</f>
        <v>6.7600000000000042</v>
      </c>
      <c r="I39" s="47">
        <f>('Data Sheet'!I62-'Data Sheet'!H62)+('Data Sheet'!I63-'Data Sheet'!H63)+'Data Sheet'!I26</f>
        <v>5.0099999999999927</v>
      </c>
      <c r="J39" s="47">
        <f>('Data Sheet'!J62-'Data Sheet'!I62)+('Data Sheet'!J63-'Data Sheet'!I63)+'Data Sheet'!J26</f>
        <v>72.03</v>
      </c>
      <c r="K39" s="47">
        <f>('Data Sheet'!K62-'Data Sheet'!J62)+('Data Sheet'!K63-'Data Sheet'!J63)+'Data Sheet'!K26</f>
        <v>27.969999999999981</v>
      </c>
      <c r="L39" s="47">
        <f>('Data Sheet'!L62-'Data Sheet'!K62)+('Data Sheet'!L63-'Data Sheet'!K63)+'Data Sheet'!L26</f>
        <v>6.9800000000000182</v>
      </c>
      <c r="N39" s="56">
        <f>SUM(D39:L39)/COUNT(D39:L39)</f>
        <v>17.97</v>
      </c>
      <c r="O39" s="32"/>
      <c r="P39" s="32"/>
    </row>
    <row r="40" spans="1:16" x14ac:dyDescent="0.25">
      <c r="A40" s="59" t="s">
        <v>220</v>
      </c>
      <c r="B40" s="41"/>
      <c r="C40" s="32"/>
      <c r="D40" s="32"/>
      <c r="E40" s="32"/>
      <c r="F40" s="32"/>
      <c r="G40" s="32"/>
      <c r="H40" s="32"/>
      <c r="I40" s="32"/>
      <c r="J40" s="32"/>
      <c r="K40" s="32"/>
      <c r="N40" s="32"/>
      <c r="O40" s="32"/>
      <c r="P40" s="32"/>
    </row>
    <row r="41" spans="1:16" ht="23.25" x14ac:dyDescent="0.25">
      <c r="A41" s="59" t="s">
        <v>224</v>
      </c>
      <c r="B41" s="41" t="s">
        <v>185</v>
      </c>
      <c r="C41" s="47">
        <f>'Balance Sheet'!C16</f>
        <v>30.77</v>
      </c>
      <c r="D41" s="47">
        <f>'Balance Sheet'!D16</f>
        <v>29.710000000000008</v>
      </c>
      <c r="E41" s="47">
        <f>'Balance Sheet'!E16</f>
        <v>52.529999999999994</v>
      </c>
      <c r="F41" s="47">
        <f>'Balance Sheet'!F16</f>
        <v>5.43</v>
      </c>
      <c r="G41" s="47">
        <f>'Balance Sheet'!G16</f>
        <v>58.769999999999996</v>
      </c>
      <c r="H41" s="47">
        <f>'Balance Sheet'!H16</f>
        <v>75.789999999999992</v>
      </c>
      <c r="I41" s="47">
        <f>'Balance Sheet'!I16</f>
        <v>104</v>
      </c>
      <c r="J41" s="47">
        <f>'Balance Sheet'!J16</f>
        <v>126.43999999999998</v>
      </c>
      <c r="K41" s="47">
        <f>'Balance Sheet'!K16</f>
        <v>236.58999999999997</v>
      </c>
      <c r="L41" s="47">
        <f>'Balance Sheet'!L16</f>
        <v>298.63</v>
      </c>
      <c r="N41" s="32">
        <f t="shared" si="4"/>
        <v>0.32854338783084658</v>
      </c>
      <c r="O41" s="32"/>
      <c r="P41" s="32"/>
    </row>
    <row r="42" spans="1:16" ht="45.75" x14ac:dyDescent="0.25">
      <c r="A42" s="59" t="s">
        <v>225</v>
      </c>
      <c r="B42" s="41" t="s">
        <v>237</v>
      </c>
      <c r="C42" s="47">
        <f>C41-'Data Sheet'!C69</f>
        <v>15.6</v>
      </c>
      <c r="D42" s="47">
        <f>D41-'Data Sheet'!D69</f>
        <v>22.060000000000009</v>
      </c>
      <c r="E42" s="47">
        <f>E41-'Data Sheet'!E69</f>
        <v>49.669999999999995</v>
      </c>
      <c r="F42" s="47">
        <f>F41-'Data Sheet'!F69</f>
        <v>-2.6799999999999997</v>
      </c>
      <c r="G42" s="47">
        <f>G41-'Data Sheet'!G69</f>
        <v>52.379999999999995</v>
      </c>
      <c r="H42" s="47">
        <f>H41-'Data Sheet'!H69</f>
        <v>39.269999999999989</v>
      </c>
      <c r="I42" s="47">
        <f>I41-'Data Sheet'!I69</f>
        <v>62.82</v>
      </c>
      <c r="J42" s="47">
        <f>J41-'Data Sheet'!J69</f>
        <v>22.829999999999984</v>
      </c>
      <c r="K42" s="47">
        <f>K41-'Data Sheet'!K69</f>
        <v>33.329999999999984</v>
      </c>
      <c r="L42" s="47">
        <f>L41-'Data Sheet'!L69</f>
        <v>48.72</v>
      </c>
      <c r="N42" s="32">
        <f t="shared" si="4"/>
        <v>0.15298281737990149</v>
      </c>
      <c r="O42" s="32"/>
      <c r="P42" s="32"/>
    </row>
    <row r="43" spans="1:16" x14ac:dyDescent="0.25">
      <c r="A43" s="59" t="s">
        <v>226</v>
      </c>
      <c r="B43" s="41"/>
      <c r="C43" s="51">
        <f>SUM('Data Sheet'!C57:C59)</f>
        <v>135.48000000000002</v>
      </c>
      <c r="D43" s="51">
        <f>SUM('Data Sheet'!D57:D59)</f>
        <v>144.41</v>
      </c>
      <c r="E43" s="51">
        <f>SUM('Data Sheet'!E57:E59)</f>
        <v>176.25</v>
      </c>
      <c r="F43" s="51">
        <f>SUM('Data Sheet'!F57:F59)</f>
        <v>124.9</v>
      </c>
      <c r="G43" s="51">
        <f>SUM('Data Sheet'!G57:G59)</f>
        <v>182.02</v>
      </c>
      <c r="H43" s="51">
        <f>SUM('Data Sheet'!H57:H59)</f>
        <v>198.93</v>
      </c>
      <c r="I43" s="51">
        <f>SUM('Data Sheet'!I57:I59)</f>
        <v>223.53</v>
      </c>
      <c r="J43" s="51">
        <f>SUM('Data Sheet'!J57:J59)</f>
        <v>308.32</v>
      </c>
      <c r="K43" s="51">
        <f>SUM('Data Sheet'!K57:K59)</f>
        <v>425.11</v>
      </c>
      <c r="L43" s="51">
        <f>SUM('Data Sheet'!L57:L59)</f>
        <v>477.48</v>
      </c>
      <c r="N43" s="32">
        <f t="shared" si="4"/>
        <v>0.17053660542671367</v>
      </c>
      <c r="O43" s="32"/>
      <c r="P43" s="32"/>
    </row>
    <row r="44" spans="1:16" x14ac:dyDescent="0.25">
      <c r="A44" s="59" t="s">
        <v>227</v>
      </c>
      <c r="B44" s="41"/>
      <c r="C44" s="51">
        <f>C43-'Data Sheet'!C69</f>
        <v>120.31000000000002</v>
      </c>
      <c r="D44" s="51">
        <f>D43-'Data Sheet'!D69</f>
        <v>136.76</v>
      </c>
      <c r="E44" s="51">
        <f>E43-'Data Sheet'!E69</f>
        <v>173.39</v>
      </c>
      <c r="F44" s="51">
        <f>F43-'Data Sheet'!F69</f>
        <v>116.79</v>
      </c>
      <c r="G44" s="51">
        <f>G43-'Data Sheet'!G69</f>
        <v>175.63000000000002</v>
      </c>
      <c r="H44" s="51">
        <f>H43-'Data Sheet'!H69</f>
        <v>162.41</v>
      </c>
      <c r="I44" s="51">
        <f>I43-'Data Sheet'!I69</f>
        <v>182.35</v>
      </c>
      <c r="J44" s="51">
        <f>J43-'Data Sheet'!J69</f>
        <v>204.70999999999998</v>
      </c>
      <c r="K44" s="51">
        <f>K43-'Data Sheet'!K69</f>
        <v>221.85000000000002</v>
      </c>
      <c r="L44" s="51">
        <f>L43-'Data Sheet'!L69</f>
        <v>227.57000000000002</v>
      </c>
      <c r="N44" s="32">
        <f t="shared" si="4"/>
        <v>8.2933180172859666E-2</v>
      </c>
      <c r="O44" s="32"/>
      <c r="P44" s="32"/>
    </row>
    <row r="45" spans="1:16" x14ac:dyDescent="0.25">
      <c r="A45" s="59" t="s">
        <v>228</v>
      </c>
      <c r="B45" s="41"/>
      <c r="C45" s="51">
        <f>'Data Sheet'!C62+'Data Sheet'!C63+'Financial Analysis'!C42</f>
        <v>120.30999999999999</v>
      </c>
      <c r="D45" s="51">
        <f>'Data Sheet'!D62+'Data Sheet'!D63+'Financial Analysis'!D42</f>
        <v>136.76000000000002</v>
      </c>
      <c r="E45" s="51">
        <f>'Data Sheet'!E62+'Data Sheet'!E63+'Financial Analysis'!E42</f>
        <v>173.39</v>
      </c>
      <c r="F45" s="51">
        <f>'Data Sheet'!F62+'Data Sheet'!F63+'Financial Analysis'!F42</f>
        <v>116.78999999999999</v>
      </c>
      <c r="G45" s="51">
        <f>'Data Sheet'!G62+'Data Sheet'!G63+'Financial Analysis'!G42</f>
        <v>175.63</v>
      </c>
      <c r="H45" s="51">
        <f>'Data Sheet'!H62+'Data Sheet'!H63+'Financial Analysis'!H42</f>
        <v>162.41</v>
      </c>
      <c r="I45" s="51">
        <f>'Data Sheet'!I62+'Data Sheet'!I63+'Financial Analysis'!I42</f>
        <v>182.35</v>
      </c>
      <c r="J45" s="51">
        <f>'Data Sheet'!J62+'Data Sheet'!J63+'Financial Analysis'!J42</f>
        <v>204.70999999999998</v>
      </c>
      <c r="K45" s="51">
        <f>'Data Sheet'!K62+'Data Sheet'!K63+'Financial Analysis'!K42</f>
        <v>221.84999999999997</v>
      </c>
      <c r="L45" s="51">
        <f>'Data Sheet'!L62+'Data Sheet'!L63+'Financial Analysis'!L42</f>
        <v>222.95000000000002</v>
      </c>
      <c r="N45" s="32">
        <f t="shared" si="4"/>
        <v>8.0160318584687751E-2</v>
      </c>
      <c r="O45" s="32"/>
      <c r="P45" s="32"/>
    </row>
    <row r="46" spans="1:16" x14ac:dyDescent="0.25">
      <c r="A46" s="59" t="s">
        <v>229</v>
      </c>
      <c r="B46" s="41"/>
      <c r="C46" s="51">
        <f>'Data Sheet'!C62+'Financial Analysis'!C42</f>
        <v>107.11999999999999</v>
      </c>
      <c r="D46" s="51">
        <f>'Data Sheet'!D62+'Financial Analysis'!D42</f>
        <v>123.42000000000002</v>
      </c>
      <c r="E46" s="51">
        <f>'Data Sheet'!E62+'Financial Analysis'!E42</f>
        <v>172.7</v>
      </c>
      <c r="F46" s="51">
        <f>'Data Sheet'!F62+'Financial Analysis'!F42</f>
        <v>115.97999999999999</v>
      </c>
      <c r="G46" s="51">
        <f>'Data Sheet'!G62+'Financial Analysis'!G42</f>
        <v>174.69</v>
      </c>
      <c r="H46" s="51">
        <f>'Data Sheet'!H62+'Financial Analysis'!H42</f>
        <v>162.06</v>
      </c>
      <c r="I46" s="51">
        <f>'Data Sheet'!I62+'Financial Analysis'!I42</f>
        <v>180.07</v>
      </c>
      <c r="J46" s="51">
        <f>'Data Sheet'!J62+'Financial Analysis'!J42</f>
        <v>204.04</v>
      </c>
      <c r="K46" s="51">
        <f>'Data Sheet'!K62+'Financial Analysis'!K42</f>
        <v>221.55999999999997</v>
      </c>
      <c r="L46" s="51">
        <f>'Data Sheet'!L62+'Financial Analysis'!L42</f>
        <v>221.71</v>
      </c>
      <c r="N46" s="32">
        <f t="shared" si="4"/>
        <v>9.5189672351627008E-2</v>
      </c>
      <c r="O46" s="32"/>
      <c r="P46" s="32"/>
    </row>
    <row r="47" spans="1:16" x14ac:dyDescent="0.25">
      <c r="A47" s="59" t="s">
        <v>230</v>
      </c>
      <c r="B47" s="41"/>
      <c r="C47" s="51">
        <f>'Data Sheet'!C27+'Data Sheet'!C28</f>
        <v>20.47</v>
      </c>
      <c r="D47" s="51">
        <f>'Data Sheet'!D27+'Data Sheet'!D28</f>
        <v>25.81</v>
      </c>
      <c r="E47" s="51">
        <f>'Data Sheet'!E27+'Data Sheet'!E28</f>
        <v>32.29</v>
      </c>
      <c r="F47" s="51">
        <f>'Data Sheet'!F27+'Data Sheet'!F28</f>
        <v>43.01</v>
      </c>
      <c r="G47" s="51">
        <f>'Data Sheet'!G27+'Data Sheet'!G28</f>
        <v>46.12</v>
      </c>
      <c r="H47" s="51">
        <f>'Data Sheet'!H27+'Data Sheet'!H28</f>
        <v>58.870000000000005</v>
      </c>
      <c r="I47" s="51">
        <f>'Data Sheet'!I27+'Data Sheet'!I28</f>
        <v>57.18</v>
      </c>
      <c r="J47" s="51">
        <f>'Data Sheet'!J27+'Data Sheet'!J28</f>
        <v>100.50999999999999</v>
      </c>
      <c r="K47" s="51">
        <f>'Data Sheet'!K27+'Data Sheet'!K28</f>
        <v>162.79999999999998</v>
      </c>
      <c r="L47" s="51">
        <f>'Data Sheet'!L27+'Data Sheet'!L28</f>
        <v>187.21</v>
      </c>
      <c r="N47" s="32">
        <f t="shared" si="4"/>
        <v>0.31871637820650456</v>
      </c>
      <c r="O47" s="32"/>
      <c r="P47" s="32"/>
    </row>
    <row r="48" spans="1:16" ht="57" x14ac:dyDescent="0.25">
      <c r="A48" s="59" t="s">
        <v>168</v>
      </c>
      <c r="B48" s="41" t="s">
        <v>174</v>
      </c>
      <c r="C48" s="51">
        <f>'Data Sheet'!C57+'Data Sheet'!C58+'Data Sheet'!C59</f>
        <v>135.48000000000002</v>
      </c>
      <c r="D48" s="51">
        <f>'Data Sheet'!D57+'Data Sheet'!D58+'Data Sheet'!D59</f>
        <v>144.41</v>
      </c>
      <c r="E48" s="51">
        <f>'Data Sheet'!E57+'Data Sheet'!E58+'Data Sheet'!E59</f>
        <v>176.25</v>
      </c>
      <c r="F48" s="51">
        <f>'Data Sheet'!F57+'Data Sheet'!F58+'Data Sheet'!F59</f>
        <v>124.9</v>
      </c>
      <c r="G48" s="51">
        <f>'Data Sheet'!G57+'Data Sheet'!G58+'Data Sheet'!G59</f>
        <v>182.02</v>
      </c>
      <c r="H48" s="51">
        <f>'Data Sheet'!H57+'Data Sheet'!H58+'Data Sheet'!H59</f>
        <v>198.93</v>
      </c>
      <c r="I48" s="51">
        <f>'Data Sheet'!I57+'Data Sheet'!I58+'Data Sheet'!I59</f>
        <v>223.53</v>
      </c>
      <c r="J48" s="51">
        <f>'Data Sheet'!J57+'Data Sheet'!J58+'Data Sheet'!J59</f>
        <v>308.32</v>
      </c>
      <c r="K48" s="51">
        <f>'Data Sheet'!K57+'Data Sheet'!K58+'Data Sheet'!K59</f>
        <v>425.11</v>
      </c>
      <c r="L48" s="51">
        <f>'Data Sheet'!L57+'Data Sheet'!L58+'Data Sheet'!L59</f>
        <v>477.48</v>
      </c>
      <c r="N48" s="32">
        <f t="shared" si="4"/>
        <v>0.17053660542671367</v>
      </c>
      <c r="O48" s="32"/>
      <c r="P48" s="32"/>
    </row>
    <row r="49" spans="1:16" x14ac:dyDescent="0.25">
      <c r="A49" s="59"/>
      <c r="B49" s="41"/>
      <c r="C49" s="51"/>
      <c r="D49" s="51"/>
      <c r="E49" s="51"/>
      <c r="F49" s="51"/>
      <c r="G49" s="51"/>
      <c r="H49" s="51"/>
      <c r="I49" s="51"/>
      <c r="J49" s="51"/>
      <c r="K49" s="51"/>
      <c r="L49" s="51"/>
      <c r="N49" s="32"/>
      <c r="O49" s="32"/>
      <c r="P49" s="32"/>
    </row>
    <row r="50" spans="1:16" ht="18.75" x14ac:dyDescent="0.25">
      <c r="A50" s="57" t="s">
        <v>240</v>
      </c>
      <c r="B50" s="41"/>
      <c r="C50" s="52">
        <f>C32</f>
        <v>39172</v>
      </c>
      <c r="D50" s="52">
        <f t="shared" ref="D50:L50" si="5">D32</f>
        <v>39538</v>
      </c>
      <c r="E50" s="52">
        <f t="shared" si="5"/>
        <v>39903</v>
      </c>
      <c r="F50" s="52">
        <f t="shared" si="5"/>
        <v>40268</v>
      </c>
      <c r="G50" s="52">
        <f t="shared" si="5"/>
        <v>40633</v>
      </c>
      <c r="H50" s="52">
        <f t="shared" si="5"/>
        <v>40999</v>
      </c>
      <c r="I50" s="52">
        <f t="shared" si="5"/>
        <v>41364</v>
      </c>
      <c r="J50" s="52">
        <f t="shared" si="5"/>
        <v>41729</v>
      </c>
      <c r="K50" s="52">
        <f t="shared" si="5"/>
        <v>42094</v>
      </c>
      <c r="L50" s="52">
        <f t="shared" si="5"/>
        <v>42430</v>
      </c>
      <c r="N50" s="32"/>
      <c r="O50" s="32"/>
      <c r="P50" s="32"/>
    </row>
    <row r="51" spans="1:16" x14ac:dyDescent="0.25">
      <c r="A51" s="59" t="s">
        <v>231</v>
      </c>
      <c r="C51" s="35">
        <f>(C47/C43)*(1-('Data Sheet'!C29/'Data Sheet'!C28))</f>
        <v>9.4742779787767559E-2</v>
      </c>
      <c r="D51" s="35">
        <f>(D47/D43)*(1-('Data Sheet'!D29/'Data Sheet'!D28))</f>
        <v>0.10881189786579114</v>
      </c>
      <c r="E51" s="35">
        <f>(E47/E43)*(1-('Data Sheet'!E29/'Data Sheet'!E28))</f>
        <v>0.1137611290921632</v>
      </c>
      <c r="F51" s="35">
        <f>(F47/F43)*(1-('Data Sheet'!F29/'Data Sheet'!F28))</f>
        <v>0.22923988705177886</v>
      </c>
      <c r="G51" s="35">
        <f>(G47/G43)*(1-('Data Sheet'!G29/'Data Sheet'!G28))</f>
        <v>0.16732405902687453</v>
      </c>
      <c r="H51" s="35">
        <f>(H47/H43)*(1-('Data Sheet'!H29/'Data Sheet'!H28))</f>
        <v>0.20009248431990731</v>
      </c>
      <c r="I51" s="35">
        <f>(I47/I43)*(1-('Data Sheet'!I29/'Data Sheet'!I28))</f>
        <v>0.1706525625305432</v>
      </c>
      <c r="J51" s="35">
        <f>(J47/J43)*(1-('Data Sheet'!J29/'Data Sheet'!J28))</f>
        <v>0.21206699524714678</v>
      </c>
      <c r="K51" s="35">
        <f>(K47/K43)*(1-('Data Sheet'!K29/'Data Sheet'!K28))</f>
        <v>0.26631742847445605</v>
      </c>
      <c r="L51" s="35">
        <f>(L47/L43)*(1-('Data Sheet'!L29/'Data Sheet'!L28))</f>
        <v>0.25693957592023542</v>
      </c>
      <c r="N51" s="32">
        <f t="shared" ref="N51:N55" si="6">(L51/C51)^(1/(9-1))-1</f>
        <v>0.13281922295089177</v>
      </c>
      <c r="O51" s="32"/>
      <c r="P51" s="32"/>
    </row>
    <row r="52" spans="1:16" x14ac:dyDescent="0.25">
      <c r="A52" s="59" t="s">
        <v>232</v>
      </c>
      <c r="C52" s="35">
        <f>(C47/C44)*(1-('Data Sheet'!C29/'Data Sheet'!C28))</f>
        <v>0.10668898516870376</v>
      </c>
      <c r="D52" s="35">
        <f>(D47/D44)*(1-('Data Sheet'!D29/'Data Sheet'!D28))</f>
        <v>0.11489855345714316</v>
      </c>
      <c r="E52" s="35">
        <f>(E47/E44)*(1-('Data Sheet'!E29/'Data Sheet'!E28))</f>
        <v>0.11563757426895303</v>
      </c>
      <c r="F52" s="35">
        <f>(F47/F44)*(1-('Data Sheet'!F29/'Data Sheet'!F28))</f>
        <v>0.24515850580329807</v>
      </c>
      <c r="G52" s="35">
        <f>(G47/G44)*(1-('Data Sheet'!G29/'Data Sheet'!G28))</f>
        <v>0.17341186143638157</v>
      </c>
      <c r="H52" s="35">
        <f>(H47/H44)*(1-('Data Sheet'!H29/'Data Sheet'!H28))</f>
        <v>0.24508588083097818</v>
      </c>
      <c r="I52" s="35">
        <f>(I47/I44)*(1-('Data Sheet'!I29/'Data Sheet'!I28))</f>
        <v>0.20919093667371713</v>
      </c>
      <c r="J52" s="35">
        <f>(J47/J44)*(1-('Data Sheet'!J29/'Data Sheet'!J28))</f>
        <v>0.31940059584094715</v>
      </c>
      <c r="K52" s="35">
        <f>(K47/K44)*(1-('Data Sheet'!K29/'Data Sheet'!K28))</f>
        <v>0.51031869289509135</v>
      </c>
      <c r="L52" s="35">
        <f>(L47/L44)*(1-('Data Sheet'!L29/'Data Sheet'!L28))</f>
        <v>0.53910229252710817</v>
      </c>
      <c r="N52" s="32">
        <f t="shared" si="6"/>
        <v>0.22445815870505048</v>
      </c>
      <c r="O52" s="32"/>
      <c r="P52" s="32"/>
    </row>
    <row r="53" spans="1:16" x14ac:dyDescent="0.25">
      <c r="A53" s="59" t="s">
        <v>233</v>
      </c>
      <c r="C53" s="35">
        <f>(C47/C45)*(1-('Data Sheet'!C29/'Data Sheet'!C28))</f>
        <v>0.10668898516870379</v>
      </c>
      <c r="D53" s="35">
        <f>(D47/D45)*(1-('Data Sheet'!D29/'Data Sheet'!D28))</f>
        <v>0.11489855345714314</v>
      </c>
      <c r="E53" s="35">
        <f>(E47/E45)*(1-('Data Sheet'!E29/'Data Sheet'!E28))</f>
        <v>0.11563757426895303</v>
      </c>
      <c r="F53" s="35">
        <f>(F47/F45)*(1-('Data Sheet'!F29/'Data Sheet'!F28))</f>
        <v>0.24515850580329809</v>
      </c>
      <c r="G53" s="35">
        <f>(G47/G45)*(1-('Data Sheet'!G29/'Data Sheet'!G28))</f>
        <v>0.1734118614363816</v>
      </c>
      <c r="H53" s="35">
        <f>(H47/H45)*(1-('Data Sheet'!H29/'Data Sheet'!H28))</f>
        <v>0.24508588083097818</v>
      </c>
      <c r="I53" s="35">
        <f>(I47/I45)*(1-('Data Sheet'!I29/'Data Sheet'!I28))</f>
        <v>0.20919093667371713</v>
      </c>
      <c r="J53" s="35">
        <f>(J47/J45)*(1-('Data Sheet'!J29/'Data Sheet'!J28))</f>
        <v>0.31940059584094715</v>
      </c>
      <c r="K53" s="35">
        <f>(K47/K45)*(1-('Data Sheet'!K29/'Data Sheet'!K28))</f>
        <v>0.51031869289509146</v>
      </c>
      <c r="L53" s="35">
        <f>(L47/L45)*(1-('Data Sheet'!L29/'Data Sheet'!L28))</f>
        <v>0.55027364301589587</v>
      </c>
      <c r="N53" s="32">
        <f t="shared" si="6"/>
        <v>0.22760144487857481</v>
      </c>
      <c r="O53" s="32"/>
      <c r="P53" s="32"/>
    </row>
    <row r="54" spans="1:16" x14ac:dyDescent="0.25">
      <c r="A54" s="59" t="s">
        <v>234</v>
      </c>
      <c r="C54" s="35">
        <f>(C47/C46)*(1-('Data Sheet'!C29/'Data Sheet'!C28))</f>
        <v>0.11982591304748649</v>
      </c>
      <c r="D54" s="35">
        <f>(D47/D46)*(1-('Data Sheet'!D29/'Data Sheet'!D28))</f>
        <v>0.12731750259924562</v>
      </c>
      <c r="E54" s="35">
        <f>(E47/E46)*(1-('Data Sheet'!E29/'Data Sheet'!E28))</f>
        <v>0.11609958889689498</v>
      </c>
      <c r="F54" s="35">
        <f>(F47/F46)*(1-('Data Sheet'!F29/'Data Sheet'!F28))</f>
        <v>0.24687068367621301</v>
      </c>
      <c r="G54" s="35">
        <f>(G47/G46)*(1-('Data Sheet'!G29/'Data Sheet'!G28))</f>
        <v>0.17434498382318223</v>
      </c>
      <c r="H54" s="35">
        <f>(H47/H46)*(1-('Data Sheet'!H29/'Data Sheet'!H28))</f>
        <v>0.24561519132271481</v>
      </c>
      <c r="I54" s="35">
        <f>(I47/I46)*(1-('Data Sheet'!I29/'Data Sheet'!I28))</f>
        <v>0.21183965847977074</v>
      </c>
      <c r="J54" s="35">
        <f>(J47/J46)*(1-('Data Sheet'!J29/'Data Sheet'!J28))</f>
        <v>0.32044940195353994</v>
      </c>
      <c r="K54" s="35">
        <f>(K47/K46)*(1-('Data Sheet'!K29/'Data Sheet'!K28))</f>
        <v>0.51098664929940441</v>
      </c>
      <c r="L54" s="35">
        <f>(L47/L46)*(1-('Data Sheet'!L29/'Data Sheet'!L28))</f>
        <v>0.55335126385997024</v>
      </c>
      <c r="N54" s="32">
        <f t="shared" si="6"/>
        <v>0.21075499639055217</v>
      </c>
      <c r="O54" s="32"/>
      <c r="P54" s="32"/>
    </row>
    <row r="55" spans="1:16" x14ac:dyDescent="0.25">
      <c r="A55" s="59" t="s">
        <v>109</v>
      </c>
      <c r="B55" s="41" t="s">
        <v>152</v>
      </c>
      <c r="C55" s="35">
        <f>'Data Sheet'!C30/'Data Sheet'!C66</f>
        <v>5.8019441069258819E-2</v>
      </c>
      <c r="D55" s="35">
        <f>'Data Sheet'!D30/'Data Sheet'!D66</f>
        <v>4.8156016778340686E-2</v>
      </c>
      <c r="E55" s="35">
        <f>'Data Sheet'!E30/'Data Sheet'!E66</f>
        <v>4.6513800028020365E-2</v>
      </c>
      <c r="F55" s="35">
        <f>'Data Sheet'!F30/'Data Sheet'!F66</f>
        <v>0.10075703937694025</v>
      </c>
      <c r="G55" s="35">
        <f>'Data Sheet'!G30/'Data Sheet'!G66</f>
        <v>8.2401342067422903E-2</v>
      </c>
      <c r="H55" s="35">
        <f>'Data Sheet'!H30/'Data Sheet'!H66</f>
        <v>0.10118270342872068</v>
      </c>
      <c r="I55" s="35">
        <f>'Data Sheet'!I30/'Data Sheet'!I66</f>
        <v>9.9300368405042749E-2</v>
      </c>
      <c r="J55" s="35">
        <f>'Data Sheet'!J30/'Data Sheet'!J66</f>
        <v>0.14179086033464322</v>
      </c>
      <c r="K55" s="35">
        <f>'Data Sheet'!K30/'Data Sheet'!K66</f>
        <v>0.18364151506113927</v>
      </c>
      <c r="L55" s="35">
        <f>'Data Sheet'!L30/'Data Sheet'!L66</f>
        <v>0.18062582578711611</v>
      </c>
      <c r="N55" s="32">
        <f t="shared" si="6"/>
        <v>0.15252615028352023</v>
      </c>
      <c r="O55" s="32"/>
      <c r="P55" s="32"/>
    </row>
    <row r="56" spans="1:16" x14ac:dyDescent="0.25">
      <c r="A56" s="59" t="s">
        <v>153</v>
      </c>
      <c r="B56" s="41"/>
      <c r="C56" s="35"/>
      <c r="D56" s="35"/>
      <c r="E56" s="35"/>
      <c r="F56" s="35"/>
      <c r="G56" s="35"/>
      <c r="H56" s="35"/>
      <c r="I56" s="35"/>
      <c r="J56" s="35"/>
      <c r="K56" s="35"/>
      <c r="N56" s="32"/>
      <c r="O56" s="32"/>
      <c r="P56" s="32"/>
    </row>
    <row r="57" spans="1:16" ht="23.25" x14ac:dyDescent="0.25">
      <c r="A57" s="59" t="s">
        <v>98</v>
      </c>
      <c r="B57" s="41" t="s">
        <v>173</v>
      </c>
      <c r="C57" s="35">
        <f>C47/C48</f>
        <v>0.15109241216415703</v>
      </c>
      <c r="D57" s="35">
        <f t="shared" ref="D57:L57" si="7">D47/D48</f>
        <v>0.17872723495602796</v>
      </c>
      <c r="E57" s="35">
        <f t="shared" si="7"/>
        <v>0.18320567375886523</v>
      </c>
      <c r="F57" s="35">
        <f t="shared" si="7"/>
        <v>0.34435548438750996</v>
      </c>
      <c r="G57" s="35">
        <f t="shared" si="7"/>
        <v>0.25337874958795736</v>
      </c>
      <c r="H57" s="35">
        <f t="shared" si="7"/>
        <v>0.29593324284924344</v>
      </c>
      <c r="I57" s="35">
        <f t="shared" si="7"/>
        <v>0.2558045899879211</v>
      </c>
      <c r="J57" s="35">
        <f t="shared" si="7"/>
        <v>0.32599247535028542</v>
      </c>
      <c r="K57" s="35">
        <f t="shared" si="7"/>
        <v>0.38295970454705835</v>
      </c>
      <c r="L57" s="35">
        <f t="shared" si="7"/>
        <v>0.39207924939264471</v>
      </c>
      <c r="N57" s="32">
        <f t="shared" ref="N57" si="8">(L57/C57)^(1/(9-1))-1</f>
        <v>0.12659131896671671</v>
      </c>
      <c r="O57" s="32"/>
      <c r="P57" s="32"/>
    </row>
    <row r="58" spans="1:16" x14ac:dyDescent="0.25">
      <c r="A58" s="59" t="s">
        <v>99</v>
      </c>
      <c r="B58" s="43"/>
      <c r="C58" s="33"/>
      <c r="D58" s="33"/>
      <c r="E58" s="33"/>
      <c r="F58" s="33"/>
      <c r="G58" s="33"/>
      <c r="H58" s="33"/>
      <c r="I58" s="33"/>
      <c r="J58" s="33"/>
      <c r="K58" s="33"/>
      <c r="N58" s="32"/>
      <c r="O58" s="32"/>
      <c r="P58" s="32"/>
    </row>
    <row r="59" spans="1:16" ht="23.25" x14ac:dyDescent="0.25">
      <c r="A59" s="59" t="s">
        <v>55</v>
      </c>
      <c r="B59" s="41" t="s">
        <v>154</v>
      </c>
      <c r="C59" s="35">
        <f>'Data Sheet'!C30/('Data Sheet'!C57+'Data Sheet'!C58)</f>
        <v>0.43310657596371882</v>
      </c>
      <c r="D59" s="35">
        <f>'Data Sheet'!D30/('Data Sheet'!D57+'Data Sheet'!D58)</f>
        <v>0.29664429530201342</v>
      </c>
      <c r="E59" s="35">
        <f>'Data Sheet'!E30/('Data Sheet'!E57+'Data Sheet'!E58)</f>
        <v>0.25957779515246288</v>
      </c>
      <c r="F59" s="35">
        <f>'Data Sheet'!F30/('Data Sheet'!F57+'Data Sheet'!F58)</f>
        <v>0.33508422387248687</v>
      </c>
      <c r="G59" s="35">
        <f>'Data Sheet'!G30/('Data Sheet'!G57+'Data Sheet'!G58)</f>
        <v>0.28022276555283887</v>
      </c>
      <c r="H59" s="35">
        <f>'Data Sheet'!H30/('Data Sheet'!H57+'Data Sheet'!H58)</f>
        <v>0.27835368982859487</v>
      </c>
      <c r="I59" s="35">
        <f>'Data Sheet'!I30/('Data Sheet'!I57+'Data Sheet'!I58)</f>
        <v>0.24011114743380188</v>
      </c>
      <c r="J59" s="35">
        <f>'Data Sheet'!J30/('Data Sheet'!J57+'Data Sheet'!J58)</f>
        <v>0.32939082505597977</v>
      </c>
      <c r="K59" s="35">
        <f>'Data Sheet'!K30/('Data Sheet'!K57+'Data Sheet'!K58)</f>
        <v>0.37335152341973621</v>
      </c>
      <c r="L59" s="35">
        <f>'Data Sheet'!L30/('Data Sheet'!L57+'Data Sheet'!L58)</f>
        <v>0.30512534364027327</v>
      </c>
      <c r="N59" s="32">
        <f t="shared" ref="N59:N63" si="9">(L59/C59)^(1/(9-1))-1</f>
        <v>-4.2838023184193053E-2</v>
      </c>
      <c r="O59" s="32"/>
      <c r="P59" s="32"/>
    </row>
    <row r="60" spans="1:16" x14ac:dyDescent="0.25">
      <c r="A60" s="59" t="s">
        <v>100</v>
      </c>
      <c r="B60" s="41" t="s">
        <v>165</v>
      </c>
      <c r="C60" s="34">
        <f t="shared" ref="C60:L60" si="10">C30</f>
        <v>6.2434623430962344E-2</v>
      </c>
      <c r="D60" s="34">
        <f t="shared" si="10"/>
        <v>5.0195900289591727E-2</v>
      </c>
      <c r="E60" s="34">
        <f t="shared" si="10"/>
        <v>5.4608257031635514E-2</v>
      </c>
      <c r="F60" s="34">
        <f t="shared" si="10"/>
        <v>7.4771643359469731E-2</v>
      </c>
      <c r="G60" s="34">
        <f t="shared" si="10"/>
        <v>8.5149413901271245E-2</v>
      </c>
      <c r="H60" s="34">
        <f t="shared" si="10"/>
        <v>8.6923076923076922E-2</v>
      </c>
      <c r="I60" s="34">
        <f t="shared" si="10"/>
        <v>9.2687235787746847E-2</v>
      </c>
      <c r="J60" s="34">
        <f t="shared" si="10"/>
        <v>0.12973474141245109</v>
      </c>
      <c r="K60" s="34">
        <f t="shared" si="10"/>
        <v>0.19276071218939542</v>
      </c>
      <c r="L60" s="34">
        <f t="shared" si="10"/>
        <v>0.20537906269466125</v>
      </c>
      <c r="N60" s="32">
        <f t="shared" si="9"/>
        <v>0.16048981665249462</v>
      </c>
      <c r="O60" s="32"/>
      <c r="P60" s="32"/>
    </row>
    <row r="61" spans="1:16" x14ac:dyDescent="0.25">
      <c r="A61" s="59" t="s">
        <v>101</v>
      </c>
      <c r="B61" s="41" t="s">
        <v>166</v>
      </c>
      <c r="C61" s="36">
        <f>'Data Sheet'!C17/'Data Sheet'!C66</f>
        <v>0.92928311057108148</v>
      </c>
      <c r="D61" s="36">
        <f>'Data Sheet'!D17/'Data Sheet'!D66</f>
        <v>0.95936155145176238</v>
      </c>
      <c r="E61" s="36">
        <f>'Data Sheet'!E17/'Data Sheet'!E66</f>
        <v>0.85177228786251336</v>
      </c>
      <c r="F61" s="36">
        <f>'Data Sheet'!F17/'Data Sheet'!F66</f>
        <v>1.3475300909536516</v>
      </c>
      <c r="G61" s="36">
        <f>'Data Sheet'!G17/'Data Sheet'!G66</f>
        <v>0.96772647387761623</v>
      </c>
      <c r="H61" s="36">
        <f>'Data Sheet'!H17/'Data Sheet'!H66</f>
        <v>1.1640488005074061</v>
      </c>
      <c r="I61" s="36">
        <f>'Data Sheet'!I17/'Data Sheet'!I66</f>
        <v>1.0713489032345287</v>
      </c>
      <c r="J61" s="36">
        <f>'Data Sheet'!J17/'Data Sheet'!J66</f>
        <v>1.0929289933516224</v>
      </c>
      <c r="K61" s="36">
        <f>'Data Sheet'!K17/'Data Sheet'!K66</f>
        <v>0.95269161944527292</v>
      </c>
      <c r="L61" s="36">
        <f>'Data Sheet'!L17/'Data Sheet'!L66</f>
        <v>0.87947536334633114</v>
      </c>
      <c r="N61" s="32">
        <f t="shared" si="9"/>
        <v>-6.8623319693972284E-3</v>
      </c>
      <c r="O61" s="32"/>
      <c r="P61" s="32"/>
    </row>
    <row r="62" spans="1:16" ht="23.25" x14ac:dyDescent="0.25">
      <c r="A62" s="59" t="s">
        <v>102</v>
      </c>
      <c r="B62" s="41" t="s">
        <v>167</v>
      </c>
      <c r="C62" s="37">
        <f>'Data Sheet'!C66/('Data Sheet'!C57+'Data Sheet'!C58)</f>
        <v>7.4648526077097497</v>
      </c>
      <c r="D62" s="37">
        <f>'Data Sheet'!D66/('Data Sheet'!D57+'Data Sheet'!D58)</f>
        <v>6.1600671140939598</v>
      </c>
      <c r="E62" s="37">
        <f>'Data Sheet'!E66/('Data Sheet'!E57+'Data Sheet'!E58)</f>
        <v>5.5806619755016946</v>
      </c>
      <c r="F62" s="37">
        <f>'Data Sheet'!F66/('Data Sheet'!F57+'Data Sheet'!F58)</f>
        <v>3.3256656402825575</v>
      </c>
      <c r="G62" s="37">
        <f>'Data Sheet'!G66/('Data Sheet'!G57+'Data Sheet'!G58)</f>
        <v>3.4007063298016842</v>
      </c>
      <c r="H62" s="37">
        <f>'Data Sheet'!H66/('Data Sheet'!H57+'Data Sheet'!H58)</f>
        <v>2.751000718464538</v>
      </c>
      <c r="I62" s="37">
        <f>'Data Sheet'!I66/('Data Sheet'!I57+'Data Sheet'!I58)</f>
        <v>2.4180287675711019</v>
      </c>
      <c r="J62" s="37">
        <f>'Data Sheet'!J66/('Data Sheet'!J57+'Data Sheet'!J58)</f>
        <v>2.3230751564563361</v>
      </c>
      <c r="K62" s="37">
        <f>'Data Sheet'!K66/('Data Sheet'!K57+'Data Sheet'!K58)</f>
        <v>2.0330453236319541</v>
      </c>
      <c r="L62" s="37">
        <f>'Data Sheet'!L66/('Data Sheet'!L57+'Data Sheet'!L58)</f>
        <v>1.689267535861074</v>
      </c>
      <c r="N62" s="32">
        <f t="shared" si="9"/>
        <v>-0.16950953643841737</v>
      </c>
      <c r="O62" s="32"/>
      <c r="P62" s="32"/>
    </row>
    <row r="63" spans="1:16" ht="34.5" x14ac:dyDescent="0.25">
      <c r="A63" s="59" t="s">
        <v>141</v>
      </c>
      <c r="B63" s="41" t="s">
        <v>157</v>
      </c>
      <c r="C63" s="35">
        <f>C60*C61*C62</f>
        <v>0.43310657596371877</v>
      </c>
      <c r="D63" s="35">
        <f t="shared" ref="D63:L63" si="11">D60*D61*D62</f>
        <v>0.29664429530201342</v>
      </c>
      <c r="E63" s="35">
        <f t="shared" si="11"/>
        <v>0.25957779515246293</v>
      </c>
      <c r="F63" s="35">
        <f t="shared" si="11"/>
        <v>0.33508422387248687</v>
      </c>
      <c r="G63" s="35">
        <f t="shared" si="11"/>
        <v>0.28022276555283887</v>
      </c>
      <c r="H63" s="35">
        <f t="shared" si="11"/>
        <v>0.27835368982859487</v>
      </c>
      <c r="I63" s="35">
        <f t="shared" si="11"/>
        <v>0.24011114743380188</v>
      </c>
      <c r="J63" s="35">
        <f t="shared" si="11"/>
        <v>0.32939082505597977</v>
      </c>
      <c r="K63" s="35">
        <f t="shared" si="11"/>
        <v>0.37335152341973626</v>
      </c>
      <c r="L63" s="35">
        <f t="shared" si="11"/>
        <v>0.30512534364027327</v>
      </c>
      <c r="N63" s="32">
        <f t="shared" si="9"/>
        <v>-4.2838023184193053E-2</v>
      </c>
      <c r="O63" s="32"/>
      <c r="P63" s="32"/>
    </row>
    <row r="64" spans="1:16" ht="23.25" x14ac:dyDescent="0.25">
      <c r="A64" s="59" t="s">
        <v>103</v>
      </c>
      <c r="B64" s="41" t="s">
        <v>156</v>
      </c>
      <c r="C64" s="35" t="str">
        <f>IFERROR((C37/C35)/C34,"NA")</f>
        <v>NA</v>
      </c>
      <c r="D64" s="35" t="str">
        <f t="shared" ref="D64:L64" si="12">IFERROR((D37/D35)/D34,"NA")</f>
        <v>NA</v>
      </c>
      <c r="E64" s="35" t="str">
        <f t="shared" si="12"/>
        <v>NA</v>
      </c>
      <c r="F64" s="35" t="str">
        <f t="shared" si="12"/>
        <v>NA</v>
      </c>
      <c r="G64" s="35" t="str">
        <f t="shared" si="12"/>
        <v>NA</v>
      </c>
      <c r="H64" s="35" t="str">
        <f t="shared" si="12"/>
        <v>NA</v>
      </c>
      <c r="I64" s="35">
        <f t="shared" si="12"/>
        <v>1.4545454545454544E-2</v>
      </c>
      <c r="J64" s="35">
        <f t="shared" si="12"/>
        <v>1.1111111111111112E-2</v>
      </c>
      <c r="K64" s="35">
        <f t="shared" si="12"/>
        <v>2.3729152102267051E-3</v>
      </c>
      <c r="L64" s="35">
        <f t="shared" si="12"/>
        <v>3.5739348370927319E-3</v>
      </c>
      <c r="N64" s="32"/>
      <c r="O64" s="32"/>
      <c r="P64" s="32"/>
    </row>
    <row r="65" spans="1:16" ht="34.5" x14ac:dyDescent="0.25">
      <c r="A65" s="59" t="s">
        <v>104</v>
      </c>
      <c r="B65" s="41" t="s">
        <v>155</v>
      </c>
      <c r="C65" s="32">
        <f>'Data Sheet'!C31/'Data Sheet'!C30</f>
        <v>7.4345549738219885E-2</v>
      </c>
      <c r="D65" s="32">
        <f>'Data Sheet'!D31/'Data Sheet'!D30</f>
        <v>0.10746606334841628</v>
      </c>
      <c r="E65" s="32">
        <f>'Data Sheet'!E31/'Data Sheet'!E30</f>
        <v>0.11947791164658633</v>
      </c>
      <c r="F65" s="32">
        <f>'Data Sheet'!F31/'Data Sheet'!F30</f>
        <v>7.675675675675675E-2</v>
      </c>
      <c r="G65" s="32">
        <f>'Data Sheet'!G31/'Data Sheet'!G30</f>
        <v>9.2098885118759091E-2</v>
      </c>
      <c r="H65" s="32">
        <f>'Data Sheet'!H31/'Data Sheet'!H30</f>
        <v>0.10508849557522124</v>
      </c>
      <c r="I65" s="32">
        <f>'Data Sheet'!I31/'Data Sheet'!I30</f>
        <v>0.12933968686181074</v>
      </c>
      <c r="J65" s="32">
        <f>'Data Sheet'!J31/'Data Sheet'!J30</f>
        <v>8.2795886351751793E-2</v>
      </c>
      <c r="K65" s="32">
        <f>'Data Sheet'!K31/'Data Sheet'!K30</f>
        <v>6.0292326431181494E-2</v>
      </c>
      <c r="L65" s="32">
        <f>'Data Sheet'!L31/'Data Sheet'!L30</f>
        <v>6.3603925066904557E-2</v>
      </c>
      <c r="N65" s="32"/>
      <c r="O65" s="32"/>
      <c r="P65" s="32"/>
    </row>
    <row r="66" spans="1:16" x14ac:dyDescent="0.25">
      <c r="A66" s="59"/>
      <c r="B66" s="41"/>
      <c r="C66" s="32"/>
      <c r="D66" s="32"/>
      <c r="E66" s="32"/>
      <c r="F66" s="32"/>
      <c r="G66" s="32"/>
      <c r="H66" s="32"/>
      <c r="I66" s="32"/>
      <c r="J66" s="32"/>
      <c r="K66" s="32"/>
      <c r="L66" s="32"/>
      <c r="N66" s="32"/>
      <c r="O66" s="32"/>
      <c r="P66" s="32"/>
    </row>
    <row r="67" spans="1:16" ht="18.75" x14ac:dyDescent="0.25">
      <c r="A67" s="57" t="s">
        <v>241</v>
      </c>
      <c r="C67" s="53">
        <f>C50</f>
        <v>39172</v>
      </c>
      <c r="D67" s="53">
        <f t="shared" ref="D67:L67" si="13">D50</f>
        <v>39538</v>
      </c>
      <c r="E67" s="53">
        <f t="shared" si="13"/>
        <v>39903</v>
      </c>
      <c r="F67" s="53">
        <f t="shared" si="13"/>
        <v>40268</v>
      </c>
      <c r="G67" s="53">
        <f t="shared" si="13"/>
        <v>40633</v>
      </c>
      <c r="H67" s="53">
        <f t="shared" si="13"/>
        <v>40999</v>
      </c>
      <c r="I67" s="53">
        <f t="shared" si="13"/>
        <v>41364</v>
      </c>
      <c r="J67" s="53">
        <f t="shared" si="13"/>
        <v>41729</v>
      </c>
      <c r="K67" s="53">
        <f t="shared" si="13"/>
        <v>42094</v>
      </c>
      <c r="L67" s="53">
        <f t="shared" si="13"/>
        <v>42430</v>
      </c>
      <c r="N67" s="32"/>
      <c r="O67" s="32"/>
      <c r="P67" s="32"/>
    </row>
    <row r="68" spans="1:16" ht="23.25" x14ac:dyDescent="0.25">
      <c r="A68" s="59" t="s">
        <v>266</v>
      </c>
      <c r="B68" s="41" t="s">
        <v>267</v>
      </c>
      <c r="C68" s="54">
        <f>'Data Sheet'!C67/'Data Sheet'!C17</f>
        <v>0.17095972803347279</v>
      </c>
      <c r="D68" s="54">
        <f>'Data Sheet'!D67/'Data Sheet'!D17</f>
        <v>0.17744591448526487</v>
      </c>
      <c r="E68" s="54">
        <f>'Data Sheet'!E67/'Data Sheet'!E17</f>
        <v>0.30325127474093977</v>
      </c>
      <c r="F68" s="54">
        <f>'Data Sheet'!F67/'Data Sheet'!F17</f>
        <v>2.0976477245170159E-2</v>
      </c>
      <c r="G68" s="54">
        <f>'Data Sheet'!G67/'Data Sheet'!G17</f>
        <v>0.16216773980518409</v>
      </c>
      <c r="H68" s="54">
        <f>'Data Sheet'!H67/'Data Sheet'!H17</f>
        <v>0.10201923076923076</v>
      </c>
      <c r="I68" s="54">
        <f>'Data Sheet'!I67/'Data Sheet'!I17</f>
        <v>0.15972616568868697</v>
      </c>
      <c r="J68" s="54">
        <f>'Data Sheet'!J67/'Data Sheet'!J17</f>
        <v>0.11998824088102938</v>
      </c>
      <c r="K68" s="54">
        <f>'Data Sheet'!K67/'Data Sheet'!K17</f>
        <v>0.12259831735472509</v>
      </c>
      <c r="L68" s="54">
        <f>'Data Sheet'!L67/'Data Sheet'!L17</f>
        <v>0.17590048001172548</v>
      </c>
      <c r="N68" s="32">
        <f>AVERAGE(C68:L68)</f>
        <v>0.15150335690154293</v>
      </c>
      <c r="O68" s="32"/>
      <c r="P68" s="32"/>
    </row>
    <row r="69" spans="1:16" x14ac:dyDescent="0.25">
      <c r="A69" s="59" t="s">
        <v>268</v>
      </c>
      <c r="B69" s="41" t="s">
        <v>269</v>
      </c>
      <c r="C69" s="54">
        <f>'Data Sheet'!C68/'Data Sheet'!C17</f>
        <v>6.9103033472803346E-2</v>
      </c>
      <c r="D69" s="54">
        <f>'Data Sheet'!D68/'Data Sheet'!D17</f>
        <v>0.10095962750553632</v>
      </c>
      <c r="E69" s="54">
        <f>'Data Sheet'!E68/'Data Sheet'!E17</f>
        <v>0.13235374746422501</v>
      </c>
      <c r="F69" s="54">
        <f>'Data Sheet'!F68/'Data Sheet'!F17</f>
        <v>8.9968474658475475E-2</v>
      </c>
      <c r="G69" s="54">
        <f>'Data Sheet'!G68/'Data Sheet'!G17</f>
        <v>0.23357272577183424</v>
      </c>
      <c r="H69" s="54">
        <f>'Data Sheet'!H68/'Data Sheet'!H17</f>
        <v>0.16653846153846155</v>
      </c>
      <c r="I69" s="54">
        <f>'Data Sheet'!I68/'Data Sheet'!I17</f>
        <v>0.14467789765915828</v>
      </c>
      <c r="J69" s="54">
        <f>'Data Sheet'!J68/'Data Sheet'!J17</f>
        <v>2.4422785554374622E-2</v>
      </c>
      <c r="K69" s="54">
        <f>'Data Sheet'!K68/'Data Sheet'!K17</f>
        <v>2.1913519859127369E-2</v>
      </c>
      <c r="L69" s="54">
        <f>'Data Sheet'!L68/'Data Sheet'!L17</f>
        <v>2.3854017808068589E-2</v>
      </c>
      <c r="N69" s="32">
        <f t="shared" ref="N69:N72" si="14">AVERAGE(C69:L69)</f>
        <v>0.10073642912920648</v>
      </c>
      <c r="O69" s="32"/>
      <c r="P69" s="32"/>
    </row>
    <row r="70" spans="1:16" x14ac:dyDescent="0.25">
      <c r="A70" s="59" t="s">
        <v>276</v>
      </c>
      <c r="B70" s="41" t="s">
        <v>277</v>
      </c>
      <c r="C70" s="54">
        <f>'Data Sheet'!C69/'Data Sheet'!C59</f>
        <v>0.13373886978753416</v>
      </c>
      <c r="D70" s="54">
        <f>'Data Sheet'!D69/'Data Sheet'!D59</f>
        <v>6.6748102259837711E-2</v>
      </c>
      <c r="E70" s="54">
        <f>'Data Sheet'!E69/'Data Sheet'!E59</f>
        <v>2.0742674789672177E-2</v>
      </c>
      <c r="F70" s="54">
        <f>'Data Sheet'!F69/'Data Sheet'!F59</f>
        <v>0.11637250681589897</v>
      </c>
      <c r="G70" s="54">
        <f>'Data Sheet'!G69/'Data Sheet'!G59</f>
        <v>5.8948339483394827E-2</v>
      </c>
      <c r="H70" s="54">
        <f>'Data Sheet'!H69/'Data Sheet'!H59</f>
        <v>0.35980295566502468</v>
      </c>
      <c r="I70" s="54">
        <f>'Data Sheet'!I69/'Data Sheet'!I59</f>
        <v>0.40703765938519321</v>
      </c>
      <c r="J70" s="54">
        <f>'Data Sheet'!J69/'Data Sheet'!J59</f>
        <v>0.7723443906075288</v>
      </c>
      <c r="K70" s="54">
        <f>'Data Sheet'!K69/'Data Sheet'!K59</f>
        <v>1.2606834956273647</v>
      </c>
      <c r="L70" s="54">
        <f>'Data Sheet'!L69/'Data Sheet'!L59</f>
        <v>2.2700517758197836</v>
      </c>
      <c r="N70" s="32"/>
      <c r="O70" s="32"/>
      <c r="P70" s="32"/>
    </row>
    <row r="71" spans="1:16" x14ac:dyDescent="0.25">
      <c r="A71" s="59" t="s">
        <v>278</v>
      </c>
      <c r="B71" s="41"/>
      <c r="C71" s="54">
        <f>'Data Sheet'!C27/'Data Sheet'!C59</f>
        <v>4.6195891739398746E-2</v>
      </c>
      <c r="D71" s="54">
        <f>'Data Sheet'!D27/'Data Sheet'!D59</f>
        <v>9.8507983596544793E-2</v>
      </c>
      <c r="E71" s="54">
        <f>'Data Sheet'!E27/'Data Sheet'!E59</f>
        <v>0.11785610675950102</v>
      </c>
      <c r="F71" s="54">
        <f>'Data Sheet'!F27/'Data Sheet'!F59</f>
        <v>0.21839575261874014</v>
      </c>
      <c r="G71" s="54">
        <f>'Data Sheet'!G27/'Data Sheet'!G59</f>
        <v>0.13726937269372694</v>
      </c>
      <c r="H71" s="54">
        <f>'Data Sheet'!H27/'Data Sheet'!H59</f>
        <v>0.18482758620689657</v>
      </c>
      <c r="I71" s="54">
        <f>'Data Sheet'!I27/'Data Sheet'!I59</f>
        <v>0.12988039932786399</v>
      </c>
      <c r="J71" s="54">
        <f>'Data Sheet'!J27/'Data Sheet'!J59</f>
        <v>9.1837495341036149E-2</v>
      </c>
      <c r="K71" s="54">
        <f>'Data Sheet'!K27/'Data Sheet'!K59</f>
        <v>0.13105501457545121</v>
      </c>
      <c r="L71" s="54">
        <f>'Data Sheet'!L27/'Data Sheet'!L59</f>
        <v>0.1466981560541375</v>
      </c>
      <c r="N71" s="32"/>
      <c r="O71" s="32"/>
      <c r="P71" s="32"/>
    </row>
    <row r="72" spans="1:16" ht="23.25" x14ac:dyDescent="0.25">
      <c r="A72" s="59" t="s">
        <v>270</v>
      </c>
      <c r="B72" s="41" t="s">
        <v>271</v>
      </c>
      <c r="C72" s="54">
        <f>('Data Sheet'!C67+'Data Sheet'!C68)/'Data Sheet'!C17</f>
        <v>0.24006276150627612</v>
      </c>
      <c r="D72" s="54">
        <f>('Data Sheet'!D67+'Data Sheet'!D68)/'Data Sheet'!D17</f>
        <v>0.2784055419908012</v>
      </c>
      <c r="E72" s="54">
        <f>('Data Sheet'!E67+'Data Sheet'!E68)/'Data Sheet'!E17</f>
        <v>0.43560502220516478</v>
      </c>
      <c r="F72" s="54">
        <f>('Data Sheet'!F67+'Data Sheet'!F68)/'Data Sheet'!F17</f>
        <v>0.11094495190364564</v>
      </c>
      <c r="G72" s="54">
        <f>('Data Sheet'!G67+'Data Sheet'!G68)/'Data Sheet'!G17</f>
        <v>0.39574046557701831</v>
      </c>
      <c r="H72" s="54">
        <f>('Data Sheet'!H67+'Data Sheet'!H68)/'Data Sheet'!H17</f>
        <v>0.26855769230769228</v>
      </c>
      <c r="I72" s="54">
        <f>('Data Sheet'!I67+'Data Sheet'!I68)/'Data Sheet'!I17</f>
        <v>0.30440406334784531</v>
      </c>
      <c r="J72" s="54">
        <f>('Data Sheet'!J67+'Data Sheet'!J68)/'Data Sheet'!J17</f>
        <v>0.14441102643540399</v>
      </c>
      <c r="K72" s="54">
        <f>('Data Sheet'!K67+'Data Sheet'!K68)/'Data Sheet'!K17</f>
        <v>0.14451183721385247</v>
      </c>
      <c r="L72" s="54">
        <f>('Data Sheet'!L67+'Data Sheet'!L68)/'Data Sheet'!L17</f>
        <v>0.19975449781979404</v>
      </c>
      <c r="N72" s="32">
        <f t="shared" si="14"/>
        <v>0.25223978603074937</v>
      </c>
      <c r="O72" s="32"/>
      <c r="P72" s="32"/>
    </row>
    <row r="73" spans="1:16" ht="34.5" x14ac:dyDescent="0.25">
      <c r="A73" s="59" t="s">
        <v>184</v>
      </c>
      <c r="B73" s="41" t="s">
        <v>186</v>
      </c>
      <c r="C73" s="47">
        <f>'Balance Sheet'!C13/'Balance Sheet'!C7</f>
        <v>2.056662087912088</v>
      </c>
      <c r="D73" s="47">
        <f>'Balance Sheet'!D13/'Balance Sheet'!D7</f>
        <v>1.7586823289070483</v>
      </c>
      <c r="E73" s="47">
        <f>'Balance Sheet'!E13/'Balance Sheet'!E7</f>
        <v>2.3867476240760293</v>
      </c>
      <c r="F73" s="47">
        <f>'Balance Sheet'!F13/'Balance Sheet'!F7</f>
        <v>1.0924885028104241</v>
      </c>
      <c r="G73" s="47">
        <f>'Balance Sheet'!G13/'Balance Sheet'!G7</f>
        <v>1.8599648814749778</v>
      </c>
      <c r="H73" s="47">
        <f>'Balance Sheet'!H13/'Balance Sheet'!H7</f>
        <v>2.0968162083936326</v>
      </c>
      <c r="I73" s="47">
        <f>'Balance Sheet'!I13/'Balance Sheet'!I7</f>
        <v>2.4376555156206798</v>
      </c>
      <c r="J73" s="47">
        <f>'Balance Sheet'!J13/'Balance Sheet'!J7</f>
        <v>2.3131166268563712</v>
      </c>
      <c r="K73" s="47">
        <f>'Balance Sheet'!K13/'Balance Sheet'!K7</f>
        <v>3.1243602406393101</v>
      </c>
      <c r="L73" s="47">
        <f>'Balance Sheet'!L13/'Balance Sheet'!L7</f>
        <v>3.0862791672488474</v>
      </c>
      <c r="N73" s="32"/>
      <c r="O73" s="32"/>
      <c r="P73" s="32"/>
    </row>
    <row r="74" spans="1:16" ht="23.25" x14ac:dyDescent="0.25">
      <c r="A74" s="59" t="s">
        <v>169</v>
      </c>
      <c r="B74" s="41" t="s">
        <v>175</v>
      </c>
      <c r="C74" s="32">
        <f>C41/'Profit &amp; Loss'!C4</f>
        <v>0.20116370292887029</v>
      </c>
      <c r="D74" s="32">
        <f>D41/'Profit &amp; Loss'!D4</f>
        <v>0.16870137981943106</v>
      </c>
      <c r="E74" s="32">
        <f>E41/'Profit &amp; Loss'!E4</f>
        <v>0.28800921103130656</v>
      </c>
      <c r="F74" s="32">
        <f>F41/'Profit &amp; Loss'!F4</f>
        <v>2.1946487753617332E-2</v>
      </c>
      <c r="G74" s="32">
        <f>G41/'Profit &amp; Loss'!G4</f>
        <v>0.24257057949479938</v>
      </c>
      <c r="H74" s="32">
        <f>H41/'Profit &amp; Loss'!H4</f>
        <v>0.24291666666666664</v>
      </c>
      <c r="I74" s="32">
        <f>I41/'Profit &amp; Loss'!I4</f>
        <v>0.32809640986813049</v>
      </c>
      <c r="J74" s="32">
        <f>J41/'Profit &amp; Loss'!J4</f>
        <v>0.285927500508808</v>
      </c>
      <c r="K74" s="32">
        <f>K41/'Profit &amp; Loss'!K4</f>
        <v>0.46290354138133433</v>
      </c>
      <c r="L74" s="32">
        <f>L41/'Profit &amp; Loss'!L4</f>
        <v>0.5471217617529589</v>
      </c>
      <c r="N74" s="32"/>
      <c r="O74" s="32"/>
      <c r="P74" s="32"/>
    </row>
    <row r="75" spans="1:16" ht="23.25" x14ac:dyDescent="0.25">
      <c r="A75" s="59" t="s">
        <v>170</v>
      </c>
      <c r="B75" s="41" t="s">
        <v>176</v>
      </c>
      <c r="C75" s="32">
        <f>C48/'Profit &amp; Loss'!C4</f>
        <v>0.88572175732217584</v>
      </c>
      <c r="D75" s="32">
        <f>D48/'Profit &amp; Loss'!D4</f>
        <v>0.81999886434614722</v>
      </c>
      <c r="E75" s="32">
        <f>E48/'Profit &amp; Loss'!E4</f>
        <v>0.96633587367728502</v>
      </c>
      <c r="F75" s="32">
        <f>F48/'Profit &amp; Loss'!F4</f>
        <v>0.50480963543771729</v>
      </c>
      <c r="G75" s="32">
        <f>G48/'Profit &amp; Loss'!G4</f>
        <v>0.75127951130922899</v>
      </c>
      <c r="H75" s="32">
        <f>H48/'Profit &amp; Loss'!H4</f>
        <v>0.63759615384615387</v>
      </c>
      <c r="I75" s="32">
        <f>I48/'Profit &amp; Loss'!I4</f>
        <v>0.70518644709445388</v>
      </c>
      <c r="J75" s="32">
        <f>J48/'Profit &amp; Loss'!J4</f>
        <v>0.69722530019673912</v>
      </c>
      <c r="K75" s="32">
        <f>K48/'Profit &amp; Loss'!K4</f>
        <v>0.83175503815300333</v>
      </c>
      <c r="L75" s="32">
        <f>L48/'Profit &amp; Loss'!L4</f>
        <v>0.87479388809497649</v>
      </c>
      <c r="N75" s="32"/>
      <c r="O75" s="32"/>
      <c r="P75" s="32"/>
    </row>
    <row r="76" spans="1:16" ht="23.25" x14ac:dyDescent="0.25">
      <c r="A76" s="59" t="s">
        <v>177</v>
      </c>
      <c r="B76" s="41" t="s">
        <v>181</v>
      </c>
      <c r="C76" s="32">
        <f>C41/'Profit &amp; Loss'!C12</f>
        <v>3.2219895287958114</v>
      </c>
      <c r="D76" s="32">
        <f>D41/'Profit &amp; Loss'!D12</f>
        <v>3.3608597285067883</v>
      </c>
      <c r="E76" s="32">
        <f>E41/'Profit &amp; Loss'!E12</f>
        <v>5.2740963855421672</v>
      </c>
      <c r="F76" s="32">
        <f>F41/'Profit &amp; Loss'!F12</f>
        <v>0.29351351351351351</v>
      </c>
      <c r="G76" s="32">
        <f>G41/'Profit &amp; Loss'!G12</f>
        <v>2.8487639360155113</v>
      </c>
      <c r="H76" s="32">
        <f>H41/'Profit &amp; Loss'!H12</f>
        <v>2.7946165191740411</v>
      </c>
      <c r="I76" s="32">
        <f>I41/'Profit &amp; Loss'!I12</f>
        <v>3.5398230088495577</v>
      </c>
      <c r="J76" s="32">
        <f>J41/'Profit &amp; Loss'!J12</f>
        <v>2.2039393411190518</v>
      </c>
      <c r="K76" s="32">
        <f>K41/'Profit &amp; Loss'!K12</f>
        <v>2.4014413317092975</v>
      </c>
      <c r="L76" s="32">
        <f>L41/'Profit &amp; Loss'!L12</f>
        <v>2.6639607493309545</v>
      </c>
      <c r="N76" s="32"/>
      <c r="O76" s="32"/>
      <c r="P76" s="32"/>
    </row>
    <row r="77" spans="1:16" ht="23.25" x14ac:dyDescent="0.25">
      <c r="A77" s="59" t="s">
        <v>178</v>
      </c>
      <c r="B77" s="41" t="s">
        <v>248</v>
      </c>
      <c r="C77" s="46">
        <f>'Profit &amp; Loss'!C12/'Financial Analysis'!C48</f>
        <v>7.0490109241216417E-2</v>
      </c>
      <c r="D77" s="46">
        <f>'Profit &amp; Loss'!D12/'Financial Analysis'!D48</f>
        <v>6.1214597327054913E-2</v>
      </c>
      <c r="E77" s="46">
        <f>'Profit &amp; Loss'!E12/'Financial Analysis'!E48</f>
        <v>5.6510638297872347E-2</v>
      </c>
      <c r="F77" s="46">
        <f>'Profit &amp; Loss'!F12/'Financial Analysis'!F48</f>
        <v>0.14811849479583666</v>
      </c>
      <c r="G77" s="46">
        <f>'Profit &amp; Loss'!G12/'Financial Analysis'!G48</f>
        <v>0.1133391934952203</v>
      </c>
      <c r="H77" s="46">
        <f>'Profit &amp; Loss'!H12/'Financial Analysis'!H48</f>
        <v>0.13632936208716634</v>
      </c>
      <c r="I77" s="46">
        <f>'Profit &amp; Loss'!I12/'Financial Analysis'!I48</f>
        <v>0.13143649621974679</v>
      </c>
      <c r="J77" s="46">
        <f>'Profit &amp; Loss'!J12/'Financial Analysis'!J48</f>
        <v>0.18607291126102751</v>
      </c>
      <c r="K77" s="46">
        <f>'Profit &amp; Loss'!K12/'Financial Analysis'!K48</f>
        <v>0.23175178189174564</v>
      </c>
      <c r="L77" s="46">
        <f>'Profit &amp; Loss'!L12/'Financial Analysis'!L48</f>
        <v>0.23477423138141909</v>
      </c>
      <c r="N77" s="32"/>
      <c r="O77" s="32"/>
      <c r="P77" s="32"/>
    </row>
    <row r="78" spans="1:16" ht="23.25" x14ac:dyDescent="0.25">
      <c r="A78" s="59" t="s">
        <v>179</v>
      </c>
      <c r="B78" s="41" t="s">
        <v>182</v>
      </c>
      <c r="C78" s="32"/>
      <c r="D78" s="32"/>
      <c r="E78" s="32"/>
      <c r="F78" s="32"/>
      <c r="G78" s="32"/>
      <c r="H78" s="32"/>
      <c r="I78" s="32"/>
      <c r="J78" s="32"/>
      <c r="K78" s="32"/>
      <c r="N78" s="32"/>
      <c r="O78" s="32"/>
      <c r="P78" s="32"/>
    </row>
    <row r="79" spans="1:16" ht="23.25" x14ac:dyDescent="0.25">
      <c r="A79" s="59" t="s">
        <v>180</v>
      </c>
      <c r="B79" s="41" t="s">
        <v>183</v>
      </c>
      <c r="C79" s="32"/>
      <c r="D79" s="32"/>
      <c r="E79" s="32"/>
      <c r="F79" s="32"/>
      <c r="G79" s="32"/>
      <c r="H79" s="32"/>
      <c r="I79" s="32"/>
      <c r="J79" s="32"/>
      <c r="K79" s="32"/>
      <c r="N79" s="32"/>
      <c r="O79" s="32"/>
      <c r="P79" s="32"/>
    </row>
    <row r="80" spans="1:16" x14ac:dyDescent="0.25">
      <c r="A80" s="59" t="s">
        <v>171</v>
      </c>
      <c r="B80" s="41" t="s">
        <v>146</v>
      </c>
      <c r="C80" s="32"/>
      <c r="D80" s="32"/>
      <c r="E80" s="32"/>
      <c r="F80" s="32"/>
      <c r="G80" s="32"/>
      <c r="H80" s="32"/>
      <c r="I80" s="32"/>
      <c r="J80" s="32"/>
      <c r="K80" s="32"/>
      <c r="N80" s="32"/>
      <c r="O80" s="32"/>
      <c r="P80" s="32"/>
    </row>
    <row r="81" spans="1:16" x14ac:dyDescent="0.25">
      <c r="A81" s="59" t="s">
        <v>172</v>
      </c>
      <c r="B81" s="41" t="s">
        <v>146</v>
      </c>
      <c r="C81" s="32"/>
      <c r="D81" s="32">
        <f>(D48-C48)/C48</f>
        <v>6.5913788012990679E-2</v>
      </c>
      <c r="E81" s="32">
        <f t="shared" ref="E81:L81" si="15">(E48-D48)/D48</f>
        <v>0.2204833460286684</v>
      </c>
      <c r="F81" s="32">
        <f t="shared" si="15"/>
        <v>-0.29134751773049644</v>
      </c>
      <c r="G81" s="32">
        <f t="shared" si="15"/>
        <v>0.45732586068855086</v>
      </c>
      <c r="H81" s="32">
        <f t="shared" si="15"/>
        <v>9.2901878914404989E-2</v>
      </c>
      <c r="I81" s="32">
        <f t="shared" si="15"/>
        <v>0.12366158950384554</v>
      </c>
      <c r="J81" s="32">
        <f t="shared" si="15"/>
        <v>0.37932268599293156</v>
      </c>
      <c r="K81" s="32">
        <f t="shared" si="15"/>
        <v>0.37879475869226786</v>
      </c>
      <c r="L81" s="32">
        <f t="shared" si="15"/>
        <v>0.12319164451553716</v>
      </c>
      <c r="N81" s="32"/>
      <c r="O81" s="32"/>
      <c r="P81" s="32"/>
    </row>
    <row r="82" spans="1:16" x14ac:dyDescent="0.25">
      <c r="A82" s="59" t="s">
        <v>42</v>
      </c>
      <c r="B82" s="41" t="s">
        <v>192</v>
      </c>
      <c r="C82" s="37">
        <f>IFERROR('Data Sheet'!C17/'Data Sheet'!C68,"NA")</f>
        <v>14.471144749290445</v>
      </c>
      <c r="D82" s="37">
        <f>IFERROR('Data Sheet'!D17/'Data Sheet'!D68,"NA")</f>
        <v>9.9049493813273344</v>
      </c>
      <c r="E82" s="37">
        <f>IFERROR('Data Sheet'!E17/'Data Sheet'!E68,"NA")</f>
        <v>7.5555095277547633</v>
      </c>
      <c r="F82" s="37">
        <f>IFERROR('Data Sheet'!F17/'Data Sheet'!F68,"NA")</f>
        <v>11.115004492362981</v>
      </c>
      <c r="G82" s="37">
        <f>IFERROR('Data Sheet'!G17/'Data Sheet'!G68,"NA")</f>
        <v>4.2813217883018195</v>
      </c>
      <c r="H82" s="37">
        <f>IFERROR('Data Sheet'!H17/'Data Sheet'!H68,"NA")</f>
        <v>6.0046189376443415</v>
      </c>
      <c r="I82" s="37">
        <f>IFERROR('Data Sheet'!I17/'Data Sheet'!I68,"NA")</f>
        <v>6.9119058002616667</v>
      </c>
      <c r="J82" s="37">
        <f>IFERROR('Data Sheet'!J17/'Data Sheet'!J68,"NA")</f>
        <v>40.945370370370362</v>
      </c>
      <c r="K82" s="37">
        <f>IFERROR('Data Sheet'!K17/'Data Sheet'!K68,"NA")</f>
        <v>45.633928571428577</v>
      </c>
      <c r="L82" s="37">
        <f>IFERROR('Data Sheet'!L17/'Data Sheet'!L68,"NA")</f>
        <v>41.921658986175117</v>
      </c>
      <c r="N82" s="32"/>
      <c r="O82" s="32"/>
      <c r="P82" s="32"/>
    </row>
    <row r="83" spans="1:16" ht="23.25" x14ac:dyDescent="0.25">
      <c r="A83" s="59" t="s">
        <v>114</v>
      </c>
      <c r="B83" s="41" t="s">
        <v>193</v>
      </c>
      <c r="C83" s="37">
        <f>'Data Sheet'!C17/'Data Sheet'!C62</f>
        <v>1.6713286713286715</v>
      </c>
      <c r="D83" s="37">
        <f>'Data Sheet'!D17/'Data Sheet'!D62</f>
        <v>1.7374704025256513</v>
      </c>
      <c r="E83" s="37">
        <f>'Data Sheet'!E17/'Data Sheet'!E62</f>
        <v>1.4824839470047955</v>
      </c>
      <c r="F83" s="37">
        <f>'Data Sheet'!F17/'Data Sheet'!F62</f>
        <v>2.085117141412439</v>
      </c>
      <c r="G83" s="37">
        <f>'Data Sheet'!G17/'Data Sheet'!G62</f>
        <v>1.9808682855040471</v>
      </c>
      <c r="H83" s="37">
        <f>'Data Sheet'!H17/'Data Sheet'!H62</f>
        <v>2.5409235279745905</v>
      </c>
      <c r="I83" s="37">
        <f>'Data Sheet'!I17/'Data Sheet'!I62</f>
        <v>2.7034541577825162</v>
      </c>
      <c r="J83" s="37">
        <f>'Data Sheet'!J17/'Data Sheet'!J62</f>
        <v>2.4403178632525795</v>
      </c>
      <c r="K83" s="37">
        <f>'Data Sheet'!K17/'Data Sheet'!K62</f>
        <v>2.7152951176751849</v>
      </c>
      <c r="L83" s="37">
        <f>'Data Sheet'!L17/'Data Sheet'!L62</f>
        <v>3.1552112838892423</v>
      </c>
      <c r="N83" s="32"/>
      <c r="O83" s="32"/>
      <c r="P83" s="32"/>
    </row>
    <row r="84" spans="1:16" ht="23.25" x14ac:dyDescent="0.25">
      <c r="A84" s="59" t="s">
        <v>115</v>
      </c>
      <c r="B84" s="41" t="s">
        <v>194</v>
      </c>
      <c r="N84" s="32"/>
      <c r="O84" s="32"/>
      <c r="P84" s="32"/>
    </row>
    <row r="85" spans="1:16" ht="23.25" x14ac:dyDescent="0.25">
      <c r="A85" s="59" t="s">
        <v>235</v>
      </c>
      <c r="B85" s="41" t="s">
        <v>191</v>
      </c>
      <c r="C85" s="37">
        <f>IFERROR(('Data Sheet'!C68/'Data Sheet'!C17)*365,"NA")</f>
        <v>25.22260721757322</v>
      </c>
      <c r="D85" s="37">
        <f>IFERROR(('Data Sheet'!D68/'Data Sheet'!D18)*365,"NA")</f>
        <v>56.624203821656053</v>
      </c>
      <c r="E85" s="37">
        <f>IFERROR(('Data Sheet'!E68/'Data Sheet'!E18)*365,"NA")</f>
        <v>78.057228915662662</v>
      </c>
      <c r="F85" s="37">
        <f>IFERROR(('Data Sheet'!F68/'Data Sheet'!F18)*365,"NA")</f>
        <v>60.033249593616084</v>
      </c>
      <c r="G85" s="37">
        <f>IFERROR(('Data Sheet'!G68/'Data Sheet'!G18)*365,"NA")</f>
        <v>158.27854406130268</v>
      </c>
      <c r="H85" s="37">
        <f>IFERROR(('Data Sheet'!H68/'Data Sheet'!H18)*365,"NA")</f>
        <v>108.42947801726604</v>
      </c>
      <c r="I85" s="37">
        <f>IFERROR(('Data Sheet'!I68/'Data Sheet'!I18)*365,"NA")</f>
        <v>103.79425807651764</v>
      </c>
      <c r="J85" s="37">
        <f>IFERROR(('Data Sheet'!J68/'Data Sheet'!J18)*365,"NA")</f>
        <v>16.790901733611619</v>
      </c>
      <c r="K85" s="37">
        <f>IFERROR(('Data Sheet'!K68/'Data Sheet'!K18)*365,"NA")</f>
        <v>19.486152819486151</v>
      </c>
      <c r="L85" s="37">
        <f>IFERROR(('Data Sheet'!L68/'Data Sheet'!L18)*365,"NA")</f>
        <v>22.655892448512585</v>
      </c>
      <c r="N85" s="32"/>
      <c r="O85" s="32"/>
      <c r="P85" s="32"/>
    </row>
    <row r="86" spans="1:16" ht="34.5" x14ac:dyDescent="0.25">
      <c r="A86" s="59" t="s">
        <v>236</v>
      </c>
      <c r="B86" s="41" t="s">
        <v>195</v>
      </c>
      <c r="C86" s="37">
        <f>IFERROR(('Data Sheet'!C67/'Data Sheet'!C17)*365,"NA")</f>
        <v>62.400300732217566</v>
      </c>
      <c r="D86" s="37">
        <f>IFERROR(('Data Sheet'!D67/'Data Sheet'!D17)*365,"NA")</f>
        <v>64.767758787121679</v>
      </c>
      <c r="E86" s="37">
        <f>IFERROR(('Data Sheet'!E67/'Data Sheet'!E17)*365,"NA")</f>
        <v>110.68671528044301</v>
      </c>
      <c r="F86" s="37">
        <f>IFERROR(('Data Sheet'!F67/'Data Sheet'!F17)*365,"NA")</f>
        <v>7.656414194487108</v>
      </c>
      <c r="G86" s="37">
        <f>IFERROR(('Data Sheet'!G67/'Data Sheet'!G17)*365,"NA")</f>
        <v>59.191225028892191</v>
      </c>
      <c r="H86" s="37">
        <f>IFERROR(('Data Sheet'!H67/'Data Sheet'!H17)*365,"NA")</f>
        <v>37.237019230769228</v>
      </c>
      <c r="I86" s="37">
        <f>IFERROR(('Data Sheet'!I67/'Data Sheet'!I17)*365,"NA")</f>
        <v>58.300050476370743</v>
      </c>
      <c r="J86" s="37">
        <f>IFERROR(('Data Sheet'!J67/'Data Sheet'!J17)*365,"NA")</f>
        <v>43.795707921575726</v>
      </c>
      <c r="K86" s="37">
        <f>IFERROR(('Data Sheet'!K67/'Data Sheet'!K17)*365,"NA")</f>
        <v>44.748385834474661</v>
      </c>
      <c r="L86" s="37">
        <f>IFERROR(('Data Sheet'!L67/'Data Sheet'!L17)*365,"NA")</f>
        <v>64.203675204279804</v>
      </c>
      <c r="N86" s="32"/>
      <c r="O86" s="32"/>
      <c r="P86" s="32"/>
    </row>
    <row r="87" spans="1:16" ht="34.5" x14ac:dyDescent="0.25">
      <c r="A87" s="59" t="s">
        <v>142</v>
      </c>
      <c r="B87" s="41" t="s">
        <v>196</v>
      </c>
      <c r="C87" s="33"/>
      <c r="D87" s="33"/>
      <c r="E87" s="33"/>
      <c r="F87" s="33"/>
      <c r="G87" s="33"/>
      <c r="H87" s="33"/>
      <c r="I87" s="33"/>
      <c r="J87" s="33"/>
      <c r="K87" s="33"/>
      <c r="N87" s="32"/>
      <c r="O87" s="32"/>
      <c r="P87" s="32"/>
    </row>
    <row r="88" spans="1:16" x14ac:dyDescent="0.25">
      <c r="A88" s="59" t="s">
        <v>113</v>
      </c>
      <c r="B88" s="41" t="s">
        <v>190</v>
      </c>
      <c r="C88" s="33"/>
      <c r="D88" s="33"/>
      <c r="E88" s="33"/>
      <c r="F88" s="33"/>
      <c r="G88" s="33"/>
      <c r="H88" s="33"/>
      <c r="I88" s="33"/>
      <c r="J88" s="33"/>
      <c r="K88" s="33"/>
      <c r="N88" s="32"/>
      <c r="O88" s="32"/>
      <c r="P88" s="32"/>
    </row>
    <row r="89" spans="1:16" x14ac:dyDescent="0.25">
      <c r="A89" s="59" t="s">
        <v>116</v>
      </c>
      <c r="B89" s="41" t="s">
        <v>190</v>
      </c>
      <c r="N89" s="32"/>
      <c r="O89" s="32"/>
      <c r="P89" s="32"/>
    </row>
    <row r="90" spans="1:16" x14ac:dyDescent="0.25">
      <c r="A90" s="59"/>
      <c r="B90" s="41"/>
      <c r="N90" s="32"/>
      <c r="O90" s="32"/>
      <c r="P90" s="32"/>
    </row>
    <row r="91" spans="1:16" ht="18.75" x14ac:dyDescent="0.25">
      <c r="A91" s="57" t="s">
        <v>242</v>
      </c>
      <c r="B91" s="41"/>
      <c r="C91" s="53">
        <f>C67</f>
        <v>39172</v>
      </c>
      <c r="D91" s="53">
        <f t="shared" ref="D91:L91" si="16">D67</f>
        <v>39538</v>
      </c>
      <c r="E91" s="53">
        <f t="shared" si="16"/>
        <v>39903</v>
      </c>
      <c r="F91" s="53">
        <f t="shared" si="16"/>
        <v>40268</v>
      </c>
      <c r="G91" s="53">
        <f t="shared" si="16"/>
        <v>40633</v>
      </c>
      <c r="H91" s="53">
        <f t="shared" si="16"/>
        <v>40999</v>
      </c>
      <c r="I91" s="53">
        <f t="shared" si="16"/>
        <v>41364</v>
      </c>
      <c r="J91" s="53">
        <f t="shared" si="16"/>
        <v>41729</v>
      </c>
      <c r="K91" s="53">
        <f t="shared" si="16"/>
        <v>42094</v>
      </c>
      <c r="L91" s="53">
        <f t="shared" si="16"/>
        <v>42430</v>
      </c>
    </row>
    <row r="92" spans="1:16" x14ac:dyDescent="0.25">
      <c r="A92" s="59" t="s">
        <v>106</v>
      </c>
      <c r="B92" s="41" t="s">
        <v>158</v>
      </c>
      <c r="C92" s="36">
        <f>('Data Sheet'!C59+'Data Sheet'!C60)/('Data Sheet'!C57+'Data Sheet'!C58)</f>
        <v>6.4648526077097506</v>
      </c>
      <c r="D92" s="36">
        <f>('Data Sheet'!D59+'Data Sheet'!D60)/('Data Sheet'!D57+'Data Sheet'!D58)</f>
        <v>5.1600671140939589</v>
      </c>
      <c r="E92" s="36">
        <f>('Data Sheet'!E59+'Data Sheet'!E60)/('Data Sheet'!E57+'Data Sheet'!E58)</f>
        <v>4.5806619755016937</v>
      </c>
      <c r="F92" s="36">
        <f>('Data Sheet'!F59+'Data Sheet'!F60)/('Data Sheet'!F57+'Data Sheet'!F58)</f>
        <v>2.3256656402825575</v>
      </c>
      <c r="G92" s="36">
        <f>('Data Sheet'!G59+'Data Sheet'!G60)/('Data Sheet'!G57+'Data Sheet'!G58)</f>
        <v>2.4007063298016842</v>
      </c>
      <c r="H92" s="36">
        <f>('Data Sheet'!H59+'Data Sheet'!H60)/('Data Sheet'!H57+'Data Sheet'!H58)</f>
        <v>1.7510007184645384</v>
      </c>
      <c r="I92" s="36">
        <f>('Data Sheet'!I59+'Data Sheet'!I60)/('Data Sheet'!I57+'Data Sheet'!I58)</f>
        <v>1.4180287675711016</v>
      </c>
      <c r="J92" s="36">
        <f>('Data Sheet'!J59+'Data Sheet'!J60)/('Data Sheet'!J57+'Data Sheet'!J58)</f>
        <v>1.3230751564563359</v>
      </c>
      <c r="K92" s="36">
        <f>('Data Sheet'!K59+'Data Sheet'!K60)/('Data Sheet'!K57+'Data Sheet'!K58)</f>
        <v>1.0330453236319541</v>
      </c>
      <c r="L92" s="36">
        <f>('Data Sheet'!L59+'Data Sheet'!L60)/('Data Sheet'!L57+'Data Sheet'!L58)</f>
        <v>0.68926753586107403</v>
      </c>
      <c r="N92" s="32">
        <f t="shared" ref="N92:N101" si="17">(L92/C92)^(1/(9-1))-1</f>
        <v>-0.24407510283766576</v>
      </c>
    </row>
    <row r="93" spans="1:16" x14ac:dyDescent="0.25">
      <c r="A93" s="59" t="s">
        <v>107</v>
      </c>
      <c r="B93" s="41" t="s">
        <v>187</v>
      </c>
      <c r="C93" s="37">
        <f>C47/'Profit &amp; Loss'!C9</f>
        <v>3.9064885496183201</v>
      </c>
      <c r="D93" s="37">
        <f>D47/'Profit &amp; Loss'!D9</f>
        <v>2.2860938883968114</v>
      </c>
      <c r="E93" s="37">
        <f>E47/'Profit &amp; Loss'!E9</f>
        <v>1.987076923076923</v>
      </c>
      <c r="F93" s="37">
        <f>F47/'Profit &amp; Loss'!F9</f>
        <v>2.8258869908015765</v>
      </c>
      <c r="G93" s="37">
        <f>G47/'Profit &amp; Loss'!G9</f>
        <v>3.0994623655913975</v>
      </c>
      <c r="H93" s="37">
        <f>H47/'Profit &amp; Loss'!H9</f>
        <v>3.1380597014925371</v>
      </c>
      <c r="I93" s="37">
        <f>I47/'Profit &amp; Loss'!I9</f>
        <v>4.3515981735159812</v>
      </c>
      <c r="J93" s="37">
        <f>J47/'Profit &amp; Loss'!J9</f>
        <v>8.1582792207792192</v>
      </c>
      <c r="K93" s="37">
        <f>K47/'Profit &amp; Loss'!K9</f>
        <v>7.7046852815901561</v>
      </c>
      <c r="L93" s="37">
        <f>L47/'Profit &amp; Loss'!L9</f>
        <v>13.605377906976745</v>
      </c>
      <c r="N93" s="32">
        <f t="shared" si="17"/>
        <v>0.16880081756710696</v>
      </c>
    </row>
    <row r="94" spans="1:16" ht="23.25" x14ac:dyDescent="0.25">
      <c r="A94" s="59" t="s">
        <v>108</v>
      </c>
      <c r="B94" s="41" t="s">
        <v>201</v>
      </c>
      <c r="C94" s="37">
        <f>'Data Sheet'!C82/('Data Sheet'!C59+'Data Sheet'!C60)</f>
        <v>0.11378463696948438</v>
      </c>
      <c r="D94" s="37">
        <f>'Data Sheet'!D82/('Data Sheet'!D59+'Data Sheet'!D60)</f>
        <v>0.10795343695129091</v>
      </c>
      <c r="E94" s="37">
        <f>'Data Sheet'!E82/('Data Sheet'!E59+'Data Sheet'!E60)</f>
        <v>4.5516613563950847E-3</v>
      </c>
      <c r="F94" s="37">
        <f>'Data Sheet'!F82/('Data Sheet'!F59+'Data Sheet'!F60)</f>
        <v>0.68006230529595002</v>
      </c>
      <c r="G94" s="37">
        <f>'Data Sheet'!G82/('Data Sheet'!G59+'Data Sheet'!G60)</f>
        <v>-8.8491569537173242E-2</v>
      </c>
      <c r="H94" s="37">
        <f>'Data Sheet'!H82/('Data Sheet'!H59+'Data Sheet'!H60)</f>
        <v>0.36676436107854632</v>
      </c>
      <c r="I94" s="37">
        <f>'Data Sheet'!I82/('Data Sheet'!I59+'Data Sheet'!I60)</f>
        <v>0.14045299982709933</v>
      </c>
      <c r="J94" s="37">
        <f>'Data Sheet'!J82/('Data Sheet'!J59+'Data Sheet'!J60)</f>
        <v>0.50056413817045653</v>
      </c>
      <c r="K94" s="37">
        <f>'Data Sheet'!K82/('Data Sheet'!K59+'Data Sheet'!K60)</f>
        <v>0.47087307410124724</v>
      </c>
      <c r="L94" s="37">
        <f>'Data Sheet'!L82/('Data Sheet'!L59+'Data Sheet'!L60)</f>
        <v>0.52936066026932049</v>
      </c>
      <c r="N94" s="32">
        <f t="shared" si="17"/>
        <v>0.21187689182491143</v>
      </c>
    </row>
    <row r="95" spans="1:16" ht="23.25" x14ac:dyDescent="0.25">
      <c r="A95" s="59" t="s">
        <v>110</v>
      </c>
      <c r="B95" s="41" t="s">
        <v>186</v>
      </c>
      <c r="C95" s="37">
        <f>C73</f>
        <v>2.056662087912088</v>
      </c>
      <c r="D95" s="37">
        <f t="shared" ref="D95:L95" si="18">D73</f>
        <v>1.7586823289070483</v>
      </c>
      <c r="E95" s="37">
        <f t="shared" si="18"/>
        <v>2.3867476240760293</v>
      </c>
      <c r="F95" s="37">
        <f t="shared" si="18"/>
        <v>1.0924885028104241</v>
      </c>
      <c r="G95" s="37">
        <f t="shared" si="18"/>
        <v>1.8599648814749778</v>
      </c>
      <c r="H95" s="37">
        <f t="shared" si="18"/>
        <v>2.0968162083936326</v>
      </c>
      <c r="I95" s="37">
        <f t="shared" si="18"/>
        <v>2.4376555156206798</v>
      </c>
      <c r="J95" s="37">
        <f t="shared" si="18"/>
        <v>2.3131166268563712</v>
      </c>
      <c r="K95" s="37">
        <f t="shared" si="18"/>
        <v>3.1243602406393101</v>
      </c>
      <c r="L95" s="37">
        <f t="shared" si="18"/>
        <v>3.0862791672488474</v>
      </c>
      <c r="N95" s="32">
        <f t="shared" si="17"/>
        <v>5.2044313128539965E-2</v>
      </c>
    </row>
    <row r="96" spans="1:16" ht="34.5" x14ac:dyDescent="0.25">
      <c r="A96" s="59" t="s">
        <v>111</v>
      </c>
      <c r="B96" s="41" t="s">
        <v>188</v>
      </c>
      <c r="C96" s="37">
        <f>('Data Sheet'!C65-'Data Sheet'!C68)/'Data Sheet'!C60</f>
        <v>1.6936813186813187</v>
      </c>
      <c r="D96" s="37">
        <f>('Data Sheet'!D65-'Data Sheet'!D68)/'Data Sheet'!D60</f>
        <v>1.30464759959142</v>
      </c>
      <c r="E96" s="37">
        <f>('Data Sheet'!E65-'Data Sheet'!E68)/'Data Sheet'!E60</f>
        <v>1.7494720168954592</v>
      </c>
      <c r="F96" s="37">
        <f>('Data Sheet'!F65-'Data Sheet'!F68)/'Data Sheet'!F60</f>
        <v>0.71333673990802238</v>
      </c>
      <c r="G96" s="37">
        <f>('Data Sheet'!G65-'Data Sheet'!G68)/'Data Sheet'!G60</f>
        <v>1.031899326894937</v>
      </c>
      <c r="H96" s="37">
        <f>('Data Sheet'!H65-'Data Sheet'!H68)/'Data Sheet'!H60</f>
        <v>1.3448625180897249</v>
      </c>
      <c r="I96" s="37">
        <f>('Data Sheet'!I65-'Data Sheet'!I68)/'Data Sheet'!I60</f>
        <v>1.8037047276748688</v>
      </c>
      <c r="J96" s="37">
        <f>('Data Sheet'!J65-'Data Sheet'!J68)/'Data Sheet'!J60</f>
        <v>2.2009554470869244</v>
      </c>
      <c r="K96" s="37">
        <f>('Data Sheet'!K65-'Data Sheet'!K68)/'Data Sheet'!K60</f>
        <v>3.0237945586782793</v>
      </c>
      <c r="L96" s="37">
        <f>('Data Sheet'!L65-'Data Sheet'!L68)/'Data Sheet'!L60</f>
        <v>2.9953192678496579</v>
      </c>
      <c r="N96" s="32">
        <f t="shared" si="17"/>
        <v>7.3869302489871336E-2</v>
      </c>
    </row>
    <row r="97" spans="1:14" ht="34.5" x14ac:dyDescent="0.25">
      <c r="A97" s="59" t="s">
        <v>112</v>
      </c>
      <c r="B97" s="41" t="s">
        <v>189</v>
      </c>
      <c r="C97" s="37">
        <f>'Data Sheet'!C69/'Data Sheet'!C60</f>
        <v>0.52094780219780212</v>
      </c>
      <c r="D97" s="37">
        <f>'Data Sheet'!D69/'Data Sheet'!D60</f>
        <v>0.19535240040858021</v>
      </c>
      <c r="E97" s="37">
        <f>'Data Sheet'!E69/'Data Sheet'!E60</f>
        <v>7.5501583949313611E-2</v>
      </c>
      <c r="F97" s="37">
        <f>'Data Sheet'!F69/'Data Sheet'!F60</f>
        <v>0.13813660364503491</v>
      </c>
      <c r="G97" s="37">
        <f>'Data Sheet'!G69/'Data Sheet'!G60</f>
        <v>9.350307287093941E-2</v>
      </c>
      <c r="H97" s="37">
        <f>'Data Sheet'!H69/'Data Sheet'!H60</f>
        <v>0.52850940665701895</v>
      </c>
      <c r="I97" s="37">
        <f>'Data Sheet'!I69/'Data Sheet'!I60</f>
        <v>0.56925628974288078</v>
      </c>
      <c r="J97" s="37">
        <f>'Data Sheet'!J69/'Data Sheet'!J60</f>
        <v>1.0760203551770693</v>
      </c>
      <c r="K97" s="37">
        <f>'Data Sheet'!K69/'Data Sheet'!K60</f>
        <v>1.8250875460177785</v>
      </c>
      <c r="L97" s="37">
        <f>'Data Sheet'!L69/'Data Sheet'!L60</f>
        <v>1.7459130920776864</v>
      </c>
      <c r="N97" s="32">
        <f t="shared" si="17"/>
        <v>0.16319774460498193</v>
      </c>
    </row>
    <row r="98" spans="1:14" ht="23.25" x14ac:dyDescent="0.25">
      <c r="A98" s="59" t="s">
        <v>206</v>
      </c>
      <c r="B98" s="41" t="s">
        <v>208</v>
      </c>
      <c r="C98" s="37">
        <f>'Data Sheet'!C82/'Data Sheet'!C60</f>
        <v>0.55700549450549441</v>
      </c>
      <c r="D98" s="37">
        <f>'Data Sheet'!D82/'Data Sheet'!D60</f>
        <v>0.4239019407558734</v>
      </c>
      <c r="E98" s="37">
        <f>'Data Sheet'!E82/'Data Sheet'!E60</f>
        <v>2.1119324181626188E-2</v>
      </c>
      <c r="F98" s="37">
        <f>'Data Sheet'!F82/'Data Sheet'!F60</f>
        <v>1.487310509282916</v>
      </c>
      <c r="G98" s="37">
        <f>'Data Sheet'!G82/'Data Sheet'!G60</f>
        <v>-0.22885572139303481</v>
      </c>
      <c r="H98" s="37">
        <f>'Data Sheet'!H82/'Data Sheet'!H60</f>
        <v>0.90549927641099859</v>
      </c>
      <c r="I98" s="37">
        <f>'Data Sheet'!I82/'Data Sheet'!I60</f>
        <v>0.33688139341996132</v>
      </c>
      <c r="J98" s="37">
        <f>'Data Sheet'!J82/'Data Sheet'!J60</f>
        <v>1.1979437117042266</v>
      </c>
      <c r="K98" s="37">
        <f>'Data Sheet'!K82/'Data Sheet'!K60</f>
        <v>1.1525545479033852</v>
      </c>
      <c r="L98" s="37">
        <f>'Data Sheet'!L82/'Data Sheet'!L60</f>
        <v>0.93649573843789313</v>
      </c>
      <c r="N98" s="32">
        <f t="shared" si="17"/>
        <v>6.7101648389282564E-2</v>
      </c>
    </row>
    <row r="99" spans="1:14" x14ac:dyDescent="0.25">
      <c r="A99" s="59" t="s">
        <v>207</v>
      </c>
      <c r="B99" s="41" t="s">
        <v>209</v>
      </c>
      <c r="C99" s="46" t="e">
        <f>'Data Sheet'!C82/'Financial Analysis'!C39</f>
        <v>#DIV/0!</v>
      </c>
      <c r="D99" s="46">
        <f>'Data Sheet'!D82/'Financial Analysis'!D39</f>
        <v>1.1133467471495639</v>
      </c>
      <c r="E99" s="46">
        <f>'Data Sheet'!E82/'Financial Analysis'!E39</f>
        <v>5.2980132450331126E-2</v>
      </c>
      <c r="F99" s="46">
        <f>'Data Sheet'!F82/'Financial Analysis'!F39</f>
        <v>37.965217391304421</v>
      </c>
      <c r="G99" s="46">
        <f>'Data Sheet'!G82/'Financial Analysis'!G39</f>
        <v>-1.4657919400187436</v>
      </c>
      <c r="H99" s="46">
        <f>'Data Sheet'!H82/'Financial Analysis'!H39</f>
        <v>9.2559171597633085</v>
      </c>
      <c r="I99" s="46">
        <f>'Data Sheet'!I82/'Financial Analysis'!I39</f>
        <v>4.8642714570858354</v>
      </c>
      <c r="J99" s="46">
        <f>'Data Sheet'!J82/'Financial Analysis'!J39</f>
        <v>1.6014160766347354</v>
      </c>
      <c r="K99" s="46">
        <f>'Data Sheet'!K82/'Financial Analysis'!K39</f>
        <v>4.5892027171970007</v>
      </c>
      <c r="L99" s="46">
        <f>'Data Sheet'!L82/'Financial Analysis'!L39</f>
        <v>19.204871060171872</v>
      </c>
      <c r="N99" s="32">
        <f>(L99/D99)^(1/(8-1))-1</f>
        <v>0.50204516966606705</v>
      </c>
    </row>
    <row r="100" spans="1:14" x14ac:dyDescent="0.25">
      <c r="A100" s="59" t="s">
        <v>117</v>
      </c>
      <c r="B100" s="41" t="s">
        <v>202</v>
      </c>
      <c r="C100" s="32">
        <f>'Data Sheet'!C82/'Data Sheet'!C17</f>
        <v>0.10604079497907949</v>
      </c>
      <c r="D100" s="32">
        <f>'Data Sheet'!D82/'Data Sheet'!D17</f>
        <v>9.4259269774572704E-2</v>
      </c>
      <c r="E100" s="32">
        <f>'Data Sheet'!E82/'Data Sheet'!E17</f>
        <v>4.3862053840671095E-3</v>
      </c>
      <c r="F100" s="32">
        <f>'Data Sheet'!F82/'Data Sheet'!F17</f>
        <v>0.35292215665669713</v>
      </c>
      <c r="G100" s="32">
        <f>'Data Sheet'!G82/'Data Sheet'!G17</f>
        <v>-6.4553409278520726E-2</v>
      </c>
      <c r="H100" s="32">
        <f>'Data Sheet'!H82/'Data Sheet'!H17</f>
        <v>0.20054487179487179</v>
      </c>
      <c r="I100" s="32">
        <f>'Data Sheet'!I82/'Data Sheet'!I17</f>
        <v>7.6881822196984029E-2</v>
      </c>
      <c r="J100" s="32">
        <f>'Data Sheet'!J82/'Data Sheet'!J17</f>
        <v>0.26084891793491782</v>
      </c>
      <c r="K100" s="32">
        <f>'Data Sheet'!K82/'Data Sheet'!K17</f>
        <v>0.25114459009978479</v>
      </c>
      <c r="L100" s="32">
        <f>'Data Sheet'!L82/'Data Sheet'!L17</f>
        <v>0.2455937854970503</v>
      </c>
      <c r="N100" s="32">
        <f t="shared" si="17"/>
        <v>0.11069048088477573</v>
      </c>
    </row>
    <row r="101" spans="1:14" x14ac:dyDescent="0.25">
      <c r="A101" s="59" t="s">
        <v>118</v>
      </c>
      <c r="B101" s="41" t="s">
        <v>203</v>
      </c>
      <c r="C101" s="32">
        <f>'Data Sheet'!C85/'Data Sheet'!C17</f>
        <v>8.2178347280334726E-2</v>
      </c>
      <c r="D101" s="32">
        <f>'Data Sheet'!D85/'Data Sheet'!D17</f>
        <v>-4.3154846402816416E-2</v>
      </c>
      <c r="E101" s="32">
        <f>'Data Sheet'!E85/'Data Sheet'!E17</f>
        <v>-2.9387576073249634E-2</v>
      </c>
      <c r="F101" s="32">
        <f>'Data Sheet'!F85/'Data Sheet'!F17</f>
        <v>1.7621857570123679E-2</v>
      </c>
      <c r="G101" s="32">
        <f>'Data Sheet'!G85/'Data Sheet'!G17</f>
        <v>-7.9659897639095256E-3</v>
      </c>
      <c r="H101" s="32">
        <f>'Data Sheet'!H85/'Data Sheet'!H17</f>
        <v>9.3141025641025638E-2</v>
      </c>
      <c r="I101" s="32">
        <f>'Data Sheet'!I85/'Data Sheet'!I17</f>
        <v>1.3597072370496559E-2</v>
      </c>
      <c r="J101" s="32">
        <f>'Data Sheet'!J85/'Data Sheet'!J17</f>
        <v>0.14025010741502908</v>
      </c>
      <c r="K101" s="32">
        <f>'Data Sheet'!K85/'Data Sheet'!K17</f>
        <v>0.19747603208765407</v>
      </c>
      <c r="L101" s="32">
        <f>'Data Sheet'!L85/'Data Sheet'!L17</f>
        <v>8.4496720530577829E-2</v>
      </c>
      <c r="N101" s="32">
        <f t="shared" si="17"/>
        <v>3.4836627773935369E-3</v>
      </c>
    </row>
    <row r="103" spans="1:14" ht="18.75" x14ac:dyDescent="0.25">
      <c r="A103" s="57" t="s">
        <v>243</v>
      </c>
    </row>
    <row r="104" spans="1:14" ht="57" x14ac:dyDescent="0.25">
      <c r="A104" s="59" t="s">
        <v>124</v>
      </c>
      <c r="B104" s="41" t="s">
        <v>210</v>
      </c>
      <c r="C104" s="40"/>
      <c r="D104" s="40"/>
      <c r="E104" s="40"/>
      <c r="F104" s="40"/>
      <c r="G104" s="40"/>
      <c r="H104" s="40"/>
      <c r="I104" s="40"/>
      <c r="J104" s="40"/>
      <c r="K104" s="40"/>
    </row>
    <row r="105" spans="1:14" x14ac:dyDescent="0.25">
      <c r="A105" s="61" t="s">
        <v>125</v>
      </c>
      <c r="B105" s="43"/>
      <c r="C105" s="40"/>
      <c r="D105" s="40"/>
      <c r="E105" s="40"/>
      <c r="F105" s="40"/>
      <c r="G105" s="40"/>
      <c r="H105" s="40"/>
      <c r="I105" s="40"/>
      <c r="J105" s="40"/>
      <c r="K105" s="40"/>
    </row>
    <row r="106" spans="1:14" x14ac:dyDescent="0.25">
      <c r="A106" s="59" t="s">
        <v>119</v>
      </c>
      <c r="B106" s="41" t="s">
        <v>161</v>
      </c>
      <c r="C106" s="37" t="e">
        <f>C34/'Profit &amp; Loss'!B13</f>
        <v>#DIV/0!</v>
      </c>
      <c r="D106" s="37">
        <f>D34/'Profit &amp; Loss'!C13</f>
        <v>0</v>
      </c>
      <c r="E106" s="37">
        <f>E34/'Profit &amp; Loss'!D13</f>
        <v>0</v>
      </c>
      <c r="F106" s="37">
        <f>F34/'Profit &amp; Loss'!E13</f>
        <v>0</v>
      </c>
      <c r="G106" s="37">
        <f>G34/'Profit &amp; Loss'!F13</f>
        <v>0</v>
      </c>
      <c r="H106" s="37">
        <f>H34/'Profit &amp; Loss'!G13</f>
        <v>0</v>
      </c>
      <c r="I106" s="37">
        <f>I34/'Profit &amp; Loss'!H13</f>
        <v>9.6331120943952797</v>
      </c>
      <c r="J106" s="37">
        <f>J34/'Profit &amp; Loss'!I13</f>
        <v>14.550714771953711</v>
      </c>
      <c r="K106" s="37">
        <f>K34/'Profit &amp; Loss'!J13</f>
        <v>43.633432107373196</v>
      </c>
      <c r="L106" s="37">
        <f>L34/'Profit &amp; Loss'!K13</f>
        <v>20.249695493300855</v>
      </c>
    </row>
    <row r="107" spans="1:14" ht="23.25" x14ac:dyDescent="0.25">
      <c r="A107" s="61" t="s">
        <v>120</v>
      </c>
      <c r="B107" s="43" t="s">
        <v>211</v>
      </c>
    </row>
    <row r="108" spans="1:14" x14ac:dyDescent="0.25">
      <c r="A108" s="61" t="s">
        <v>121</v>
      </c>
      <c r="B108" s="43" t="s">
        <v>212</v>
      </c>
    </row>
    <row r="109" spans="1:14" x14ac:dyDescent="0.25">
      <c r="A109" s="59" t="s">
        <v>122</v>
      </c>
      <c r="B109" s="41" t="s">
        <v>162</v>
      </c>
      <c r="D109" s="36">
        <f t="shared" ref="D109:K109" si="19">(D106/D8)/100</f>
        <v>0</v>
      </c>
      <c r="E109" s="36">
        <f t="shared" si="19"/>
        <v>0</v>
      </c>
      <c r="F109" s="36">
        <f t="shared" si="19"/>
        <v>0</v>
      </c>
      <c r="G109" s="36">
        <f t="shared" si="19"/>
        <v>0</v>
      </c>
      <c r="H109" s="36">
        <f t="shared" si="19"/>
        <v>0</v>
      </c>
      <c r="I109" s="36">
        <f t="shared" si="19"/>
        <v>1.1559734513274351</v>
      </c>
      <c r="J109" s="36">
        <f t="shared" si="19"/>
        <v>0.15273311897106109</v>
      </c>
      <c r="K109" s="36">
        <f t="shared" si="19"/>
        <v>0.60832320777642779</v>
      </c>
      <c r="L109" s="36">
        <f t="shared" ref="L109" si="20">(L106/L8)/100</f>
        <v>1.469100513494251</v>
      </c>
    </row>
    <row r="110" spans="1:14" ht="23.25" x14ac:dyDescent="0.25">
      <c r="A110" s="59" t="s">
        <v>123</v>
      </c>
      <c r="B110" s="41" t="s">
        <v>163</v>
      </c>
      <c r="C110" s="36">
        <f>C36/'Data Sheet'!C17</f>
        <v>0</v>
      </c>
      <c r="D110" s="36">
        <f>D36/'Data Sheet'!D17</f>
        <v>0</v>
      </c>
      <c r="E110" s="36">
        <f>E36/'Data Sheet'!E17</f>
        <v>0</v>
      </c>
      <c r="F110" s="36">
        <f>F36/'Data Sheet'!F17</f>
        <v>0</v>
      </c>
      <c r="G110" s="36">
        <f>G36/'Data Sheet'!G17</f>
        <v>0</v>
      </c>
      <c r="H110" s="36">
        <f>H36/'Data Sheet'!H17</f>
        <v>0</v>
      </c>
      <c r="I110" s="36">
        <f>I36/'Data Sheet'!I17</f>
        <v>0.82418449113508729</v>
      </c>
      <c r="J110" s="36">
        <f>J36/'Data Sheet'!J17</f>
        <v>0.96673526152732869</v>
      </c>
      <c r="K110" s="36">
        <f>K36/'Data Sheet'!K17</f>
        <v>4.8977695167286246</v>
      </c>
      <c r="L110" s="36">
        <f>L36/'Data Sheet'!L17</f>
        <v>3.6550511157524457</v>
      </c>
    </row>
    <row r="111" spans="1:14" ht="23.25" x14ac:dyDescent="0.25">
      <c r="A111" s="61" t="s">
        <v>139</v>
      </c>
      <c r="B111" s="41" t="s">
        <v>164</v>
      </c>
      <c r="C111" s="37">
        <f>'Data Sheet'!C69/'Financial Analysis'!C35</f>
        <v>3.1936842105263157</v>
      </c>
      <c r="D111" s="37">
        <f>'Data Sheet'!D69/'Financial Analysis'!D35</f>
        <v>1.6105263157894738</v>
      </c>
      <c r="E111" s="37">
        <f>'Data Sheet'!E69/'Financial Analysis'!E35</f>
        <v>0.6021052631578947</v>
      </c>
      <c r="F111" s="37">
        <f>'Data Sheet'!F69/'Financial Analysis'!F35</f>
        <v>1.7073684210526314</v>
      </c>
      <c r="G111" s="37">
        <f>'Data Sheet'!G69/'Financial Analysis'!G35</f>
        <v>1.3452631578947367</v>
      </c>
      <c r="H111" s="37">
        <f>'Data Sheet'!H69/'Financial Analysis'!H35</f>
        <v>7.6884210526315799</v>
      </c>
      <c r="I111" s="37">
        <f>'Data Sheet'!I69/'Financial Analysis'!I35</f>
        <v>8.6694736842105264</v>
      </c>
      <c r="J111" s="37">
        <f>'Data Sheet'!J69/'Financial Analysis'!J35</f>
        <v>21.812631578947368</v>
      </c>
      <c r="K111" s="37">
        <f>'Data Sheet'!K69/'Financial Analysis'!K35</f>
        <v>42.791578947368421</v>
      </c>
      <c r="L111" s="37">
        <f>'Data Sheet'!L69/'Financial Analysis'!L35</f>
        <v>52.612631578947365</v>
      </c>
      <c r="N111" s="32"/>
    </row>
    <row r="112" spans="1:14" x14ac:dyDescent="0.25">
      <c r="A112" s="61" t="s">
        <v>261</v>
      </c>
      <c r="B112" s="41" t="s">
        <v>262</v>
      </c>
      <c r="C112" s="32" t="e">
        <f>C111/C34</f>
        <v>#DIV/0!</v>
      </c>
      <c r="D112" s="32" t="e">
        <f t="shared" ref="D112:K112" si="21">D111/D34</f>
        <v>#DIV/0!</v>
      </c>
      <c r="E112" s="32" t="e">
        <f t="shared" si="21"/>
        <v>#DIV/0!</v>
      </c>
      <c r="F112" s="32" t="e">
        <f t="shared" si="21"/>
        <v>#DIV/0!</v>
      </c>
      <c r="G112" s="32" t="e">
        <f t="shared" si="21"/>
        <v>#DIV/0!</v>
      </c>
      <c r="H112" s="32" t="e">
        <f t="shared" si="21"/>
        <v>#DIV/0!</v>
      </c>
      <c r="I112" s="32">
        <f t="shared" si="21"/>
        <v>0.1576267942583732</v>
      </c>
      <c r="J112" s="32">
        <f t="shared" si="21"/>
        <v>0.2423625730994152</v>
      </c>
      <c r="K112" s="32">
        <f t="shared" si="21"/>
        <v>8.1198442025367024E-2</v>
      </c>
      <c r="L112" s="32">
        <f t="shared" ref="L112" si="22">L111/L34</f>
        <v>0.12526817042606517</v>
      </c>
    </row>
    <row r="113" spans="1:2" x14ac:dyDescent="0.25">
      <c r="A113" s="61"/>
      <c r="B113" s="41"/>
    </row>
    <row r="114" spans="1:2" ht="18.75" x14ac:dyDescent="0.25">
      <c r="A114" s="57" t="s">
        <v>245</v>
      </c>
    </row>
    <row r="115" spans="1:2" ht="34.5" x14ac:dyDescent="0.25">
      <c r="A115" s="61" t="s">
        <v>128</v>
      </c>
      <c r="B115" s="43" t="s">
        <v>213</v>
      </c>
    </row>
    <row r="116" spans="1:2" x14ac:dyDescent="0.25">
      <c r="A116" s="61" t="s">
        <v>129</v>
      </c>
      <c r="B116" s="43" t="s">
        <v>214</v>
      </c>
    </row>
    <row r="117" spans="1:2" x14ac:dyDescent="0.25">
      <c r="A117" s="61" t="s">
        <v>130</v>
      </c>
      <c r="B117" s="43" t="s">
        <v>214</v>
      </c>
    </row>
    <row r="118" spans="1:2" x14ac:dyDescent="0.25">
      <c r="A118" s="61" t="s">
        <v>131</v>
      </c>
      <c r="B118" s="43" t="s">
        <v>214</v>
      </c>
    </row>
    <row r="119" spans="1:2" x14ac:dyDescent="0.25">
      <c r="A119" s="59"/>
      <c r="B119" s="41"/>
    </row>
    <row r="120" spans="1:2" ht="18.75" x14ac:dyDescent="0.25">
      <c r="A120" s="57" t="s">
        <v>244</v>
      </c>
      <c r="B120" s="41"/>
    </row>
    <row r="121" spans="1:2" x14ac:dyDescent="0.25">
      <c r="A121" s="61" t="s">
        <v>132</v>
      </c>
      <c r="B121" s="43" t="s">
        <v>197</v>
      </c>
    </row>
    <row r="122" spans="1:2" x14ac:dyDescent="0.25">
      <c r="A122" s="61" t="s">
        <v>133</v>
      </c>
      <c r="B122" s="43" t="s">
        <v>198</v>
      </c>
    </row>
    <row r="123" spans="1:2" x14ac:dyDescent="0.25">
      <c r="A123" s="61" t="s">
        <v>134</v>
      </c>
      <c r="B123" s="43" t="s">
        <v>199</v>
      </c>
    </row>
    <row r="124" spans="1:2" x14ac:dyDescent="0.25">
      <c r="A124" s="61" t="s">
        <v>135</v>
      </c>
      <c r="B124" s="43" t="s">
        <v>214</v>
      </c>
    </row>
    <row r="125" spans="1:2" x14ac:dyDescent="0.25">
      <c r="A125" s="61" t="s">
        <v>136</v>
      </c>
      <c r="B125" s="43" t="s">
        <v>214</v>
      </c>
    </row>
    <row r="126" spans="1:2" x14ac:dyDescent="0.25">
      <c r="A126" s="61" t="s">
        <v>137</v>
      </c>
      <c r="B126" s="43" t="s">
        <v>214</v>
      </c>
    </row>
    <row r="127" spans="1:2" x14ac:dyDescent="0.25">
      <c r="A127" s="61" t="s">
        <v>138</v>
      </c>
      <c r="B127" s="43" t="s">
        <v>214</v>
      </c>
    </row>
    <row r="128" spans="1:2" x14ac:dyDescent="0.25">
      <c r="A128" s="62" t="s">
        <v>279</v>
      </c>
    </row>
    <row r="130" spans="1:1" ht="18.75" x14ac:dyDescent="0.25">
      <c r="A130" s="57"/>
    </row>
  </sheetData>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2"/>
  <sheetViews>
    <sheetView tabSelected="1" workbookViewId="0">
      <selection activeCell="B12" sqref="B12:B15"/>
    </sheetView>
  </sheetViews>
  <sheetFormatPr defaultRowHeight="15" x14ac:dyDescent="0.25"/>
  <cols>
    <col min="2" max="2" width="109.7109375" customWidth="1"/>
  </cols>
  <sheetData>
    <row r="2" spans="2:2" x14ac:dyDescent="0.25">
      <c r="B2" t="s">
        <v>272</v>
      </c>
    </row>
    <row r="3" spans="2:2" ht="60" x14ac:dyDescent="0.25">
      <c r="B3" s="55" t="s">
        <v>273</v>
      </c>
    </row>
    <row r="4" spans="2:2" ht="60" x14ac:dyDescent="0.25">
      <c r="B4" s="55" t="s">
        <v>280</v>
      </c>
    </row>
    <row r="6" spans="2:2" x14ac:dyDescent="0.25">
      <c r="B6" t="s">
        <v>274</v>
      </c>
    </row>
    <row r="8" spans="2:2" x14ac:dyDescent="0.25">
      <c r="B8" t="s">
        <v>275</v>
      </c>
    </row>
    <row r="10" spans="2:2" x14ac:dyDescent="0.25">
      <c r="B10" t="s">
        <v>281</v>
      </c>
    </row>
    <row r="11" spans="2:2" x14ac:dyDescent="0.25">
      <c r="B11" s="55"/>
    </row>
    <row r="12" spans="2:2" x14ac:dyDescent="0.25">
      <c r="B12" s="5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Profit &amp; Loss</vt:lpstr>
      <vt:lpstr>Quarters</vt:lpstr>
      <vt:lpstr>Balance Sheet</vt:lpstr>
      <vt:lpstr>Cash Flow</vt:lpstr>
      <vt:lpstr>Customization</vt:lpstr>
      <vt:lpstr>Data Sheet</vt:lpstr>
      <vt:lpstr>Financial Analysis</vt:lpstr>
      <vt:lpstr>Insights</vt:lpstr>
      <vt:lpstr>UPDATE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Pratyush</dc:creator>
  <cp:lastModifiedBy>Kumar Saurabh</cp:lastModifiedBy>
  <cp:lastPrinted>2012-12-06T18:14:13Z</cp:lastPrinted>
  <dcterms:created xsi:type="dcterms:W3CDTF">2012-08-17T09:55:37Z</dcterms:created>
  <dcterms:modified xsi:type="dcterms:W3CDTF">2016-05-25T16:30:43Z</dcterms:modified>
</cp:coreProperties>
</file>