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0" i="1" l="1"/>
  <c r="D32" i="1"/>
  <c r="E32" i="1" s="1"/>
  <c r="D20" i="1"/>
  <c r="K20" i="1"/>
  <c r="K13" i="1"/>
  <c r="K19" i="1" s="1"/>
  <c r="M14" i="1"/>
  <c r="L12" i="1"/>
  <c r="L14" i="1" s="1"/>
  <c r="D26" i="1"/>
  <c r="D18" i="1"/>
  <c r="C41" i="1" s="1"/>
  <c r="D41" i="1" s="1"/>
  <c r="D14" i="1"/>
  <c r="E4" i="1"/>
  <c r="F10" i="1"/>
  <c r="E7" i="1"/>
  <c r="E11" i="1" s="1"/>
  <c r="F3" i="1"/>
  <c r="F4" i="1" s="1"/>
  <c r="D6" i="1"/>
  <c r="F6" i="1" s="1"/>
  <c r="D42" i="1" l="1"/>
  <c r="C40" i="1"/>
  <c r="C42" i="1" s="1"/>
  <c r="K12" i="1"/>
  <c r="K17" i="1" s="1"/>
  <c r="E24" i="1"/>
  <c r="K22" i="1"/>
  <c r="M19" i="1"/>
  <c r="L19" i="1"/>
  <c r="K21" i="1"/>
  <c r="K23" i="1" s="1"/>
  <c r="K24" i="1" s="1"/>
  <c r="F7" i="1"/>
  <c r="D7" i="1"/>
  <c r="D11" i="1" s="1"/>
  <c r="D27" i="1" s="1"/>
  <c r="D28" i="1" s="1"/>
  <c r="D29" i="1" s="1"/>
  <c r="E40" i="1" l="1"/>
  <c r="E42" i="1"/>
  <c r="K14" i="1"/>
  <c r="E8" i="1"/>
  <c r="D15" i="1"/>
  <c r="D21" i="1" s="1"/>
  <c r="D33" i="1" s="1"/>
  <c r="D34" i="1" s="1"/>
  <c r="D35" i="1" s="1"/>
  <c r="D36" i="1" s="1"/>
  <c r="D37" i="1" s="1"/>
  <c r="E12" i="1"/>
  <c r="D17" i="1"/>
  <c r="D19" i="1" s="1"/>
  <c r="F8" i="1"/>
  <c r="F11" i="1"/>
  <c r="F12" i="1" s="1"/>
</calcChain>
</file>

<file path=xl/comments1.xml><?xml version="1.0" encoding="utf-8"?>
<comments xmlns="http://schemas.openxmlformats.org/spreadsheetml/2006/main">
  <authors>
    <author>isinox</author>
  </authors>
  <commentList>
    <comment ref="D24" authorId="0">
      <text>
        <r>
          <rPr>
            <b/>
            <sz val="9"/>
            <color indexed="81"/>
            <rFont val="Tahoma"/>
            <family val="2"/>
          </rPr>
          <t>No basis. Need to assess</t>
        </r>
      </text>
    </comment>
  </commentList>
</comments>
</file>

<file path=xl/sharedStrings.xml><?xml version="1.0" encoding="utf-8"?>
<sst xmlns="http://schemas.openxmlformats.org/spreadsheetml/2006/main" count="64" uniqueCount="56">
  <si>
    <t>New shares to ICICI Ventures</t>
  </si>
  <si>
    <t>Promoters</t>
  </si>
  <si>
    <t>Public</t>
  </si>
  <si>
    <t>Total</t>
  </si>
  <si>
    <t>Post warrants conversion</t>
  </si>
  <si>
    <t>Existing shares</t>
  </si>
  <si>
    <t>CMP</t>
  </si>
  <si>
    <t>Debt</t>
  </si>
  <si>
    <t>EV</t>
  </si>
  <si>
    <t>EV/Ebidta</t>
  </si>
  <si>
    <t>EBIDTA</t>
  </si>
  <si>
    <t>EV/EBIDTA</t>
  </si>
  <si>
    <t>Upside</t>
  </si>
  <si>
    <t>Per share</t>
  </si>
  <si>
    <t># of shares in QDCPL</t>
  </si>
  <si>
    <t>Price per share</t>
  </si>
  <si>
    <t xml:space="preserve">Consideration paid by </t>
  </si>
  <si>
    <t>Investor</t>
  </si>
  <si>
    <t>UFO</t>
  </si>
  <si>
    <t>Particulars</t>
  </si>
  <si>
    <t>Total number of shares of QCTPL</t>
  </si>
  <si>
    <t>New shares of UFO</t>
  </si>
  <si>
    <t>New shares to Investor</t>
  </si>
  <si>
    <t>Promoters Buying at</t>
  </si>
  <si>
    <t>Stake purchased in QDCPL</t>
  </si>
  <si>
    <t>QDCPL Value at Rs. Cr</t>
  </si>
  <si>
    <t>QDCPL would issue shares to shareholders of QCTPL</t>
  </si>
  <si>
    <t>QCTPL (existing main company broken into two)</t>
  </si>
  <si>
    <t xml:space="preserve"> - QDCPL (entire buss excluding ltd growth potential) - New Company</t>
  </si>
  <si>
    <t xml:space="preserve"> - QCTPL (non synergetic + ltd growth potential business) - Existing company</t>
  </si>
  <si>
    <t>Amalgamation of Moviebuff into QDCPL i.e. new company</t>
  </si>
  <si>
    <t>Net shares of QDCPL</t>
  </si>
  <si>
    <t>13:17 ratio</t>
  </si>
  <si>
    <t>Paid by ICICI Ventures Fund</t>
  </si>
  <si>
    <t>EBIDTA Combined (Crs)</t>
  </si>
  <si>
    <t>PAT Combined (Crs)</t>
  </si>
  <si>
    <t>PE</t>
  </si>
  <si>
    <t>EBIDTA Projected</t>
  </si>
  <si>
    <t>PAT Projected</t>
  </si>
  <si>
    <t>EV Projected</t>
  </si>
  <si>
    <t>M. Cap Projected</t>
  </si>
  <si>
    <t>Growth Projected</t>
  </si>
  <si>
    <t>Dep, Int, Tax</t>
  </si>
  <si>
    <t>PAT</t>
  </si>
  <si>
    <t>Equity Shares - Promoters</t>
  </si>
  <si>
    <t>Warrants - Promoters</t>
  </si>
  <si>
    <t>Upside %</t>
  </si>
  <si>
    <t>Scheme Summary</t>
  </si>
  <si>
    <t>Acquisition of 53.2% in QDCPL post demerger and amalgamation of Moviebuff</t>
  </si>
  <si>
    <t>Existing</t>
  </si>
  <si>
    <t>Projected</t>
  </si>
  <si>
    <t>Effective price for each UFO share</t>
  </si>
  <si>
    <t>Shares cancelled (held by UFO)</t>
  </si>
  <si>
    <t>M. cap (fully diluted)</t>
  </si>
  <si>
    <t xml:space="preserve"> Higher multiple assumed</t>
  </si>
  <si>
    <t>Paid by Promoters for new allotment and warrants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</si>
</sst>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8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9" fontId="0" fillId="0" borderId="0" xfId="1" applyFont="1"/>
    <xf numFmtId="164" fontId="0" fillId="0" borderId="0" xfId="1" applyNumberFormat="1" applyFont="1"/>
    <xf numFmtId="168" fontId="0" fillId="0" borderId="0" xfId="0" applyNumberFormat="1"/>
    <xf numFmtId="9" fontId="0" fillId="0" borderId="0" xfId="1" applyNumberFormat="1" applyFont="1"/>
    <xf numFmtId="0" fontId="2" fillId="0" borderId="1" xfId="0" applyFont="1" applyBorder="1"/>
    <xf numFmtId="0" fontId="0" fillId="0" borderId="1" xfId="0" applyBorder="1"/>
    <xf numFmtId="168" fontId="0" fillId="0" borderId="1" xfId="0" applyNumberFormat="1" applyBorder="1"/>
    <xf numFmtId="10" fontId="0" fillId="0" borderId="0" xfId="0" applyNumberFormat="1"/>
    <xf numFmtId="164" fontId="0" fillId="0" borderId="1" xfId="1" applyNumberFormat="1" applyFont="1" applyBorder="1"/>
    <xf numFmtId="0" fontId="3" fillId="3" borderId="1" xfId="0" applyFont="1" applyFill="1" applyBorder="1"/>
    <xf numFmtId="0" fontId="3" fillId="0" borderId="1" xfId="0" applyFont="1" applyBorder="1"/>
    <xf numFmtId="1" fontId="2" fillId="2" borderId="1" xfId="0" applyNumberFormat="1" applyFont="1" applyFill="1" applyBorder="1"/>
    <xf numFmtId="1" fontId="0" fillId="0" borderId="1" xfId="0" applyNumberFormat="1" applyBorder="1"/>
    <xf numFmtId="9" fontId="0" fillId="0" borderId="1" xfId="1" applyNumberFormat="1" applyFont="1" applyBorder="1"/>
    <xf numFmtId="2" fontId="0" fillId="0" borderId="1" xfId="0" applyNumberFormat="1" applyBorder="1"/>
    <xf numFmtId="0" fontId="2" fillId="2" borderId="1" xfId="0" applyFont="1" applyFill="1" applyBorder="1"/>
    <xf numFmtId="0" fontId="2" fillId="0" borderId="0" xfId="0" applyFont="1" applyBorder="1"/>
    <xf numFmtId="0" fontId="0" fillId="0" borderId="0" xfId="0" applyBorder="1"/>
    <xf numFmtId="164" fontId="0" fillId="0" borderId="0" xfId="1" applyNumberFormat="1" applyFont="1" applyBorder="1"/>
    <xf numFmtId="0" fontId="0" fillId="4" borderId="0" xfId="0" applyFill="1"/>
    <xf numFmtId="0" fontId="2" fillId="4" borderId="0" xfId="0" applyFont="1" applyFill="1" applyBorder="1"/>
    <xf numFmtId="0" fontId="0" fillId="4" borderId="0" xfId="0" applyFill="1" applyBorder="1"/>
    <xf numFmtId="164" fontId="0" fillId="4" borderId="0" xfId="1" applyNumberFormat="1" applyFont="1" applyFill="1" applyBorder="1"/>
    <xf numFmtId="164" fontId="0" fillId="4" borderId="0" xfId="1" applyNumberFormat="1" applyFont="1" applyFill="1"/>
    <xf numFmtId="1" fontId="2" fillId="0" borderId="1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B1:M51"/>
  <sheetViews>
    <sheetView tabSelected="1" workbookViewId="0">
      <selection activeCell="B1" sqref="B1"/>
    </sheetView>
  </sheetViews>
  <sheetFormatPr defaultRowHeight="15" x14ac:dyDescent="0.25"/>
  <cols>
    <col min="2" max="2" width="27.140625" bestFit="1" customWidth="1"/>
    <col min="4" max="4" width="12" bestFit="1" customWidth="1"/>
    <col min="8" max="8" width="2.28515625" customWidth="1"/>
    <col min="10" max="10" width="35.5703125" customWidth="1"/>
    <col min="11" max="13" width="11" bestFit="1" customWidth="1"/>
  </cols>
  <sheetData>
    <row r="1" spans="2:13" x14ac:dyDescent="0.25">
      <c r="H1" s="21"/>
      <c r="J1" s="1" t="s">
        <v>47</v>
      </c>
    </row>
    <row r="2" spans="2:13" x14ac:dyDescent="0.25">
      <c r="B2" s="6" t="s">
        <v>19</v>
      </c>
      <c r="C2" s="6"/>
      <c r="D2" s="6" t="s">
        <v>3</v>
      </c>
      <c r="E2" s="6" t="s">
        <v>1</v>
      </c>
      <c r="F2" s="6" t="s">
        <v>2</v>
      </c>
      <c r="G2" s="18"/>
      <c r="H2" s="22"/>
      <c r="J2" t="s">
        <v>27</v>
      </c>
    </row>
    <row r="3" spans="2:13" x14ac:dyDescent="0.25">
      <c r="B3" s="7" t="s">
        <v>5</v>
      </c>
      <c r="C3" s="7"/>
      <c r="D3" s="7">
        <v>27600801</v>
      </c>
      <c r="E3" s="7">
        <v>7765452</v>
      </c>
      <c r="F3" s="7">
        <f>D3-E3</f>
        <v>19835349</v>
      </c>
      <c r="G3" s="19"/>
      <c r="H3" s="23"/>
      <c r="J3" t="s">
        <v>28</v>
      </c>
    </row>
    <row r="4" spans="2:13" x14ac:dyDescent="0.25">
      <c r="B4" s="7"/>
      <c r="C4" s="7"/>
      <c r="D4" s="7"/>
      <c r="E4" s="10">
        <f>E3/D3</f>
        <v>0.28134879129051366</v>
      </c>
      <c r="F4" s="10">
        <f>F3/D3</f>
        <v>0.7186512087094864</v>
      </c>
      <c r="G4" s="20"/>
      <c r="H4" s="24"/>
      <c r="J4" t="s">
        <v>29</v>
      </c>
    </row>
    <row r="5" spans="2:13" x14ac:dyDescent="0.25">
      <c r="B5" s="7"/>
      <c r="C5" s="7"/>
      <c r="D5" s="7"/>
      <c r="E5" s="10"/>
      <c r="F5" s="10"/>
      <c r="G5" s="20"/>
      <c r="H5" s="24"/>
      <c r="J5" t="s">
        <v>26</v>
      </c>
    </row>
    <row r="6" spans="2:13" x14ac:dyDescent="0.25">
      <c r="B6" s="7" t="s">
        <v>0</v>
      </c>
      <c r="C6" s="7"/>
      <c r="D6" s="7">
        <f>40419245-D3</f>
        <v>12818444</v>
      </c>
      <c r="E6" s="7">
        <v>0</v>
      </c>
      <c r="F6" s="7">
        <f>D6-E6</f>
        <v>12818444</v>
      </c>
      <c r="G6" s="19"/>
      <c r="H6" s="23"/>
    </row>
    <row r="7" spans="2:13" x14ac:dyDescent="0.25">
      <c r="B7" s="7"/>
      <c r="C7" s="7"/>
      <c r="D7" s="6">
        <f>SUM(D3:D6)</f>
        <v>40419245</v>
      </c>
      <c r="E7" s="6">
        <f t="shared" ref="E7:F7" si="0">SUM(E3:E6)</f>
        <v>7765452.281348791</v>
      </c>
      <c r="F7" s="6">
        <f t="shared" si="0"/>
        <v>32653793.718651209</v>
      </c>
      <c r="G7" s="18"/>
      <c r="H7" s="22"/>
      <c r="J7" t="s">
        <v>30</v>
      </c>
    </row>
    <row r="8" spans="2:13" x14ac:dyDescent="0.25">
      <c r="B8" s="7"/>
      <c r="C8" s="7"/>
      <c r="D8" s="6"/>
      <c r="E8" s="10">
        <f>E7/D7</f>
        <v>0.19212264557016814</v>
      </c>
      <c r="F8" s="10">
        <f>F7/D7</f>
        <v>0.8078773791705216</v>
      </c>
      <c r="G8" s="20"/>
      <c r="H8" s="24"/>
    </row>
    <row r="9" spans="2:13" x14ac:dyDescent="0.25">
      <c r="B9" s="7" t="s">
        <v>44</v>
      </c>
      <c r="C9" s="7"/>
      <c r="D9" s="7">
        <v>750000</v>
      </c>
      <c r="E9" s="7">
        <v>750000</v>
      </c>
      <c r="F9" s="10"/>
      <c r="G9" s="20"/>
      <c r="H9" s="24"/>
      <c r="J9" s="1" t="s">
        <v>48</v>
      </c>
    </row>
    <row r="10" spans="2:13" x14ac:dyDescent="0.25">
      <c r="B10" s="7" t="s">
        <v>45</v>
      </c>
      <c r="C10" s="7"/>
      <c r="D10" s="7">
        <v>1525000</v>
      </c>
      <c r="E10" s="7">
        <v>1525000</v>
      </c>
      <c r="F10" s="7">
        <f>D10-E10</f>
        <v>0</v>
      </c>
      <c r="G10" s="19"/>
      <c r="H10" s="23"/>
    </row>
    <row r="11" spans="2:13" x14ac:dyDescent="0.25">
      <c r="B11" s="6" t="s">
        <v>4</v>
      </c>
      <c r="C11" s="6"/>
      <c r="D11" s="6">
        <f>D7+D10+D9</f>
        <v>42694245</v>
      </c>
      <c r="E11" s="6">
        <f>E7+E10+E9</f>
        <v>10040452.281348791</v>
      </c>
      <c r="F11" s="6">
        <f>F7+F10</f>
        <v>32653793.718651209</v>
      </c>
      <c r="G11" s="18"/>
      <c r="H11" s="22"/>
      <c r="J11" s="6" t="s">
        <v>19</v>
      </c>
      <c r="K11" s="6" t="s">
        <v>3</v>
      </c>
      <c r="L11" s="6" t="s">
        <v>17</v>
      </c>
      <c r="M11" s="6" t="s">
        <v>18</v>
      </c>
    </row>
    <row r="12" spans="2:13" x14ac:dyDescent="0.25">
      <c r="E12" s="3">
        <f>E11/D11</f>
        <v>0.23517109346584747</v>
      </c>
      <c r="F12" s="3">
        <f>F11/D11</f>
        <v>0.76482892995651308</v>
      </c>
      <c r="G12" s="3"/>
      <c r="H12" s="25"/>
      <c r="J12" s="7" t="s">
        <v>16</v>
      </c>
      <c r="K12" s="7">
        <f>SUM(L12:M12)</f>
        <v>3322918035</v>
      </c>
      <c r="L12" s="7">
        <f>2149999937</f>
        <v>2149999937</v>
      </c>
      <c r="M12" s="7">
        <v>1172918098</v>
      </c>
    </row>
    <row r="13" spans="2:13" x14ac:dyDescent="0.25">
      <c r="H13" s="21"/>
      <c r="J13" s="7" t="s">
        <v>14</v>
      </c>
      <c r="K13" s="7">
        <f>SUM(L13:M13)</f>
        <v>10979515</v>
      </c>
      <c r="L13" s="7">
        <v>7103984</v>
      </c>
      <c r="M13" s="7">
        <v>3875531</v>
      </c>
    </row>
    <row r="14" spans="2:13" x14ac:dyDescent="0.25">
      <c r="B14" s="7" t="s">
        <v>6</v>
      </c>
      <c r="C14" s="7"/>
      <c r="D14" s="12">
        <f>445</f>
        <v>445</v>
      </c>
      <c r="H14" s="21"/>
      <c r="J14" s="7" t="s">
        <v>15</v>
      </c>
      <c r="K14" s="8">
        <f>K12/K13</f>
        <v>302.64706911006544</v>
      </c>
      <c r="L14" s="8">
        <f>L12/L13</f>
        <v>302.64706916569634</v>
      </c>
      <c r="M14" s="8">
        <f>M12/M13</f>
        <v>302.64706900809205</v>
      </c>
    </row>
    <row r="15" spans="2:13" x14ac:dyDescent="0.25">
      <c r="B15" s="7" t="s">
        <v>53</v>
      </c>
      <c r="C15" s="7"/>
      <c r="D15" s="14">
        <f>D11*D14/10000000</f>
        <v>1899.8939025</v>
      </c>
      <c r="H15" s="21"/>
    </row>
    <row r="16" spans="2:13" x14ac:dyDescent="0.25">
      <c r="B16" s="7" t="s">
        <v>7</v>
      </c>
      <c r="C16" s="7"/>
      <c r="D16" s="14">
        <v>0</v>
      </c>
      <c r="H16" s="21"/>
      <c r="J16" t="s">
        <v>24</v>
      </c>
      <c r="K16" s="9">
        <v>0.53200000000000003</v>
      </c>
    </row>
    <row r="17" spans="2:13" x14ac:dyDescent="0.25">
      <c r="B17" s="7" t="s">
        <v>8</v>
      </c>
      <c r="C17" s="7"/>
      <c r="D17" s="26">
        <f>SUM(D15:D16)</f>
        <v>1899.8939025</v>
      </c>
      <c r="H17" s="21"/>
      <c r="J17" t="s">
        <v>25</v>
      </c>
      <c r="K17" s="4">
        <f>K12/10000000/K16</f>
        <v>624.60865319548873</v>
      </c>
    </row>
    <row r="18" spans="2:13" x14ac:dyDescent="0.25">
      <c r="B18" s="7" t="s">
        <v>34</v>
      </c>
      <c r="C18" s="7"/>
      <c r="D18" s="7">
        <f>184+81</f>
        <v>265</v>
      </c>
      <c r="H18" s="21"/>
    </row>
    <row r="19" spans="2:13" x14ac:dyDescent="0.25">
      <c r="B19" s="7" t="s">
        <v>9</v>
      </c>
      <c r="C19" s="7"/>
      <c r="D19" s="8">
        <f>D17/D18</f>
        <v>7.1694109528301881</v>
      </c>
      <c r="H19" s="21"/>
      <c r="J19" s="7" t="s">
        <v>20</v>
      </c>
      <c r="K19" s="14">
        <f>K13/K16</f>
        <v>20638186.090225562</v>
      </c>
      <c r="L19" s="3">
        <f>L13/K19</f>
        <v>0.34421552208817968</v>
      </c>
      <c r="M19" s="3">
        <f>M13/K19</f>
        <v>0.18778447791182035</v>
      </c>
    </row>
    <row r="20" spans="2:13" x14ac:dyDescent="0.25">
      <c r="B20" s="7" t="s">
        <v>35</v>
      </c>
      <c r="C20" s="7"/>
      <c r="D20" s="7">
        <f>63+32</f>
        <v>95</v>
      </c>
      <c r="H20" s="21"/>
      <c r="J20" s="7" t="s">
        <v>52</v>
      </c>
      <c r="K20" s="7">
        <f>M13</f>
        <v>3875531</v>
      </c>
    </row>
    <row r="21" spans="2:13" x14ac:dyDescent="0.25">
      <c r="B21" s="7" t="s">
        <v>36</v>
      </c>
      <c r="C21" s="7"/>
      <c r="D21" s="16">
        <f>D15/D20</f>
        <v>19.998883184210527</v>
      </c>
      <c r="H21" s="21"/>
      <c r="J21" s="7" t="s">
        <v>31</v>
      </c>
      <c r="K21" s="14">
        <f>K19-K20</f>
        <v>16762655.090225562</v>
      </c>
    </row>
    <row r="22" spans="2:13" x14ac:dyDescent="0.25">
      <c r="H22" s="21"/>
      <c r="J22" s="7" t="s">
        <v>21</v>
      </c>
      <c r="K22" s="7">
        <f>D6</f>
        <v>12818444</v>
      </c>
      <c r="L22" t="s">
        <v>32</v>
      </c>
    </row>
    <row r="23" spans="2:13" x14ac:dyDescent="0.25">
      <c r="H23" s="21"/>
      <c r="J23" s="7" t="s">
        <v>22</v>
      </c>
      <c r="K23" s="14">
        <f>K22/K21*L13</f>
        <v>5432434.2170587881</v>
      </c>
    </row>
    <row r="24" spans="2:13" x14ac:dyDescent="0.25">
      <c r="B24" s="7" t="s">
        <v>37</v>
      </c>
      <c r="C24" s="7"/>
      <c r="D24" s="11">
        <v>350</v>
      </c>
      <c r="E24" s="2">
        <f>D24/D18-1</f>
        <v>0.320754716981132</v>
      </c>
      <c r="F24" t="s">
        <v>41</v>
      </c>
      <c r="H24" s="21"/>
      <c r="J24" s="7" t="s">
        <v>51</v>
      </c>
      <c r="K24" s="13">
        <f>L12/K23</f>
        <v>395.77100266555027</v>
      </c>
      <c r="L24" t="s">
        <v>33</v>
      </c>
    </row>
    <row r="25" spans="2:13" x14ac:dyDescent="0.25">
      <c r="B25" s="7" t="s">
        <v>11</v>
      </c>
      <c r="C25" s="7"/>
      <c r="D25" s="12">
        <v>8</v>
      </c>
      <c r="E25" s="2" t="s">
        <v>54</v>
      </c>
      <c r="H25" s="21"/>
    </row>
    <row r="26" spans="2:13" x14ac:dyDescent="0.25">
      <c r="B26" s="7" t="s">
        <v>39</v>
      </c>
      <c r="C26" s="7"/>
      <c r="D26" s="7">
        <f>D24*D25</f>
        <v>2800</v>
      </c>
      <c r="E26" s="2"/>
      <c r="H26" s="21"/>
      <c r="J26" s="7" t="s">
        <v>23</v>
      </c>
      <c r="K26" s="17">
        <v>401</v>
      </c>
      <c r="L26" t="s">
        <v>55</v>
      </c>
    </row>
    <row r="27" spans="2:13" x14ac:dyDescent="0.25">
      <c r="B27" s="7" t="s">
        <v>13</v>
      </c>
      <c r="C27" s="7"/>
      <c r="D27" s="13">
        <f>D26*10000000/D11</f>
        <v>655.82609553114241</v>
      </c>
      <c r="E27" s="2"/>
      <c r="H27" s="21"/>
    </row>
    <row r="28" spans="2:13" x14ac:dyDescent="0.25">
      <c r="B28" s="7" t="s">
        <v>12</v>
      </c>
      <c r="C28" s="7"/>
      <c r="D28" s="14">
        <f>D27-D14</f>
        <v>210.82609553114241</v>
      </c>
      <c r="E28" s="2"/>
      <c r="H28" s="21"/>
    </row>
    <row r="29" spans="2:13" x14ac:dyDescent="0.25">
      <c r="B29" s="7" t="s">
        <v>46</v>
      </c>
      <c r="C29" s="7"/>
      <c r="D29" s="15">
        <f>D28/D14</f>
        <v>0.47376650681155597</v>
      </c>
      <c r="E29" s="2"/>
      <c r="H29" s="21"/>
    </row>
    <row r="30" spans="2:13" x14ac:dyDescent="0.25">
      <c r="E30" s="2"/>
      <c r="H30" s="21"/>
    </row>
    <row r="31" spans="2:13" x14ac:dyDescent="0.25">
      <c r="E31" s="2"/>
      <c r="H31" s="21"/>
    </row>
    <row r="32" spans="2:13" x14ac:dyDescent="0.25">
      <c r="B32" s="7" t="s">
        <v>38</v>
      </c>
      <c r="C32" s="7"/>
      <c r="D32" s="11">
        <f>150</f>
        <v>150</v>
      </c>
      <c r="E32" s="2">
        <f>D32/D20-1</f>
        <v>0.57894736842105265</v>
      </c>
      <c r="F32" t="s">
        <v>41</v>
      </c>
      <c r="H32" s="21"/>
    </row>
    <row r="33" spans="2:8" x14ac:dyDescent="0.25">
      <c r="B33" s="7" t="s">
        <v>36</v>
      </c>
      <c r="C33" s="7"/>
      <c r="D33" s="16">
        <f>D21</f>
        <v>19.998883184210527</v>
      </c>
      <c r="H33" s="21"/>
    </row>
    <row r="34" spans="2:8" x14ac:dyDescent="0.25">
      <c r="B34" s="7" t="s">
        <v>40</v>
      </c>
      <c r="C34" s="7"/>
      <c r="D34" s="14">
        <f>D32*D33</f>
        <v>2999.832477631579</v>
      </c>
      <c r="H34" s="21"/>
    </row>
    <row r="35" spans="2:8" x14ac:dyDescent="0.25">
      <c r="B35" s="7" t="s">
        <v>13</v>
      </c>
      <c r="C35" s="7"/>
      <c r="D35" s="13">
        <f>D34*10000000/D11</f>
        <v>702.63157894736844</v>
      </c>
      <c r="H35" s="21"/>
    </row>
    <row r="36" spans="2:8" x14ac:dyDescent="0.25">
      <c r="B36" s="7" t="s">
        <v>12</v>
      </c>
      <c r="C36" s="7"/>
      <c r="D36" s="14">
        <f>D35-D14</f>
        <v>257.63157894736844</v>
      </c>
      <c r="H36" s="21"/>
    </row>
    <row r="37" spans="2:8" x14ac:dyDescent="0.25">
      <c r="B37" s="7" t="s">
        <v>46</v>
      </c>
      <c r="C37" s="7"/>
      <c r="D37" s="15">
        <f>D36/D14</f>
        <v>0.57894736842105265</v>
      </c>
      <c r="H37" s="21"/>
    </row>
    <row r="38" spans="2:8" x14ac:dyDescent="0.25">
      <c r="H38" s="21"/>
    </row>
    <row r="39" spans="2:8" x14ac:dyDescent="0.25">
      <c r="B39" s="6" t="s">
        <v>19</v>
      </c>
      <c r="C39" s="6" t="s">
        <v>49</v>
      </c>
      <c r="D39" s="6" t="s">
        <v>50</v>
      </c>
      <c r="H39" s="21"/>
    </row>
    <row r="40" spans="2:8" x14ac:dyDescent="0.25">
      <c r="B40" s="7" t="s">
        <v>10</v>
      </c>
      <c r="C40" s="7">
        <f>D18</f>
        <v>265</v>
      </c>
      <c r="D40" s="7">
        <f>D24</f>
        <v>350</v>
      </c>
      <c r="E40" s="5">
        <f>D40/C40-1</f>
        <v>0.320754716981132</v>
      </c>
      <c r="H40" s="21"/>
    </row>
    <row r="41" spans="2:8" x14ac:dyDescent="0.25">
      <c r="B41" s="7" t="s">
        <v>42</v>
      </c>
      <c r="C41" s="7">
        <f>D18-D20</f>
        <v>170</v>
      </c>
      <c r="D41" s="7">
        <f>C41+30</f>
        <v>200</v>
      </c>
      <c r="H41" s="21"/>
    </row>
    <row r="42" spans="2:8" x14ac:dyDescent="0.25">
      <c r="B42" s="7" t="s">
        <v>43</v>
      </c>
      <c r="C42" s="7">
        <f>C40-C41</f>
        <v>95</v>
      </c>
      <c r="D42" s="7">
        <f>D40-D41</f>
        <v>150</v>
      </c>
      <c r="E42" s="5">
        <f>D42/C42-1</f>
        <v>0.57894736842105265</v>
      </c>
      <c r="H42" s="21"/>
    </row>
    <row r="43" spans="2:8" x14ac:dyDescent="0.25">
      <c r="H43" s="21"/>
    </row>
    <row r="44" spans="2:8" x14ac:dyDescent="0.25">
      <c r="H44" s="21"/>
    </row>
    <row r="45" spans="2:8" x14ac:dyDescent="0.25">
      <c r="H45" s="21"/>
    </row>
    <row r="46" spans="2:8" x14ac:dyDescent="0.25">
      <c r="H46" s="21"/>
    </row>
    <row r="47" spans="2:8" x14ac:dyDescent="0.25">
      <c r="H47" s="21"/>
    </row>
    <row r="48" spans="2:8" x14ac:dyDescent="0.25">
      <c r="H48" s="21"/>
    </row>
    <row r="49" spans="8:8" x14ac:dyDescent="0.25">
      <c r="H49" s="21"/>
    </row>
    <row r="50" spans="8:8" x14ac:dyDescent="0.25">
      <c r="H50" s="21"/>
    </row>
    <row r="51" spans="8:8" x14ac:dyDescent="0.25">
      <c r="H51" s="21"/>
    </row>
  </sheetData>
  <pageMargins left="0.7" right="0.7" top="0.75" bottom="0.75" header="0.3" footer="0.3"/>
  <pageSetup orientation="portrait" verticalDpi="0" r:id="rId1"/>
  <ignoredErrors>
    <ignoredError sqref="F7 E11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isinox</dc:creator>
  <cp:lastModifiedBy>isinox</cp:lastModifiedBy>
  <cp:lastPrinted>2017-11-19T05:58:06Z</cp:lastPrinted>
  <dcterms:created xsi:type="dcterms:W3CDTF">2017-11-19T05:22:08Z</dcterms:created>
  <dcterms:modified xsi:type="dcterms:W3CDTF">2017-11-19T06:59:12Z</dcterms:modified>
</cp:coreProperties>
</file>