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banerjees/Downloads/"/>
    </mc:Choice>
  </mc:AlternateContent>
  <bookViews>
    <workbookView xWindow="0" yWindow="0" windowWidth="28800" windowHeight="1792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6" i="1"/>
  <c r="F5" i="1"/>
  <c r="H5" i="1"/>
  <c r="G5" i="1"/>
  <c r="C4" i="1"/>
  <c r="B7" i="1"/>
  <c r="B6" i="1"/>
  <c r="B4" i="1"/>
  <c r="J24" i="1"/>
  <c r="K24" i="1"/>
  <c r="K25" i="1"/>
  <c r="L25" i="1"/>
  <c r="K26" i="1"/>
  <c r="K27" i="1"/>
  <c r="L27" i="1"/>
  <c r="L20" i="1"/>
  <c r="S24" i="1"/>
  <c r="S25" i="1"/>
  <c r="S26" i="1"/>
  <c r="S27" i="1"/>
  <c r="J27" i="1"/>
  <c r="K29" i="1"/>
  <c r="M29" i="1"/>
  <c r="O29" i="1"/>
  <c r="Q29" i="1"/>
  <c r="S29" i="1"/>
  <c r="S30" i="1"/>
  <c r="G32" i="1"/>
  <c r="B30" i="1"/>
  <c r="B14" i="1"/>
  <c r="B15" i="1"/>
  <c r="B20" i="1"/>
  <c r="B25" i="1"/>
  <c r="B27" i="1"/>
  <c r="B28" i="1"/>
  <c r="C25" i="1"/>
  <c r="B21" i="1"/>
  <c r="B17" i="1"/>
  <c r="C15" i="1"/>
  <c r="C20" i="1"/>
  <c r="C27" i="1"/>
  <c r="C30" i="1"/>
  <c r="C28" i="1"/>
  <c r="C21" i="1"/>
  <c r="C17" i="1"/>
  <c r="D16" i="1"/>
  <c r="C14" i="1"/>
  <c r="S19" i="1"/>
  <c r="Q19" i="1"/>
  <c r="O19" i="1"/>
  <c r="M19" i="1"/>
  <c r="I19" i="1"/>
  <c r="K19" i="1"/>
  <c r="J3" i="1"/>
  <c r="J4" i="1"/>
  <c r="K3" i="1"/>
  <c r="M3" i="1"/>
  <c r="O3" i="1"/>
  <c r="Q3" i="1"/>
  <c r="S3" i="1"/>
  <c r="U3" i="1"/>
  <c r="T3" i="1"/>
  <c r="Q24" i="1"/>
  <c r="O24" i="1"/>
  <c r="M24" i="1"/>
  <c r="M35" i="1"/>
  <c r="K35" i="1"/>
  <c r="S2" i="1"/>
  <c r="S15" i="1"/>
  <c r="S18" i="1"/>
  <c r="S20" i="1"/>
  <c r="I20" i="1"/>
  <c r="I25" i="1"/>
  <c r="I26" i="1"/>
  <c r="I27" i="1"/>
  <c r="I30" i="1"/>
  <c r="S31" i="1"/>
  <c r="Q2" i="1"/>
  <c r="O2" i="1"/>
  <c r="M2" i="1"/>
  <c r="K2" i="1"/>
  <c r="L2" i="1"/>
  <c r="K15" i="1"/>
  <c r="K18" i="1"/>
  <c r="K20" i="1"/>
  <c r="K36" i="1"/>
  <c r="K45" i="1"/>
  <c r="K39" i="1"/>
  <c r="K46" i="1"/>
  <c r="K42" i="1"/>
  <c r="K47" i="1"/>
  <c r="K49" i="1"/>
  <c r="K50" i="1"/>
  <c r="S35" i="1"/>
  <c r="S36" i="1"/>
  <c r="Q35" i="1"/>
  <c r="Q36" i="1"/>
  <c r="S45" i="1"/>
  <c r="S39" i="1"/>
  <c r="Q39" i="1"/>
  <c r="S46" i="1"/>
  <c r="S42" i="1"/>
  <c r="Q42" i="1"/>
  <c r="S47" i="1"/>
  <c r="S49" i="1"/>
  <c r="S50" i="1"/>
  <c r="S51" i="1"/>
  <c r="S53" i="1"/>
  <c r="Q15" i="1"/>
  <c r="Q18" i="1"/>
  <c r="Q20" i="1"/>
  <c r="Q25" i="1"/>
  <c r="Q26" i="1"/>
  <c r="O35" i="1"/>
  <c r="O36" i="1"/>
  <c r="Q45" i="1"/>
  <c r="O39" i="1"/>
  <c r="Q46" i="1"/>
  <c r="O42" i="1"/>
  <c r="Q47" i="1"/>
  <c r="Q49" i="1"/>
  <c r="Q50" i="1"/>
  <c r="Q51" i="1"/>
  <c r="Q53" i="1"/>
  <c r="O15" i="1"/>
  <c r="O18" i="1"/>
  <c r="O20" i="1"/>
  <c r="O25" i="1"/>
  <c r="O26" i="1"/>
  <c r="M36" i="1"/>
  <c r="O45" i="1"/>
  <c r="M39" i="1"/>
  <c r="O46" i="1"/>
  <c r="M42" i="1"/>
  <c r="O47" i="1"/>
  <c r="O49" i="1"/>
  <c r="O50" i="1"/>
  <c r="O51" i="1"/>
  <c r="O53" i="1"/>
  <c r="M15" i="1"/>
  <c r="M18" i="1"/>
  <c r="M20" i="1"/>
  <c r="M25" i="1"/>
  <c r="M26" i="1"/>
  <c r="M45" i="1"/>
  <c r="M46" i="1"/>
  <c r="M47" i="1"/>
  <c r="M49" i="1"/>
  <c r="M50" i="1"/>
  <c r="M51" i="1"/>
  <c r="M53" i="1"/>
  <c r="K51" i="1"/>
  <c r="K53" i="1"/>
  <c r="G43" i="1"/>
  <c r="G40" i="1"/>
  <c r="K34" i="1"/>
  <c r="M34" i="1"/>
  <c r="O34" i="1"/>
  <c r="Q34" i="1"/>
  <c r="S34" i="1"/>
  <c r="G37" i="1"/>
  <c r="M37" i="1"/>
  <c r="O37" i="1"/>
  <c r="Q37" i="1"/>
  <c r="S37" i="1"/>
  <c r="K37" i="1"/>
  <c r="J28" i="1"/>
  <c r="E2" i="1"/>
  <c r="E4" i="1"/>
  <c r="E7" i="1"/>
  <c r="E6" i="1"/>
  <c r="F4" i="1"/>
  <c r="F7" i="1"/>
  <c r="F6" i="1"/>
  <c r="G4" i="1"/>
  <c r="G7" i="1"/>
  <c r="G6" i="1"/>
  <c r="H4" i="1"/>
  <c r="H7" i="1"/>
  <c r="H6" i="1"/>
  <c r="K6" i="1"/>
  <c r="M6" i="1"/>
  <c r="O6" i="1"/>
  <c r="Q6" i="1"/>
  <c r="Q27" i="1"/>
  <c r="Q30" i="1"/>
  <c r="S6" i="1"/>
  <c r="S32" i="1"/>
  <c r="O27" i="1"/>
  <c r="O30" i="1"/>
  <c r="Q32" i="1"/>
  <c r="M27" i="1"/>
  <c r="M30" i="1"/>
  <c r="O32" i="1"/>
  <c r="K30" i="1"/>
  <c r="M32" i="1"/>
  <c r="F14" i="1"/>
  <c r="F15" i="1"/>
  <c r="F20" i="1"/>
  <c r="F25" i="1"/>
  <c r="F26" i="1"/>
  <c r="F27" i="1"/>
  <c r="F30" i="1"/>
  <c r="G14" i="1"/>
  <c r="G15" i="1"/>
  <c r="G20" i="1"/>
  <c r="G25" i="1"/>
  <c r="G27" i="1"/>
  <c r="G30" i="1"/>
  <c r="H14" i="1"/>
  <c r="H15" i="1"/>
  <c r="H20" i="1"/>
  <c r="H25" i="1"/>
  <c r="H27" i="1"/>
  <c r="H30" i="1"/>
  <c r="I3" i="1"/>
  <c r="I6" i="1"/>
  <c r="I2" i="1"/>
  <c r="I15" i="1"/>
  <c r="I18" i="1"/>
  <c r="K32" i="1"/>
  <c r="T30" i="1"/>
  <c r="D14" i="1"/>
  <c r="D15" i="1"/>
  <c r="D20" i="1"/>
  <c r="D25" i="1"/>
  <c r="D27" i="1"/>
  <c r="D30" i="1"/>
  <c r="E14" i="1"/>
  <c r="E15" i="1"/>
  <c r="E20" i="1"/>
  <c r="E25" i="1"/>
  <c r="E26" i="1"/>
  <c r="E27" i="1"/>
  <c r="E30" i="1"/>
  <c r="T27" i="1"/>
  <c r="E9" i="1"/>
  <c r="E8" i="1"/>
  <c r="F8" i="1"/>
  <c r="G8" i="1"/>
  <c r="H31" i="1"/>
  <c r="I31" i="1"/>
  <c r="I4" i="1"/>
  <c r="I7" i="1"/>
  <c r="I28" i="1"/>
  <c r="I21" i="1"/>
  <c r="I17" i="1"/>
  <c r="K17" i="1"/>
  <c r="M17" i="1"/>
  <c r="O17" i="1"/>
  <c r="Q17" i="1"/>
  <c r="J32" i="1"/>
  <c r="T2" i="1"/>
  <c r="R2" i="1"/>
  <c r="P2" i="1"/>
  <c r="N2" i="1"/>
  <c r="D4" i="1"/>
  <c r="D7" i="1"/>
  <c r="D6" i="1"/>
  <c r="H8" i="1"/>
  <c r="S28" i="1"/>
  <c r="S21" i="1"/>
  <c r="S17" i="1"/>
  <c r="S4" i="1"/>
  <c r="Q4" i="1"/>
  <c r="O4" i="1"/>
  <c r="M4" i="1"/>
  <c r="K4" i="1"/>
  <c r="D5" i="1"/>
  <c r="E5" i="1"/>
  <c r="H16" i="1"/>
  <c r="G16" i="1"/>
  <c r="F16" i="1"/>
  <c r="E16" i="1"/>
  <c r="F10" i="1"/>
  <c r="G10" i="1"/>
  <c r="H10" i="1"/>
  <c r="E10" i="1"/>
  <c r="D17" i="1"/>
  <c r="H17" i="1"/>
  <c r="E17" i="1"/>
  <c r="F21" i="1"/>
  <c r="F17" i="1"/>
  <c r="G21" i="1"/>
  <c r="G28" i="1"/>
  <c r="G17" i="1"/>
  <c r="K21" i="1"/>
  <c r="H28" i="1"/>
  <c r="H21" i="1"/>
  <c r="E28" i="1"/>
  <c r="F28" i="1"/>
  <c r="D21" i="1"/>
  <c r="D28" i="1"/>
  <c r="E21" i="1"/>
  <c r="K28" i="1"/>
  <c r="M21" i="1"/>
  <c r="O21" i="1"/>
  <c r="M28" i="1"/>
  <c r="O28" i="1"/>
  <c r="Q21" i="1"/>
  <c r="Q28" i="1"/>
</calcChain>
</file>

<file path=xl/sharedStrings.xml><?xml version="1.0" encoding="utf-8"?>
<sst xmlns="http://schemas.openxmlformats.org/spreadsheetml/2006/main" count="61" uniqueCount="57">
  <si>
    <t>Gross margins</t>
  </si>
  <si>
    <t>COGS</t>
  </si>
  <si>
    <t>Gross Profit</t>
  </si>
  <si>
    <t>Emp costs</t>
  </si>
  <si>
    <t>Other expenses</t>
  </si>
  <si>
    <t>Op profit</t>
  </si>
  <si>
    <t>OPM</t>
  </si>
  <si>
    <t>Dep</t>
  </si>
  <si>
    <t>Int Costs</t>
  </si>
  <si>
    <t>Other income</t>
  </si>
  <si>
    <t>PBT</t>
  </si>
  <si>
    <t>Tax</t>
  </si>
  <si>
    <t>PAT</t>
  </si>
  <si>
    <t>NPM</t>
  </si>
  <si>
    <t>Rev from Operations</t>
  </si>
  <si>
    <t>Q3FY18</t>
  </si>
  <si>
    <t>Q2FY18</t>
  </si>
  <si>
    <t>Q1FY18</t>
  </si>
  <si>
    <t>Q3FY17</t>
  </si>
  <si>
    <t>Q4FY17</t>
  </si>
  <si>
    <t>Est FY19</t>
  </si>
  <si>
    <t>Est FY20</t>
  </si>
  <si>
    <t>Est FY21</t>
  </si>
  <si>
    <t>gwth</t>
  </si>
  <si>
    <t>Est FY22</t>
  </si>
  <si>
    <t>B2C</t>
  </si>
  <si>
    <t>B2C %</t>
  </si>
  <si>
    <t>B2C gwth YoY</t>
  </si>
  <si>
    <t>B2B</t>
  </si>
  <si>
    <t>B2B %</t>
  </si>
  <si>
    <t>B2B YoY Gwth</t>
  </si>
  <si>
    <t>5 yr cagr</t>
  </si>
  <si>
    <t>Q4FY18</t>
  </si>
  <si>
    <t>Q2FY17</t>
  </si>
  <si>
    <t>Q1FY17</t>
  </si>
  <si>
    <t>EPS</t>
  </si>
  <si>
    <t>No of shares</t>
  </si>
  <si>
    <t>Inventory</t>
  </si>
  <si>
    <t>working cap</t>
  </si>
  <si>
    <t>ocf</t>
  </si>
  <si>
    <t>financing cf</t>
  </si>
  <si>
    <t>investing cf</t>
  </si>
  <si>
    <t>payables</t>
  </si>
  <si>
    <t>Est FY23</t>
  </si>
  <si>
    <t>Net Cash</t>
  </si>
  <si>
    <t>Receivables days</t>
  </si>
  <si>
    <t>Inventory days</t>
  </si>
  <si>
    <t>payables days</t>
  </si>
  <si>
    <t>change in receivables</t>
  </si>
  <si>
    <t>change in inventory</t>
  </si>
  <si>
    <t>change in payables</t>
  </si>
  <si>
    <t>assumed maintenance capex of 100 cr per year</t>
  </si>
  <si>
    <t>Receivables B2B</t>
  </si>
  <si>
    <t>Receivables Total</t>
  </si>
  <si>
    <t>B2C CAGR last 6 yrs</t>
  </si>
  <si>
    <t>b2c cagr next 5 yrs</t>
  </si>
  <si>
    <t>Receivables B2C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</si>
</sst>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0" borderId="0" xfId="0" applyAlignment="1"/>
    <xf numFmtId="2" fontId="0" fillId="0" borderId="0" xfId="1" applyNumberFormat="1" applyFont="1"/>
    <xf numFmtId="0" fontId="0" fillId="2" borderId="0" xfId="0" applyFont="1" applyFill="1"/>
    <xf numFmtId="0" fontId="2" fillId="2" borderId="0" xfId="0" applyFont="1" applyFill="1"/>
    <xf numFmtId="10" fontId="2" fillId="2" borderId="0" xfId="1" applyNumberFormat="1" applyFont="1" applyFill="1"/>
    <xf numFmtId="0" fontId="0" fillId="2" borderId="0" xfId="0" applyFill="1"/>
    <xf numFmtId="2" fontId="0" fillId="2" borderId="0" xfId="0" applyNumberFormat="1" applyFill="1"/>
    <xf numFmtId="0" fontId="2" fillId="2" borderId="0" xfId="0" applyFont="1" applyFill="1" applyBorder="1"/>
    <xf numFmtId="10" fontId="2" fillId="2" borderId="0" xfId="1" applyNumberFormat="1" applyFont="1" applyFill="1" applyBorder="1"/>
    <xf numFmtId="9" fontId="0" fillId="0" borderId="0" xfId="0" applyNumberFormat="1"/>
    <xf numFmtId="164" fontId="0" fillId="2" borderId="0" xfId="0" applyNumberFormat="1" applyFont="1" applyFill="1"/>
    <xf numFmtId="0" fontId="0" fillId="0" borderId="0" xfId="0" applyFill="1"/>
    <xf numFmtId="164" fontId="0" fillId="0" borderId="0" xfId="1" applyNumberFormat="1" applyFont="1" applyFill="1"/>
    <xf numFmtId="0" fontId="0" fillId="0" borderId="0" xfId="0" applyFont="1" applyFill="1"/>
    <xf numFmtId="10" fontId="2" fillId="0" borderId="0" xfId="1" applyNumberFormat="1" applyFont="1" applyFill="1"/>
    <xf numFmtId="2" fontId="0" fillId="0" borderId="0" xfId="0" applyNumberFormat="1" applyFill="1"/>
    <xf numFmtId="10" fontId="2" fillId="0" borderId="0" xfId="1" applyNumberFormat="1" applyFont="1" applyFill="1" applyBorder="1"/>
    <xf numFmtId="9" fontId="0" fillId="0" borderId="0" xfId="1" applyNumberFormat="1" applyFont="1"/>
    <xf numFmtId="1" fontId="0" fillId="0" borderId="0" xfId="0" applyNumberFormat="1"/>
    <xf numFmtId="1" fontId="0" fillId="2" borderId="0" xfId="0" applyNumberFormat="1" applyFont="1" applyFill="1"/>
    <xf numFmtId="1" fontId="0" fillId="0" borderId="0" xfId="1" applyNumberFormat="1" applyFont="1"/>
    <xf numFmtId="1" fontId="0" fillId="2" borderId="0" xfId="0" applyNumberFormat="1" applyFill="1"/>
    <xf numFmtId="0" fontId="0" fillId="0" borderId="0" xfId="0" applyAlignment="1">
      <alignment horizontal="right"/>
    </xf>
    <xf numFmtId="10" fontId="0" fillId="0" borderId="0" xfId="0" applyNumberFormat="1" applyFont="1" applyFill="1"/>
    <xf numFmtId="2" fontId="0" fillId="0" borderId="0" xfId="0" applyNumberFormat="1"/>
    <xf numFmtId="0" fontId="2" fillId="0" borderId="0" xfId="0" applyFont="1" applyFill="1" applyBorder="1"/>
    <xf numFmtId="0" fontId="2" fillId="0" borderId="0" xfId="0" applyFont="1" applyFill="1"/>
    <xf numFmtId="2" fontId="2" fillId="0" borderId="0" xfId="1" applyNumberFormat="1" applyFont="1" applyFill="1" applyBorder="1"/>
    <xf numFmtId="2" fontId="2" fillId="0" borderId="0" xfId="0" applyNumberFormat="1" applyFont="1" applyFill="1"/>
    <xf numFmtId="1" fontId="0" fillId="0" borderId="0" xfId="0" applyNumberFormat="1" applyFill="1"/>
    <xf numFmtId="1" fontId="0" fillId="0" borderId="0" xfId="1" applyNumberFormat="1" applyFont="1" applyFill="1"/>
    <xf numFmtId="0" fontId="0" fillId="3" borderId="1" xfId="0" applyFill="1" applyBorder="1"/>
    <xf numFmtId="0" fontId="5" fillId="0" borderId="0" xfId="0" applyFont="1" applyAlignment="1">
      <alignment horizontal="right"/>
    </xf>
    <xf numFmtId="9" fontId="0" fillId="4" borderId="0" xfId="1" applyFont="1" applyFill="1"/>
    <xf numFmtId="164" fontId="0" fillId="4" borderId="0" xfId="1" applyNumberFormat="1" applyFont="1" applyFill="1"/>
    <xf numFmtId="165" fontId="0" fillId="0" borderId="0" xfId="0" applyNumberFormat="1"/>
    <xf numFmtId="9" fontId="0" fillId="2" borderId="0" xfId="1" applyFont="1" applyFill="1"/>
    <xf numFmtId="10" fontId="0" fillId="0" borderId="0" xfId="0" applyNumberFormat="1"/>
    <xf numFmtId="9" fontId="0" fillId="0" borderId="0" xfId="1" applyFont="1" applyFill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zoomScale="140" zoomScaleNormal="120" workbookViewId="0">
      <selection activeCell="U33" sqref="U33:U36"/>
    </sheetView>
  </sheetViews>
  <sheetFormatPr baseColWidth="10" defaultColWidth="8.83203125" defaultRowHeight="15" x14ac:dyDescent="0.2"/>
  <cols>
    <col min="1" max="1" width="19.5" bestFit="1" customWidth="1"/>
    <col min="2" max="3" width="8.1640625" customWidth="1"/>
    <col min="7" max="7" width="9.83203125" bestFit="1" customWidth="1"/>
    <col min="8" max="8" width="9.6640625" bestFit="1" customWidth="1"/>
    <col min="10" max="10" width="17" style="14" bestFit="1" customWidth="1"/>
    <col min="11" max="11" width="10.33203125" bestFit="1" customWidth="1"/>
    <col min="12" max="12" width="6.1640625" bestFit="1" customWidth="1"/>
    <col min="14" max="14" width="6.1640625" bestFit="1" customWidth="1"/>
    <col min="16" max="16" width="6.1640625" bestFit="1" customWidth="1"/>
  </cols>
  <sheetData>
    <row r="1" spans="1:21" x14ac:dyDescent="0.2">
      <c r="B1" t="s">
        <v>34</v>
      </c>
      <c r="C1" t="s">
        <v>33</v>
      </c>
      <c r="D1" t="s">
        <v>18</v>
      </c>
      <c r="E1" t="s">
        <v>19</v>
      </c>
      <c r="F1" t="s">
        <v>17</v>
      </c>
      <c r="G1" t="s">
        <v>16</v>
      </c>
      <c r="H1" t="s">
        <v>15</v>
      </c>
      <c r="I1" t="s">
        <v>32</v>
      </c>
      <c r="K1" t="s">
        <v>20</v>
      </c>
      <c r="L1" t="s">
        <v>23</v>
      </c>
      <c r="M1" t="s">
        <v>21</v>
      </c>
      <c r="N1" t="s">
        <v>23</v>
      </c>
      <c r="O1" t="s">
        <v>22</v>
      </c>
      <c r="P1" t="s">
        <v>23</v>
      </c>
      <c r="Q1" t="s">
        <v>24</v>
      </c>
      <c r="R1" t="s">
        <v>23</v>
      </c>
      <c r="S1" t="s">
        <v>43</v>
      </c>
      <c r="T1" t="s">
        <v>23</v>
      </c>
    </row>
    <row r="2" spans="1:21" x14ac:dyDescent="0.2">
      <c r="A2" t="s">
        <v>14</v>
      </c>
      <c r="B2">
        <v>147359.29</v>
      </c>
      <c r="C2">
        <v>154027.75</v>
      </c>
      <c r="D2" s="21">
        <v>158302.29999999999</v>
      </c>
      <c r="E2" s="21">
        <f>153437.21-2.11</f>
        <v>153435.1</v>
      </c>
      <c r="F2" s="21">
        <v>157196.08999999997</v>
      </c>
      <c r="G2" s="21">
        <v>167066.47</v>
      </c>
      <c r="H2" s="21">
        <v>177327.06</v>
      </c>
      <c r="I2" s="21">
        <f>I3+I6</f>
        <v>165445.89600000001</v>
      </c>
      <c r="J2" s="14" t="s">
        <v>54</v>
      </c>
      <c r="K2" s="21">
        <f>SUM(K3+K6)</f>
        <v>702415.81783399999</v>
      </c>
      <c r="L2" s="12">
        <f>K2/(SUM(F2:I2))-1</f>
        <v>5.3041106485850253E-2</v>
      </c>
      <c r="M2" s="21">
        <f>SUM(M3+M6)</f>
        <v>750776.62468605</v>
      </c>
      <c r="N2" s="12">
        <f>M2/K2-1</f>
        <v>6.8849256557429905E-2</v>
      </c>
      <c r="O2" s="21">
        <f>SUM(O3+O6)</f>
        <v>813415.71074424742</v>
      </c>
      <c r="P2" s="12">
        <f>O2/M2-1</f>
        <v>8.3432387208899783E-2</v>
      </c>
      <c r="Q2" s="21">
        <f>SUM(Q3+Q6)</f>
        <v>883341.34589795489</v>
      </c>
      <c r="R2" s="12">
        <f>Q2/O2-1</f>
        <v>8.5965434684963205E-2</v>
      </c>
      <c r="S2" s="21">
        <f>SUM(S3+S6)</f>
        <v>952655.82331200107</v>
      </c>
      <c r="T2" s="12">
        <f>S2/Q2-1</f>
        <v>7.8468507939685628E-2</v>
      </c>
      <c r="U2" t="s">
        <v>55</v>
      </c>
    </row>
    <row r="3" spans="1:21" x14ac:dyDescent="0.2">
      <c r="A3" t="s">
        <v>25</v>
      </c>
      <c r="B3">
        <v>59230</v>
      </c>
      <c r="C3">
        <v>60630</v>
      </c>
      <c r="D3">
        <v>61350</v>
      </c>
      <c r="E3">
        <v>62580</v>
      </c>
      <c r="F3">
        <v>65510</v>
      </c>
      <c r="G3">
        <v>63500</v>
      </c>
      <c r="H3">
        <v>75551.112779999996</v>
      </c>
      <c r="I3">
        <f>E3*(1+I5)</f>
        <v>78225</v>
      </c>
      <c r="J3" s="14">
        <f>2394*0.12*100</f>
        <v>28727.999999999996</v>
      </c>
      <c r="K3" s="21">
        <f>SUM(E3:H3)*(1+K5)</f>
        <v>333926.39097499999</v>
      </c>
      <c r="L3" s="12"/>
      <c r="M3" s="21">
        <f>K3*(1+M5)</f>
        <v>400711.66916999995</v>
      </c>
      <c r="N3" s="12"/>
      <c r="O3" s="21">
        <f>M3*(1+O5)</f>
        <v>480854.00300399994</v>
      </c>
      <c r="P3" s="12"/>
      <c r="Q3" s="21">
        <f>O3*(1+Q5)</f>
        <v>567407.72354471986</v>
      </c>
      <c r="R3" s="12"/>
      <c r="S3" s="21">
        <f>Q3*(1+S5)</f>
        <v>652518.88207642781</v>
      </c>
      <c r="T3" s="27">
        <f>SUM(F3:I3)</f>
        <v>282786.11277999997</v>
      </c>
      <c r="U3" s="36">
        <f>((S3/T3)^(1/5))-1</f>
        <v>0.18202592278367069</v>
      </c>
    </row>
    <row r="4" spans="1:21" x14ac:dyDescent="0.2">
      <c r="A4" t="s">
        <v>26</v>
      </c>
      <c r="B4" s="2">
        <f t="shared" ref="B4:I4" si="0">B3/B2</f>
        <v>0.40194276180348043</v>
      </c>
      <c r="C4" s="2">
        <f t="shared" si="0"/>
        <v>0.39363036855371841</v>
      </c>
      <c r="D4" s="2">
        <f t="shared" si="0"/>
        <v>0.38754964394073871</v>
      </c>
      <c r="E4" s="2">
        <f t="shared" si="0"/>
        <v>0.4078597400464431</v>
      </c>
      <c r="F4" s="2">
        <f t="shared" si="0"/>
        <v>0.41674064539391542</v>
      </c>
      <c r="G4" s="2">
        <f t="shared" si="0"/>
        <v>0.38008823673595304</v>
      </c>
      <c r="H4" s="2">
        <f t="shared" si="0"/>
        <v>0.42605518176413681</v>
      </c>
      <c r="I4" s="2">
        <f t="shared" si="0"/>
        <v>0.47281317875663714</v>
      </c>
      <c r="J4" s="37">
        <f>((SUM(F3:I3)/J3)^(1/6))-1</f>
        <v>0.46394731561530933</v>
      </c>
      <c r="K4" s="2">
        <f>K3/K2</f>
        <v>0.47539702622971952</v>
      </c>
      <c r="L4" s="12"/>
      <c r="M4" s="2">
        <f>M3/M2</f>
        <v>0.53372954883559987</v>
      </c>
      <c r="N4" s="12"/>
      <c r="O4" s="2">
        <f>O3/O2</f>
        <v>0.59115406384766656</v>
      </c>
      <c r="P4" s="12"/>
      <c r="Q4" s="2">
        <f>Q3/Q2</f>
        <v>0.64234253969842792</v>
      </c>
      <c r="R4" s="12"/>
      <c r="S4" s="2">
        <f>S3/S2</f>
        <v>0.68494714051910388</v>
      </c>
      <c r="T4" s="12"/>
    </row>
    <row r="5" spans="1:21" x14ac:dyDescent="0.2">
      <c r="A5" t="s">
        <v>27</v>
      </c>
      <c r="B5" s="40">
        <v>0.30630000000000002</v>
      </c>
      <c r="C5" s="40">
        <v>0.36030000000000001</v>
      </c>
      <c r="D5" s="12">
        <f>61350/44990-1</f>
        <v>0.36363636363636354</v>
      </c>
      <c r="E5" s="12">
        <f>62580/47850-1</f>
        <v>0.30783699059561132</v>
      </c>
      <c r="F5" s="12">
        <f>F3/B3-1</f>
        <v>0.1060273510045584</v>
      </c>
      <c r="G5" s="20">
        <f>G3/C3-1</f>
        <v>4.7336302160646548E-2</v>
      </c>
      <c r="H5" s="20">
        <f>H3/D3-1</f>
        <v>0.2314769809290953</v>
      </c>
      <c r="I5" s="12">
        <v>0.25</v>
      </c>
      <c r="J5" s="41"/>
      <c r="K5" s="12">
        <v>0.25</v>
      </c>
      <c r="L5" s="12"/>
      <c r="M5" s="12">
        <v>0.2</v>
      </c>
      <c r="N5" s="12"/>
      <c r="O5" s="12">
        <v>0.2</v>
      </c>
      <c r="P5" s="12"/>
      <c r="Q5" s="12">
        <v>0.18</v>
      </c>
      <c r="R5" s="12"/>
      <c r="S5" s="12">
        <v>0.15</v>
      </c>
      <c r="T5" s="12"/>
    </row>
    <row r="6" spans="1:21" x14ac:dyDescent="0.2">
      <c r="A6" t="s">
        <v>28</v>
      </c>
      <c r="B6" s="21">
        <f>B7*B2</f>
        <v>88129.290000000008</v>
      </c>
      <c r="C6" s="21">
        <f>C7*C2</f>
        <v>93397.750000000015</v>
      </c>
      <c r="D6" s="21">
        <f>D7*D2</f>
        <v>96952.3</v>
      </c>
      <c r="E6" s="21">
        <f t="shared" ref="E6:H6" si="1">E7*E2</f>
        <v>90855.1</v>
      </c>
      <c r="F6" s="21">
        <f t="shared" si="1"/>
        <v>91686.089999999967</v>
      </c>
      <c r="G6" s="21">
        <f t="shared" si="1"/>
        <v>103566.47</v>
      </c>
      <c r="H6" s="21">
        <f t="shared" si="1"/>
        <v>101775.94722</v>
      </c>
      <c r="I6" s="21">
        <f>E6*(1+I8)</f>
        <v>87220.896000000008</v>
      </c>
      <c r="K6" s="21">
        <f>SUM(E6:H6)*(1+K8)</f>
        <v>368489.426859</v>
      </c>
      <c r="L6" s="12"/>
      <c r="M6" s="21">
        <f>K6*(1+M8)</f>
        <v>350064.95551604999</v>
      </c>
      <c r="N6" s="12"/>
      <c r="O6" s="21">
        <f>M6*(1+O8)</f>
        <v>332561.70774024748</v>
      </c>
      <c r="P6" s="12"/>
      <c r="Q6" s="21">
        <f>O6*(1+Q8)</f>
        <v>315933.62235323509</v>
      </c>
      <c r="R6" s="12"/>
      <c r="S6" s="21">
        <f>Q6*(1+S8)</f>
        <v>300136.94123557332</v>
      </c>
      <c r="T6" s="12"/>
    </row>
    <row r="7" spans="1:21" x14ac:dyDescent="0.2">
      <c r="A7" t="s">
        <v>29</v>
      </c>
      <c r="B7" s="12">
        <f>1-B4</f>
        <v>0.59805723819651957</v>
      </c>
      <c r="C7" s="12">
        <f>1-C4</f>
        <v>0.60636963144628164</v>
      </c>
      <c r="D7" s="12">
        <f>1-D4</f>
        <v>0.61245035605926135</v>
      </c>
      <c r="E7" s="12">
        <f t="shared" ref="E7:I7" si="2">1-E4</f>
        <v>0.5921402599535569</v>
      </c>
      <c r="F7" s="12">
        <f t="shared" si="2"/>
        <v>0.58325935460608458</v>
      </c>
      <c r="G7" s="12">
        <f t="shared" si="2"/>
        <v>0.61991176326404696</v>
      </c>
      <c r="H7" s="12">
        <f t="shared" si="2"/>
        <v>0.57394481823586319</v>
      </c>
      <c r="I7" s="12">
        <f t="shared" si="2"/>
        <v>0.5271868212433628</v>
      </c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1" x14ac:dyDescent="0.2">
      <c r="A8" t="s">
        <v>30</v>
      </c>
      <c r="D8" s="12"/>
      <c r="E8" s="12">
        <f>(153390-62580)/(142210-47850)-1</f>
        <v>-3.7621873675286133E-2</v>
      </c>
      <c r="F8" s="12">
        <f>(157200-65510)/(147360-59230)-1</f>
        <v>4.039487121298091E-2</v>
      </c>
      <c r="G8" s="20">
        <f>(167330-63500)/(154210-60600)-1</f>
        <v>0.10917637004593517</v>
      </c>
      <c r="H8" s="12">
        <f>H6/D6-1</f>
        <v>4.9752787917357377E-2</v>
      </c>
      <c r="I8" s="12">
        <v>-0.04</v>
      </c>
      <c r="K8" s="12">
        <v>-0.05</v>
      </c>
      <c r="L8" s="12"/>
      <c r="M8" s="12">
        <v>-0.05</v>
      </c>
      <c r="N8" s="12"/>
      <c r="O8" s="12">
        <v>-0.05</v>
      </c>
      <c r="P8" s="12"/>
      <c r="Q8" s="12">
        <v>-0.05</v>
      </c>
      <c r="R8" s="12"/>
      <c r="S8" s="12">
        <v>-0.05</v>
      </c>
      <c r="T8" s="12"/>
    </row>
    <row r="9" spans="1:21" x14ac:dyDescent="0.2">
      <c r="D9" s="12"/>
      <c r="E9" s="12">
        <f>(613070-243790)/(565810-182760)-1</f>
        <v>-3.5948309620154051E-2</v>
      </c>
      <c r="F9" s="12"/>
      <c r="G9" s="20"/>
      <c r="H9" s="12"/>
      <c r="I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1" x14ac:dyDescent="0.2">
      <c r="E10" s="2">
        <f>E2/D2-1</f>
        <v>-3.0746236788726233E-2</v>
      </c>
      <c r="F10" s="2">
        <f t="shared" ref="F10:H10" si="3">F2/E2-1</f>
        <v>2.451192719266948E-2</v>
      </c>
      <c r="G10" s="2">
        <f t="shared" si="3"/>
        <v>6.2790238612169258E-2</v>
      </c>
      <c r="H10" s="2">
        <f t="shared" si="3"/>
        <v>6.1416213558591393E-2</v>
      </c>
      <c r="I10" s="2"/>
      <c r="K10" s="2"/>
      <c r="M10" s="2"/>
      <c r="O10" s="2"/>
      <c r="Q10" s="2"/>
      <c r="S10" s="2"/>
    </row>
    <row r="11" spans="1:21" x14ac:dyDescent="0.2">
      <c r="A11" s="3"/>
      <c r="B11" s="3">
        <v>117556.56</v>
      </c>
      <c r="C11" s="3">
        <v>109191.44</v>
      </c>
      <c r="D11">
        <v>132570.63</v>
      </c>
      <c r="E11">
        <v>130769.1</v>
      </c>
      <c r="F11">
        <v>129972.24</v>
      </c>
      <c r="G11">
        <v>123920.63</v>
      </c>
      <c r="H11">
        <v>130981.19</v>
      </c>
    </row>
    <row r="12" spans="1:21" x14ac:dyDescent="0.2">
      <c r="A12" s="3"/>
      <c r="B12" s="3">
        <v>19042.689999999999</v>
      </c>
      <c r="C12" s="3">
        <v>24904.06</v>
      </c>
      <c r="D12">
        <v>17916.5</v>
      </c>
      <c r="E12">
        <v>15825.46</v>
      </c>
      <c r="F12">
        <v>9324.75</v>
      </c>
      <c r="G12">
        <v>21857.3</v>
      </c>
      <c r="H12">
        <v>18555.310000000001</v>
      </c>
      <c r="J12" s="15"/>
    </row>
    <row r="13" spans="1:21" x14ac:dyDescent="0.2">
      <c r="A13" s="3"/>
      <c r="B13" s="3">
        <v>-3307.84</v>
      </c>
      <c r="C13" s="3">
        <v>5159.8900000000003</v>
      </c>
      <c r="D13">
        <v>-8611.17</v>
      </c>
      <c r="E13">
        <v>-9955.56</v>
      </c>
      <c r="F13">
        <v>1223.49</v>
      </c>
      <c r="G13">
        <v>3283.08</v>
      </c>
      <c r="H13">
        <v>8346.74</v>
      </c>
    </row>
    <row r="14" spans="1:21" s="5" customFormat="1" x14ac:dyDescent="0.2">
      <c r="A14" s="5" t="s">
        <v>1</v>
      </c>
      <c r="B14" s="5">
        <f t="shared" ref="B14" si="4">SUM(B11:B13)</f>
        <v>133291.41</v>
      </c>
      <c r="C14" s="5">
        <f t="shared" ref="C14:D14" si="5">SUM(C11:C13)</f>
        <v>139255.39000000001</v>
      </c>
      <c r="D14" s="5">
        <f t="shared" si="5"/>
        <v>141875.96</v>
      </c>
      <c r="E14" s="5">
        <f>SUM(E11:E13)</f>
        <v>136639</v>
      </c>
      <c r="F14" s="5">
        <f>SUM(F11:F13)</f>
        <v>140520.47999999998</v>
      </c>
      <c r="G14" s="5">
        <f>SUM(G11:G13)</f>
        <v>149061.00999999998</v>
      </c>
      <c r="H14" s="5">
        <f>SUM(H11:H13)</f>
        <v>157883.24</v>
      </c>
      <c r="J14" s="16"/>
    </row>
    <row r="15" spans="1:21" s="5" customFormat="1" x14ac:dyDescent="0.2">
      <c r="A15" s="5" t="s">
        <v>2</v>
      </c>
      <c r="B15" s="5">
        <f t="shared" ref="B15" si="6">B2-B14</f>
        <v>14067.880000000005</v>
      </c>
      <c r="C15" s="5">
        <f t="shared" ref="C15:D15" si="7">C2-C14</f>
        <v>14772.359999999986</v>
      </c>
      <c r="D15" s="5">
        <f t="shared" si="7"/>
        <v>16426.339999999997</v>
      </c>
      <c r="E15" s="5">
        <f>E2-E14</f>
        <v>16796.100000000006</v>
      </c>
      <c r="F15" s="5">
        <f>F2-F14</f>
        <v>16675.609999999986</v>
      </c>
      <c r="G15" s="5">
        <f>G2-G14</f>
        <v>18005.460000000021</v>
      </c>
      <c r="H15" s="5">
        <f>H2-H14</f>
        <v>19443.820000000007</v>
      </c>
      <c r="I15" s="22">
        <f>J15*I2</f>
        <v>18447.217404000003</v>
      </c>
      <c r="J15" s="26">
        <v>0.1115</v>
      </c>
      <c r="K15" s="22">
        <f>L15*K2</f>
        <v>79724.195324158994</v>
      </c>
      <c r="L15" s="13">
        <v>0.1135</v>
      </c>
      <c r="M15" s="22">
        <f>N15*M2</f>
        <v>87090.088463581807</v>
      </c>
      <c r="N15" s="13">
        <v>0.11600000000000001</v>
      </c>
      <c r="O15" s="22">
        <f>P15*O2</f>
        <v>95983.053867821189</v>
      </c>
      <c r="P15" s="13">
        <v>0.11799999999999999</v>
      </c>
      <c r="Q15" s="22">
        <f>R15*Q2</f>
        <v>106000.96150775459</v>
      </c>
      <c r="R15" s="13">
        <v>0.12</v>
      </c>
      <c r="S15" s="22">
        <f>T15*S2</f>
        <v>115271.35462075213</v>
      </c>
      <c r="T15" s="13">
        <v>0.121</v>
      </c>
    </row>
    <row r="16" spans="1:21" s="5" customFormat="1" x14ac:dyDescent="0.2">
      <c r="D16" s="2">
        <f>D15/C15-1</f>
        <v>0.11196450668681313</v>
      </c>
      <c r="E16" s="2">
        <f>E15/D15-1</f>
        <v>2.2510187905522949E-2</v>
      </c>
      <c r="F16" s="2">
        <f t="shared" ref="F16" si="8">F15/E15-1</f>
        <v>-7.1736891302158767E-3</v>
      </c>
      <c r="G16" s="2">
        <f t="shared" ref="G16" si="9">G15/F15-1</f>
        <v>7.9748207112065872E-2</v>
      </c>
      <c r="H16" s="2">
        <f t="shared" ref="H16" si="10">H15/G15-1</f>
        <v>7.9884657209534415E-2</v>
      </c>
      <c r="I16" s="2"/>
      <c r="J16" s="15"/>
    </row>
    <row r="17" spans="1:24" s="6" customFormat="1" x14ac:dyDescent="0.2">
      <c r="A17" s="6" t="s">
        <v>0</v>
      </c>
      <c r="B17" s="7">
        <f t="shared" ref="B17" si="11">B15/B2</f>
        <v>9.5466529460070032E-2</v>
      </c>
      <c r="C17" s="7">
        <f t="shared" ref="C17:D17" si="12">C15/C2</f>
        <v>9.5907133617156554E-2</v>
      </c>
      <c r="D17" s="7">
        <f t="shared" si="12"/>
        <v>0.10376564332925041</v>
      </c>
      <c r="E17" s="7">
        <f>E15/E2</f>
        <v>0.10946712975062424</v>
      </c>
      <c r="F17" s="7">
        <f>F15/F2</f>
        <v>0.10608158256353571</v>
      </c>
      <c r="G17" s="7">
        <f>G15/G2</f>
        <v>0.10777422902393294</v>
      </c>
      <c r="H17" s="7">
        <f>H15/H2</f>
        <v>0.10964948045718463</v>
      </c>
      <c r="I17" s="7">
        <f>I15/I2</f>
        <v>0.11150000000000002</v>
      </c>
      <c r="J17" s="17"/>
      <c r="K17" s="7">
        <f>K15/K2</f>
        <v>0.11349999999999999</v>
      </c>
      <c r="M17" s="7">
        <f>M15/M2</f>
        <v>0.11600000000000001</v>
      </c>
      <c r="O17" s="7">
        <f>O15/O2</f>
        <v>0.11799999999999999</v>
      </c>
      <c r="Q17" s="7">
        <f>Q15/Q2</f>
        <v>0.12000000000000001</v>
      </c>
      <c r="S17" s="7">
        <f>S15/S2</f>
        <v>0.121</v>
      </c>
    </row>
    <row r="18" spans="1:24" x14ac:dyDescent="0.2">
      <c r="A18" t="s">
        <v>3</v>
      </c>
      <c r="B18">
        <v>1019.87</v>
      </c>
      <c r="C18">
        <v>864.03</v>
      </c>
      <c r="D18">
        <v>1001.32</v>
      </c>
      <c r="E18">
        <v>900.2</v>
      </c>
      <c r="F18">
        <v>983.26</v>
      </c>
      <c r="G18">
        <v>1122.67</v>
      </c>
      <c r="H18">
        <v>1875.54</v>
      </c>
      <c r="I18" s="27">
        <f>1.1%*I2</f>
        <v>1819.9048560000003</v>
      </c>
      <c r="K18" s="21">
        <f>1%*K2</f>
        <v>7024.1581783399997</v>
      </c>
      <c r="L18" s="21"/>
      <c r="M18" s="21">
        <f>1%*M2</f>
        <v>7507.7662468605004</v>
      </c>
      <c r="N18" s="21"/>
      <c r="O18" s="21">
        <f>1%*O2</f>
        <v>8134.1571074424746</v>
      </c>
      <c r="P18" s="21"/>
      <c r="Q18" s="21">
        <f>1%*Q2</f>
        <v>8833.4134589795485</v>
      </c>
      <c r="R18" s="21"/>
      <c r="S18" s="21">
        <f>1%*S2</f>
        <v>9526.5582331200112</v>
      </c>
    </row>
    <row r="19" spans="1:24" x14ac:dyDescent="0.2">
      <c r="A19" t="s">
        <v>4</v>
      </c>
      <c r="B19">
        <v>3475.55</v>
      </c>
      <c r="C19">
        <v>3579.43</v>
      </c>
      <c r="D19">
        <v>4663.09</v>
      </c>
      <c r="E19">
        <v>5356.92</v>
      </c>
      <c r="F19">
        <v>4832.72</v>
      </c>
      <c r="G19">
        <v>5178.1499999999996</v>
      </c>
      <c r="H19">
        <v>4823.92</v>
      </c>
      <c r="I19" s="27">
        <f>3%*I2</f>
        <v>4963.3768799999998</v>
      </c>
      <c r="K19" s="23">
        <f>2.9%*K2</f>
        <v>20370.058717185999</v>
      </c>
      <c r="L19" s="21"/>
      <c r="M19" s="23">
        <f>2.9%*M2</f>
        <v>21772.522115895448</v>
      </c>
      <c r="N19" s="21"/>
      <c r="O19" s="23">
        <f>2.9%*O2</f>
        <v>23589.055611583175</v>
      </c>
      <c r="P19" s="21"/>
      <c r="Q19" s="23">
        <f>2.9%*Q2</f>
        <v>25616.899031040692</v>
      </c>
      <c r="R19" s="21"/>
      <c r="S19" s="23">
        <f>2.9%*S2</f>
        <v>27627.018876048031</v>
      </c>
    </row>
    <row r="20" spans="1:24" s="5" customFormat="1" x14ac:dyDescent="0.2">
      <c r="A20" s="5" t="s">
        <v>5</v>
      </c>
      <c r="B20" s="5">
        <f t="shared" ref="B20" si="13">B15-B18-B19</f>
        <v>9572.4600000000028</v>
      </c>
      <c r="C20" s="5">
        <f t="shared" ref="C20:D20" si="14">C15-C18-C19</f>
        <v>10328.899999999985</v>
      </c>
      <c r="D20" s="5">
        <f t="shared" si="14"/>
        <v>10761.929999999997</v>
      </c>
      <c r="E20" s="5">
        <f>E15-E18-E19</f>
        <v>10538.980000000005</v>
      </c>
      <c r="F20" s="5">
        <f>F15-F18-F19</f>
        <v>10859.629999999986</v>
      </c>
      <c r="G20" s="5">
        <f>G15-G18-G19</f>
        <v>11704.640000000023</v>
      </c>
      <c r="H20" s="5">
        <f>H15-H18-H19</f>
        <v>12744.360000000006</v>
      </c>
      <c r="I20" s="5">
        <f>I15-I18-I19</f>
        <v>11663.935668000002</v>
      </c>
      <c r="J20" s="16"/>
      <c r="K20" s="22">
        <f>K15-K18-K19</f>
        <v>52329.978428632996</v>
      </c>
      <c r="L20" s="39">
        <f>K20/SUM(F20:I20)-1</f>
        <v>0.11405407996018191</v>
      </c>
      <c r="M20" s="22">
        <f>M15-M18-M19</f>
        <v>57809.800100825858</v>
      </c>
      <c r="N20" s="22"/>
      <c r="O20" s="22">
        <f>O15-O18-O19</f>
        <v>64259.841148795545</v>
      </c>
      <c r="P20" s="22"/>
      <c r="Q20" s="22">
        <f>Q15-Q18-Q19</f>
        <v>71550.649017734351</v>
      </c>
      <c r="R20" s="22"/>
      <c r="S20" s="22">
        <f>S15-S18-S19</f>
        <v>78117.777511584078</v>
      </c>
    </row>
    <row r="21" spans="1:24" s="6" customFormat="1" x14ac:dyDescent="0.2">
      <c r="A21" s="6" t="s">
        <v>6</v>
      </c>
      <c r="B21" s="7">
        <f t="shared" ref="B21" si="15">B20/B2</f>
        <v>6.4960003539647912E-2</v>
      </c>
      <c r="C21" s="7">
        <f t="shared" ref="C21:D21" si="16">C20/C2</f>
        <v>6.7058695592190271E-2</v>
      </c>
      <c r="D21" s="7">
        <f t="shared" si="16"/>
        <v>6.7983408958682198E-2</v>
      </c>
      <c r="E21" s="7">
        <f>E20/E2</f>
        <v>6.8686891069905151E-2</v>
      </c>
      <c r="F21" s="7">
        <f>F20/F2</f>
        <v>6.9083334070204852E-2</v>
      </c>
      <c r="G21" s="7">
        <f>G20/G2</f>
        <v>7.00597792004585E-2</v>
      </c>
      <c r="H21" s="7">
        <f>H20/H2</f>
        <v>7.1869234171028418E-2</v>
      </c>
      <c r="I21" s="7">
        <f>I20/I2</f>
        <v>7.0500000000000007E-2</v>
      </c>
      <c r="J21" s="17"/>
      <c r="K21" s="7">
        <f>K20/K2</f>
        <v>7.4499999999999997E-2</v>
      </c>
      <c r="M21" s="7">
        <f>M20/M2</f>
        <v>7.7000000000000013E-2</v>
      </c>
      <c r="O21" s="7">
        <f>O20/O2</f>
        <v>7.9000000000000001E-2</v>
      </c>
      <c r="Q21" s="7">
        <f>Q20/Q2</f>
        <v>8.1000000000000003E-2</v>
      </c>
      <c r="S21" s="7">
        <f>S20/S2</f>
        <v>8.199999999999999E-2</v>
      </c>
    </row>
    <row r="22" spans="1:24" x14ac:dyDescent="0.2">
      <c r="A22" t="s">
        <v>9</v>
      </c>
      <c r="B22">
        <v>889.04</v>
      </c>
      <c r="C22">
        <v>187.01</v>
      </c>
      <c r="D22" s="4">
        <v>503.38</v>
      </c>
      <c r="E22" s="4">
        <v>-248.77</v>
      </c>
      <c r="F22" s="4">
        <v>120.32</v>
      </c>
      <c r="G22" s="4">
        <v>264.29000000000002</v>
      </c>
      <c r="H22" s="4">
        <v>22.97</v>
      </c>
      <c r="I22" s="4">
        <v>20</v>
      </c>
      <c r="J22" s="33">
        <v>150000</v>
      </c>
      <c r="K22" s="23">
        <v>20</v>
      </c>
      <c r="L22" s="21"/>
      <c r="M22" s="23">
        <v>20</v>
      </c>
      <c r="N22" s="21"/>
      <c r="O22" s="23">
        <v>20</v>
      </c>
      <c r="P22" s="21"/>
      <c r="Q22" s="23">
        <v>20</v>
      </c>
      <c r="R22" s="21"/>
      <c r="S22" s="23">
        <v>20</v>
      </c>
    </row>
    <row r="23" spans="1:24" x14ac:dyDescent="0.2">
      <c r="A23" t="s">
        <v>7</v>
      </c>
      <c r="B23">
        <v>296.13</v>
      </c>
      <c r="C23">
        <v>302.02</v>
      </c>
      <c r="D23">
        <v>298.97000000000003</v>
      </c>
      <c r="E23">
        <v>1274.27</v>
      </c>
      <c r="F23">
        <v>2378.9899999999998</v>
      </c>
      <c r="G23">
        <v>3431.74</v>
      </c>
      <c r="H23">
        <v>3455.39</v>
      </c>
      <c r="I23">
        <v>3500</v>
      </c>
      <c r="J23" s="34">
        <v>41000</v>
      </c>
      <c r="K23" s="21">
        <v>13000</v>
      </c>
      <c r="L23" s="21"/>
      <c r="M23" s="21">
        <v>12500</v>
      </c>
      <c r="N23" s="21"/>
      <c r="O23" s="21">
        <v>12500</v>
      </c>
      <c r="P23" s="21"/>
      <c r="Q23" s="21">
        <v>12500</v>
      </c>
      <c r="R23" s="21"/>
      <c r="S23" s="21">
        <v>12500</v>
      </c>
    </row>
    <row r="24" spans="1:24" x14ac:dyDescent="0.2">
      <c r="A24" t="s">
        <v>8</v>
      </c>
      <c r="B24">
        <v>3809.04</v>
      </c>
      <c r="C24">
        <v>3857.46</v>
      </c>
      <c r="D24">
        <v>4070.39</v>
      </c>
      <c r="E24">
        <v>5253.38</v>
      </c>
      <c r="F24">
        <v>4978.42</v>
      </c>
      <c r="G24">
        <v>5113.8900000000003</v>
      </c>
      <c r="H24">
        <v>5619.97</v>
      </c>
      <c r="I24">
        <v>5700</v>
      </c>
      <c r="J24" s="32">
        <f>J22-J23</f>
        <v>109000</v>
      </c>
      <c r="K24" s="21">
        <f>15%*$J$24</f>
        <v>16350</v>
      </c>
      <c r="L24" s="21"/>
      <c r="M24" s="21">
        <f>14%*($J$24-10000)</f>
        <v>13860.000000000002</v>
      </c>
      <c r="N24" s="21"/>
      <c r="O24" s="21">
        <f>14%*($J$24-10000-15000)</f>
        <v>11760.000000000002</v>
      </c>
      <c r="P24" s="21"/>
      <c r="Q24" s="21">
        <f>14%*($J$24-10000-15000-20000)</f>
        <v>8960</v>
      </c>
      <c r="R24" s="21"/>
      <c r="S24" s="21">
        <f>14%*($J$24-10000-15000-20000-25000)</f>
        <v>5460.0000000000009</v>
      </c>
    </row>
    <row r="25" spans="1:24" s="8" customFormat="1" x14ac:dyDescent="0.2">
      <c r="A25" s="8" t="s">
        <v>10</v>
      </c>
      <c r="B25" s="9">
        <f t="shared" ref="B25:D25" si="17">B20+B22-B23-B24</f>
        <v>6356.3300000000045</v>
      </c>
      <c r="C25" s="9">
        <f t="shared" si="17"/>
        <v>6356.4299999999848</v>
      </c>
      <c r="D25" s="9">
        <f t="shared" si="17"/>
        <v>6895.9499999999971</v>
      </c>
      <c r="E25" s="9">
        <f>E20+E22-E23-E24</f>
        <v>3762.560000000004</v>
      </c>
      <c r="F25" s="9">
        <f>F20+F22-F23-F24</f>
        <v>3622.5399999999863</v>
      </c>
      <c r="G25" s="9">
        <f>G20+G22-G23-G24</f>
        <v>3423.3000000000238</v>
      </c>
      <c r="H25" s="9">
        <f>H20+H22-H23-H24</f>
        <v>3691.9700000000057</v>
      </c>
      <c r="I25" s="9">
        <f>I20+I22-I23-I24</f>
        <v>2483.9356680000019</v>
      </c>
      <c r="J25" s="18"/>
      <c r="K25" s="24">
        <f>K20+K22-K23-K24</f>
        <v>22999.978428632996</v>
      </c>
      <c r="L25" s="39">
        <f>K25/SUM(F25:I25)-1</f>
        <v>0.73955686383370578</v>
      </c>
      <c r="M25" s="24">
        <f>M20+M22-M23-M24</f>
        <v>31469.800100825858</v>
      </c>
      <c r="N25" s="24"/>
      <c r="O25" s="24">
        <f>O20+O22-O23-O24</f>
        <v>40019.841148795545</v>
      </c>
      <c r="P25" s="24"/>
      <c r="Q25" s="24">
        <f>Q20+Q22-Q23-Q24</f>
        <v>50110.649017734351</v>
      </c>
      <c r="R25" s="24"/>
      <c r="S25" s="24">
        <f>S20+S22-S23-S24</f>
        <v>60177.777511584078</v>
      </c>
    </row>
    <row r="26" spans="1:24" x14ac:dyDescent="0.2">
      <c r="A26" t="s">
        <v>11</v>
      </c>
      <c r="B26">
        <v>2128.9699999999998</v>
      </c>
      <c r="C26">
        <v>2148.7800000000002</v>
      </c>
      <c r="D26">
        <v>2386.0100000000002</v>
      </c>
      <c r="E26">
        <f>-19.82+296.56</f>
        <v>276.74</v>
      </c>
      <c r="F26">
        <f>974.97-140.07</f>
        <v>834.90000000000009</v>
      </c>
      <c r="G26">
        <v>1322.89</v>
      </c>
      <c r="H26">
        <v>1598.07</v>
      </c>
      <c r="I26" s="21">
        <f>33%*I25</f>
        <v>819.69877044000066</v>
      </c>
      <c r="J26" s="14">
        <v>11000</v>
      </c>
      <c r="K26" s="21">
        <f>33%*K25</f>
        <v>7589.9928814488894</v>
      </c>
      <c r="L26" s="21"/>
      <c r="M26" s="21">
        <f>33%*M25</f>
        <v>10385.034033272534</v>
      </c>
      <c r="N26" s="21"/>
      <c r="O26" s="21">
        <f>33%*O25</f>
        <v>13206.547579102531</v>
      </c>
      <c r="P26" s="21"/>
      <c r="Q26" s="21">
        <f>33%*Q25</f>
        <v>16536.514175852335</v>
      </c>
      <c r="R26" s="21"/>
      <c r="S26" s="21">
        <f>33%*S25</f>
        <v>19858.666578822747</v>
      </c>
    </row>
    <row r="27" spans="1:24" s="8" customFormat="1" x14ac:dyDescent="0.2">
      <c r="A27" s="8" t="s">
        <v>12</v>
      </c>
      <c r="B27" s="9">
        <f t="shared" ref="B27" si="18">B25-B26</f>
        <v>4227.3600000000042</v>
      </c>
      <c r="C27" s="9">
        <f t="shared" ref="C27:D27" si="19">C25-C26</f>
        <v>4207.6499999999851</v>
      </c>
      <c r="D27" s="9">
        <f t="shared" si="19"/>
        <v>4509.9399999999969</v>
      </c>
      <c r="E27" s="9">
        <f>E25-E26</f>
        <v>3485.8200000000043</v>
      </c>
      <c r="F27" s="9">
        <f>F25-F26</f>
        <v>2787.6399999999862</v>
      </c>
      <c r="G27" s="9">
        <f>G25-G26</f>
        <v>2100.4100000000235</v>
      </c>
      <c r="H27" s="9">
        <f>H25-H26</f>
        <v>2093.900000000006</v>
      </c>
      <c r="I27" s="9">
        <f>I25-I26</f>
        <v>1664.2368975600011</v>
      </c>
      <c r="J27" s="18">
        <f>J23/J26</f>
        <v>3.7272727272727271</v>
      </c>
      <c r="K27" s="24">
        <f>K25-K26</f>
        <v>15409.985547184107</v>
      </c>
      <c r="L27" s="39">
        <f>K27/SUM(F27:I27)-1</f>
        <v>0.78228688897910081</v>
      </c>
      <c r="M27" s="24">
        <f>M25-M26</f>
        <v>21084.766067553326</v>
      </c>
      <c r="N27" s="24"/>
      <c r="O27" s="24">
        <f>O25-O26</f>
        <v>26813.293569693014</v>
      </c>
      <c r="P27" s="24"/>
      <c r="Q27" s="24">
        <f>Q25-Q26</f>
        <v>33574.134841882013</v>
      </c>
      <c r="R27" s="24"/>
      <c r="S27" s="24">
        <f>S25-S26</f>
        <v>40319.11093276133</v>
      </c>
      <c r="T27" s="8">
        <f>S27/G32</f>
        <v>4.6632245416924212</v>
      </c>
    </row>
    <row r="28" spans="1:24" s="6" customFormat="1" x14ac:dyDescent="0.2">
      <c r="A28" s="10" t="s">
        <v>13</v>
      </c>
      <c r="B28" s="11">
        <f t="shared" ref="B28" si="20">B27/B2</f>
        <v>2.8687434636798289E-2</v>
      </c>
      <c r="C28" s="11">
        <f t="shared" ref="C28:D28" si="21">C27/C2</f>
        <v>2.7317480129392172E-2</v>
      </c>
      <c r="D28" s="11">
        <f t="shared" si="21"/>
        <v>2.848941550438621E-2</v>
      </c>
      <c r="E28" s="11">
        <f>E27/E2</f>
        <v>2.2718530505731766E-2</v>
      </c>
      <c r="F28" s="11">
        <f>F27/F2</f>
        <v>1.7733519962233074E-2</v>
      </c>
      <c r="G28" s="11">
        <f>G27/G2</f>
        <v>1.257230131216649E-2</v>
      </c>
      <c r="H28" s="11">
        <f>H27/H2</f>
        <v>1.1808124490419037E-2</v>
      </c>
      <c r="I28" s="11">
        <f>I27/I2</f>
        <v>1.0059100514406238E-2</v>
      </c>
      <c r="J28" s="19">
        <f>J27/I29</f>
        <v>0.1566153363085154</v>
      </c>
      <c r="K28" s="11">
        <f>K27/K2</f>
        <v>2.1938551433398824E-2</v>
      </c>
      <c r="M28" s="11">
        <f>M27/M2</f>
        <v>2.8083940514757343E-2</v>
      </c>
      <c r="O28" s="11">
        <f>O27/O2</f>
        <v>3.2963825526752824E-2</v>
      </c>
      <c r="Q28" s="11">
        <f>Q27/Q2</f>
        <v>3.8008109772958092E-2</v>
      </c>
      <c r="S28" s="11">
        <f>S27/S2</f>
        <v>4.2322851491725523E-2</v>
      </c>
    </row>
    <row r="29" spans="1:24" s="29" customFormat="1" x14ac:dyDescent="0.2">
      <c r="A29" s="28" t="s">
        <v>36</v>
      </c>
      <c r="B29" s="30">
        <v>23.427499999999998</v>
      </c>
      <c r="C29" s="30">
        <v>23.608499999999999</v>
      </c>
      <c r="D29" s="30">
        <v>23.608499999999999</v>
      </c>
      <c r="E29" s="30">
        <v>23.608499999999999</v>
      </c>
      <c r="F29" s="30">
        <v>23.608499999999999</v>
      </c>
      <c r="G29" s="30">
        <v>23.788900000000002</v>
      </c>
      <c r="H29" s="30">
        <v>23.7989</v>
      </c>
      <c r="I29" s="30">
        <v>23.7989</v>
      </c>
      <c r="J29" s="30"/>
      <c r="K29" s="30">
        <f>I29+$J$27</f>
        <v>27.526172727272726</v>
      </c>
      <c r="L29" s="31"/>
      <c r="M29" s="30">
        <f>K29</f>
        <v>27.526172727272726</v>
      </c>
      <c r="N29" s="31"/>
      <c r="O29" s="30">
        <f>M29</f>
        <v>27.526172727272726</v>
      </c>
      <c r="P29" s="31"/>
      <c r="Q29" s="30">
        <f>O29</f>
        <v>27.526172727272726</v>
      </c>
      <c r="R29" s="31"/>
      <c r="S29" s="30">
        <f>Q29</f>
        <v>27.526172727272726</v>
      </c>
      <c r="T29" s="31"/>
    </row>
    <row r="30" spans="1:24" s="29" customFormat="1" x14ac:dyDescent="0.2">
      <c r="A30" s="28" t="s">
        <v>35</v>
      </c>
      <c r="B30" s="30">
        <f t="shared" ref="B30:C30" si="22">B27/(B29*100)</f>
        <v>1.8044434958915823</v>
      </c>
      <c r="C30" s="30">
        <f t="shared" si="22"/>
        <v>1.782260626469274</v>
      </c>
      <c r="D30" s="30">
        <f t="shared" ref="D30:G30" si="23">D27/(D29*100)</f>
        <v>1.9103034923862157</v>
      </c>
      <c r="E30" s="30">
        <f t="shared" si="23"/>
        <v>1.4765105788169535</v>
      </c>
      <c r="F30" s="30">
        <f t="shared" si="23"/>
        <v>1.1807781095791712</v>
      </c>
      <c r="G30" s="30">
        <f t="shared" si="23"/>
        <v>0.8829370000294352</v>
      </c>
      <c r="H30" s="30">
        <f>H27/(H29*100)</f>
        <v>0.8798305804049793</v>
      </c>
      <c r="I30" s="30">
        <f>I27/(I29*100)</f>
        <v>0.69929152085180457</v>
      </c>
      <c r="J30" s="30"/>
      <c r="K30" s="30">
        <f>K27/(K29*100)</f>
        <v>5.5983030041499404</v>
      </c>
      <c r="L30" s="31"/>
      <c r="M30" s="30">
        <f>M27/(M29*100)</f>
        <v>7.6598974643004754</v>
      </c>
      <c r="N30" s="31"/>
      <c r="O30" s="30">
        <f>O27/(O29*100)</f>
        <v>9.741017698085793</v>
      </c>
      <c r="P30" s="31"/>
      <c r="Q30" s="30">
        <f>Q27/(Q29*100)</f>
        <v>12.197167828063874</v>
      </c>
      <c r="R30" s="31"/>
      <c r="S30" s="30">
        <f>S27/(S29*100)</f>
        <v>14.647554286692916</v>
      </c>
      <c r="T30" s="31">
        <f>S30/SUM(F30:I30)</f>
        <v>4.0209192557394715</v>
      </c>
      <c r="V30" s="31"/>
    </row>
    <row r="31" spans="1:24" x14ac:dyDescent="0.2">
      <c r="D31" s="2"/>
      <c r="E31" s="2"/>
      <c r="F31" s="2"/>
      <c r="G31" s="2"/>
      <c r="H31" s="2">
        <f>H27/D27-1</f>
        <v>-0.53571444409459823</v>
      </c>
      <c r="I31" s="2">
        <f>I27/E27-1</f>
        <v>-0.52256946785548331</v>
      </c>
      <c r="R31" t="s">
        <v>31</v>
      </c>
      <c r="S31" s="1">
        <f>(S30/SUM(F30:I30))^(1/5)-1</f>
        <v>0.32088518878731431</v>
      </c>
      <c r="V31" s="38"/>
      <c r="W31" s="38"/>
    </row>
    <row r="32" spans="1:24" x14ac:dyDescent="0.2">
      <c r="E32" s="1"/>
      <c r="G32" s="27">
        <f>SUM(F27:I27)</f>
        <v>8646.1868975600173</v>
      </c>
      <c r="J32" s="14">
        <f>605*12%*100</f>
        <v>7259.9999999999991</v>
      </c>
      <c r="K32" s="1">
        <f>K30/SUM(F30:I30)-1</f>
        <v>0.53679746859179889</v>
      </c>
      <c r="M32" s="1">
        <f>M30/K30-1</f>
        <v>0.36825346156188843</v>
      </c>
      <c r="O32" s="1">
        <f>O30/M30-1</f>
        <v>0.27169035140281372</v>
      </c>
      <c r="Q32" s="1">
        <f>Q30/O30-1</f>
        <v>0.25214512549964252</v>
      </c>
      <c r="S32" s="1">
        <f>S30/Q30-1</f>
        <v>0.20089798657939806</v>
      </c>
      <c r="V32" s="38"/>
      <c r="W32" s="38"/>
      <c r="X32" s="38"/>
    </row>
    <row r="33" spans="4:21" x14ac:dyDescent="0.2">
      <c r="E33" s="23"/>
      <c r="F33" s="2"/>
      <c r="G33" s="2"/>
      <c r="H33" s="2"/>
      <c r="I33" s="2"/>
      <c r="U33" s="38"/>
    </row>
    <row r="34" spans="4:21" x14ac:dyDescent="0.2">
      <c r="D34" s="2"/>
      <c r="F34" s="25"/>
      <c r="J34" s="14" t="s">
        <v>52</v>
      </c>
      <c r="K34">
        <f>95*K6/365</f>
        <v>95908.206990698629</v>
      </c>
      <c r="M34">
        <f t="shared" ref="M34:S34" si="24">95*M6/365</f>
        <v>91112.796641163688</v>
      </c>
      <c r="O34">
        <f t="shared" si="24"/>
        <v>86557.156809105509</v>
      </c>
      <c r="Q34">
        <f t="shared" si="24"/>
        <v>82229.298968650226</v>
      </c>
      <c r="S34">
        <f t="shared" si="24"/>
        <v>78117.834020217706</v>
      </c>
      <c r="U34" s="38"/>
    </row>
    <row r="35" spans="4:21" x14ac:dyDescent="0.2">
      <c r="E35" s="1"/>
      <c r="F35" s="25"/>
      <c r="J35" s="14" t="s">
        <v>56</v>
      </c>
      <c r="K35">
        <f>60*K3/365</f>
        <v>54892.009475342456</v>
      </c>
      <c r="M35">
        <f>55*M3/365</f>
        <v>60381.210422876698</v>
      </c>
      <c r="O35">
        <f>50*O3/365</f>
        <v>65870.411370410948</v>
      </c>
      <c r="Q35">
        <f>50*Q3/365</f>
        <v>77727.08541708492</v>
      </c>
      <c r="S35">
        <f>50*S3/365</f>
        <v>89386.148229647646</v>
      </c>
      <c r="U35" s="21"/>
    </row>
    <row r="36" spans="4:21" x14ac:dyDescent="0.2">
      <c r="G36">
        <v>1477</v>
      </c>
      <c r="J36" t="s">
        <v>53</v>
      </c>
      <c r="K36">
        <f>SUM(K34:K35)</f>
        <v>150800.21646604108</v>
      </c>
      <c r="M36">
        <f t="shared" ref="M36:S36" si="25">SUM(M34:M35)</f>
        <v>151494.0070640404</v>
      </c>
      <c r="O36">
        <f t="shared" si="25"/>
        <v>152427.56817951647</v>
      </c>
      <c r="Q36">
        <f t="shared" si="25"/>
        <v>159956.38438573515</v>
      </c>
      <c r="S36">
        <f t="shared" si="25"/>
        <v>167503.98224986537</v>
      </c>
      <c r="U36" s="1"/>
    </row>
    <row r="37" spans="4:21" x14ac:dyDescent="0.2">
      <c r="F37" s="25"/>
      <c r="G37" s="23">
        <f>G36*365*100/SUM(D2:G2)</f>
        <v>84.764942438046702</v>
      </c>
      <c r="J37" t="s">
        <v>45</v>
      </c>
      <c r="K37" s="23">
        <f>K36*365/K2</f>
        <v>78.361104081959809</v>
      </c>
      <c r="L37" s="23"/>
      <c r="M37" s="23">
        <f t="shared" ref="M37:S37" si="26">M36*365/M2</f>
        <v>73.650818046575992</v>
      </c>
      <c r="N37" s="23"/>
      <c r="O37" s="23">
        <f t="shared" si="26"/>
        <v>68.398067126855011</v>
      </c>
      <c r="P37" s="23"/>
      <c r="Q37" s="23">
        <f t="shared" si="26"/>
        <v>66.094585713570751</v>
      </c>
      <c r="R37" s="23"/>
      <c r="S37" s="23">
        <f t="shared" si="26"/>
        <v>64.17737867664033</v>
      </c>
      <c r="U37" s="27"/>
    </row>
    <row r="38" spans="4:21" x14ac:dyDescent="0.2">
      <c r="F38" s="25"/>
      <c r="G38" s="23"/>
      <c r="J38"/>
      <c r="K38" s="1"/>
      <c r="M38" s="1"/>
      <c r="O38" s="1"/>
      <c r="Q38" s="1"/>
      <c r="S38" s="1"/>
    </row>
    <row r="39" spans="4:21" x14ac:dyDescent="0.2">
      <c r="G39">
        <v>270</v>
      </c>
      <c r="J39" t="s">
        <v>37</v>
      </c>
      <c r="K39" s="23">
        <f>K40*K2/365</f>
        <v>32715.257268980818</v>
      </c>
      <c r="M39" s="23">
        <f>M40*M2/365</f>
        <v>37024.600669449042</v>
      </c>
      <c r="O39" s="23">
        <f>O40*O2/365</f>
        <v>42342.187682577263</v>
      </c>
      <c r="Q39" s="23">
        <f>Q40*Q2/365</f>
        <v>48402.265528655065</v>
      </c>
      <c r="S39" s="23">
        <f>S40*S2/365</f>
        <v>54810.335039868551</v>
      </c>
    </row>
    <row r="40" spans="4:21" x14ac:dyDescent="0.2">
      <c r="G40" s="21">
        <f>G39*365*100/SUM(D2:G2)</f>
        <v>15.495283993414089</v>
      </c>
      <c r="J40" t="s">
        <v>46</v>
      </c>
      <c r="K40">
        <v>17</v>
      </c>
      <c r="M40">
        <v>18</v>
      </c>
      <c r="O40">
        <v>19</v>
      </c>
      <c r="Q40">
        <v>20</v>
      </c>
      <c r="S40">
        <v>21</v>
      </c>
    </row>
    <row r="41" spans="4:21" x14ac:dyDescent="0.2">
      <c r="J41"/>
    </row>
    <row r="42" spans="4:21" x14ac:dyDescent="0.2">
      <c r="G42">
        <v>64</v>
      </c>
      <c r="J42" t="s">
        <v>42</v>
      </c>
      <c r="K42" s="21">
        <f>4*K2/365</f>
        <v>7697.7075927013693</v>
      </c>
      <c r="M42" s="21">
        <f>4*M2/365</f>
        <v>8227.689037655342</v>
      </c>
      <c r="O42" s="21">
        <f>4*O2/365</f>
        <v>8914.1447752794229</v>
      </c>
      <c r="Q42" s="21">
        <f>4*Q2/365</f>
        <v>9680.4531057310123</v>
      </c>
      <c r="S42" s="21">
        <f>4*S2/365</f>
        <v>10440.06381711782</v>
      </c>
    </row>
    <row r="43" spans="4:21" x14ac:dyDescent="0.2">
      <c r="G43" s="21">
        <f>G42*100*365/SUM(D2:G2)</f>
        <v>3.6729562058463023</v>
      </c>
      <c r="J43" s="14" t="s">
        <v>47</v>
      </c>
    </row>
    <row r="45" spans="4:21" x14ac:dyDescent="0.2">
      <c r="J45" s="14" t="s">
        <v>48</v>
      </c>
      <c r="K45" s="21">
        <f>K36-G36*100</f>
        <v>3100.2164660410781</v>
      </c>
      <c r="M45" s="21">
        <f>M36-K36</f>
        <v>693.79059799932293</v>
      </c>
      <c r="O45" s="21">
        <f>O36-M36</f>
        <v>933.56111547606997</v>
      </c>
      <c r="Q45" s="21">
        <f>Q36-O36</f>
        <v>7528.8162062186748</v>
      </c>
      <c r="S45" s="21">
        <f>S36-Q36</f>
        <v>7547.5978641302208</v>
      </c>
    </row>
    <row r="46" spans="4:21" x14ac:dyDescent="0.2">
      <c r="J46" s="14" t="s">
        <v>49</v>
      </c>
      <c r="K46" s="21">
        <f>K39-G39*100</f>
        <v>5715.2572689808185</v>
      </c>
      <c r="M46" s="21">
        <f>M39-K39</f>
        <v>4309.343400468224</v>
      </c>
      <c r="O46" s="21">
        <f>O39-M39</f>
        <v>5317.5870131282209</v>
      </c>
      <c r="Q46" s="21">
        <f>Q39-O39</f>
        <v>6060.077846077802</v>
      </c>
      <c r="S46" s="21">
        <f>S39-Q39</f>
        <v>6408.0695112134854</v>
      </c>
    </row>
    <row r="47" spans="4:21" x14ac:dyDescent="0.2">
      <c r="J47" s="14" t="s">
        <v>50</v>
      </c>
      <c r="K47" s="21">
        <f>K42-G42*100</f>
        <v>1297.7075927013693</v>
      </c>
      <c r="M47" s="21">
        <f>M42-K42</f>
        <v>529.98144495397264</v>
      </c>
      <c r="O47" s="21">
        <f>O42-M42</f>
        <v>686.45573762408094</v>
      </c>
      <c r="Q47" s="21">
        <f>Q42-O42</f>
        <v>766.30833045158943</v>
      </c>
      <c r="S47" s="21">
        <f>S42-Q42</f>
        <v>759.61071138680745</v>
      </c>
    </row>
    <row r="49" spans="9:19" x14ac:dyDescent="0.2">
      <c r="J49" t="s">
        <v>38</v>
      </c>
      <c r="K49" s="21">
        <f>K45+K46-K47</f>
        <v>7517.7661423205273</v>
      </c>
      <c r="M49" s="21">
        <f>M45+M46-M47</f>
        <v>4473.1525535135743</v>
      </c>
      <c r="O49" s="21">
        <f>O45+O46-O47</f>
        <v>5564.6923909802099</v>
      </c>
      <c r="Q49" s="21">
        <f>Q45+Q46-Q47</f>
        <v>12822.585721844887</v>
      </c>
      <c r="S49" s="21">
        <f>S45+S46-S47</f>
        <v>13196.056663956899</v>
      </c>
    </row>
    <row r="50" spans="9:19" x14ac:dyDescent="0.2">
      <c r="J50" t="s">
        <v>39</v>
      </c>
      <c r="K50" s="21">
        <f>K25+K24+K23-K49-K26</f>
        <v>37242.219404863579</v>
      </c>
      <c r="M50" s="21">
        <f>M25+M24+M23-M49-M26</f>
        <v>42971.613514039753</v>
      </c>
      <c r="O50" s="21">
        <f>O25+O24+O23-O49-O26</f>
        <v>45508.601178712801</v>
      </c>
      <c r="Q50" s="21">
        <f>Q25+Q24+Q23-Q49-Q26</f>
        <v>42211.549120037133</v>
      </c>
      <c r="S50" s="21">
        <f>S25+S24+S23-S49-S26</f>
        <v>45083.05426880443</v>
      </c>
    </row>
    <row r="51" spans="9:19" x14ac:dyDescent="0.2">
      <c r="J51" t="s">
        <v>40</v>
      </c>
      <c r="K51" s="21">
        <f>-K24</f>
        <v>-16350</v>
      </c>
      <c r="M51" s="21">
        <f>-M24</f>
        <v>-13860.000000000002</v>
      </c>
      <c r="O51" s="21">
        <f>-O24</f>
        <v>-11760.000000000002</v>
      </c>
      <c r="Q51" s="21">
        <f>-Q24</f>
        <v>-8960</v>
      </c>
      <c r="S51" s="21">
        <f>-S24</f>
        <v>-5460.0000000000009</v>
      </c>
    </row>
    <row r="52" spans="9:19" x14ac:dyDescent="0.2">
      <c r="I52" s="35" t="s">
        <v>51</v>
      </c>
      <c r="J52" t="s">
        <v>41</v>
      </c>
      <c r="K52">
        <v>-10000</v>
      </c>
      <c r="M52">
        <v>-10000</v>
      </c>
      <c r="O52">
        <v>-10000</v>
      </c>
      <c r="Q52">
        <v>-10000</v>
      </c>
      <c r="S52">
        <v>-10000</v>
      </c>
    </row>
    <row r="53" spans="9:19" x14ac:dyDescent="0.2">
      <c r="J53" s="14" t="s">
        <v>44</v>
      </c>
      <c r="K53" s="21">
        <f>SUM(K50:K52)</f>
        <v>10892.219404863579</v>
      </c>
      <c r="M53" s="21">
        <f>SUM(M50:M52)</f>
        <v>19111.613514039753</v>
      </c>
      <c r="O53" s="21">
        <f>SUM(O50:O52)</f>
        <v>23748.601178712801</v>
      </c>
      <c r="Q53" s="21">
        <f>SUM(Q50:Q52)</f>
        <v>23251.549120037133</v>
      </c>
      <c r="S53" s="21">
        <f>SUM(S50:S52)</f>
        <v>29623.05426880443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Nomura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Banerjee, Kaushik (Operations/HK)</dc:creator>
  <cp:lastModifiedBy>Microsoft Office User</cp:lastModifiedBy>
  <dcterms:created xsi:type="dcterms:W3CDTF">2018-02-12T09:43:48Z</dcterms:created>
  <dcterms:modified xsi:type="dcterms:W3CDTF">2018-02-17T09:38:47Z</dcterms:modified>
</cp:coreProperties>
</file>