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VP\"/>
    </mc:Choice>
  </mc:AlternateContent>
  <bookViews>
    <workbookView xWindow="240" yWindow="75" windowWidth="19440" windowHeight="7935" tabRatio="827" firstSheet="6" activeTab="9"/>
  </bookViews>
  <sheets>
    <sheet name="Profit &amp; Loss" sheetId="1" r:id="rId1"/>
    <sheet name="Quarters" sheetId="3" state="hidden" r:id="rId2"/>
    <sheet name="Balance Sheet" sheetId="2" state="hidden" r:id="rId3"/>
    <sheet name="Cash Flow" sheetId="4" state="hidden" r:id="rId4"/>
    <sheet name="Customization" sheetId="5" state="hidden" r:id="rId5"/>
    <sheet name="Financial Analysis" sheetId="8" state="hidden" r:id="rId6"/>
    <sheet name="Data Sheet" sheetId="6" r:id="rId7"/>
    <sheet name="Other_input_data" sheetId="7" state="hidden" r:id="rId8"/>
    <sheet name="Trend" sheetId="12" r:id="rId9"/>
    <sheet name="PROBM" sheetId="18" r:id="rId10"/>
    <sheet name="Annual report Checklist" sheetId="16" r:id="rId11"/>
    <sheet name="Sheet3" sheetId="15" state="hidden" r:id="rId12"/>
    <sheet name="Remuneration" sheetId="17" state="hidden" r:id="rId13"/>
    <sheet name="Board" sheetId="13" state="hidden" r:id="rId14"/>
    <sheet name="Operations" sheetId="14" state="hidden" r:id="rId15"/>
    <sheet name="Analysis2" sheetId="9" state="hidden" r:id="rId16"/>
    <sheet name="Valuation" sheetId="10" state="hidden" r:id="rId17"/>
    <sheet name="PE Forecast" sheetId="11" state="hidden" r:id="rId18"/>
  </sheets>
  <externalReferences>
    <externalReference r:id="rId1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5">'[1]Data Sheet'!$E$1</definedName>
    <definedName name="UPDATE" localSheetId="5">'[1]Data Sheet'!$E$1</definedName>
    <definedName name="UPDATE" localSheetId="7">'[1]Data Sheet'!$E$1</definedName>
    <definedName name="UPDATE" localSheetId="16">'[1]Data Sheet'!$E$1</definedName>
    <definedName name="UPDATE">'Data Sheet'!$E$1</definedName>
  </definedNames>
  <calcPr calcId="152511"/>
</workbook>
</file>

<file path=xl/calcChain.xml><?xml version="1.0" encoding="utf-8"?>
<calcChain xmlns="http://schemas.openxmlformats.org/spreadsheetml/2006/main">
  <c r="L9" i="18" l="1"/>
  <c r="O9" i="18"/>
  <c r="P9" i="18"/>
  <c r="S9" i="18"/>
  <c r="M8" i="18"/>
  <c r="P8" i="18"/>
  <c r="Q8" i="18"/>
  <c r="D9" i="18"/>
  <c r="M9" i="18" s="1"/>
  <c r="E9" i="18"/>
  <c r="N9" i="18" s="1"/>
  <c r="F9" i="18"/>
  <c r="G9" i="18"/>
  <c r="H9" i="18"/>
  <c r="Q9" i="18" s="1"/>
  <c r="I9" i="18"/>
  <c r="R9" i="18" s="1"/>
  <c r="J9" i="18"/>
  <c r="C9" i="18"/>
  <c r="M4" i="18"/>
  <c r="N4" i="18"/>
  <c r="F4" i="18"/>
  <c r="O4" i="18" s="1"/>
  <c r="G4" i="18"/>
  <c r="P4" i="18" s="1"/>
  <c r="H4" i="18"/>
  <c r="Q4" i="18" s="1"/>
  <c r="E4" i="18"/>
  <c r="J14" i="18"/>
  <c r="J4" i="18" s="1"/>
  <c r="S4" i="18" s="1"/>
  <c r="F14" i="18"/>
  <c r="G14" i="18"/>
  <c r="H14" i="18"/>
  <c r="I14" i="18"/>
  <c r="I4" i="18" s="1"/>
  <c r="R4" i="18" s="1"/>
  <c r="E14" i="18"/>
  <c r="L4" i="18"/>
  <c r="L5" i="18"/>
  <c r="M5" i="18"/>
  <c r="P5" i="18"/>
  <c r="Q5" i="18"/>
  <c r="L6" i="18"/>
  <c r="M6" i="18"/>
  <c r="P6" i="18"/>
  <c r="Q6" i="18"/>
  <c r="L7" i="18"/>
  <c r="M7" i="18"/>
  <c r="P7" i="18"/>
  <c r="Q7" i="18"/>
  <c r="L8" i="18"/>
  <c r="M2" i="18"/>
  <c r="P2" i="18"/>
  <c r="Q2" i="18"/>
  <c r="L2" i="18"/>
  <c r="R1" i="18"/>
  <c r="D8" i="18"/>
  <c r="E8" i="18"/>
  <c r="N8" i="18" s="1"/>
  <c r="F8" i="18"/>
  <c r="O8" i="18" s="1"/>
  <c r="G8" i="18"/>
  <c r="H8" i="18"/>
  <c r="I8" i="18"/>
  <c r="R8" i="18" s="1"/>
  <c r="J8" i="18"/>
  <c r="S8" i="18" s="1"/>
  <c r="C8" i="18"/>
  <c r="D7" i="18"/>
  <c r="E7" i="18"/>
  <c r="N7" i="18" s="1"/>
  <c r="F7" i="18"/>
  <c r="O7" i="18" s="1"/>
  <c r="G7" i="18"/>
  <c r="H7" i="18"/>
  <c r="I7" i="18"/>
  <c r="R7" i="18" s="1"/>
  <c r="J7" i="18"/>
  <c r="S7" i="18" s="1"/>
  <c r="C7" i="18"/>
  <c r="D6" i="18"/>
  <c r="E6" i="18"/>
  <c r="N6" i="18" s="1"/>
  <c r="F6" i="18"/>
  <c r="O6" i="18" s="1"/>
  <c r="G6" i="18"/>
  <c r="H6" i="18"/>
  <c r="I6" i="18"/>
  <c r="R6" i="18" s="1"/>
  <c r="J6" i="18"/>
  <c r="S6" i="18" s="1"/>
  <c r="C6" i="18"/>
  <c r="D5" i="18"/>
  <c r="E5" i="18"/>
  <c r="N5" i="18" s="1"/>
  <c r="F5" i="18"/>
  <c r="O5" i="18" s="1"/>
  <c r="G5" i="18"/>
  <c r="H5" i="18"/>
  <c r="I5" i="18"/>
  <c r="R5" i="18" s="1"/>
  <c r="J5" i="18"/>
  <c r="S5" i="18" s="1"/>
  <c r="C5" i="18"/>
  <c r="D3" i="18"/>
  <c r="E3" i="18"/>
  <c r="F3" i="18"/>
  <c r="G3" i="18"/>
  <c r="H3" i="18"/>
  <c r="I3" i="18"/>
  <c r="J3" i="18"/>
  <c r="C3" i="18"/>
  <c r="D2" i="18"/>
  <c r="E2" i="18"/>
  <c r="N2" i="18" s="1"/>
  <c r="F2" i="18"/>
  <c r="O2" i="18" s="1"/>
  <c r="G2" i="18"/>
  <c r="H2" i="18"/>
  <c r="I2" i="18"/>
  <c r="R2" i="18" s="1"/>
  <c r="J2" i="18"/>
  <c r="S2" i="18" s="1"/>
  <c r="C2" i="18"/>
  <c r="D1" i="18"/>
  <c r="M1" i="18" s="1"/>
  <c r="E1" i="18"/>
  <c r="N1" i="18" s="1"/>
  <c r="F1" i="18"/>
  <c r="O1" i="18" s="1"/>
  <c r="G1" i="18"/>
  <c r="P1" i="18" s="1"/>
  <c r="H1" i="18"/>
  <c r="Q1" i="18" s="1"/>
  <c r="I1" i="18"/>
  <c r="J1" i="18"/>
  <c r="S1" i="18" s="1"/>
  <c r="C1" i="18"/>
  <c r="L1" i="18" s="1"/>
  <c r="N111" i="12" l="1"/>
  <c r="M111" i="12"/>
  <c r="L36" i="7" l="1"/>
  <c r="L25" i="7"/>
  <c r="C83" i="12"/>
  <c r="D83" i="12"/>
  <c r="E83" i="12"/>
  <c r="F83" i="12"/>
  <c r="G83" i="12"/>
  <c r="H83" i="12"/>
  <c r="I83" i="12"/>
  <c r="J83" i="12"/>
  <c r="K83" i="12"/>
  <c r="B83" i="12"/>
  <c r="N83" i="12" s="1"/>
  <c r="C80" i="12"/>
  <c r="D80" i="12"/>
  <c r="E80" i="12"/>
  <c r="F80" i="12"/>
  <c r="G80" i="12"/>
  <c r="H80" i="12"/>
  <c r="I80" i="12"/>
  <c r="J80" i="12"/>
  <c r="K80" i="12"/>
  <c r="B80" i="12"/>
  <c r="C81" i="12"/>
  <c r="D81" i="12"/>
  <c r="E81" i="12"/>
  <c r="F81" i="12"/>
  <c r="G81" i="12"/>
  <c r="H81" i="12"/>
  <c r="I81" i="12"/>
  <c r="J81" i="12"/>
  <c r="K81" i="12"/>
  <c r="B81" i="12"/>
  <c r="N81" i="12" s="1"/>
  <c r="C68" i="8"/>
  <c r="C10" i="12"/>
  <c r="C102" i="12" s="1"/>
  <c r="D10" i="12"/>
  <c r="D102" i="12" s="1"/>
  <c r="E10" i="12"/>
  <c r="E102" i="12" s="1"/>
  <c r="F10" i="12"/>
  <c r="F102" i="12" s="1"/>
  <c r="G10" i="12"/>
  <c r="G102" i="12" s="1"/>
  <c r="H10" i="12"/>
  <c r="H102" i="12" s="1"/>
  <c r="I10" i="12"/>
  <c r="I102" i="12" s="1"/>
  <c r="J10" i="12"/>
  <c r="J102" i="12" s="1"/>
  <c r="K10" i="12"/>
  <c r="K102" i="12" s="1"/>
  <c r="B10" i="12"/>
  <c r="B106" i="12" s="1"/>
  <c r="C76" i="12"/>
  <c r="C77" i="12" s="1"/>
  <c r="D76" i="12"/>
  <c r="D77" i="12" s="1"/>
  <c r="E76" i="12"/>
  <c r="E77" i="12" s="1"/>
  <c r="F76" i="12"/>
  <c r="F77" i="12" s="1"/>
  <c r="G76" i="12"/>
  <c r="H76" i="12"/>
  <c r="H77" i="12" s="1"/>
  <c r="I76" i="12"/>
  <c r="I77" i="12" s="1"/>
  <c r="J76" i="12"/>
  <c r="J77" i="12" s="1"/>
  <c r="K76" i="12"/>
  <c r="K77" i="12" s="1"/>
  <c r="B76" i="12"/>
  <c r="C98" i="8"/>
  <c r="C74" i="12"/>
  <c r="C75" i="12" s="1"/>
  <c r="D74" i="12"/>
  <c r="D75" i="12" s="1"/>
  <c r="E74" i="12"/>
  <c r="E75" i="12" s="1"/>
  <c r="F74" i="12"/>
  <c r="F75" i="12" s="1"/>
  <c r="G74" i="12"/>
  <c r="H74" i="12"/>
  <c r="H75" i="12" s="1"/>
  <c r="I74" i="12"/>
  <c r="I75" i="12" s="1"/>
  <c r="J74" i="12"/>
  <c r="J75" i="12" s="1"/>
  <c r="K74" i="12"/>
  <c r="K75" i="12" s="1"/>
  <c r="B74" i="12"/>
  <c r="C99" i="8"/>
  <c r="C40" i="12"/>
  <c r="D40" i="12"/>
  <c r="E40" i="12"/>
  <c r="F40" i="12"/>
  <c r="G40" i="12"/>
  <c r="H40" i="12"/>
  <c r="I40" i="12"/>
  <c r="J40" i="12"/>
  <c r="K40" i="12"/>
  <c r="B40" i="12"/>
  <c r="C39" i="12"/>
  <c r="D39" i="12"/>
  <c r="E39" i="12"/>
  <c r="F39" i="12"/>
  <c r="G39" i="12"/>
  <c r="H39" i="12"/>
  <c r="I39" i="12"/>
  <c r="J39" i="12"/>
  <c r="K39" i="12"/>
  <c r="B39" i="12"/>
  <c r="C38" i="12"/>
  <c r="D38" i="12"/>
  <c r="E38" i="12"/>
  <c r="F38" i="12"/>
  <c r="G38" i="12"/>
  <c r="H38" i="12"/>
  <c r="I38" i="12"/>
  <c r="J38" i="12"/>
  <c r="K38" i="12"/>
  <c r="B38" i="12"/>
  <c r="C28" i="12"/>
  <c r="C37" i="12" s="1"/>
  <c r="D28" i="12"/>
  <c r="D37" i="12" s="1"/>
  <c r="E28" i="12"/>
  <c r="E37" i="12" s="1"/>
  <c r="F28" i="12"/>
  <c r="F37" i="12" s="1"/>
  <c r="G28" i="12"/>
  <c r="G37" i="12" s="1"/>
  <c r="H28" i="12"/>
  <c r="H37" i="12" s="1"/>
  <c r="I28" i="12"/>
  <c r="I37" i="12" s="1"/>
  <c r="J28" i="12"/>
  <c r="J37" i="12" s="1"/>
  <c r="K28" i="12"/>
  <c r="K37" i="12" s="1"/>
  <c r="C29" i="12"/>
  <c r="D29" i="12"/>
  <c r="E29" i="12"/>
  <c r="F29" i="12"/>
  <c r="G29" i="12"/>
  <c r="H29" i="12"/>
  <c r="I29" i="12"/>
  <c r="J29" i="12"/>
  <c r="K29" i="12"/>
  <c r="C30" i="12"/>
  <c r="D30" i="12"/>
  <c r="E30" i="12"/>
  <c r="F30" i="12"/>
  <c r="G30" i="12"/>
  <c r="H30" i="12"/>
  <c r="I30" i="12"/>
  <c r="J30" i="12"/>
  <c r="K30" i="12"/>
  <c r="C31" i="12"/>
  <c r="D31" i="12"/>
  <c r="E31" i="12"/>
  <c r="F31" i="12"/>
  <c r="G31" i="12"/>
  <c r="H31" i="12"/>
  <c r="I31" i="12"/>
  <c r="J31" i="12"/>
  <c r="K31" i="12"/>
  <c r="C32" i="12"/>
  <c r="D32" i="12"/>
  <c r="E32" i="12"/>
  <c r="F32" i="12"/>
  <c r="G32" i="12"/>
  <c r="H32" i="12"/>
  <c r="I32" i="12"/>
  <c r="J32" i="12"/>
  <c r="K32" i="12"/>
  <c r="C33" i="12"/>
  <c r="D33" i="12"/>
  <c r="E33" i="12"/>
  <c r="F33" i="12"/>
  <c r="G33" i="12"/>
  <c r="H33" i="12"/>
  <c r="I33" i="12"/>
  <c r="J33" i="12"/>
  <c r="K33" i="12"/>
  <c r="C34" i="12"/>
  <c r="D34" i="12"/>
  <c r="E34" i="12"/>
  <c r="F34" i="12"/>
  <c r="G34" i="12"/>
  <c r="H34" i="12"/>
  <c r="I34" i="12"/>
  <c r="J34" i="12"/>
  <c r="K34" i="12"/>
  <c r="C35" i="12"/>
  <c r="D35" i="12"/>
  <c r="E35" i="12"/>
  <c r="F35" i="12"/>
  <c r="G35" i="12"/>
  <c r="H35" i="12"/>
  <c r="I35" i="12"/>
  <c r="J35" i="12"/>
  <c r="K35" i="12"/>
  <c r="C36" i="12"/>
  <c r="D36" i="12"/>
  <c r="E36" i="12"/>
  <c r="F36" i="12"/>
  <c r="G36" i="12"/>
  <c r="H36" i="12"/>
  <c r="I36" i="12"/>
  <c r="J36" i="12"/>
  <c r="K36" i="12"/>
  <c r="B29" i="12"/>
  <c r="B30" i="12"/>
  <c r="B31" i="12"/>
  <c r="B32" i="12"/>
  <c r="B33" i="12"/>
  <c r="B34" i="12"/>
  <c r="B35" i="12"/>
  <c r="B36" i="12"/>
  <c r="B28" i="12"/>
  <c r="B37" i="12" s="1"/>
  <c r="C82" i="12"/>
  <c r="C99" i="12" s="1"/>
  <c r="D82" i="12"/>
  <c r="D99" i="12" s="1"/>
  <c r="E82" i="12"/>
  <c r="E99" i="12" s="1"/>
  <c r="F82" i="12"/>
  <c r="F99" i="12" s="1"/>
  <c r="G82" i="12"/>
  <c r="H82" i="12"/>
  <c r="H99" i="12" s="1"/>
  <c r="I82" i="12"/>
  <c r="I99" i="12" s="1"/>
  <c r="J82" i="12"/>
  <c r="J99" i="12" s="1"/>
  <c r="K82" i="12"/>
  <c r="K99" i="12" s="1"/>
  <c r="B82" i="12"/>
  <c r="C74" i="8"/>
  <c r="C114" i="12"/>
  <c r="D114" i="12"/>
  <c r="E114" i="12"/>
  <c r="F114" i="12"/>
  <c r="G114" i="12"/>
  <c r="H114" i="12"/>
  <c r="I114" i="12"/>
  <c r="J114" i="12"/>
  <c r="K114" i="12"/>
  <c r="B114" i="12"/>
  <c r="C113" i="12"/>
  <c r="D113" i="12"/>
  <c r="E113" i="12"/>
  <c r="F113" i="12"/>
  <c r="G113" i="12"/>
  <c r="H113" i="12"/>
  <c r="I113" i="12"/>
  <c r="J113" i="12"/>
  <c r="K113" i="12"/>
  <c r="B113" i="12"/>
  <c r="N113" i="12" s="1"/>
  <c r="C73" i="12"/>
  <c r="D73" i="12"/>
  <c r="E73" i="12"/>
  <c r="F73" i="12"/>
  <c r="G73" i="12"/>
  <c r="H73" i="12"/>
  <c r="I73" i="12"/>
  <c r="J73" i="12"/>
  <c r="K73" i="12"/>
  <c r="B73" i="12"/>
  <c r="C70" i="12"/>
  <c r="D70" i="12"/>
  <c r="E70" i="12"/>
  <c r="F70" i="12"/>
  <c r="G70" i="12"/>
  <c r="H70" i="12"/>
  <c r="I70" i="12"/>
  <c r="J70" i="12"/>
  <c r="K70" i="12"/>
  <c r="B70" i="12"/>
  <c r="B69" i="12"/>
  <c r="C69" i="12"/>
  <c r="D69" i="12"/>
  <c r="E69" i="12"/>
  <c r="F69" i="12"/>
  <c r="G69" i="12"/>
  <c r="H69" i="12"/>
  <c r="I69" i="12"/>
  <c r="J69" i="12"/>
  <c r="K69" i="12"/>
  <c r="C68" i="12"/>
  <c r="D68" i="12"/>
  <c r="E68" i="12"/>
  <c r="F68" i="12"/>
  <c r="G68" i="12"/>
  <c r="H68" i="12"/>
  <c r="I68" i="12"/>
  <c r="J68" i="12"/>
  <c r="K68" i="12"/>
  <c r="B68" i="12"/>
  <c r="C67" i="12"/>
  <c r="D67" i="12"/>
  <c r="E67" i="12"/>
  <c r="F67" i="12"/>
  <c r="G67" i="12"/>
  <c r="H67" i="12"/>
  <c r="I67" i="12"/>
  <c r="J67" i="12"/>
  <c r="K67" i="12"/>
  <c r="B67" i="12"/>
  <c r="C66" i="12"/>
  <c r="D66" i="12"/>
  <c r="E66" i="12"/>
  <c r="F66" i="12"/>
  <c r="G66" i="12"/>
  <c r="H66" i="12"/>
  <c r="I66" i="12"/>
  <c r="J66" i="12"/>
  <c r="K66" i="12"/>
  <c r="B66" i="12"/>
  <c r="C64" i="12"/>
  <c r="D64" i="12"/>
  <c r="E64" i="12"/>
  <c r="F64" i="12"/>
  <c r="G64" i="12"/>
  <c r="H64" i="12"/>
  <c r="I64" i="12"/>
  <c r="J64" i="12"/>
  <c r="K64" i="12"/>
  <c r="B64" i="12"/>
  <c r="C115" i="8"/>
  <c r="C63" i="12"/>
  <c r="D63" i="12"/>
  <c r="E63" i="12"/>
  <c r="F63" i="12"/>
  <c r="G63" i="12"/>
  <c r="H63" i="12"/>
  <c r="I63" i="12"/>
  <c r="J63" i="12"/>
  <c r="K63" i="12"/>
  <c r="B63" i="12"/>
  <c r="C113" i="8"/>
  <c r="C62" i="12"/>
  <c r="C100" i="12" s="1"/>
  <c r="D62" i="12"/>
  <c r="D100" i="12" s="1"/>
  <c r="E62" i="12"/>
  <c r="E100" i="12" s="1"/>
  <c r="F62" i="12"/>
  <c r="F100" i="12" s="1"/>
  <c r="G62" i="12"/>
  <c r="G100" i="12" s="1"/>
  <c r="H62" i="12"/>
  <c r="H100" i="12" s="1"/>
  <c r="I62" i="12"/>
  <c r="I100" i="12" s="1"/>
  <c r="J62" i="12"/>
  <c r="J100" i="12" s="1"/>
  <c r="K62" i="12"/>
  <c r="K100" i="12" s="1"/>
  <c r="B62" i="12"/>
  <c r="B100" i="12" s="1"/>
  <c r="C61" i="12"/>
  <c r="D61" i="12"/>
  <c r="E61" i="12"/>
  <c r="F61" i="12"/>
  <c r="G61" i="12"/>
  <c r="H61" i="12"/>
  <c r="I61" i="12"/>
  <c r="J61" i="12"/>
  <c r="K61" i="12"/>
  <c r="B61" i="12"/>
  <c r="C60" i="12"/>
  <c r="D60" i="12"/>
  <c r="E60" i="12"/>
  <c r="F60" i="12"/>
  <c r="G60" i="12"/>
  <c r="H60" i="12"/>
  <c r="I60" i="12"/>
  <c r="J60" i="12"/>
  <c r="K60" i="12"/>
  <c r="B60" i="12"/>
  <c r="C59" i="12"/>
  <c r="D59" i="12"/>
  <c r="E59" i="12"/>
  <c r="F59" i="12"/>
  <c r="G59" i="12"/>
  <c r="H59" i="12"/>
  <c r="I59" i="12"/>
  <c r="J59" i="12"/>
  <c r="K59" i="12"/>
  <c r="B59" i="12"/>
  <c r="C46" i="12"/>
  <c r="D46" i="12"/>
  <c r="E46" i="12"/>
  <c r="F46" i="12"/>
  <c r="G46" i="12"/>
  <c r="H46" i="12"/>
  <c r="I46" i="12"/>
  <c r="J46" i="12"/>
  <c r="K46" i="12"/>
  <c r="B46" i="12"/>
  <c r="C45" i="12"/>
  <c r="D45" i="12"/>
  <c r="E45" i="12"/>
  <c r="F45" i="12"/>
  <c r="G45" i="12"/>
  <c r="H45" i="12"/>
  <c r="I45" i="12"/>
  <c r="J45" i="12"/>
  <c r="K45" i="12"/>
  <c r="B45" i="12"/>
  <c r="C50" i="12"/>
  <c r="D50" i="12"/>
  <c r="E50" i="12"/>
  <c r="F50" i="12"/>
  <c r="G50" i="12"/>
  <c r="H50" i="12"/>
  <c r="I50" i="12"/>
  <c r="J50" i="12"/>
  <c r="K50" i="12"/>
  <c r="C51" i="12"/>
  <c r="D51" i="12"/>
  <c r="E51" i="12"/>
  <c r="F51" i="12"/>
  <c r="G51" i="12"/>
  <c r="H51" i="12"/>
  <c r="I51" i="12"/>
  <c r="J51" i="12"/>
  <c r="K51" i="12"/>
  <c r="C52" i="12"/>
  <c r="D52" i="12"/>
  <c r="E52" i="12"/>
  <c r="F52" i="12"/>
  <c r="G52" i="12"/>
  <c r="H52" i="12"/>
  <c r="I52" i="12"/>
  <c r="J52" i="12"/>
  <c r="K52" i="12"/>
  <c r="C53" i="12"/>
  <c r="D53" i="12"/>
  <c r="E53" i="12"/>
  <c r="F53" i="12"/>
  <c r="G53" i="12"/>
  <c r="H53" i="12"/>
  <c r="I53" i="12"/>
  <c r="J53" i="12"/>
  <c r="K53" i="12"/>
  <c r="C54" i="12"/>
  <c r="D54" i="12"/>
  <c r="E54" i="12"/>
  <c r="F54" i="12"/>
  <c r="G54" i="12"/>
  <c r="H54" i="12"/>
  <c r="I54" i="12"/>
  <c r="J54" i="12"/>
  <c r="K54" i="12"/>
  <c r="C55" i="12"/>
  <c r="D55" i="12"/>
  <c r="E55" i="12"/>
  <c r="F55" i="12"/>
  <c r="G55" i="12"/>
  <c r="H55" i="12"/>
  <c r="I55" i="12"/>
  <c r="J55" i="12"/>
  <c r="K55" i="12"/>
  <c r="C56" i="12"/>
  <c r="D56" i="12"/>
  <c r="E56" i="12"/>
  <c r="F56" i="12"/>
  <c r="G56" i="12"/>
  <c r="H56" i="12"/>
  <c r="I56" i="12"/>
  <c r="J56" i="12"/>
  <c r="K56" i="12"/>
  <c r="B56" i="12"/>
  <c r="B55" i="12"/>
  <c r="B54" i="12"/>
  <c r="B53" i="12"/>
  <c r="B52" i="12"/>
  <c r="B51" i="12"/>
  <c r="B50" i="12"/>
  <c r="D65" i="12"/>
  <c r="E65" i="12"/>
  <c r="F65" i="12"/>
  <c r="G65" i="12"/>
  <c r="H65" i="12"/>
  <c r="I65" i="12"/>
  <c r="J65" i="12"/>
  <c r="K65" i="12"/>
  <c r="C65" i="12"/>
  <c r="C44" i="12"/>
  <c r="D44" i="12"/>
  <c r="E44" i="12"/>
  <c r="F44" i="12"/>
  <c r="G44" i="12"/>
  <c r="H44" i="12"/>
  <c r="I44" i="12"/>
  <c r="J44" i="12"/>
  <c r="K44" i="12"/>
  <c r="B44" i="12"/>
  <c r="C43" i="12"/>
  <c r="D43" i="12"/>
  <c r="E43" i="12"/>
  <c r="F43" i="12"/>
  <c r="G43" i="12"/>
  <c r="H43" i="12"/>
  <c r="I43" i="12"/>
  <c r="J43" i="12"/>
  <c r="K43" i="12"/>
  <c r="B43" i="12"/>
  <c r="B5" i="12"/>
  <c r="C24" i="12"/>
  <c r="D24" i="12"/>
  <c r="E24" i="12"/>
  <c r="F24" i="12"/>
  <c r="G24" i="12"/>
  <c r="H24" i="12"/>
  <c r="I24" i="12"/>
  <c r="J24" i="12"/>
  <c r="K24" i="12"/>
  <c r="B24" i="12"/>
  <c r="C8" i="12"/>
  <c r="D8" i="12"/>
  <c r="E8" i="12"/>
  <c r="F8" i="12"/>
  <c r="G8" i="12"/>
  <c r="H8" i="12"/>
  <c r="I8" i="12"/>
  <c r="J8" i="12"/>
  <c r="K8" i="12"/>
  <c r="B8" i="12"/>
  <c r="C7" i="12"/>
  <c r="D7" i="12"/>
  <c r="E7" i="12"/>
  <c r="F7" i="12"/>
  <c r="G7" i="12"/>
  <c r="H7" i="12"/>
  <c r="I7" i="12"/>
  <c r="J7" i="12"/>
  <c r="K7" i="12"/>
  <c r="B7" i="12"/>
  <c r="C11" i="12"/>
  <c r="D11" i="12"/>
  <c r="E11" i="12"/>
  <c r="F11" i="12"/>
  <c r="G11" i="12"/>
  <c r="H11" i="12"/>
  <c r="I11" i="12"/>
  <c r="J11" i="12"/>
  <c r="K11" i="12"/>
  <c r="B11" i="12"/>
  <c r="B93" i="12" s="1"/>
  <c r="D13" i="12"/>
  <c r="D49" i="12" s="1"/>
  <c r="E13" i="12"/>
  <c r="E47" i="12" s="1"/>
  <c r="F13" i="12"/>
  <c r="F47" i="12" s="1"/>
  <c r="G13" i="12"/>
  <c r="G48" i="12" s="1"/>
  <c r="H13" i="12"/>
  <c r="H49" i="12" s="1"/>
  <c r="I13" i="12"/>
  <c r="I49" i="12" s="1"/>
  <c r="J13" i="12"/>
  <c r="J47" i="12" s="1"/>
  <c r="K13" i="12"/>
  <c r="K48" i="12" s="1"/>
  <c r="C13" i="12"/>
  <c r="C49" i="12" s="1"/>
  <c r="C45" i="8"/>
  <c r="C14" i="12"/>
  <c r="C94" i="12" s="1"/>
  <c r="D14" i="12"/>
  <c r="D94" i="12" s="1"/>
  <c r="E14" i="12"/>
  <c r="E94" i="12" s="1"/>
  <c r="F14" i="12"/>
  <c r="F94" i="12" s="1"/>
  <c r="G14" i="12"/>
  <c r="G94" i="12" s="1"/>
  <c r="H14" i="12"/>
  <c r="H94" i="12" s="1"/>
  <c r="I14" i="12"/>
  <c r="I94" i="12" s="1"/>
  <c r="J14" i="12"/>
  <c r="J94" i="12" s="1"/>
  <c r="K14" i="12"/>
  <c r="K94" i="12" s="1"/>
  <c r="B14" i="12"/>
  <c r="B94" i="12" s="1"/>
  <c r="C12" i="12"/>
  <c r="D12" i="12"/>
  <c r="E12" i="12"/>
  <c r="F12" i="12"/>
  <c r="G12" i="12"/>
  <c r="H12" i="12"/>
  <c r="I12" i="12"/>
  <c r="J12" i="12"/>
  <c r="K12" i="12"/>
  <c r="B12" i="12"/>
  <c r="C6" i="12"/>
  <c r="D6" i="12"/>
  <c r="E6" i="12"/>
  <c r="F6" i="12"/>
  <c r="G6" i="12"/>
  <c r="H6" i="12"/>
  <c r="I6" i="12"/>
  <c r="J6" i="12"/>
  <c r="K6" i="12"/>
  <c r="B6" i="12"/>
  <c r="C5" i="12"/>
  <c r="D5" i="12"/>
  <c r="E5" i="12"/>
  <c r="F5" i="12"/>
  <c r="G5" i="12"/>
  <c r="H5" i="12"/>
  <c r="I5" i="12"/>
  <c r="J5" i="12"/>
  <c r="K5" i="12"/>
  <c r="C4" i="12"/>
  <c r="D4" i="12"/>
  <c r="E4" i="12"/>
  <c r="F4" i="12"/>
  <c r="G4" i="12"/>
  <c r="H4" i="12"/>
  <c r="I4" i="12"/>
  <c r="J4" i="12"/>
  <c r="K4" i="12"/>
  <c r="B4" i="12"/>
  <c r="C3" i="12"/>
  <c r="D3" i="12"/>
  <c r="D103" i="12" s="1"/>
  <c r="E3" i="12"/>
  <c r="F3" i="12"/>
  <c r="G3" i="12"/>
  <c r="H3" i="12"/>
  <c r="H103" i="12" s="1"/>
  <c r="I3" i="12"/>
  <c r="J3" i="12"/>
  <c r="K3" i="12"/>
  <c r="B3" i="12"/>
  <c r="B97" i="12" s="1"/>
  <c r="K1" i="12"/>
  <c r="C1" i="12"/>
  <c r="D1" i="12"/>
  <c r="E1" i="12"/>
  <c r="F1" i="12"/>
  <c r="G1" i="12"/>
  <c r="H1" i="12"/>
  <c r="I1" i="12"/>
  <c r="J1" i="12"/>
  <c r="B1" i="12"/>
  <c r="I104" i="12" l="1"/>
  <c r="E104" i="12"/>
  <c r="M113" i="12"/>
  <c r="B99" i="12"/>
  <c r="N82" i="12"/>
  <c r="M81" i="12"/>
  <c r="M83" i="12"/>
  <c r="N114" i="12"/>
  <c r="G99" i="12"/>
  <c r="M82" i="12"/>
  <c r="M102" i="12"/>
  <c r="N80" i="12"/>
  <c r="M114" i="12"/>
  <c r="M80" i="12"/>
  <c r="B96" i="12"/>
  <c r="C15" i="12"/>
  <c r="N30" i="12"/>
  <c r="M34" i="12"/>
  <c r="H105" i="12"/>
  <c r="D105" i="12"/>
  <c r="N73" i="12"/>
  <c r="N34" i="12"/>
  <c r="M30" i="12"/>
  <c r="M38" i="12"/>
  <c r="M40" i="12"/>
  <c r="J108" i="12"/>
  <c r="M35" i="12"/>
  <c r="M31" i="12"/>
  <c r="N38" i="12"/>
  <c r="N40" i="12"/>
  <c r="G75" i="12"/>
  <c r="M75" i="12" s="1"/>
  <c r="M74" i="12"/>
  <c r="K108" i="12"/>
  <c r="G108" i="12"/>
  <c r="C108" i="12"/>
  <c r="M73" i="12"/>
  <c r="M33" i="12"/>
  <c r="M29" i="12"/>
  <c r="B77" i="12"/>
  <c r="N76" i="12"/>
  <c r="N36" i="12"/>
  <c r="N32" i="12"/>
  <c r="M36" i="12"/>
  <c r="N35" i="12"/>
  <c r="N33" i="12"/>
  <c r="M32" i="12"/>
  <c r="N31" i="12"/>
  <c r="N29" i="12"/>
  <c r="M37" i="12"/>
  <c r="N37" i="12"/>
  <c r="M39" i="12"/>
  <c r="N39" i="12"/>
  <c r="B75" i="12"/>
  <c r="N74" i="12"/>
  <c r="G77" i="12"/>
  <c r="M77" i="12" s="1"/>
  <c r="M76" i="12"/>
  <c r="J107" i="12"/>
  <c r="I103" i="12"/>
  <c r="E103" i="12"/>
  <c r="F108" i="12"/>
  <c r="B102" i="12"/>
  <c r="N102" i="12" s="1"/>
  <c r="N28" i="12"/>
  <c r="M28" i="12"/>
  <c r="F107" i="12"/>
  <c r="I105" i="12"/>
  <c r="E105" i="12"/>
  <c r="K105" i="12"/>
  <c r="G105" i="12"/>
  <c r="C110" i="12"/>
  <c r="K103" i="12"/>
  <c r="G103" i="12"/>
  <c r="M103" i="12" s="1"/>
  <c r="C103" i="12"/>
  <c r="J109" i="12"/>
  <c r="F109" i="12"/>
  <c r="H108" i="12"/>
  <c r="D108" i="12"/>
  <c r="J103" i="12"/>
  <c r="F103" i="12"/>
  <c r="B104" i="12"/>
  <c r="H104" i="12"/>
  <c r="D104" i="12"/>
  <c r="J105" i="12"/>
  <c r="F105" i="12"/>
  <c r="I107" i="12"/>
  <c r="E107" i="12"/>
  <c r="C109" i="12"/>
  <c r="I109" i="12"/>
  <c r="E109" i="12"/>
  <c r="I108" i="12"/>
  <c r="E108" i="12"/>
  <c r="K104" i="12"/>
  <c r="G104" i="12"/>
  <c r="C104" i="12"/>
  <c r="C106" i="12"/>
  <c r="H107" i="12"/>
  <c r="D107" i="12"/>
  <c r="H109" i="12"/>
  <c r="D109" i="12"/>
  <c r="B103" i="12"/>
  <c r="N103" i="12" s="1"/>
  <c r="J104" i="12"/>
  <c r="F104" i="12"/>
  <c r="B105" i="12"/>
  <c r="K107" i="12"/>
  <c r="G107" i="12"/>
  <c r="C107" i="12"/>
  <c r="K109" i="12"/>
  <c r="G109" i="12"/>
  <c r="M109" i="12" s="1"/>
  <c r="C105" i="12"/>
  <c r="M65" i="12"/>
  <c r="M63" i="12"/>
  <c r="N94" i="12"/>
  <c r="M60" i="12"/>
  <c r="N60" i="12"/>
  <c r="M100" i="12"/>
  <c r="N100" i="12"/>
  <c r="N64" i="12"/>
  <c r="M66" i="12"/>
  <c r="N66" i="12"/>
  <c r="M68" i="12"/>
  <c r="N68" i="12"/>
  <c r="M70" i="12"/>
  <c r="N70" i="12"/>
  <c r="N99" i="12"/>
  <c r="M94" i="12"/>
  <c r="N59" i="12"/>
  <c r="N61" i="12"/>
  <c r="M64" i="12"/>
  <c r="N67" i="12"/>
  <c r="M69" i="12"/>
  <c r="M99" i="12"/>
  <c r="N65" i="12"/>
  <c r="M59" i="12"/>
  <c r="M61" i="12"/>
  <c r="N63" i="12"/>
  <c r="M67" i="12"/>
  <c r="N69" i="12"/>
  <c r="N62" i="12"/>
  <c r="M62" i="12"/>
  <c r="I92" i="12"/>
  <c r="E92" i="12"/>
  <c r="C97" i="12"/>
  <c r="J92" i="12"/>
  <c r="F92" i="12"/>
  <c r="C93" i="12"/>
  <c r="B95" i="12"/>
  <c r="H91" i="12"/>
  <c r="D91" i="12"/>
  <c r="J93" i="12"/>
  <c r="K91" i="12"/>
  <c r="G91" i="12"/>
  <c r="C95" i="12"/>
  <c r="G93" i="12"/>
  <c r="I91" i="12"/>
  <c r="F93" i="12"/>
  <c r="K93" i="12"/>
  <c r="E91" i="12"/>
  <c r="H92" i="12"/>
  <c r="G92" i="12"/>
  <c r="H93" i="12"/>
  <c r="D93" i="12"/>
  <c r="J91" i="12"/>
  <c r="F91" i="12"/>
  <c r="D92" i="12"/>
  <c r="B91" i="12"/>
  <c r="C96" i="12"/>
  <c r="K92" i="12"/>
  <c r="C92" i="12"/>
  <c r="B92" i="12"/>
  <c r="I93" i="12"/>
  <c r="E93" i="12"/>
  <c r="C91" i="12"/>
  <c r="J25" i="12"/>
  <c r="F25" i="12"/>
  <c r="E48" i="12"/>
  <c r="D47" i="12"/>
  <c r="H48" i="12"/>
  <c r="D20" i="12"/>
  <c r="J21" i="12"/>
  <c r="F21" i="12"/>
  <c r="I25" i="12"/>
  <c r="E25" i="12"/>
  <c r="B21" i="12"/>
  <c r="H21" i="12"/>
  <c r="D21" i="12"/>
  <c r="I23" i="12"/>
  <c r="I98" i="12" s="1"/>
  <c r="I101" i="12" s="1"/>
  <c r="E23" i="12"/>
  <c r="E98" i="12" s="1"/>
  <c r="E101" i="12" s="1"/>
  <c r="C47" i="12"/>
  <c r="K23" i="12"/>
  <c r="K98" i="12" s="1"/>
  <c r="K101" i="12" s="1"/>
  <c r="C23" i="12"/>
  <c r="C98" i="12" s="1"/>
  <c r="C101" i="12" s="1"/>
  <c r="K25" i="12"/>
  <c r="G25" i="12"/>
  <c r="B20" i="12"/>
  <c r="H20" i="12"/>
  <c r="H47" i="12"/>
  <c r="I48" i="12"/>
  <c r="G47" i="12"/>
  <c r="G23" i="12"/>
  <c r="G98" i="12" s="1"/>
  <c r="B25" i="12"/>
  <c r="H25" i="12"/>
  <c r="D25" i="12"/>
  <c r="K21" i="12"/>
  <c r="G21" i="12"/>
  <c r="C21" i="12"/>
  <c r="K47" i="12"/>
  <c r="C48" i="12"/>
  <c r="D48" i="12"/>
  <c r="J20" i="12"/>
  <c r="F20" i="12"/>
  <c r="F49" i="12"/>
  <c r="F23" i="12"/>
  <c r="F98" i="12" s="1"/>
  <c r="F101" i="12" s="1"/>
  <c r="E49" i="12"/>
  <c r="J15" i="12"/>
  <c r="F15" i="12"/>
  <c r="B23" i="12"/>
  <c r="B98" i="12" s="1"/>
  <c r="H23" i="12"/>
  <c r="H98" i="12" s="1"/>
  <c r="H101" i="12" s="1"/>
  <c r="D23" i="12"/>
  <c r="D98" i="12" s="1"/>
  <c r="D101" i="12" s="1"/>
  <c r="S7" i="12"/>
  <c r="T7" i="12"/>
  <c r="C20" i="12"/>
  <c r="T8" i="12"/>
  <c r="E21" i="12"/>
  <c r="C25" i="12"/>
  <c r="I47" i="12"/>
  <c r="J48" i="12"/>
  <c r="F48" i="12"/>
  <c r="K49" i="12"/>
  <c r="G49" i="12"/>
  <c r="J49" i="12"/>
  <c r="J23" i="12"/>
  <c r="J98" i="12" s="1"/>
  <c r="J101" i="12" s="1"/>
  <c r="U8" i="12"/>
  <c r="S8" i="12"/>
  <c r="U7" i="12"/>
  <c r="K20" i="12"/>
  <c r="G20" i="12"/>
  <c r="I21" i="12"/>
  <c r="I20" i="12"/>
  <c r="E20" i="12"/>
  <c r="S4" i="12"/>
  <c r="T6" i="12"/>
  <c r="U6" i="12"/>
  <c r="K15" i="12"/>
  <c r="S11" i="12"/>
  <c r="G15" i="12"/>
  <c r="S14" i="12"/>
  <c r="U13" i="12"/>
  <c r="U5" i="12"/>
  <c r="T3" i="12"/>
  <c r="U3" i="12"/>
  <c r="H15" i="12"/>
  <c r="D15" i="12"/>
  <c r="S13" i="12"/>
  <c r="E15" i="12"/>
  <c r="T13" i="12"/>
  <c r="T5" i="12"/>
  <c r="S3" i="12"/>
  <c r="T4" i="12"/>
  <c r="U4" i="12"/>
  <c r="S5" i="12"/>
  <c r="S12" i="12"/>
  <c r="T14" i="12"/>
  <c r="U14" i="12"/>
  <c r="U12" i="12"/>
  <c r="S6" i="12"/>
  <c r="U11" i="12"/>
  <c r="T12" i="12"/>
  <c r="I15" i="12"/>
  <c r="T11" i="12"/>
  <c r="E2" i="11"/>
  <c r="E3" i="11"/>
  <c r="E1" i="11"/>
  <c r="N104" i="12" l="1"/>
  <c r="N108" i="12"/>
  <c r="N105" i="12"/>
  <c r="N109" i="12"/>
  <c r="M108" i="12"/>
  <c r="N107" i="12"/>
  <c r="M107" i="12"/>
  <c r="M104" i="12"/>
  <c r="M105" i="12"/>
  <c r="N75" i="12"/>
  <c r="N77" i="12"/>
  <c r="I106" i="12"/>
  <c r="I110" i="12"/>
  <c r="E106" i="12"/>
  <c r="E110" i="12"/>
  <c r="J110" i="12"/>
  <c r="J106" i="12"/>
  <c r="G110" i="12"/>
  <c r="G106" i="12"/>
  <c r="D110" i="12"/>
  <c r="D106" i="12"/>
  <c r="N106" i="12" s="1"/>
  <c r="H110" i="12"/>
  <c r="H106" i="12"/>
  <c r="K110" i="12"/>
  <c r="K106" i="12"/>
  <c r="F110" i="12"/>
  <c r="N110" i="12" s="1"/>
  <c r="F106" i="12"/>
  <c r="M91" i="12"/>
  <c r="N93" i="12"/>
  <c r="M92" i="12"/>
  <c r="B101" i="12"/>
  <c r="N98" i="12"/>
  <c r="G101" i="12"/>
  <c r="M101" i="12" s="1"/>
  <c r="M98" i="12"/>
  <c r="N92" i="12"/>
  <c r="N91" i="12"/>
  <c r="M93" i="12"/>
  <c r="G95" i="12"/>
  <c r="G97" i="12"/>
  <c r="G96" i="12"/>
  <c r="I97" i="12"/>
  <c r="I95" i="12"/>
  <c r="I96" i="12"/>
  <c r="E97" i="12"/>
  <c r="E96" i="12"/>
  <c r="E95" i="12"/>
  <c r="J96" i="12"/>
  <c r="J97" i="12"/>
  <c r="J95" i="12"/>
  <c r="D95" i="12"/>
  <c r="D97" i="12"/>
  <c r="D96" i="12"/>
  <c r="H96" i="12"/>
  <c r="H97" i="12"/>
  <c r="H95" i="12"/>
  <c r="K95" i="12"/>
  <c r="K96" i="12"/>
  <c r="K97" i="12"/>
  <c r="F96" i="12"/>
  <c r="F95" i="12"/>
  <c r="F97" i="12"/>
  <c r="T25" i="12"/>
  <c r="S25" i="12"/>
  <c r="S15" i="12"/>
  <c r="U25" i="12"/>
  <c r="U15" i="12"/>
  <c r="T15" i="12"/>
  <c r="R21" i="10"/>
  <c r="R23" i="10"/>
  <c r="R24" i="10" s="1"/>
  <c r="M110" i="12" l="1"/>
  <c r="M106" i="12"/>
  <c r="N96" i="12"/>
  <c r="N95" i="12"/>
  <c r="N97" i="12"/>
  <c r="N101" i="12"/>
  <c r="M95" i="12"/>
  <c r="M96" i="12"/>
  <c r="M97" i="12"/>
  <c r="R13" i="10"/>
  <c r="O13" i="10"/>
  <c r="N18" i="10"/>
  <c r="N19" i="10"/>
  <c r="N17" i="10"/>
  <c r="B5" i="11"/>
  <c r="B1" i="11" l="1"/>
  <c r="B4" i="11"/>
  <c r="B3" i="11"/>
  <c r="H1" i="11" l="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5" i="7"/>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L21" i="7"/>
  <c r="L20" i="7"/>
  <c r="L17" i="7"/>
  <c r="L16" i="7"/>
  <c r="L61" i="7"/>
  <c r="L59" i="7"/>
  <c r="L58" i="7"/>
  <c r="L54" i="7"/>
  <c r="L8" i="7" s="1"/>
  <c r="L53" i="7"/>
  <c r="L6" i="7" s="1"/>
  <c r="L52" i="7"/>
  <c r="L7" i="7" s="1"/>
  <c r="L51" i="7"/>
  <c r="L50" i="7"/>
  <c r="L49" i="7"/>
  <c r="I5" i="10" s="1"/>
  <c r="L48" i="7"/>
  <c r="L47" i="7"/>
  <c r="L46" i="7"/>
  <c r="L9" i="7" s="1"/>
  <c r="L45" i="7"/>
  <c r="L44" i="7"/>
  <c r="L40" i="7"/>
  <c r="L39" i="7"/>
  <c r="L35" i="7"/>
  <c r="L4" i="7"/>
  <c r="L14" i="7" s="1"/>
  <c r="L24" i="7" s="1"/>
  <c r="E1" i="6"/>
  <c r="K61" i="7"/>
  <c r="J61" i="7"/>
  <c r="I61" i="7"/>
  <c r="H61" i="7"/>
  <c r="G61" i="7"/>
  <c r="F61" i="7"/>
  <c r="E61" i="7"/>
  <c r="D61" i="7"/>
  <c r="C61" i="7"/>
  <c r="B61" i="7"/>
  <c r="K59" i="7"/>
  <c r="J59" i="7"/>
  <c r="I59" i="7"/>
  <c r="H59" i="7"/>
  <c r="G59" i="7"/>
  <c r="F59" i="7"/>
  <c r="E59" i="7"/>
  <c r="D59" i="7"/>
  <c r="C59" i="7"/>
  <c r="B59" i="7"/>
  <c r="K58" i="7"/>
  <c r="J58" i="7"/>
  <c r="I58" i="7"/>
  <c r="H58" i="7"/>
  <c r="G58" i="7"/>
  <c r="F58" i="7"/>
  <c r="E58" i="7"/>
  <c r="D58" i="7"/>
  <c r="C58" i="7"/>
  <c r="B58" i="7"/>
  <c r="K54" i="7"/>
  <c r="K8" i="7" s="1"/>
  <c r="J54" i="7"/>
  <c r="J8" i="7" s="1"/>
  <c r="I54" i="7"/>
  <c r="I8" i="7" s="1"/>
  <c r="H54" i="7"/>
  <c r="H8" i="7" s="1"/>
  <c r="G54" i="7"/>
  <c r="G8" i="7" s="1"/>
  <c r="F54" i="7"/>
  <c r="E54" i="7"/>
  <c r="E8" i="7" s="1"/>
  <c r="D54" i="7"/>
  <c r="D8" i="7" s="1"/>
  <c r="C54" i="7"/>
  <c r="C8" i="7" s="1"/>
  <c r="B54" i="7"/>
  <c r="B8" i="7" s="1"/>
  <c r="K53" i="7"/>
  <c r="K6" i="7" s="1"/>
  <c r="J53" i="7"/>
  <c r="J6" i="7" s="1"/>
  <c r="I53" i="7"/>
  <c r="I6" i="7" s="1"/>
  <c r="H53" i="7"/>
  <c r="H6" i="7" s="1"/>
  <c r="G53" i="7"/>
  <c r="G6" i="7" s="1"/>
  <c r="F53" i="7"/>
  <c r="F6" i="7" s="1"/>
  <c r="E53" i="7"/>
  <c r="E6" i="7" s="1"/>
  <c r="D53" i="7"/>
  <c r="C53" i="7"/>
  <c r="C6" i="7" s="1"/>
  <c r="B53" i="7"/>
  <c r="B6" i="7" s="1"/>
  <c r="K52" i="7"/>
  <c r="K7" i="7" s="1"/>
  <c r="J52" i="7"/>
  <c r="J7" i="7" s="1"/>
  <c r="I52" i="7"/>
  <c r="I7" i="7" s="1"/>
  <c r="H52" i="7"/>
  <c r="H7" i="7" s="1"/>
  <c r="G52" i="7"/>
  <c r="G7" i="7" s="1"/>
  <c r="F52" i="7"/>
  <c r="F7" i="7" s="1"/>
  <c r="E52" i="7"/>
  <c r="E7" i="7" s="1"/>
  <c r="D52" i="7"/>
  <c r="D7" i="7" s="1"/>
  <c r="C52" i="7"/>
  <c r="C7" i="7" s="1"/>
  <c r="B52" i="7"/>
  <c r="B7" i="7" s="1"/>
  <c r="K51" i="7"/>
  <c r="J51" i="7"/>
  <c r="I51" i="7"/>
  <c r="H51" i="7"/>
  <c r="G51" i="7"/>
  <c r="F51" i="7"/>
  <c r="E51" i="7"/>
  <c r="D51" i="7"/>
  <c r="C51" i="7"/>
  <c r="B51" i="7"/>
  <c r="K50" i="7"/>
  <c r="J50" i="7"/>
  <c r="I50" i="7"/>
  <c r="H50" i="7"/>
  <c r="G50" i="7"/>
  <c r="F50" i="7"/>
  <c r="E50" i="7"/>
  <c r="D50" i="7"/>
  <c r="C50" i="7"/>
  <c r="B50" i="7"/>
  <c r="K49" i="7"/>
  <c r="L24" i="8" s="1"/>
  <c r="J49" i="7"/>
  <c r="J24" i="8" s="1"/>
  <c r="I49" i="7"/>
  <c r="I24" i="8" s="1"/>
  <c r="H49" i="7"/>
  <c r="H24" i="8" s="1"/>
  <c r="G49" i="7"/>
  <c r="F49" i="7"/>
  <c r="F24" i="8" s="1"/>
  <c r="E49" i="7"/>
  <c r="E24" i="8" s="1"/>
  <c r="D49" i="7"/>
  <c r="D24" i="8" s="1"/>
  <c r="C49" i="7"/>
  <c r="B49" i="7"/>
  <c r="K48" i="7"/>
  <c r="J48" i="7"/>
  <c r="I48" i="7"/>
  <c r="H48" i="7"/>
  <c r="G48" i="7"/>
  <c r="F48" i="7"/>
  <c r="E48" i="7"/>
  <c r="D48" i="7"/>
  <c r="C48" i="7"/>
  <c r="B48" i="7"/>
  <c r="K47" i="7"/>
  <c r="K10" i="7" s="1"/>
  <c r="J47" i="7"/>
  <c r="J10" i="7" s="1"/>
  <c r="I47" i="7"/>
  <c r="I10" i="7" s="1"/>
  <c r="H47" i="7"/>
  <c r="G47" i="7"/>
  <c r="G10" i="7" s="1"/>
  <c r="F47" i="7"/>
  <c r="F10" i="7" s="1"/>
  <c r="E47" i="7"/>
  <c r="D47" i="7"/>
  <c r="D10" i="7" s="1"/>
  <c r="C47" i="7"/>
  <c r="C10" i="7" s="1"/>
  <c r="B47" i="7"/>
  <c r="B10" i="7" s="1"/>
  <c r="K46" i="7"/>
  <c r="K9" i="7" s="1"/>
  <c r="J46" i="7"/>
  <c r="J9" i="7" s="1"/>
  <c r="I46" i="7"/>
  <c r="I9" i="7" s="1"/>
  <c r="H46" i="7"/>
  <c r="H9" i="7" s="1"/>
  <c r="G46" i="7"/>
  <c r="G9" i="7" s="1"/>
  <c r="F46" i="7"/>
  <c r="F9" i="7" s="1"/>
  <c r="E46" i="7"/>
  <c r="E9" i="7" s="1"/>
  <c r="D46" i="7"/>
  <c r="D9" i="7" s="1"/>
  <c r="C46" i="7"/>
  <c r="C9" i="7" s="1"/>
  <c r="B46" i="7"/>
  <c r="K45" i="7"/>
  <c r="J45" i="7"/>
  <c r="I45" i="7"/>
  <c r="H45" i="7"/>
  <c r="G45" i="7"/>
  <c r="F45" i="7"/>
  <c r="E45" i="7"/>
  <c r="D45" i="7"/>
  <c r="C45" i="7"/>
  <c r="B45" i="7"/>
  <c r="K44" i="7"/>
  <c r="J44" i="7"/>
  <c r="I44" i="7"/>
  <c r="H44" i="7"/>
  <c r="G44" i="7"/>
  <c r="F44" i="7"/>
  <c r="E44" i="7"/>
  <c r="D44" i="7"/>
  <c r="C44" i="7"/>
  <c r="B44" i="7"/>
  <c r="K40" i="7"/>
  <c r="J40" i="7"/>
  <c r="I40" i="7"/>
  <c r="H40" i="7"/>
  <c r="G40" i="7"/>
  <c r="F40" i="7"/>
  <c r="E40" i="7"/>
  <c r="D40" i="7"/>
  <c r="C40" i="7"/>
  <c r="B40" i="7"/>
  <c r="K39" i="7"/>
  <c r="J39" i="7"/>
  <c r="I39" i="7"/>
  <c r="H39" i="7"/>
  <c r="G39" i="7"/>
  <c r="F39" i="7"/>
  <c r="E39" i="7"/>
  <c r="D39" i="7"/>
  <c r="C39" i="7"/>
  <c r="B39" i="7"/>
  <c r="B37" i="7"/>
  <c r="K35" i="7"/>
  <c r="J35" i="7"/>
  <c r="I35" i="7"/>
  <c r="H35" i="7"/>
  <c r="G35" i="7"/>
  <c r="F35" i="7"/>
  <c r="E35" i="7"/>
  <c r="D35" i="7"/>
  <c r="C35" i="7"/>
  <c r="B35" i="7"/>
  <c r="K33" i="7"/>
  <c r="J33" i="7"/>
  <c r="I33" i="7"/>
  <c r="H33" i="7"/>
  <c r="G33" i="7"/>
  <c r="F33" i="7"/>
  <c r="E33" i="7"/>
  <c r="D33" i="7"/>
  <c r="C33" i="7"/>
  <c r="B33" i="7"/>
  <c r="K31" i="7"/>
  <c r="J31" i="7"/>
  <c r="I31" i="7"/>
  <c r="H31" i="7"/>
  <c r="G31" i="7"/>
  <c r="F31" i="7"/>
  <c r="E31" i="7"/>
  <c r="D31" i="7"/>
  <c r="C31" i="7"/>
  <c r="B31" i="7"/>
  <c r="K29" i="7"/>
  <c r="J29" i="7"/>
  <c r="I29" i="7"/>
  <c r="H29" i="7"/>
  <c r="G29" i="7"/>
  <c r="F29" i="7"/>
  <c r="E29" i="7"/>
  <c r="D29" i="7"/>
  <c r="C29" i="7"/>
  <c r="B29" i="7"/>
  <c r="K28" i="7"/>
  <c r="J28" i="7"/>
  <c r="I28" i="7"/>
  <c r="H28" i="7"/>
  <c r="G28" i="7"/>
  <c r="F28" i="7"/>
  <c r="E28" i="7"/>
  <c r="D28" i="7"/>
  <c r="C28" i="7"/>
  <c r="B28" i="7"/>
  <c r="K25" i="7"/>
  <c r="J25" i="7"/>
  <c r="I25" i="7"/>
  <c r="H25" i="7"/>
  <c r="G25" i="7"/>
  <c r="F25" i="7"/>
  <c r="E25" i="7"/>
  <c r="D25" i="7"/>
  <c r="C25" i="7"/>
  <c r="B25" i="7"/>
  <c r="A24" i="7"/>
  <c r="K21" i="7"/>
  <c r="J21" i="7"/>
  <c r="I21" i="7"/>
  <c r="H21" i="7"/>
  <c r="G21" i="7"/>
  <c r="F21" i="7"/>
  <c r="E21" i="7"/>
  <c r="D21" i="7"/>
  <c r="C21" i="7"/>
  <c r="B21" i="7"/>
  <c r="K20" i="7"/>
  <c r="J20" i="7"/>
  <c r="I20" i="7"/>
  <c r="H20" i="7"/>
  <c r="G20" i="7"/>
  <c r="F20" i="7"/>
  <c r="E20" i="7"/>
  <c r="D20" i="7"/>
  <c r="C20" i="7"/>
  <c r="B20" i="7"/>
  <c r="K17" i="7"/>
  <c r="J17" i="7"/>
  <c r="I17" i="7"/>
  <c r="H17" i="7"/>
  <c r="G17" i="7"/>
  <c r="F17" i="7"/>
  <c r="E17" i="7"/>
  <c r="D17" i="7"/>
  <c r="C17" i="7"/>
  <c r="B17" i="7"/>
  <c r="K16" i="7"/>
  <c r="J16" i="7"/>
  <c r="I16" i="7"/>
  <c r="H16" i="7"/>
  <c r="G16" i="7"/>
  <c r="F16" i="7"/>
  <c r="E16" i="7"/>
  <c r="D16" i="7"/>
  <c r="C16" i="7"/>
  <c r="B16" i="7"/>
  <c r="K15" i="7"/>
  <c r="K26" i="7" s="1"/>
  <c r="J15" i="7"/>
  <c r="J26" i="7" s="1"/>
  <c r="I15" i="7"/>
  <c r="I26" i="7" s="1"/>
  <c r="H15" i="7"/>
  <c r="H26" i="7" s="1"/>
  <c r="G15" i="7"/>
  <c r="G26" i="7" s="1"/>
  <c r="F15" i="7"/>
  <c r="F26" i="7" s="1"/>
  <c r="E15" i="7"/>
  <c r="E26" i="7" s="1"/>
  <c r="D15" i="7"/>
  <c r="D26" i="7" s="1"/>
  <c r="C15" i="7"/>
  <c r="C26" i="7" s="1"/>
  <c r="B15" i="7"/>
  <c r="B26" i="7" s="1"/>
  <c r="K4" i="7"/>
  <c r="K14" i="7" s="1"/>
  <c r="K24" i="7" s="1"/>
  <c r="J4" i="7"/>
  <c r="J14" i="7" s="1"/>
  <c r="J24" i="7" s="1"/>
  <c r="I4" i="7"/>
  <c r="I14" i="7" s="1"/>
  <c r="I24" i="7" s="1"/>
  <c r="H4" i="7"/>
  <c r="H14" i="7" s="1"/>
  <c r="H24" i="7" s="1"/>
  <c r="G4" i="7"/>
  <c r="G14" i="7" s="1"/>
  <c r="G24" i="7" s="1"/>
  <c r="F4" i="7"/>
  <c r="F14" i="7" s="1"/>
  <c r="F24" i="7" s="1"/>
  <c r="E4" i="7"/>
  <c r="E14" i="7" s="1"/>
  <c r="E24" i="7" s="1"/>
  <c r="D4" i="7"/>
  <c r="D14" i="7" s="1"/>
  <c r="D24" i="7" s="1"/>
  <c r="C4" i="7"/>
  <c r="C14" i="7" s="1"/>
  <c r="C24" i="7" s="1"/>
  <c r="B4" i="7"/>
  <c r="B14" i="7" s="1"/>
  <c r="B24" i="7" s="1"/>
  <c r="A4" i="7"/>
  <c r="A1" i="7"/>
  <c r="E83" i="7"/>
  <c r="A26" i="7"/>
  <c r="H10" i="7"/>
  <c r="B9" i="7"/>
  <c r="F8" i="7"/>
  <c r="F84" i="9" s="1"/>
  <c r="D6" i="7"/>
  <c r="G59" i="8" l="1"/>
  <c r="B84" i="9"/>
  <c r="C27" i="7"/>
  <c r="C59" i="9" s="1"/>
  <c r="C84" i="9"/>
  <c r="C60" i="9"/>
  <c r="E30" i="7"/>
  <c r="E81" i="7" s="1"/>
  <c r="H41" i="7"/>
  <c r="H56" i="7" s="1"/>
  <c r="B41" i="7"/>
  <c r="B47" i="9" s="1"/>
  <c r="F41" i="7"/>
  <c r="F47" i="9" s="1"/>
  <c r="J41" i="7"/>
  <c r="J56" i="7" s="1"/>
  <c r="J64" i="9" s="1"/>
  <c r="D57" i="7"/>
  <c r="H57" i="7"/>
  <c r="C79" i="7"/>
  <c r="K79" i="7"/>
  <c r="C83" i="7"/>
  <c r="F59" i="8"/>
  <c r="Q57" i="8"/>
  <c r="H27" i="7"/>
  <c r="H59" i="9" s="1"/>
  <c r="B51" i="9"/>
  <c r="B52" i="9" s="1"/>
  <c r="D79" i="7"/>
  <c r="G79" i="7"/>
  <c r="C41" i="7"/>
  <c r="C47" i="9" s="1"/>
  <c r="E59" i="8"/>
  <c r="F77" i="8"/>
  <c r="O55" i="8"/>
  <c r="P85" i="8"/>
  <c r="P95" i="8"/>
  <c r="I77" i="8"/>
  <c r="I30" i="7"/>
  <c r="I48" i="9" s="1"/>
  <c r="J54" i="9"/>
  <c r="H79" i="7"/>
  <c r="J84" i="9"/>
  <c r="B54" i="9"/>
  <c r="D127" i="8"/>
  <c r="D107" i="8"/>
  <c r="H127" i="8"/>
  <c r="H107" i="8"/>
  <c r="I27" i="7"/>
  <c r="I59" i="9" s="1"/>
  <c r="E79" i="9"/>
  <c r="I79" i="9"/>
  <c r="Q34" i="8"/>
  <c r="E127" i="8"/>
  <c r="E107" i="8"/>
  <c r="I127" i="8"/>
  <c r="I107" i="8"/>
  <c r="G57" i="7"/>
  <c r="D77" i="8"/>
  <c r="N50" i="8"/>
  <c r="F127" i="8"/>
  <c r="F107" i="8"/>
  <c r="J127" i="8"/>
  <c r="J107" i="8"/>
  <c r="K27" i="7"/>
  <c r="L59" i="9" s="1"/>
  <c r="G27" i="7"/>
  <c r="G59" i="9" s="1"/>
  <c r="C79" i="9"/>
  <c r="G79" i="9"/>
  <c r="E57" i="7"/>
  <c r="D59" i="8"/>
  <c r="H59" i="8"/>
  <c r="K59" i="8"/>
  <c r="M78" i="8"/>
  <c r="N81" i="8"/>
  <c r="O99" i="8"/>
  <c r="P118" i="8"/>
  <c r="H77" i="8"/>
  <c r="D30" i="7"/>
  <c r="D69" i="9" s="1"/>
  <c r="C57" i="7"/>
  <c r="K57" i="7"/>
  <c r="G84" i="9"/>
  <c r="G129" i="8"/>
  <c r="K129" i="8"/>
  <c r="J77" i="8"/>
  <c r="O75" i="8"/>
  <c r="C11" i="7"/>
  <c r="C54" i="9"/>
  <c r="L54" i="9"/>
  <c r="K54" i="9"/>
  <c r="L84" i="9"/>
  <c r="K84" i="9"/>
  <c r="J51" i="9"/>
  <c r="J52" i="9" s="1"/>
  <c r="J80" i="9"/>
  <c r="G81" i="9"/>
  <c r="G53" i="9"/>
  <c r="G50" i="9"/>
  <c r="E80" i="9"/>
  <c r="E51" i="9"/>
  <c r="E52" i="9" s="1"/>
  <c r="D50" i="9"/>
  <c r="D53" i="9"/>
  <c r="D81" i="9"/>
  <c r="G11" i="7"/>
  <c r="G54" i="9"/>
  <c r="D66" i="9"/>
  <c r="D65" i="9"/>
  <c r="D83" i="7"/>
  <c r="H66" i="9"/>
  <c r="H64" i="9"/>
  <c r="H65" i="9"/>
  <c r="B30" i="7"/>
  <c r="B60" i="9"/>
  <c r="F30" i="7"/>
  <c r="F60" i="9"/>
  <c r="J30" i="7"/>
  <c r="J32" i="7" s="1"/>
  <c r="J60" i="9"/>
  <c r="M39" i="7"/>
  <c r="L79" i="9"/>
  <c r="K79" i="9"/>
  <c r="E49" i="9"/>
  <c r="I49" i="9"/>
  <c r="C81" i="9"/>
  <c r="C53" i="9"/>
  <c r="C50" i="9"/>
  <c r="L50" i="9"/>
  <c r="L81" i="9"/>
  <c r="L53" i="9"/>
  <c r="M53" i="9" s="1"/>
  <c r="K81" i="9"/>
  <c r="K53" i="9"/>
  <c r="K50" i="9"/>
  <c r="I80" i="9"/>
  <c r="I51" i="9"/>
  <c r="I52" i="9" s="1"/>
  <c r="H50" i="9"/>
  <c r="H81" i="9"/>
  <c r="H53" i="9"/>
  <c r="D27" i="7"/>
  <c r="D59" i="9" s="1"/>
  <c r="I54" i="9"/>
  <c r="I57" i="7"/>
  <c r="H83" i="7"/>
  <c r="H80" i="9"/>
  <c r="H51" i="9"/>
  <c r="H52" i="9" s="1"/>
  <c r="E48" i="9"/>
  <c r="B83" i="7"/>
  <c r="B65" i="9"/>
  <c r="B66" i="9"/>
  <c r="B27" i="7"/>
  <c r="B59" i="9" s="1"/>
  <c r="F65" i="9"/>
  <c r="F66" i="9"/>
  <c r="J65" i="9"/>
  <c r="J66" i="9"/>
  <c r="D60" i="9"/>
  <c r="H60" i="9"/>
  <c r="H30" i="7"/>
  <c r="H81" i="7" s="1"/>
  <c r="G41" i="7"/>
  <c r="G47" i="9" s="1"/>
  <c r="K41" i="7"/>
  <c r="C23" i="7"/>
  <c r="C62" i="7" s="1"/>
  <c r="G23"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K83" i="7"/>
  <c r="E65" i="9"/>
  <c r="E66" i="9"/>
  <c r="I83" i="7"/>
  <c r="I65" i="9"/>
  <c r="I66" i="9"/>
  <c r="G60" i="9"/>
  <c r="L60" i="9"/>
  <c r="L6" i="9" s="1"/>
  <c r="K60" i="9"/>
  <c r="F19" i="9"/>
  <c r="D27" i="9" s="1"/>
  <c r="F18" i="9"/>
  <c r="F21" i="9"/>
  <c r="F20" i="9"/>
  <c r="D41" i="7"/>
  <c r="D56" i="7" s="1"/>
  <c r="D79" i="9"/>
  <c r="H79" i="9"/>
  <c r="H47" i="9"/>
  <c r="D54" i="9"/>
  <c r="H54" i="9"/>
  <c r="B79" i="7"/>
  <c r="B49" i="9"/>
  <c r="F49" i="9"/>
  <c r="J49" i="9"/>
  <c r="D84" i="9"/>
  <c r="H84" i="9"/>
  <c r="D43" i="9"/>
  <c r="H43" i="9"/>
  <c r="B62"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7" i="9" s="1"/>
  <c r="AA4" i="9"/>
  <c r="AB3" i="9"/>
  <c r="AB5" i="9"/>
  <c r="AB7" i="9" s="1"/>
  <c r="AB4" i="9"/>
  <c r="F80" i="9"/>
  <c r="F51" i="9"/>
  <c r="G83" i="7"/>
  <c r="C66" i="9"/>
  <c r="C65" i="9"/>
  <c r="G66" i="9"/>
  <c r="G65" i="9"/>
  <c r="L66" i="9"/>
  <c r="B19" i="9"/>
  <c r="B18" i="9"/>
  <c r="L65" i="9"/>
  <c r="B21" i="9"/>
  <c r="F8" i="10" s="1"/>
  <c r="B20" i="9"/>
  <c r="K66" i="9"/>
  <c r="K65" i="9"/>
  <c r="E60" i="9"/>
  <c r="I60" i="9"/>
  <c r="F79" i="9"/>
  <c r="J79" i="9"/>
  <c r="J47" i="9"/>
  <c r="D49" i="9"/>
  <c r="H49" i="9"/>
  <c r="B50" i="9"/>
  <c r="B53" i="9"/>
  <c r="F81" i="9"/>
  <c r="F53" i="9"/>
  <c r="F50" i="9"/>
  <c r="J81" i="9"/>
  <c r="J53" i="9"/>
  <c r="J50" i="9"/>
  <c r="B43" i="9"/>
  <c r="F43" i="9"/>
  <c r="J43" i="9"/>
  <c r="N41" i="8"/>
  <c r="O5" i="9"/>
  <c r="O4" i="9"/>
  <c r="O3" i="9"/>
  <c r="Q33" i="8"/>
  <c r="E105" i="8"/>
  <c r="I11" i="9"/>
  <c r="I105" i="8"/>
  <c r="I13" i="9"/>
  <c r="K60" i="8"/>
  <c r="L60" i="8"/>
  <c r="AC3" i="9"/>
  <c r="AC5" i="9"/>
  <c r="AC7" i="9" s="1"/>
  <c r="AC4" i="9"/>
  <c r="Q78" i="8"/>
  <c r="D14" i="10"/>
  <c r="E12" i="10"/>
  <c r="B23" i="10"/>
  <c r="B15" i="10"/>
  <c r="C23" i="10"/>
  <c r="C15" i="10"/>
  <c r="F79" i="7"/>
  <c r="J79" i="7"/>
  <c r="L41" i="7"/>
  <c r="L56" i="7" s="1"/>
  <c r="K11" i="7"/>
  <c r="C30" i="7"/>
  <c r="C32" i="7" s="1"/>
  <c r="C34" i="7" s="1"/>
  <c r="C45" i="9" s="1"/>
  <c r="G30" i="7"/>
  <c r="G81" i="7" s="1"/>
  <c r="K30" i="7"/>
  <c r="H23" i="7"/>
  <c r="K23" i="7"/>
  <c r="C24" i="8"/>
  <c r="G24" i="8"/>
  <c r="K24" i="8"/>
  <c r="F129" i="8"/>
  <c r="J129" i="8"/>
  <c r="K46" i="8"/>
  <c r="K105" i="8"/>
  <c r="O113" i="8"/>
  <c r="P114" i="8"/>
  <c r="O115" i="8"/>
  <c r="I116" i="8"/>
  <c r="I23" i="7"/>
  <c r="I62" i="7" s="1"/>
  <c r="C77" i="8"/>
  <c r="G77" i="8"/>
  <c r="K77" i="8"/>
  <c r="E129" i="8"/>
  <c r="I129" i="8"/>
  <c r="H46" i="8"/>
  <c r="G105" i="8"/>
  <c r="O109" i="8"/>
  <c r="E116" i="8"/>
  <c r="E27"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L57" i="7"/>
  <c r="L10" i="7"/>
  <c r="L11" i="7" s="1"/>
  <c r="E10" i="7"/>
  <c r="E11" i="7" s="1"/>
  <c r="D23" i="7"/>
  <c r="I11" i="7"/>
  <c r="F11" i="7"/>
  <c r="D81" i="7"/>
  <c r="E32" i="7"/>
  <c r="E34" i="7" s="1"/>
  <c r="E45" i="9" s="1"/>
  <c r="I32" i="7"/>
  <c r="I34" i="7" s="1"/>
  <c r="F83" i="7"/>
  <c r="F27" i="7"/>
  <c r="F59" i="9" s="1"/>
  <c r="J83" i="7"/>
  <c r="J27" i="7"/>
  <c r="J59" i="9" s="1"/>
  <c r="K81" i="7"/>
  <c r="C56" i="7"/>
  <c r="C64" i="9" s="1"/>
  <c r="E41" i="7"/>
  <c r="E56" i="7" s="1"/>
  <c r="E64" i="9" s="1"/>
  <c r="I41" i="7"/>
  <c r="I56" i="7" s="1"/>
  <c r="I64" i="9" s="1"/>
  <c r="E23" i="7"/>
  <c r="D11" i="7"/>
  <c r="H11" i="7"/>
  <c r="B57" i="7"/>
  <c r="F57" i="7"/>
  <c r="J57" i="7"/>
  <c r="E79" i="7"/>
  <c r="I79" i="7"/>
  <c r="B11" i="7"/>
  <c r="J11" i="7"/>
  <c r="F23" i="7"/>
  <c r="J23" i="7"/>
  <c r="B56" i="7" l="1"/>
  <c r="B64" i="9" s="1"/>
  <c r="J81" i="7"/>
  <c r="E69" i="9"/>
  <c r="I81" i="7"/>
  <c r="F56" i="7"/>
  <c r="K59" i="9"/>
  <c r="C63" i="7"/>
  <c r="C64" i="7" s="1"/>
  <c r="O46" i="8"/>
  <c r="I69" i="9"/>
  <c r="C20" i="9"/>
  <c r="Q46" i="8"/>
  <c r="H32" i="7"/>
  <c r="H34" i="7" s="1"/>
  <c r="H67" i="7" s="1"/>
  <c r="H80" i="7" s="1"/>
  <c r="D32" i="7"/>
  <c r="D34" i="7" s="1"/>
  <c r="D83" i="9" s="1"/>
  <c r="Q51" i="8"/>
  <c r="D48" i="9"/>
  <c r="D85" i="9"/>
  <c r="F33" i="9"/>
  <c r="M60" i="8"/>
  <c r="J34" i="7"/>
  <c r="J44" i="9" s="1"/>
  <c r="J63" i="7"/>
  <c r="J64" i="7" s="1"/>
  <c r="G32" i="7"/>
  <c r="G34" i="7" s="1"/>
  <c r="G46" i="9" s="1"/>
  <c r="K127" i="8"/>
  <c r="K107" i="8"/>
  <c r="B13" i="9" s="1"/>
  <c r="G127" i="8"/>
  <c r="G107" i="8"/>
  <c r="O7" i="9"/>
  <c r="B99" i="9"/>
  <c r="M50" i="9"/>
  <c r="M54" i="9"/>
  <c r="P51" i="8"/>
  <c r="B12" i="9"/>
  <c r="E83" i="9"/>
  <c r="C57" i="9"/>
  <c r="C44" i="9"/>
  <c r="D64" i="9"/>
  <c r="P116" i="8"/>
  <c r="C78" i="9"/>
  <c r="I85" i="9"/>
  <c r="E54" i="9"/>
  <c r="C83" i="9"/>
  <c r="Y7" i="9"/>
  <c r="M43" i="9"/>
  <c r="C46" i="9"/>
  <c r="I47" i="9"/>
  <c r="E85" i="9"/>
  <c r="E78" i="9"/>
  <c r="E47" i="9"/>
  <c r="C18" i="9"/>
  <c r="I62" i="9"/>
  <c r="I56" i="9"/>
  <c r="I67" i="7"/>
  <c r="I80" i="7" s="1"/>
  <c r="I61" i="9"/>
  <c r="D62" i="7"/>
  <c r="D82" i="9"/>
  <c r="H45" i="9"/>
  <c r="R5" i="9"/>
  <c r="R4" i="9"/>
  <c r="R3" i="9"/>
  <c r="T6" i="9"/>
  <c r="K52" i="9"/>
  <c r="H85" i="9"/>
  <c r="H69" i="9"/>
  <c r="H48" i="9"/>
  <c r="L5" i="9"/>
  <c r="L7" i="9" s="1"/>
  <c r="L3" i="9"/>
  <c r="L4" i="9"/>
  <c r="E62" i="7"/>
  <c r="E55" i="9" s="1"/>
  <c r="B94" i="9"/>
  <c r="E82" i="9"/>
  <c r="J61" i="9"/>
  <c r="O116" i="8"/>
  <c r="O51" i="8"/>
  <c r="B96" i="9"/>
  <c r="I55" i="9"/>
  <c r="I82" i="9"/>
  <c r="D21" i="9"/>
  <c r="D20" i="9"/>
  <c r="D19" i="9"/>
  <c r="D18" i="9"/>
  <c r="L69" i="9"/>
  <c r="L48" i="9"/>
  <c r="K48" i="9"/>
  <c r="F24" i="9" s="1"/>
  <c r="K69" i="9"/>
  <c r="K11" i="9"/>
  <c r="M11" i="9" s="1"/>
  <c r="L11" i="9"/>
  <c r="I57" i="9"/>
  <c r="M49" i="9"/>
  <c r="O20" i="9"/>
  <c r="O19" i="9"/>
  <c r="O18" i="9"/>
  <c r="C14" i="9"/>
  <c r="C13" i="9"/>
  <c r="O21" i="9"/>
  <c r="C12" i="9"/>
  <c r="C11" i="9"/>
  <c r="J78" i="9"/>
  <c r="L47" i="9"/>
  <c r="J83" i="9"/>
  <c r="F69" i="9"/>
  <c r="F48" i="9"/>
  <c r="F85" i="9"/>
  <c r="J62" i="7"/>
  <c r="J55" i="9" s="1"/>
  <c r="J82" i="9"/>
  <c r="K56" i="7"/>
  <c r="K85" i="9" s="1"/>
  <c r="E67" i="7"/>
  <c r="E80" i="7" s="1"/>
  <c r="E61" i="9"/>
  <c r="F32" i="7"/>
  <c r="F63" i="7" s="1"/>
  <c r="F64" i="7" s="1"/>
  <c r="K62" i="7"/>
  <c r="K55" i="9" s="1"/>
  <c r="L82" i="9"/>
  <c r="K82" i="9"/>
  <c r="G48" i="9"/>
  <c r="G69" i="9"/>
  <c r="AD3" i="9"/>
  <c r="AD5" i="9"/>
  <c r="AD7" i="9" s="1"/>
  <c r="AD4" i="9"/>
  <c r="K14" i="9"/>
  <c r="L14" i="9"/>
  <c r="J46" i="9"/>
  <c r="S5" i="9"/>
  <c r="S7" i="9" s="1"/>
  <c r="S4" i="9"/>
  <c r="S3" i="9"/>
  <c r="E57" i="9"/>
  <c r="G62" i="7"/>
  <c r="B95" i="9"/>
  <c r="G82" i="9"/>
  <c r="I44" i="9"/>
  <c r="E46" i="9"/>
  <c r="I45" i="9"/>
  <c r="K47" i="9"/>
  <c r="C19" i="9"/>
  <c r="F62" i="7"/>
  <c r="F55" i="9" s="1"/>
  <c r="F82" i="9"/>
  <c r="G56" i="7"/>
  <c r="G64" i="9" s="1"/>
  <c r="K32" i="7"/>
  <c r="K63" i="7" s="1"/>
  <c r="K64" i="7" s="1"/>
  <c r="C67" i="7"/>
  <c r="C80" i="7" s="1"/>
  <c r="C61" i="9"/>
  <c r="C67" i="9" s="1"/>
  <c r="F81" i="7"/>
  <c r="Q116" i="8"/>
  <c r="Q77" i="8"/>
  <c r="K65" i="8"/>
  <c r="I7" i="10"/>
  <c r="B16" i="10" s="1"/>
  <c r="H62" i="7"/>
  <c r="H55" i="9" s="1"/>
  <c r="H82" i="9"/>
  <c r="C81" i="7"/>
  <c r="C48" i="9"/>
  <c r="C85" i="9"/>
  <c r="C69" i="9"/>
  <c r="K13" i="9"/>
  <c r="L13" i="9"/>
  <c r="I83" i="9"/>
  <c r="I8" i="10"/>
  <c r="A27" i="9"/>
  <c r="A33" i="9"/>
  <c r="T5" i="9"/>
  <c r="T4" i="9"/>
  <c r="T3" i="9"/>
  <c r="F52" i="9"/>
  <c r="L65" i="8"/>
  <c r="N51" i="8"/>
  <c r="K12" i="9"/>
  <c r="M12" i="9" s="1"/>
  <c r="K24" i="9" s="1"/>
  <c r="L12" i="9"/>
  <c r="E33" i="9"/>
  <c r="B55" i="9"/>
  <c r="B62" i="9"/>
  <c r="J45" i="9"/>
  <c r="D47" i="9"/>
  <c r="I78" i="9"/>
  <c r="I70" i="9" s="1"/>
  <c r="B100" i="9"/>
  <c r="I46" i="9"/>
  <c r="M51" i="9"/>
  <c r="L52" i="9"/>
  <c r="M52" i="9" s="1"/>
  <c r="E53" i="9"/>
  <c r="B93" i="9"/>
  <c r="C82" i="9"/>
  <c r="E44" i="9"/>
  <c r="F64" i="9"/>
  <c r="M79" i="9"/>
  <c r="J69" i="9"/>
  <c r="J48" i="9"/>
  <c r="J85" i="9"/>
  <c r="J70" i="9" s="1"/>
  <c r="J87" i="9" s="1"/>
  <c r="J88" i="9" s="1"/>
  <c r="B32" i="7"/>
  <c r="B81" i="7"/>
  <c r="B69" i="9"/>
  <c r="B48" i="9"/>
  <c r="B85" i="9"/>
  <c r="C21" i="9"/>
  <c r="H24" i="9"/>
  <c r="R6" i="9"/>
  <c r="R7" i="9" s="1"/>
  <c r="D23" i="10"/>
  <c r="D15" i="10"/>
  <c r="F12" i="10"/>
  <c r="E14" i="10"/>
  <c r="C56" i="9"/>
  <c r="C62" i="9"/>
  <c r="C55" i="9"/>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E63" i="7"/>
  <c r="E64" i="7" s="1"/>
  <c r="I63" i="7"/>
  <c r="I64" i="7" s="1"/>
  <c r="H63" i="7"/>
  <c r="H64" i="7" s="1"/>
  <c r="H57" i="9" l="1"/>
  <c r="J71" i="9"/>
  <c r="J73" i="9"/>
  <c r="H46" i="9"/>
  <c r="H78" i="9"/>
  <c r="H61" i="9"/>
  <c r="H67" i="9" s="1"/>
  <c r="H83" i="9"/>
  <c r="J67" i="7"/>
  <c r="J80" i="7" s="1"/>
  <c r="H44" i="9"/>
  <c r="J57" i="9"/>
  <c r="B11" i="9"/>
  <c r="D46" i="9"/>
  <c r="M47" i="9"/>
  <c r="Q6" i="9"/>
  <c r="Q127" i="8"/>
  <c r="D63" i="7"/>
  <c r="D64" i="7" s="1"/>
  <c r="D71" i="9" s="1"/>
  <c r="Q65" i="8"/>
  <c r="D57" i="9"/>
  <c r="G61" i="9"/>
  <c r="G68" i="9" s="1"/>
  <c r="D78" i="9"/>
  <c r="D70" i="9" s="1"/>
  <c r="D87" i="9" s="1"/>
  <c r="D88" i="9" s="1"/>
  <c r="E70" i="9"/>
  <c r="E87" i="9" s="1"/>
  <c r="E88" i="9" s="1"/>
  <c r="H68" i="9"/>
  <c r="D67" i="7"/>
  <c r="D80" i="7" s="1"/>
  <c r="D44" i="9"/>
  <c r="D45" i="9"/>
  <c r="D61" i="9"/>
  <c r="D67" i="9" s="1"/>
  <c r="O127" i="8"/>
  <c r="C70" i="9"/>
  <c r="C87" i="9" s="1"/>
  <c r="C88" i="9" s="1"/>
  <c r="G83" i="9"/>
  <c r="G57" i="9"/>
  <c r="G78" i="9"/>
  <c r="G44" i="9"/>
  <c r="B105" i="9"/>
  <c r="G67" i="7"/>
  <c r="G80" i="7" s="1"/>
  <c r="G63" i="7"/>
  <c r="G64" i="7" s="1"/>
  <c r="P65" i="8"/>
  <c r="P127" i="8"/>
  <c r="G45" i="9"/>
  <c r="C68" i="9"/>
  <c r="H70" i="9"/>
  <c r="H87" i="9" s="1"/>
  <c r="H88" i="9" s="1"/>
  <c r="M48" i="9"/>
  <c r="I87" i="9"/>
  <c r="L73" i="9"/>
  <c r="H19" i="9" s="1"/>
  <c r="I27" i="9" s="1"/>
  <c r="L71" i="9"/>
  <c r="L72" i="9"/>
  <c r="K73" i="9"/>
  <c r="K71" i="9"/>
  <c r="K72" i="9"/>
  <c r="G24" i="9"/>
  <c r="G62" i="9"/>
  <c r="G56" i="9"/>
  <c r="Q5" i="9"/>
  <c r="G67" i="9"/>
  <c r="D62" i="9"/>
  <c r="D56" i="9"/>
  <c r="O65" i="8"/>
  <c r="H62" i="9"/>
  <c r="H56" i="9"/>
  <c r="K34" i="7"/>
  <c r="L56" i="9" s="1"/>
  <c r="M56" i="9" s="1"/>
  <c r="L78" i="9"/>
  <c r="K78" i="9"/>
  <c r="F62" i="9"/>
  <c r="G55" i="9"/>
  <c r="N20" i="9"/>
  <c r="N19" i="9"/>
  <c r="N21" i="9"/>
  <c r="N18" i="9"/>
  <c r="L62" i="9"/>
  <c r="K62" i="9"/>
  <c r="K56" i="9"/>
  <c r="L64" i="9"/>
  <c r="K64" i="9"/>
  <c r="B101" i="9" s="1"/>
  <c r="J62" i="9"/>
  <c r="J56" i="9"/>
  <c r="I68" i="9"/>
  <c r="I67" i="9"/>
  <c r="G71" i="9"/>
  <c r="F72" i="9"/>
  <c r="F71" i="9"/>
  <c r="M13" i="9"/>
  <c r="B4" i="10"/>
  <c r="F7" i="10"/>
  <c r="M14" i="9"/>
  <c r="Q3" i="9"/>
  <c r="F34" i="7"/>
  <c r="F78" i="9"/>
  <c r="F70" i="9" s="1"/>
  <c r="F87" i="9" s="1"/>
  <c r="F88" i="9" s="1"/>
  <c r="K70" i="9"/>
  <c r="B103" i="9" s="1"/>
  <c r="J67" i="9"/>
  <c r="J68" i="9"/>
  <c r="D55" i="9"/>
  <c r="H73" i="9"/>
  <c r="H72" i="9"/>
  <c r="I71" i="9"/>
  <c r="I72" i="9"/>
  <c r="N65" i="8"/>
  <c r="B78" i="9"/>
  <c r="B70" i="9" s="1"/>
  <c r="B63" i="7"/>
  <c r="B64" i="7" s="1"/>
  <c r="C71" i="9" s="1"/>
  <c r="B34" i="7"/>
  <c r="T7" i="9"/>
  <c r="Q4" i="9"/>
  <c r="G85" i="9"/>
  <c r="G70" i="9" s="1"/>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B2" i="11" s="1"/>
  <c r="C93" i="6"/>
  <c r="C36" i="7" s="1"/>
  <c r="D93" i="6"/>
  <c r="D36" i="7" s="1"/>
  <c r="E93" i="6"/>
  <c r="E36" i="7" s="1"/>
  <c r="F93" i="6"/>
  <c r="F36" i="7" s="1"/>
  <c r="G93" i="6"/>
  <c r="G36" i="7" s="1"/>
  <c r="H93" i="6"/>
  <c r="H36" i="7" s="1"/>
  <c r="I93" i="6"/>
  <c r="I36" i="7" s="1"/>
  <c r="J93" i="6"/>
  <c r="J36" i="7" s="1"/>
  <c r="B93" i="6"/>
  <c r="B36" i="7" s="1"/>
  <c r="B16" i="12" s="1"/>
  <c r="B112" i="12" s="1"/>
  <c r="I89" i="9" l="1"/>
  <c r="I16" i="12"/>
  <c r="I112" i="12" s="1"/>
  <c r="I75" i="7"/>
  <c r="E89" i="9"/>
  <c r="E75" i="7"/>
  <c r="E16" i="12"/>
  <c r="E112" i="12" s="1"/>
  <c r="I73" i="9"/>
  <c r="G72" i="9"/>
  <c r="J89" i="9"/>
  <c r="J75" i="7"/>
  <c r="J16" i="12"/>
  <c r="J112" i="12" s="1"/>
  <c r="H89" i="9"/>
  <c r="I90" i="9" s="1"/>
  <c r="I91" i="9" s="1"/>
  <c r="H75" i="7"/>
  <c r="H16" i="12"/>
  <c r="H112" i="12" s="1"/>
  <c r="D89" i="9"/>
  <c r="E90" i="9" s="1"/>
  <c r="E91" i="9" s="1"/>
  <c r="D75" i="7"/>
  <c r="D16" i="12"/>
  <c r="D112" i="12" s="1"/>
  <c r="E71" i="9"/>
  <c r="F89" i="9"/>
  <c r="F75" i="7"/>
  <c r="F16" i="12"/>
  <c r="F112" i="12" s="1"/>
  <c r="G89" i="9"/>
  <c r="H90" i="9" s="1"/>
  <c r="H91" i="9" s="1"/>
  <c r="G16" i="12"/>
  <c r="G112" i="12" s="1"/>
  <c r="G75" i="7"/>
  <c r="C89" i="9"/>
  <c r="C16" i="12"/>
  <c r="C112" i="12" s="1"/>
  <c r="C75" i="7"/>
  <c r="D68" i="9"/>
  <c r="B102" i="9"/>
  <c r="J72" i="9"/>
  <c r="H71" i="9"/>
  <c r="B13" i="11"/>
  <c r="E13" i="11" s="1"/>
  <c r="O17" i="10" s="1"/>
  <c r="B15" i="11"/>
  <c r="E15" i="11" s="1"/>
  <c r="O19" i="10" s="1"/>
  <c r="B14" i="11"/>
  <c r="E14" i="11" s="1"/>
  <c r="O18" i="10" s="1"/>
  <c r="G73" i="9"/>
  <c r="J90" i="9"/>
  <c r="J91" i="9" s="1"/>
  <c r="L74" i="9"/>
  <c r="I30" i="9" s="1"/>
  <c r="G20" i="9"/>
  <c r="G87" i="9"/>
  <c r="B104" i="9"/>
  <c r="G19" i="9"/>
  <c r="H27" i="9" s="1"/>
  <c r="B87" i="9"/>
  <c r="G18" i="9"/>
  <c r="Q7" i="9"/>
  <c r="L33" i="9"/>
  <c r="F67" i="7"/>
  <c r="F80" i="7" s="1"/>
  <c r="F61" i="9"/>
  <c r="F46" i="9"/>
  <c r="F83" i="9"/>
  <c r="F45" i="9"/>
  <c r="F57" i="9"/>
  <c r="F44" i="9"/>
  <c r="F56" i="9"/>
  <c r="K67" i="7"/>
  <c r="K80" i="7" s="1"/>
  <c r="L61" i="9"/>
  <c r="E20" i="9"/>
  <c r="E19" i="9"/>
  <c r="E21" i="9"/>
  <c r="O33" i="9" s="1"/>
  <c r="E18" i="9"/>
  <c r="K61" i="9"/>
  <c r="K44" i="9"/>
  <c r="K83" i="9"/>
  <c r="K46" i="9"/>
  <c r="K45" i="9"/>
  <c r="K57" i="9"/>
  <c r="L44" i="9"/>
  <c r="M44" i="9" s="1"/>
  <c r="L45" i="9"/>
  <c r="M45" i="9" s="1"/>
  <c r="L83" i="9"/>
  <c r="L46" i="9"/>
  <c r="M46" i="9" s="1"/>
  <c r="L57" i="9"/>
  <c r="M57" i="9" s="1"/>
  <c r="H18" i="9"/>
  <c r="D90" i="9"/>
  <c r="D91" i="9" s="1"/>
  <c r="N4" i="8"/>
  <c r="P4" i="8"/>
  <c r="O4" i="8"/>
  <c r="F90" i="9"/>
  <c r="F91" i="9" s="1"/>
  <c r="B67" i="7"/>
  <c r="B80" i="7" s="1"/>
  <c r="B61" i="9"/>
  <c r="B83" i="9"/>
  <c r="B45" i="9"/>
  <c r="B57" i="9"/>
  <c r="B46" i="9"/>
  <c r="B44" i="9"/>
  <c r="B56" i="9"/>
  <c r="B82" i="7"/>
  <c r="B89" i="9"/>
  <c r="L70" i="9"/>
  <c r="L87" i="9" s="1"/>
  <c r="L88" i="9" s="1"/>
  <c r="K87" i="9"/>
  <c r="J20" i="9" s="1"/>
  <c r="G21" i="9"/>
  <c r="E72" i="9"/>
  <c r="I88" i="9"/>
  <c r="F23" i="10"/>
  <c r="F15" i="10"/>
  <c r="G14" i="10"/>
  <c r="H12" i="10"/>
  <c r="C74" i="7"/>
  <c r="C82" i="7"/>
  <c r="C76" i="7"/>
  <c r="C66" i="7"/>
  <c r="C71" i="7"/>
  <c r="C77" i="7"/>
  <c r="C72" i="7"/>
  <c r="C73" i="7"/>
  <c r="J72" i="7"/>
  <c r="J82" i="7"/>
  <c r="J76" i="7"/>
  <c r="J66" i="7"/>
  <c r="J71" i="7"/>
  <c r="J77" i="7"/>
  <c r="J74" i="7"/>
  <c r="J73" i="7"/>
  <c r="F82" i="7"/>
  <c r="F66" i="7"/>
  <c r="F74" i="7"/>
  <c r="F76" i="7"/>
  <c r="F71" i="7"/>
  <c r="F77" i="7"/>
  <c r="F72" i="7"/>
  <c r="F73" i="7"/>
  <c r="K36" i="7"/>
  <c r="I4" i="8"/>
  <c r="E4" i="8"/>
  <c r="G82" i="7"/>
  <c r="G66" i="7"/>
  <c r="G74" i="7"/>
  <c r="G76" i="7"/>
  <c r="G71" i="7"/>
  <c r="G72" i="7"/>
  <c r="G73" i="7"/>
  <c r="G77" i="7"/>
  <c r="F4" i="8"/>
  <c r="H66" i="7"/>
  <c r="H74" i="7"/>
  <c r="H71" i="7"/>
  <c r="H76" i="7"/>
  <c r="H77" i="7"/>
  <c r="H82" i="7"/>
  <c r="H72" i="7"/>
  <c r="H73" i="7"/>
  <c r="D77" i="7"/>
  <c r="D72" i="7"/>
  <c r="D76" i="7"/>
  <c r="D74" i="7"/>
  <c r="D71" i="7"/>
  <c r="D82" i="7"/>
  <c r="D66" i="7"/>
  <c r="D73" i="7"/>
  <c r="K4" i="8"/>
  <c r="G4" i="8"/>
  <c r="C4" i="8"/>
  <c r="J4" i="8"/>
  <c r="I66" i="7"/>
  <c r="I72" i="7"/>
  <c r="I73" i="7"/>
  <c r="I74" i="7"/>
  <c r="I77" i="7"/>
  <c r="I82" i="7"/>
  <c r="I76" i="7"/>
  <c r="I71" i="7"/>
  <c r="E66" i="7"/>
  <c r="E72" i="7"/>
  <c r="E71" i="7"/>
  <c r="E74" i="7"/>
  <c r="E77" i="7"/>
  <c r="E82" i="7"/>
  <c r="E76" i="7"/>
  <c r="E73" i="7"/>
  <c r="H4" i="8"/>
  <c r="D4" i="8"/>
  <c r="B6" i="6"/>
  <c r="B32" i="10"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G4" i="1"/>
  <c r="H4" i="1"/>
  <c r="I4" i="1"/>
  <c r="J4" i="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F12" i="1"/>
  <c r="G12" i="1"/>
  <c r="H12" i="1"/>
  <c r="I12" i="1"/>
  <c r="J12" i="1"/>
  <c r="K12" i="1"/>
  <c r="C15" i="1"/>
  <c r="D15" i="1"/>
  <c r="E15" i="1"/>
  <c r="F15" i="1"/>
  <c r="G15" i="1"/>
  <c r="H15" i="1"/>
  <c r="I15" i="1"/>
  <c r="J15" i="1"/>
  <c r="K15" i="1"/>
  <c r="B15" i="1"/>
  <c r="B7" i="1"/>
  <c r="B4" i="1"/>
  <c r="G90" i="9" l="1"/>
  <c r="G91" i="9" s="1"/>
  <c r="K16" i="12"/>
  <c r="K112" i="12" s="1"/>
  <c r="N112" i="12" s="1"/>
  <c r="K75" i="7"/>
  <c r="I19" i="12"/>
  <c r="E19" i="12"/>
  <c r="J18" i="12"/>
  <c r="F18" i="12"/>
  <c r="K19" i="12"/>
  <c r="G19" i="12"/>
  <c r="D18" i="12"/>
  <c r="H19" i="12"/>
  <c r="D19" i="12"/>
  <c r="I27" i="8"/>
  <c r="I28" i="8" s="1"/>
  <c r="I18" i="12"/>
  <c r="E18" i="12"/>
  <c r="H27" i="8"/>
  <c r="H28" i="8" s="1"/>
  <c r="H18" i="12"/>
  <c r="J19" i="12"/>
  <c r="F19" i="12"/>
  <c r="K18" i="12"/>
  <c r="G27" i="8"/>
  <c r="G28" i="8" s="1"/>
  <c r="G18" i="12"/>
  <c r="C27" i="8"/>
  <c r="C3" i="8"/>
  <c r="C18" i="12"/>
  <c r="C13" i="1"/>
  <c r="C69" i="7" s="1"/>
  <c r="C123" i="8" s="1"/>
  <c r="L4" i="1"/>
  <c r="G11" i="8"/>
  <c r="I86" i="8"/>
  <c r="I112" i="8" s="1"/>
  <c r="E86" i="8"/>
  <c r="E112" i="8" s="1"/>
  <c r="M83" i="9"/>
  <c r="K88" i="9"/>
  <c r="B107" i="9" s="1"/>
  <c r="K21" i="9"/>
  <c r="J21" i="9"/>
  <c r="I21" i="9"/>
  <c r="K20" i="9"/>
  <c r="I20" i="9"/>
  <c r="K19" i="9"/>
  <c r="I19" i="9"/>
  <c r="J27" i="9" s="1"/>
  <c r="K18" i="9"/>
  <c r="I18" i="9"/>
  <c r="K68" i="9"/>
  <c r="K67" i="9"/>
  <c r="B88" i="9"/>
  <c r="J18" i="9"/>
  <c r="O7" i="8"/>
  <c r="P7" i="8"/>
  <c r="L10" i="8"/>
  <c r="L44" i="8"/>
  <c r="K27" i="8"/>
  <c r="O3" i="8"/>
  <c r="P3" i="8"/>
  <c r="N3" i="8"/>
  <c r="I11" i="8"/>
  <c r="E11" i="8"/>
  <c r="L86" i="8"/>
  <c r="L112" i="8" s="1"/>
  <c r="K86" i="8"/>
  <c r="K112" i="8" s="1"/>
  <c r="G86" i="8"/>
  <c r="G112" i="8" s="1"/>
  <c r="C86" i="8"/>
  <c r="C112" i="8" s="1"/>
  <c r="R8" i="10"/>
  <c r="O8" i="10"/>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88" i="9"/>
  <c r="B108" i="9" s="1"/>
  <c r="J19" i="9"/>
  <c r="K27" i="9" s="1"/>
  <c r="G23" i="10"/>
  <c r="G15" i="10"/>
  <c r="H14" i="10"/>
  <c r="I12" i="10"/>
  <c r="C28" i="8"/>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K76" i="7"/>
  <c r="K82" i="7"/>
  <c r="B84" i="7" s="1"/>
  <c r="B77" i="9" s="1"/>
  <c r="K74" i="7"/>
  <c r="K66" i="7"/>
  <c r="K72" i="7"/>
  <c r="K77" i="7"/>
  <c r="K71" i="7"/>
  <c r="C6" i="9" s="1"/>
  <c r="D30" i="9" s="1"/>
  <c r="K73" i="7"/>
  <c r="J27" i="8"/>
  <c r="J28" i="8" s="1"/>
  <c r="G30" i="8"/>
  <c r="G6" i="8"/>
  <c r="D29" i="8"/>
  <c r="D110" i="8"/>
  <c r="G3" i="8"/>
  <c r="G88" i="8"/>
  <c r="F10" i="8"/>
  <c r="F44" i="8"/>
  <c r="J13" i="1"/>
  <c r="J69" i="7" s="1"/>
  <c r="J31" i="8"/>
  <c r="J7" i="8"/>
  <c r="J90" i="8"/>
  <c r="F13" i="1"/>
  <c r="F14" i="1" s="1"/>
  <c r="F31" i="8"/>
  <c r="F7" i="8"/>
  <c r="F90" i="8"/>
  <c r="H30" i="8"/>
  <c r="H6" i="8"/>
  <c r="D30" i="8"/>
  <c r="D6" i="8"/>
  <c r="I29" i="8"/>
  <c r="I110" i="8"/>
  <c r="E29" i="8"/>
  <c r="E110" i="8"/>
  <c r="H3" i="8"/>
  <c r="H88" i="8"/>
  <c r="D3" i="8"/>
  <c r="D88" i="8"/>
  <c r="K10" i="8"/>
  <c r="K44" i="8"/>
  <c r="G10" i="8"/>
  <c r="G44" i="8"/>
  <c r="C44" i="8"/>
  <c r="H13" i="1"/>
  <c r="H69"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L82" i="7"/>
  <c r="L77" i="7"/>
  <c r="G6" i="9" s="1"/>
  <c r="L76" i="7"/>
  <c r="F6" i="9" s="1"/>
  <c r="L71" i="7"/>
  <c r="L66" i="7"/>
  <c r="L74" i="7"/>
  <c r="E6" i="9" s="1"/>
  <c r="L72" i="7"/>
  <c r="I13" i="1"/>
  <c r="E27" i="8"/>
  <c r="E28" i="8" s="1"/>
  <c r="I23" i="2"/>
  <c r="E23" i="2"/>
  <c r="C14" i="1"/>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M112" i="12" l="1"/>
  <c r="N44" i="8"/>
  <c r="D8" i="8"/>
  <c r="F30" i="9"/>
  <c r="E30" i="9"/>
  <c r="J14" i="1"/>
  <c r="F69" i="7"/>
  <c r="F70"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D69" i="7"/>
  <c r="D123" i="8" s="1"/>
  <c r="N5" i="9"/>
  <c r="N3" i="9"/>
  <c r="N4" i="9"/>
  <c r="P21" i="9"/>
  <c r="P20" i="9"/>
  <c r="P19" i="9"/>
  <c r="C3" i="9"/>
  <c r="E3" i="9"/>
  <c r="D3" i="9"/>
  <c r="K30" i="9"/>
  <c r="K33" i="9"/>
  <c r="F3" i="9"/>
  <c r="L19" i="9"/>
  <c r="L18" i="9"/>
  <c r="L21" i="9"/>
  <c r="L20" i="9"/>
  <c r="K90" i="9"/>
  <c r="K91" i="9" s="1"/>
  <c r="P5" i="9"/>
  <c r="P4" i="9"/>
  <c r="P3" i="9"/>
  <c r="D14" i="1"/>
  <c r="F28" i="8"/>
  <c r="K5" i="9"/>
  <c r="K4" i="9"/>
  <c r="K3" i="9"/>
  <c r="C5" i="9"/>
  <c r="E4" i="9"/>
  <c r="P18" i="9"/>
  <c r="F5" i="9"/>
  <c r="G14" i="1"/>
  <c r="H14" i="1"/>
  <c r="I8" i="8"/>
  <c r="F4" i="10"/>
  <c r="E69" i="7"/>
  <c r="E123" i="8" s="1"/>
  <c r="E126" i="8" s="1"/>
  <c r="E14" i="1"/>
  <c r="K14" i="1"/>
  <c r="J12" i="10"/>
  <c r="I14" i="10"/>
  <c r="H23" i="10"/>
  <c r="H15" i="10"/>
  <c r="D19" i="1"/>
  <c r="D5" i="8"/>
  <c r="C24" i="2"/>
  <c r="C48" i="8"/>
  <c r="D49" i="8"/>
  <c r="D89" i="8"/>
  <c r="D35" i="8"/>
  <c r="D87" i="8"/>
  <c r="F73" i="8"/>
  <c r="F76" i="8" s="1"/>
  <c r="F61" i="8"/>
  <c r="G19" i="1"/>
  <c r="G5" i="8"/>
  <c r="O112" i="8"/>
  <c r="N112" i="8"/>
  <c r="Q112" i="8"/>
  <c r="P112" i="8"/>
  <c r="D73" i="8"/>
  <c r="D76" i="8" s="1"/>
  <c r="D61" i="8"/>
  <c r="H73" i="8"/>
  <c r="H76" i="8" s="1"/>
  <c r="H61" i="8"/>
  <c r="J19" i="1"/>
  <c r="J5" i="8"/>
  <c r="E89" i="8"/>
  <c r="E49" i="8"/>
  <c r="E35" i="8"/>
  <c r="E87" i="8"/>
  <c r="G89" i="8"/>
  <c r="G35" i="8"/>
  <c r="G87" i="8"/>
  <c r="G49" i="8"/>
  <c r="F123" i="8"/>
  <c r="G73" i="8"/>
  <c r="G76" i="8" s="1"/>
  <c r="G61" i="8"/>
  <c r="K73" i="8"/>
  <c r="K76" i="8" s="1"/>
  <c r="K61" i="8"/>
  <c r="Q44" i="8"/>
  <c r="D24" i="2"/>
  <c r="P44" i="8"/>
  <c r="P86" i="8"/>
  <c r="I69" i="7"/>
  <c r="G69" i="7"/>
  <c r="K19" i="1"/>
  <c r="K5" i="8"/>
  <c r="F89" i="8"/>
  <c r="F49" i="8"/>
  <c r="F35" i="8"/>
  <c r="F87" i="8"/>
  <c r="E73" i="8"/>
  <c r="E76" i="8" s="1"/>
  <c r="E61" i="8"/>
  <c r="J73" i="8"/>
  <c r="J76" i="8" s="1"/>
  <c r="J61" i="8"/>
  <c r="I19" i="1"/>
  <c r="I5" i="8"/>
  <c r="I89" i="8"/>
  <c r="I49" i="8"/>
  <c r="I35" i="8"/>
  <c r="I87" i="8"/>
  <c r="J70" i="7"/>
  <c r="J123" i="8"/>
  <c r="C73" i="8"/>
  <c r="I73" i="8"/>
  <c r="I76" i="8" s="1"/>
  <c r="I61" i="8"/>
  <c r="C19" i="1"/>
  <c r="C5" i="8"/>
  <c r="E19" i="1"/>
  <c r="E5" i="8"/>
  <c r="H19" i="1"/>
  <c r="H5" i="8"/>
  <c r="F19" i="1"/>
  <c r="F5" i="8"/>
  <c r="J89" i="8"/>
  <c r="J49" i="8"/>
  <c r="J35" i="8"/>
  <c r="J87" i="8"/>
  <c r="Q48" i="8"/>
  <c r="H49" i="8"/>
  <c r="H35" i="8"/>
  <c r="H89" i="8"/>
  <c r="H87" i="8"/>
  <c r="H123" i="8"/>
  <c r="H70" i="7"/>
  <c r="H84" i="7"/>
  <c r="H77" i="9" s="1"/>
  <c r="G84" i="7"/>
  <c r="G77" i="9" s="1"/>
  <c r="J84" i="7"/>
  <c r="J77" i="9" s="1"/>
  <c r="F84" i="7"/>
  <c r="F77" i="9" s="1"/>
  <c r="D84" i="7"/>
  <c r="D77" i="9" s="1"/>
  <c r="C84" i="7"/>
  <c r="C77" i="9" s="1"/>
  <c r="E84" i="7"/>
  <c r="E77" i="9" s="1"/>
  <c r="L84" i="7"/>
  <c r="I84" i="7"/>
  <c r="I77" i="9" s="1"/>
  <c r="K84" i="7"/>
  <c r="I14" i="1"/>
  <c r="O86" i="8"/>
  <c r="H8" i="8"/>
  <c r="F8" i="8"/>
  <c r="J8" i="8"/>
  <c r="K69"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C7" i="9" l="1"/>
  <c r="R22" i="10"/>
  <c r="D70" i="7"/>
  <c r="O48" i="8"/>
  <c r="K49" i="8"/>
  <c r="K53" i="8" s="1"/>
  <c r="K67" i="8" s="1"/>
  <c r="K89" i="8"/>
  <c r="B5" i="9"/>
  <c r="O20" i="10" s="1"/>
  <c r="K87" i="8"/>
  <c r="P48" i="8"/>
  <c r="H5" i="9"/>
  <c r="H4" i="9"/>
  <c r="H3" i="9"/>
  <c r="K35" i="8"/>
  <c r="L53" i="8"/>
  <c r="L67" i="8" s="1"/>
  <c r="L52" i="8"/>
  <c r="L66" i="8" s="1"/>
  <c r="L77" i="9"/>
  <c r="K77" i="9"/>
  <c r="N35" i="8"/>
  <c r="I33" i="9" s="1"/>
  <c r="J126" i="8"/>
  <c r="E70" i="7"/>
  <c r="I23" i="10"/>
  <c r="I15" i="10"/>
  <c r="K12" i="10"/>
  <c r="K14" i="10" s="1"/>
  <c r="J14" i="10"/>
  <c r="G36" i="8"/>
  <c r="G63" i="8" s="1"/>
  <c r="G80" i="8" s="1"/>
  <c r="G108" i="8" s="1"/>
  <c r="G26" i="8"/>
  <c r="J36" i="8"/>
  <c r="J63" i="8" s="1"/>
  <c r="J80" i="8" s="1"/>
  <c r="J108" i="8" s="1"/>
  <c r="J26" i="8"/>
  <c r="F36" i="8"/>
  <c r="F63" i="8" s="1"/>
  <c r="F80" i="8" s="1"/>
  <c r="F108" i="8" s="1"/>
  <c r="F26" i="8"/>
  <c r="G70" i="7"/>
  <c r="G123" i="8"/>
  <c r="G126" i="8" s="1"/>
  <c r="G53" i="8"/>
  <c r="G67" i="8" s="1"/>
  <c r="G52" i="8"/>
  <c r="G66" i="8" s="1"/>
  <c r="O49" i="8"/>
  <c r="D52" i="8"/>
  <c r="D53" i="8"/>
  <c r="K36" i="8"/>
  <c r="K63" i="8" s="1"/>
  <c r="K80" i="8" s="1"/>
  <c r="K108" i="8" s="1"/>
  <c r="K26" i="8"/>
  <c r="K70" i="7"/>
  <c r="K123" i="8"/>
  <c r="K126" i="8" s="1"/>
  <c r="F52" i="8"/>
  <c r="F66" i="8" s="1"/>
  <c r="F53" i="8"/>
  <c r="F67" i="8" s="1"/>
  <c r="H36" i="8"/>
  <c r="H63" i="8" s="1"/>
  <c r="H80" i="8" s="1"/>
  <c r="H108" i="8" s="1"/>
  <c r="H26" i="8"/>
  <c r="D36" i="8"/>
  <c r="D63" i="8" s="1"/>
  <c r="D80" i="8" s="1"/>
  <c r="D108" i="8" s="1"/>
  <c r="D26" i="8"/>
  <c r="C76" i="8"/>
  <c r="D126" i="8"/>
  <c r="E53" i="8"/>
  <c r="E67" i="8" s="1"/>
  <c r="E52" i="8"/>
  <c r="E66" i="8" s="1"/>
  <c r="H126" i="8"/>
  <c r="F126" i="8"/>
  <c r="C36" i="8"/>
  <c r="C63" i="8" s="1"/>
  <c r="C80" i="8" s="1"/>
  <c r="C108" i="8" s="1"/>
  <c r="C26" i="8"/>
  <c r="H52" i="8"/>
  <c r="H53" i="8"/>
  <c r="J52" i="8"/>
  <c r="J53" i="8"/>
  <c r="Q49" i="8"/>
  <c r="I53" i="8"/>
  <c r="I67" i="8" s="1"/>
  <c r="I52" i="8"/>
  <c r="I66" i="8" s="1"/>
  <c r="I36" i="8"/>
  <c r="I63" i="8" s="1"/>
  <c r="I80" i="8" s="1"/>
  <c r="I108" i="8" s="1"/>
  <c r="I26" i="8"/>
  <c r="E36" i="8"/>
  <c r="E63" i="8" s="1"/>
  <c r="E80" i="8" s="1"/>
  <c r="E108" i="8" s="1"/>
  <c r="E26" i="8"/>
  <c r="I70"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B11" i="1"/>
  <c r="B10" i="1"/>
  <c r="B9" i="1"/>
  <c r="B8" i="1"/>
  <c r="B20" i="2"/>
  <c r="B3" i="1"/>
  <c r="N7" i="8" l="1"/>
  <c r="C19" i="12"/>
  <c r="C7" i="8"/>
  <c r="R18" i="10"/>
  <c r="R17" i="10"/>
  <c r="R19" i="10"/>
  <c r="R26" i="10"/>
  <c r="R27" i="10"/>
  <c r="P49" i="8"/>
  <c r="K52" i="8"/>
  <c r="K66" i="8" s="1"/>
  <c r="C6" i="8"/>
  <c r="N6" i="8"/>
  <c r="I4" i="9"/>
  <c r="I3" i="9"/>
  <c r="J5" i="9"/>
  <c r="K23" i="10"/>
  <c r="K15" i="10"/>
  <c r="J23" i="10"/>
  <c r="J15" i="10"/>
  <c r="B13" i="1"/>
  <c r="N8" i="8" s="1"/>
  <c r="B23" i="2"/>
  <c r="J67" i="8"/>
  <c r="Q53" i="8"/>
  <c r="H66" i="8"/>
  <c r="H67" i="8"/>
  <c r="P53" i="8"/>
  <c r="D66" i="8"/>
  <c r="N49" i="8"/>
  <c r="C52" i="8"/>
  <c r="C53" i="8"/>
  <c r="P108" i="8"/>
  <c r="O108" i="8"/>
  <c r="Q108" i="8"/>
  <c r="D67" i="8"/>
  <c r="O53" i="8"/>
  <c r="J66" i="8"/>
  <c r="B16" i="2"/>
  <c r="B24" i="2" s="1"/>
  <c r="B14" i="3"/>
  <c r="E14" i="3"/>
  <c r="I14" i="3"/>
  <c r="C14" i="3"/>
  <c r="G14" i="3"/>
  <c r="K14" i="3"/>
  <c r="K23" i="1"/>
  <c r="G20" i="2"/>
  <c r="I20" i="2"/>
  <c r="K20" i="2"/>
  <c r="D20" i="2"/>
  <c r="F20" i="2"/>
  <c r="H20" i="2"/>
  <c r="J20" i="2"/>
  <c r="C20" i="2"/>
  <c r="E20" i="2"/>
  <c r="L12" i="1"/>
  <c r="L34" i="7" s="1"/>
  <c r="L67" i="7" s="1"/>
  <c r="K24" i="1"/>
  <c r="L11" i="1"/>
  <c r="L33" i="7" s="1"/>
  <c r="L10" i="1"/>
  <c r="L32" i="7" s="1"/>
  <c r="L9" i="1"/>
  <c r="L31" i="7" s="1"/>
  <c r="L8" i="1"/>
  <c r="L7" i="1"/>
  <c r="L6" i="1"/>
  <c r="L28" i="7" s="1"/>
  <c r="L75" i="7" s="1"/>
  <c r="D6" i="9" s="1"/>
  <c r="D7" i="9" s="1"/>
  <c r="A1" i="3"/>
  <c r="A1" i="2"/>
  <c r="A1" i="4" s="1"/>
  <c r="H23" i="1"/>
  <c r="I24" i="1"/>
  <c r="I23" i="1"/>
  <c r="J24" i="1"/>
  <c r="J23" i="1"/>
  <c r="B19" i="1"/>
  <c r="H24" i="1" s="1"/>
  <c r="L63" i="7" l="1"/>
  <c r="L64" i="7" s="1"/>
  <c r="M8" i="1"/>
  <c r="L29" i="7"/>
  <c r="L23" i="7" s="1"/>
  <c r="Q52" i="8"/>
  <c r="P52" i="8"/>
  <c r="O52" i="8"/>
  <c r="Q6" i="8"/>
  <c r="L30" i="8"/>
  <c r="L6" i="8"/>
  <c r="C66" i="8"/>
  <c r="N52" i="8"/>
  <c r="B14" i="1"/>
  <c r="C8" i="8"/>
  <c r="L5" i="8"/>
  <c r="Q5" i="8"/>
  <c r="L23" i="1"/>
  <c r="N23" i="1" s="1"/>
  <c r="N4" i="1" s="1"/>
  <c r="L3" i="8"/>
  <c r="N11" i="9"/>
  <c r="N12" i="9"/>
  <c r="N13" i="9"/>
  <c r="L88" i="8"/>
  <c r="L87" i="8"/>
  <c r="M9" i="1"/>
  <c r="L29" i="8"/>
  <c r="L110" i="8"/>
  <c r="P6" i="9" s="1"/>
  <c r="L13" i="1"/>
  <c r="L7" i="8"/>
  <c r="Q7" i="8"/>
  <c r="L31" i="8"/>
  <c r="N6" i="9" s="1"/>
  <c r="L90" i="8"/>
  <c r="L89" i="8"/>
  <c r="N53" i="8"/>
  <c r="C67" i="8"/>
  <c r="L19" i="1"/>
  <c r="L24" i="1" s="1"/>
  <c r="M24" i="1" s="1"/>
  <c r="L5" i="1"/>
  <c r="N11" i="1"/>
  <c r="M11" i="1"/>
  <c r="N9" i="1"/>
  <c r="N8" i="1"/>
  <c r="L62" i="7" l="1"/>
  <c r="L73" i="7" s="1"/>
  <c r="B97" i="9"/>
  <c r="B7" i="10"/>
  <c r="B6" i="9"/>
  <c r="B8" i="9" s="1"/>
  <c r="L69" i="7"/>
  <c r="N29" i="8"/>
  <c r="O29" i="8"/>
  <c r="F3" i="10"/>
  <c r="L61" i="8"/>
  <c r="H6" i="9" s="1"/>
  <c r="P7"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B7" i="9" l="1"/>
  <c r="A30" i="9"/>
  <c r="J6" i="9"/>
  <c r="C30" i="9" s="1"/>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L126" i="8" s="1"/>
  <c r="B4" i="9"/>
  <c r="J3" i="9" s="1"/>
  <c r="L70" i="7"/>
  <c r="N27" i="8"/>
  <c r="O27" i="8"/>
  <c r="P27" i="8"/>
  <c r="N7" i="9"/>
  <c r="C33" i="9"/>
  <c r="D33" i="9"/>
  <c r="K7" i="9"/>
  <c r="C27" i="9"/>
  <c r="F27" i="9" s="1"/>
  <c r="O12" i="9"/>
  <c r="Q8" i="8"/>
  <c r="O11" i="9"/>
  <c r="L25" i="1"/>
  <c r="H25" i="1"/>
  <c r="J25" i="1"/>
  <c r="I25" i="1"/>
  <c r="K25" i="1"/>
  <c r="M25" i="1" s="1"/>
  <c r="M14" i="1" s="1"/>
  <c r="L28" i="8"/>
  <c r="Q27" i="8"/>
  <c r="N73" i="8"/>
  <c r="L76" i="8"/>
  <c r="O73" i="8"/>
  <c r="Q73" i="8"/>
  <c r="P73" i="8"/>
  <c r="M10" i="1"/>
  <c r="M12" i="1" s="1"/>
  <c r="M13" i="1" s="1"/>
  <c r="N10" i="1"/>
  <c r="N12" i="1" s="1"/>
  <c r="N13" i="1" s="1"/>
  <c r="N5" i="1"/>
  <c r="M5" i="1"/>
  <c r="J7" i="9" l="1"/>
  <c r="J8" i="9"/>
  <c r="Q123" i="8"/>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authors>
    <author>Kumar Saurabh</author>
  </authors>
  <commentList>
    <comment ref="B95" authorId="0" shapeId="0">
      <text>
        <r>
          <rPr>
            <b/>
            <sz val="9"/>
            <color indexed="81"/>
            <rFont val="Tahoma"/>
            <family val="2"/>
          </rPr>
          <t>Kumar Saurabh:</t>
        </r>
        <r>
          <rPr>
            <sz val="9"/>
            <color indexed="81"/>
            <rFont val="Tahoma"/>
            <family val="2"/>
          </rPr>
          <t xml:space="preserve">
COGS or Sales?</t>
        </r>
      </text>
    </comment>
    <comment ref="B98" authorId="0" shape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s>
  <commentList>
    <comment ref="B4" authorId="0" shapeId="0">
      <text>
        <r>
          <rPr>
            <b/>
            <sz val="9"/>
            <color indexed="81"/>
            <rFont val="Tahoma"/>
            <family val="2"/>
          </rPr>
          <t>Kumar Saurabh:</t>
        </r>
        <r>
          <rPr>
            <sz val="9"/>
            <color indexed="81"/>
            <rFont val="Tahoma"/>
            <family val="2"/>
          </rPr>
          <t xml:space="preserve">
Land and corporate office building has not been considered</t>
        </r>
      </text>
    </comment>
  </commentList>
</comments>
</file>

<file path=xl/comments4.xml><?xml version="1.0" encoding="utf-8"?>
<comments xmlns="http://schemas.openxmlformats.org/spreadsheetml/2006/main">
  <authors>
    <author>Kumar Saurabh</author>
    <author/>
  </authors>
  <commentList>
    <comment ref="A43" authorId="0" shapeId="0">
      <text>
        <r>
          <rPr>
            <b/>
            <sz val="9"/>
            <color indexed="81"/>
            <rFont val="Tahoma"/>
            <family val="2"/>
          </rPr>
          <t>Kumar Saurabh:</t>
        </r>
        <r>
          <rPr>
            <sz val="9"/>
            <color indexed="81"/>
            <rFont val="Tahoma"/>
            <family val="2"/>
          </rPr>
          <t xml:space="preserve">
asset/(shareholder equity + liability)</t>
        </r>
      </text>
    </comment>
    <comment ref="A44" authorId="0" shapeId="0">
      <text>
        <r>
          <rPr>
            <b/>
            <sz val="9"/>
            <color indexed="81"/>
            <rFont val="Tahoma"/>
            <family val="2"/>
          </rPr>
          <t>Kumar Saurabh:</t>
        </r>
        <r>
          <rPr>
            <sz val="9"/>
            <color indexed="81"/>
            <rFont val="Tahoma"/>
            <family val="2"/>
          </rPr>
          <t xml:space="preserve">
borrowing/pat</t>
        </r>
      </text>
    </comment>
    <comment ref="A45" authorId="0" shapeId="0">
      <text>
        <r>
          <rPr>
            <b/>
            <sz val="9"/>
            <color indexed="81"/>
            <rFont val="Tahoma"/>
            <family val="2"/>
          </rPr>
          <t>Kumar Saurabh:</t>
        </r>
        <r>
          <rPr>
            <sz val="9"/>
            <color indexed="81"/>
            <rFont val="Tahoma"/>
            <family val="2"/>
          </rPr>
          <t xml:space="preserve">
working capital/pat</t>
        </r>
      </text>
    </comment>
    <comment ref="A46" authorId="1" shapeId="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text>
        <r>
          <rPr>
            <sz val="9"/>
            <color indexed="8"/>
            <rFont val="Tahoma"/>
            <family val="2"/>
            <charset val="1"/>
          </rPr>
          <t xml:space="preserve">
</t>
        </r>
      </text>
    </comment>
    <comment ref="A50" authorId="0" shapeId="0">
      <text>
        <r>
          <rPr>
            <b/>
            <sz val="9"/>
            <color indexed="81"/>
            <rFont val="Tahoma"/>
            <family val="2"/>
          </rPr>
          <t>Kumar Saurabh:</t>
        </r>
        <r>
          <rPr>
            <sz val="9"/>
            <color indexed="81"/>
            <rFont val="Tahoma"/>
            <family val="2"/>
          </rPr>
          <t xml:space="preserve">
how quickly cash is being collcted from debtors</t>
        </r>
      </text>
    </comment>
    <comment ref="A51" authorId="0" shapeId="0">
      <text>
        <r>
          <rPr>
            <b/>
            <sz val="9"/>
            <color indexed="81"/>
            <rFont val="Tahoma"/>
            <family val="2"/>
          </rPr>
          <t>Kumar Saurabh:</t>
        </r>
        <r>
          <rPr>
            <sz val="9"/>
            <color indexed="81"/>
            <rFont val="Tahoma"/>
            <family val="2"/>
          </rPr>
          <t xml:space="preserve">
how quickly inventory is converted to sales</t>
        </r>
      </text>
    </comment>
    <comment ref="A52" authorId="1"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5.xml><?xml version="1.0" encoding="utf-8"?>
<comments xmlns="http://schemas.openxmlformats.org/spreadsheetml/2006/main">
  <authors>
    <author>Vishal</author>
    <author>Safal Niveshak</author>
  </authors>
  <commentList>
    <comment ref="A10"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<sst xmlns="http://schemas.openxmlformats.org/spreadsheetml/2006/main" count="1107" uniqueCount="852">
  <si>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</si>
  <si>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</si>
  <si>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</si>
  <si>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</si>
  <si>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</si>
  <si>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</si>
  <si>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</si>
  <si>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</si>
  <si>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</si>
  <si>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</si>
  <si>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</si>
  <si>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</si>
  <si>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</si>
  <si>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</si>
  <si>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</si>
  <si>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</si>
  <si>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</si>
  <si>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</si>
  <si>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</si>
  <si>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</si>
  <si>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</si>
  <si>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</si>
  <si>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</si>
  <si>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</si>
  <si>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</si>
  <si>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</si>
  <si>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</si>
  <si>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</si>
  <si>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</si>
  <si>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</si>
  <si>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</si>
  <si>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</si>
  <si>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</si>
  <si>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</si>
  <si>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</si>
  <si>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</si>
  <si>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</si>
  <si>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</si>
  <si>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</si>
  <si>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</si>
  <si>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</si>
  <si>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</si>
  <si>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</si>
  <si>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</si>
  <si>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</si>
  <si>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</si>
  <si>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</si>
  <si>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</si>
  <si>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</si>
  <si>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</si>
  <si>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</si>
  <si>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</si>
  <si>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</si>
  <si>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</si>
  <si>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</si>
  <si>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</si>
  <si>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</si>
  <si>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</si>
  <si>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</si>
  <si>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</si>
  <si>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</si>
  <si>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</si>
  <si>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</si>
  <si>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</si>
  <si>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TREE HOUSE EDUCATION &amp; ACCESSORIES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</si>
  <si>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</si>
  <si>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</si>
  <si>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</si>
  <si>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</si>
  <si>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</si>
  <si>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</si>
  <si>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</si>
  <si>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</si>
  <si>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</si>
  <si>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</si>
  <si>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</si>
  <si>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</si>
  <si>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</si>
  <si>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</si>
  <si>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</si>
  <si>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</si>
  <si>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</si>
  <si>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</si>
  <si>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</si>
  <si>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</si>
  <si>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</si>
  <si>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</si>
  <si>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</si>
  <si>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</si>
  <si>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</si>
  <si>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</si>
  <si>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</si>
  <si>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</si>
  <si>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</si>
  <si>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</si>
  <si>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</si>
  <si>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</si>
  <si>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</si>
  <si>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</si>
  <si>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</si>
  <si>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</si>
  <si>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</si>
  <si>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</si>
  <si>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</si>
  <si>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</si>
  <si>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</si>
  <si>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</si>
  <si>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</si>
  <si>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</si>
  <si>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</si>
  <si>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</si>
  <si>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</si>
  <si>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</si>
  <si>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</si>
  <si>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</si>
  <si>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</si>
  <si>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</si>
  <si>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</si>
  <si>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</si>
  <si>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</si>
  <si>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</si>
  <si>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</si>
  <si>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</si>
  <si>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</si>
  <si>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</si>
  <si>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</si>
  <si>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</si>
  <si>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</si>
  <si>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</si>
  <si>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</si>
  <si>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</si>
  <si>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</si>
  <si>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Total Liability</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</si>
  <si>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</si>
  <si>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</si>
  <si>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</si>
  <si>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</si>
  <si>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</si>
  <si>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</si>
  <si>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</si>
  <si>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</si>
  <si>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</si>
  <si>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</si>
  <si>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</si>
  <si>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</si>
  <si>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</si>
  <si>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</si>
  <si>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</si>
  <si>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</si>
  <si>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</si>
  <si>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</si>
  <si>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</si>
  <si>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</si>
  <si>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</si>
  <si>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</si>
  <si>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</si>
  <si>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</si>
  <si>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</si>
  <si>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</si>
  <si>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</si>
  <si>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</si>
  <si>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</si>
  <si>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</si>
  <si>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</si>
  <si>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</si>
  <si>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</si>
  <si>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</si>
  <si>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</si>
  <si>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</si>
  <si>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</si>
  <si>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</si>
  <si>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</si>
  <si>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</si>
  <si>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</si>
  <si>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</si>
  <si>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</si>
  <si>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</si>
  <si>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</si>
  <si>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</si>
  <si>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</si>
  <si>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</si>
  <si>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</si>
  <si>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</si>
  <si>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</si>
  <si>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</si>
  <si>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</si>
  <si>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</si>
  <si>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</si>
  <si>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</si>
  <si>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</si>
  <si>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</si>
  <si>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</si>
  <si>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</si>
  <si>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</si>
  <si>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</si>
  <si>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</si>
  <si>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</si>
  <si>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</si>
  <si>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</si>
  <si>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</si>
  <si>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</si>
  <si>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</si>
  <si>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</si>
  <si>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</si>
  <si>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</si>
  <si>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</si>
  <si>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</si>
  <si>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</si>
  <si>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</si>
  <si>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</si>
  <si>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</si>
  <si>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</si>
  <si>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</si>
  <si>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</si>
  <si>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</si>
  <si>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</si>
  <si>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</si>
  <si>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</si>
  <si>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</si>
  <si>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</si>
  <si>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</si>
  <si>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</si>
  <si>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</si>
  <si>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</si>
  <si>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</si>
  <si>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</si>
  <si>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</si>
  <si>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</si>
  <si>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</si>
  <si>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</si>
  <si>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</si>
  <si>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</si>
  <si>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</si>
  <si>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</si>
  <si>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</si>
  <si>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</si>
  <si>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</si>
  <si>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</si>
  <si>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</si>
  <si>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</si>
  <si>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</si>
  <si>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</si>
  <si>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</si>
  <si>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</si>
  <si>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</si>
  <si>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</si>
  <si>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</si>
  <si>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</si>
  <si>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</si>
  <si>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</si>
  <si>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</si>
  <si>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</si>
  <si>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</si>
  <si>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</si>
  <si>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</si>
  <si>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</si>
  <si>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</si>
  <si>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</si>
  <si>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</si>
  <si>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</si>
  <si>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</si>
  <si>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</si>
  <si>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</si>
  <si>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</si>
  <si>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</si>
  <si>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</si>
  <si>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</si>
  <si>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</si>
  <si>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</si>
  <si>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</si>
  <si>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</si>
  <si>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</si>
  <si>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</si>
  <si>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</si>
  <si>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</si>
  <si>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</si>
  <si>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</si>
  <si>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</si>
  <si>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</si>
  <si>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</si>
  <si>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</si>
  <si>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</si>
  <si>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</si>
  <si>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</si>
  <si>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</si>
  <si>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</si>
  <si>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</si>
  <si>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</si>
  <si>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</si>
  <si>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</si>
  <si>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</si>
  <si>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</si>
  <si>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</si>
  <si>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</si>
  <si>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</si>
  <si>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</si>
  <si>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</si>
  <si>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</si>
  <si>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</si>
  <si>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</si>
  <si>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</si>
  <si>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</si>
  <si>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</si>
  <si>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</si>
  <si>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</si>
  <si>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</si>
  <si>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</si>
  <si>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</si>
  <si>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</si>
  <si>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</si>
  <si>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</si>
  <si>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</si>
  <si>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</si>
  <si>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</si>
  <si>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</si>
  <si>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</si>
  <si>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</si>
  <si>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</si>
  <si>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</si>
  <si>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</si>
  <si>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</si>
  <si>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</si>
  <si>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</si>
  <si>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</si>
  <si>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</si>
  <si>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</si>
  <si>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</si>
  <si>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</si>
  <si>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</si>
  <si>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</si>
  <si>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</si>
  <si>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</si>
  <si>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</si>
  <si>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</si>
  <si>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</si>
  <si>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</si>
  <si>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</si>
  <si>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</si>
  <si>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</si>
  <si>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</si>
  <si>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</si>
  <si>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</si>
  <si>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</si>
  <si>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</si>
  <si>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</si>
  <si>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</si>
  <si>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</si>
  <si>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</si>
  <si>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</si>
  <si>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</si>
  <si>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</si>
  <si>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</si>
  <si>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</si>
  <si>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</si>
  <si>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</si>
  <si>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</si>
  <si>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</si>
  <si>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</si>
  <si>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</si>
  <si>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</si>
  <si>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</si>
  <si>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</si>
  <si>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</si>
  <si>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</si>
  <si>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</si>
  <si>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</si>
  <si>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</si>
  <si>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</si>
  <si>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COGS</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</si>
  <si>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</si>
  <si>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</si>
  <si>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</si>
  <si>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</si>
  <si>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</si>
  <si>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</si>
  <si>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</si>
  <si>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</si>
  <si>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</si>
  <si>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</si>
  <si>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</si>
  <si>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</si>
  <si>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</si>
  <si>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</si>
  <si>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</si>
  <si>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</si>
  <si>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</si>
  <si>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</si>
  <si>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</si>
  <si>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</si>
  <si>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</si>
  <si>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</si>
  <si>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</si>
  <si>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</si>
  <si>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</si>
  <si>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</si>
  <si>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</si>
  <si>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</si>
  <si>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</si>
  <si>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</si>
  <si>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</si>
  <si>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</si>
  <si>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</si>
  <si>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</si>
  <si>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</si>
  <si>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</si>
  <si>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</si>
  <si>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</si>
  <si>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</si>
  <si>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</si>
  <si>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</si>
  <si>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</si>
  <si>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</si>
  <si>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</si>
  <si>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</si>
  <si>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</si>
  <si>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</si>
  <si>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</si>
  <si>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</si>
  <si>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</si>
  <si>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</si>
  <si>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</si>
  <si>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</si>
  <si>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</si>
  <si>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</si>
  <si>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</si>
  <si>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</si>
  <si>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</si>
  <si>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</si>
  <si>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</si>
  <si>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</si>
  <si>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</si>
  <si>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</si>
  <si>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</si>
  <si>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</si>
  <si>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</si>
  <si>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</si>
  <si>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</si>
  <si>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</si>
  <si>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</si>
  <si>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</si>
  <si>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</si>
  <si>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</si>
  <si>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</si>
  <si>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</si>
  <si>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</si>
  <si>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</si>
  <si>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</si>
  <si>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</si>
  <si>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</si>
  <si>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</si>
  <si>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</si>
  <si>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</si>
  <si>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</si>
  <si>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</si>
  <si>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</si>
  <si>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</si>
  <si>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</si>
  <si>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</si>
  <si>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</si>
  <si>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</si>
  <si>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</si>
  <si>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</si>
  <si>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</si>
  <si>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</si>
  <si>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</si>
  <si>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</si>
  <si>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</si>
  <si>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</si>
  <si>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</si>
  <si>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</si>
  <si>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</si>
  <si>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</si>
  <si>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</si>
  <si>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</si>
  <si>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</si>
  <si>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</si>
  <si>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</si>
  <si>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</si>
  <si>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</si>
  <si>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</si>
  <si>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</si>
  <si>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</si>
  <si>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</si>
  <si>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</si>
  <si>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</si>
  <si>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</si>
  <si>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</si>
  <si>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</si>
  <si>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</si>
  <si>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</si>
  <si>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</si>
  <si>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</si>
  <si>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</si>
  <si>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</si>
  <si>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</si>
  <si>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</si>
  <si>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</si>
  <si>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</si>
  <si>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</si>
  <si>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</si>
  <si>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</si>
  <si>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</si>
  <si>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</si>
  <si>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</si>
  <si>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</si>
  <si>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</si>
  <si>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</si>
  <si>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</si>
  <si>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</si>
  <si>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</si>
  <si>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</si>
  <si>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</si>
  <si>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</si>
  <si>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</si>
  <si>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</si>
  <si>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</si>
  <si>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</si>
  <si>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</si>
  <si>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</si>
  <si>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</si>
  <si>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</si>
  <si>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</si>
  <si>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</si>
  <si>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</si>
  <si>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</si>
  <si>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</si>
  <si>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</si>
  <si>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</si>
  <si>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</si>
  <si>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</si>
  <si>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</si>
  <si>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</si>
  <si>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</si>
  <si>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</si>
  <si>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</si>
  <si>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</si>
  <si>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</si>
  <si>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</si>
  <si>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</si>
  <si>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</si>
  <si>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</si>
  <si>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</si>
  <si>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</si>
  <si>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</si>
  <si>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</si>
  <si>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</si>
  <si>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</si>
  <si>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</si>
  <si>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</si>
  <si>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</si>
  <si>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</si>
  <si>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</si>
  <si>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</si>
  <si>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</si>
  <si>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</si>
  <si>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</si>
  <si>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</si>
  <si>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</si>
  <si>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</si>
  <si>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</si>
  <si>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</si>
  <si>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</si>
  <si>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</si>
  <si>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</si>
  <si>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</si>
  <si>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</si>
  <si>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</si>
  <si>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</si>
  <si>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</si>
  <si>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</si>
  <si>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</si>
  <si>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</si>
  <si>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</si>
  <si>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</si>
  <si>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</si>
  <si>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</si>
  <si>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</si>
  <si>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</si>
  <si>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</si>
  <si>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</si>
  <si>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</si>
  <si>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</si>
  <si>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</si>
  <si>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</si>
  <si>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</si>
  <si>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</si>
  <si>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</si>
  <si>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</si>
  <si>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</si>
  <si>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</si>
  <si>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</si>
  <si>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</si>
  <si>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</si>
  <si>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</si>
  <si>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</si>
  <si>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</si>
  <si>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</si>
  <si>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</si>
  <si>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</si>
  <si>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</si>
  <si>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</si>
  <si>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</si>
  <si>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</si>
  <si>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</si>
  <si>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</si>
  <si>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</si>
  <si>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</si>
  <si>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</si>
  <si>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</si>
  <si>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</si>
  <si>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</si>
  <si>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</si>
  <si>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</si>
  <si>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</si>
  <si>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</si>
  <si>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</si>
  <si>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</si>
  <si>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</si>
  <si>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</si>
  <si>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</si>
  <si>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</si>
  <si>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</si>
  <si>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</si>
  <si>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</si>
  <si>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</si>
  <si>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</si>
  <si>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</si>
  <si>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</si>
  <si>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</si>
  <si>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Credit Days</t>
  </si>
  <si>
    <t>Credit Turnover</t>
  </si>
  <si>
    <t>Cash-in/Cashout</t>
  </si>
  <si>
    <t>CFO/Sales</t>
  </si>
  <si>
    <t>CAPEX/PAT</t>
  </si>
  <si>
    <t>Dividend/PAT</t>
  </si>
  <si>
    <t>FCF/Sales</t>
  </si>
  <si>
    <t>Return on Assets</t>
  </si>
  <si>
    <t>Asset Turnover</t>
  </si>
  <si>
    <t>Total Asset Turnover</t>
  </si>
  <si>
    <t>Return on Capital</t>
  </si>
  <si>
    <t>Short term Debt Coverage</t>
  </si>
  <si>
    <t>3 Year Sum</t>
  </si>
  <si>
    <t>5 Year Sum</t>
  </si>
  <si>
    <t>Overall Sum</t>
  </si>
  <si>
    <t>3-Year CAGR</t>
  </si>
  <si>
    <t>5-Year CAGR</t>
  </si>
  <si>
    <t>Overall CAGR</t>
  </si>
  <si>
    <t>Expense</t>
  </si>
  <si>
    <t>Other Expense</t>
  </si>
  <si>
    <t>FCF including Dividend</t>
  </si>
  <si>
    <t>Payables</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</si>
  <si>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</si>
  <si>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</si>
  <si>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</si>
  <si>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</si>
  <si>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</si>
  <si>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</si>
  <si>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</si>
  <si>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</si>
  <si>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</si>
  <si>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</si>
  <si>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</si>
  <si>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</si>
  <si>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</si>
  <si>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</si>
  <si>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</si>
  <si>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</si>
  <si>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</si>
  <si>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</si>
  <si>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</si>
  <si>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</si>
  <si>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5 Year Average</t>
  </si>
  <si>
    <t>Overall Average</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</si>
  <si>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</si>
  <si>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</si>
  <si>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</si>
  <si>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</si>
  <si>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</si>
  <si>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</si>
  <si>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</si>
  <si>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</si>
  <si>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</si>
  <si>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Why asset turnover is declining?</t>
  </si>
  <si>
    <t>Why so high</t>
  </si>
  <si>
    <t>Why declined?</t>
  </si>
  <si>
    <t>CFO/Enterprise Value</t>
  </si>
  <si>
    <t>Preschools</t>
  </si>
  <si>
    <t>Owned</t>
  </si>
  <si>
    <t>Franchisee</t>
  </si>
  <si>
    <t>Students</t>
  </si>
  <si>
    <t>TT Centers</t>
  </si>
  <si>
    <t>Cities</t>
  </si>
  <si>
    <t>K-12 Schools</t>
  </si>
  <si>
    <t>Expansion Plans</t>
  </si>
  <si>
    <t>Owned Preschool</t>
  </si>
  <si>
    <t>additional 120 by 014</t>
  </si>
  <si>
    <t>K-12</t>
  </si>
  <si>
    <t>7 more by 2013</t>
  </si>
  <si>
    <t>Mr. Sanjaya Kulkarni</t>
  </si>
  <si>
    <t>Chairman and Independent Director</t>
  </si>
  <si>
    <t>Bachelor of Technology from the Indian Institute of Technology (I.I.T.) Mumbai and MBA from Institute of
Management, Ahmedabad.</t>
  </si>
  <si>
    <t>Rich experience of over 30 years in the field of financial services.</t>
  </si>
  <si>
    <t>Mr. Rajesh Bhatia</t>
  </si>
  <si>
    <t>Managing Director</t>
  </si>
  <si>
    <t>Bachelor of Engineering from MS University, Baroda, and MBA from Pune University.</t>
  </si>
  <si>
    <t>Associated with the Company since its inception.
Seven years of experience in the field of education and he overlooks the organisation’s day-to-day
operations</t>
  </si>
  <si>
    <t>Mr. Vishal Shah</t>
  </si>
  <si>
    <t>Executive Director</t>
  </si>
  <si>
    <t>Bachelor of Commerce from Mumbai University and MMS from Narsee Monjee Institute of Management
Studies</t>
  </si>
  <si>
    <t>Associated with the Company since its inception.
Oversees the marketing, setting up of new centres, identifying properties for expansions and procurement
initiatives.</t>
  </si>
  <si>
    <t>Mrs. Geeta Bhatia</t>
  </si>
  <si>
    <t>Non-Executive Director</t>
  </si>
  <si>
    <t>Bachelor of Commerce Degree from Mumbai University. Seven years of experience in the education industry</t>
  </si>
  <si>
    <t>Associated with the Company since its inception.
Felicitated with an award of merit for Montessori education by the Indian Council of Management
Executives</t>
  </si>
  <si>
    <t>Mr. T.S. Sarangpani</t>
  </si>
  <si>
    <t>Independent Director</t>
  </si>
  <si>
    <t>Bachelor of Engineering and MBA from the University of Madras</t>
  </si>
  <si>
    <t>Rich 32-year experience in the financial services industry</t>
  </si>
  <si>
    <t>Mr. Parantap Dave</t>
  </si>
  <si>
    <t>Qualified Chartered Accountant</t>
  </si>
  <si>
    <t>25 years of experience in the field of finance, banking, accounts, audit, taxation and general management</t>
  </si>
  <si>
    <t>Mr. Ashu Garg</t>
  </si>
  <si>
    <t>Nominee Director</t>
  </si>
  <si>
    <t>Bachelor of Technology from the Indian Institute of Technology, Delhi and MBA from the Indian
Institute of Management, Bangalore.</t>
  </si>
  <si>
    <t>Mr. Rishi Navani</t>
  </si>
  <si>
    <t>Bachelor of Arts Degree from Northwestern University and MBA from Wharton School at the University
of Pennsylvania. Over a decade’s experience of investing in the Indian capital markets.</t>
  </si>
  <si>
    <t>Co-founder and Managing Director of Matrix India Asset Advisors Private Limited.</t>
  </si>
  <si>
    <t>Huge PAT and CFO mismatch</t>
  </si>
  <si>
    <t>Very high proportion of CAPEX compared to cash profit and hence profitability model becomes very very important at a unit level</t>
  </si>
  <si>
    <t>Why dividend when no cash profit?</t>
  </si>
  <si>
    <t>Leads to huge -ve FCF</t>
  </si>
  <si>
    <t>Good</t>
  </si>
  <si>
    <t>Why spike</t>
  </si>
  <si>
    <t>Poor</t>
  </si>
  <si>
    <t>Poor PAT to CFO conversion, so, no real cash profit</t>
  </si>
  <si>
    <t>Why sudden rise in other expenses?</t>
  </si>
  <si>
    <t>stable</t>
  </si>
  <si>
    <t>Huge selling and admin expenses. Why sudden fall?</t>
  </si>
  <si>
    <t>Wht is industry average depreciation. High deprepciation means high capital requirement?</t>
  </si>
  <si>
    <t>No major imporvement, why? Too much expansion?</t>
  </si>
  <si>
    <t>10% capex is maintenance CAPEX as per depreciation policy which means almost 20% CAPEX  expansion every year but revenue ratio conversion on fixed asset is not encouraging. Where iscash profitability model?</t>
  </si>
  <si>
    <t>Why uneven behavior in 2010? Why shoot up in 2014 - warning sign?</t>
  </si>
  <si>
    <t>Why such high working capital req? Why sudden spike? What are operating reasons? Warning sign considering no cash profit?</t>
  </si>
  <si>
    <t>Poor return on assets</t>
  </si>
  <si>
    <t>Poor cash return on assets</t>
  </si>
  <si>
    <t>Very risky cosnidering on operational or asset level or cash level profitability improvement</t>
  </si>
  <si>
    <t>Very poor and no signs of operating breakeven</t>
  </si>
  <si>
    <t>No additioanl revenue generated on additional investment</t>
  </si>
  <si>
    <t>Accounting PAT per Rs Investment increased</t>
  </si>
  <si>
    <t>Cash PAT per Rs Invested Capital not good</t>
  </si>
  <si>
    <t>No Cashflow</t>
  </si>
  <si>
    <t>IPO filing</t>
  </si>
  <si>
    <t>Key Events</t>
  </si>
  <si>
    <t>Board Member</t>
  </si>
  <si>
    <t>Designation</t>
  </si>
  <si>
    <t>Education</t>
  </si>
  <si>
    <t>Experience</t>
  </si>
  <si>
    <t>Auditors</t>
  </si>
  <si>
    <t>Bankers</t>
  </si>
  <si>
    <t>Walker, Chandiok &amp; Co</t>
  </si>
  <si>
    <t>Jogish Mehta &amp; Co</t>
  </si>
  <si>
    <t>Corporation Bank</t>
  </si>
  <si>
    <t>ICICI Bank</t>
  </si>
  <si>
    <t>Kotak Mahindra Bank</t>
  </si>
  <si>
    <t>Union Bank of India</t>
  </si>
  <si>
    <t>Does Company provides adequate break up of revenue and profitability?</t>
  </si>
  <si>
    <t>Does company talks about cash profitability?</t>
  </si>
  <si>
    <t>Does company provides operational and granular disclosures?</t>
  </si>
  <si>
    <t>Does company provides information about management compensation?</t>
  </si>
  <si>
    <t>Does company provides full information about inter party transactions</t>
  </si>
  <si>
    <t>Does company provide information about susidiaries?</t>
  </si>
  <si>
    <t>Is compsny involved in lot of mergers and acquisition?</t>
  </si>
  <si>
    <t>Does company has lot of foreign susidiaries?</t>
  </si>
  <si>
    <t>Revenue growth vs recievables</t>
  </si>
  <si>
    <t>Loan growth</t>
  </si>
  <si>
    <t>PAT to cashflow conversion</t>
  </si>
  <si>
    <t>CFO to FCF conversion</t>
  </si>
  <si>
    <t>Working capital Needs</t>
  </si>
  <si>
    <t>Contribution of other income and other expenses</t>
  </si>
  <si>
    <t>Contribution of one time revenue and one time expenses</t>
  </si>
  <si>
    <t>Share of intangible assets</t>
  </si>
  <si>
    <t>Amount of contingent liabilities</t>
  </si>
  <si>
    <t>Any re-valuation of assets done</t>
  </si>
  <si>
    <t>Change in accounting policies , specially revenue, inventory and depreciation</t>
  </si>
  <si>
    <t>Liquidity ratios</t>
  </si>
  <si>
    <t>Where are short term investments done?</t>
  </si>
  <si>
    <t>Any luxary investment disclosed</t>
  </si>
  <si>
    <t>Options,warrants, ESOPs , Equity dilution</t>
  </si>
  <si>
    <t>Credit Rating and suspension and changes</t>
  </si>
  <si>
    <t>Change of auditors</t>
  </si>
  <si>
    <t>Change and Resignation of Board members, KMP</t>
  </si>
  <si>
    <t>Tax payments</t>
  </si>
  <si>
    <t>Legal cases going on</t>
  </si>
  <si>
    <t>Capitalization of expenses</t>
  </si>
  <si>
    <t>Promoter background</t>
  </si>
  <si>
    <t>Juggling of cashflow items</t>
  </si>
  <si>
    <t>Inventory build up</t>
  </si>
  <si>
    <t>Too much of share price talk</t>
  </si>
  <si>
    <t>Too much of accounting profit talk without cashflows</t>
  </si>
  <si>
    <t>Company name and nature of busienss change</t>
  </si>
  <si>
    <t>History of promoters previous businesses</t>
  </si>
  <si>
    <t>Change in bankers</t>
  </si>
  <si>
    <t>Management tone</t>
  </si>
  <si>
    <t>Corporate Structure</t>
  </si>
  <si>
    <t>Does management talks too much about share price?</t>
  </si>
  <si>
    <t>Is corporate company structure complex?</t>
  </si>
  <si>
    <t>Does promoter tardes too much in open market?</t>
  </si>
  <si>
    <t>Are auditors being paid too much</t>
  </si>
  <si>
    <t>Is mgmt being paid too much</t>
  </si>
  <si>
    <t>Is board being paid too much</t>
  </si>
  <si>
    <t>Jayant Sinha</t>
  </si>
  <si>
    <t>Mr. Jayant Sinha is Managing Director of Omidyar Network India Advisors, where he leads overall investment strategy and operations in India. In his role, Mr. Sinha helps Omidyar Network manage and develop the India based portfolio across our Access to Capital and Media, Markets &amp; Transparency initiatives. Mr. Sinha brings more than twenty years of experience in investing and strategy consulting to his role as managing director, as well as a deep understanding of managing investments and advising businesses in India.</t>
  </si>
  <si>
    <t xml:space="preserve">Mr. Sinha has completed Masters of Business Administration with distinction from the Harvard Business School, an MS in energy management and policy from the University of Pennsylvania, and a Bachelor of Technology with distinction from the Indian Institute of Technology, Delhi. </t>
  </si>
  <si>
    <t>Teachers</t>
  </si>
  <si>
    <t>Additional Director</t>
  </si>
  <si>
    <t>Directors</t>
  </si>
  <si>
    <t>Salary</t>
  </si>
  <si>
    <t>Options</t>
  </si>
  <si>
    <t>Only Revenue</t>
  </si>
  <si>
    <t>No</t>
  </si>
  <si>
    <t>Medium</t>
  </si>
  <si>
    <t>Yes</t>
  </si>
  <si>
    <t>Bad</t>
  </si>
  <si>
    <t>Information Provided</t>
  </si>
  <si>
    <t>Result</t>
  </si>
  <si>
    <t>No Impact</t>
  </si>
  <si>
    <t>Is company diverting money to unlrelated stuff, promoters, non-rellated businesses?</t>
  </si>
  <si>
    <t>Stable</t>
  </si>
  <si>
    <t>Significant</t>
  </si>
  <si>
    <t>Share of loans , funds diverted to promoters or unrelated business</t>
  </si>
  <si>
    <t>Why debt was taken in 2011 else good</t>
  </si>
  <si>
    <t>DSRI</t>
  </si>
  <si>
    <t>GMI</t>
  </si>
  <si>
    <t>AQI</t>
  </si>
  <si>
    <t>SGI</t>
  </si>
  <si>
    <t>DEPI</t>
  </si>
  <si>
    <t>SGAI</t>
  </si>
  <si>
    <t>LVGI</t>
  </si>
  <si>
    <t>TATA</t>
  </si>
  <si>
    <t>Non current asset other than plant , property and equipment</t>
  </si>
  <si>
    <t xml:space="preserve">days' sales in receivables index. Measured as the ratio of days' sales in receivables in year t to year t âˆ’ 1. Large increases could indicate attempts by management to inflate revenues </t>
  </si>
  <si>
    <t xml:space="preserve">asset quality index. Asset quality is measured as the ratio of noncurrent assets other than plant, property and equipment to total assets. AQI measures the proportion of total assets where future benefits are more opaque and the assets are considered intangible. The measure may indicate attempts at cost deferrals in the form of intangible assets on the balance sheet. 
</t>
  </si>
  <si>
    <t>depreciation index. Measured as the ratio of the rate of depreciation in year t â€“ 1 to the corresponding rate in year t. DEPI greater than 1 indicates that assets are being depreciated at a slower rate. Managers may be adjusting depreciation methods to temporarily inflate earnings</t>
  </si>
  <si>
    <t xml:space="preserve">sales, general and administrative expenses index. The ratio of SGA expenses in year t relative to year t âˆ’ 1. Firms with growing SGA may indicate managers who are capturing firm value via higher salaries. </t>
  </si>
  <si>
    <t xml:space="preserve">leverage index. The ratio of total debt to total assets in year t relative to year t âˆ’ 1. An LVGI greater than 1 indicates an increase in leverage, which may increase the probability that a firm will breach a debt covenant. All else being equal, the probability of manipulation is higher in the face of a potential covenant breach. </t>
  </si>
  <si>
    <t xml:space="preserve">total accruals to total assets. Total accruals calculated as the change in working capital accounts other than cash less depreciation. High accruals indicate a higher likelihood of earnings manipulation. </t>
  </si>
  <si>
    <t xml:space="preserve">gross margin index. Measured as the ratio of gross margin in year t âˆ’ 1 to gross margin in year t. Gross margin has deteriorated when this index is above 1. All else being equal, a firm with poor prospects is more likely to engage in manipulation. </t>
  </si>
  <si>
    <t xml:space="preserve">sales growth index. Ratio of sales in year t to sales in year t âˆ’ 1. Sales growth does not indicate manipulation; however, high sales growth does create certain expectations for managementâ€”many of which are unsustainable. Managers who face decelerating fundamentals and who currently manage high-expected-growth firms have high incentive to manipulate earnings. </t>
  </si>
  <si>
    <t>KPI</t>
  </si>
  <si>
    <t>Description</t>
  </si>
  <si>
    <t>Good Mean</t>
  </si>
  <si>
    <t>Manipulator's Mean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</si>
</sst>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s>
  <fonts count="58"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u/>
      <sz val="14"/>
      <color theme="1"/>
      <name val="Calibri"/>
      <family val="2"/>
      <scheme val="minor"/>
    </font>
    <font>
      <b/>
      <u/>
      <sz val="13"/>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8"/>
      <color theme="1"/>
      <name val="Calibri"/>
      <family val="2"/>
      <scheme val="minor"/>
    </font>
    <font>
      <b/>
      <i/>
      <sz val="11"/>
      <color theme="1"/>
      <name val="Calibri"/>
      <family val="2"/>
      <scheme val="minor"/>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11"/>
      <color rgb="FFFF0000"/>
      <name val="Calibri"/>
      <family val="2"/>
      <scheme val="minor"/>
    </font>
    <font>
      <b/>
      <u/>
      <sz val="11"/>
      <color theme="1"/>
      <name val="Calibri"/>
      <family val="2"/>
      <scheme val="minor"/>
    </font>
    <font>
      <sz val="11"/>
      <color rgb="FF00B050"/>
      <name val="Calibri"/>
      <family val="2"/>
      <scheme val="minor"/>
    </font>
    <font>
      <sz val="11"/>
      <color theme="5" tint="0.39997558519241921"/>
      <name val="Calibri"/>
      <family val="2"/>
      <scheme val="minor"/>
    </font>
    <font>
      <sz val="11"/>
      <color rgb="FFFFC000"/>
      <name val="Calibri"/>
      <family val="2"/>
      <scheme val="minor"/>
    </font>
    <font>
      <i/>
      <sz val="11"/>
      <color rgb="FFFF0000"/>
      <name val="Calibri"/>
      <family val="2"/>
      <scheme val="minor"/>
    </font>
    <font>
      <i/>
      <sz val="11"/>
      <color rgb="FF00B050"/>
      <name val="Calibri"/>
      <family val="2"/>
      <scheme val="minor"/>
    </font>
    <font>
      <b/>
      <i/>
      <sz val="11"/>
      <color rgb="FFFFC000"/>
      <name val="Calibri"/>
      <family val="2"/>
      <scheme val="minor"/>
    </font>
    <font>
      <b/>
      <i/>
      <sz val="11"/>
      <color rgb="FFFF0000"/>
      <name val="Calibri"/>
      <family val="2"/>
      <scheme val="minor"/>
    </font>
    <font>
      <b/>
      <sz val="11"/>
      <color rgb="FFFFC000"/>
      <name val="Calibri"/>
      <family val="2"/>
      <scheme val="minor"/>
    </font>
    <font>
      <b/>
      <sz val="11"/>
      <color rgb="FF00B050"/>
      <name val="Calibri"/>
      <family val="2"/>
      <scheme val="minor"/>
    </font>
    <font>
      <sz val="11"/>
      <color rgb="FFFF9900"/>
      <name val="Calibri"/>
      <family val="2"/>
      <scheme val="minor"/>
    </font>
  </fonts>
  <fills count="27">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
      <patternFill patternType="solid">
        <fgColor rgb="FFFF0000"/>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20" fillId="0" borderId="0"/>
    <xf numFmtId="9" fontId="21" fillId="0" borderId="0"/>
  </cellStyleXfs>
  <cellXfs count="404">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0" borderId="0" xfId="0" applyFont="1" applyBorder="1"/>
    <xf numFmtId="0" fontId="11" fillId="0" borderId="0" xfId="0" applyFont="1" applyBorder="1"/>
    <xf numFmtId="0" fontId="13" fillId="7" borderId="0" xfId="0" applyFont="1" applyFill="1"/>
    <xf numFmtId="0" fontId="13" fillId="0" borderId="0" xfId="0" applyFont="1"/>
    <xf numFmtId="166" fontId="12" fillId="8" borderId="1" xfId="0" applyNumberFormat="1" applyFont="1" applyFill="1" applyBorder="1" applyAlignment="1">
      <alignment horizontal="center"/>
    </xf>
    <xf numFmtId="0" fontId="14" fillId="0" borderId="1" xfId="0" applyFont="1" applyBorder="1"/>
    <xf numFmtId="0" fontId="13" fillId="0" borderId="1" xfId="0" applyFont="1" applyBorder="1"/>
    <xf numFmtId="0" fontId="13" fillId="0" borderId="1" xfId="0" applyFont="1" applyFill="1" applyBorder="1" applyAlignment="1">
      <alignment horizontal="left" wrapText="1"/>
    </xf>
    <xf numFmtId="4" fontId="15" fillId="0" borderId="2" xfId="0" applyNumberFormat="1" applyFont="1" applyFill="1" applyBorder="1" applyAlignment="1">
      <alignment horizontal="right" vertical="center" wrapText="1"/>
    </xf>
    <xf numFmtId="0" fontId="16" fillId="10" borderId="3" xfId="0" applyFont="1" applyFill="1" applyBorder="1" applyAlignment="1">
      <alignment horizontal="right" vertical="center" wrapText="1"/>
    </xf>
    <xf numFmtId="0" fontId="12" fillId="11" borderId="3" xfId="0" applyFont="1" applyFill="1" applyBorder="1"/>
    <xf numFmtId="166" fontId="12" fillId="8" borderId="3" xfId="0" applyNumberFormat="1" applyFont="1" applyFill="1" applyBorder="1" applyAlignment="1">
      <alignment horizontal="center"/>
    </xf>
    <xf numFmtId="0" fontId="13" fillId="0" borderId="3" xfId="0" applyFont="1" applyFill="1" applyBorder="1"/>
    <xf numFmtId="2" fontId="13" fillId="0" borderId="3" xfId="0" applyNumberFormat="1" applyFont="1" applyFill="1" applyBorder="1"/>
    <xf numFmtId="2" fontId="13" fillId="0" borderId="3" xfId="0" applyNumberFormat="1" applyFont="1" applyFill="1" applyBorder="1" applyAlignment="1">
      <alignment horizontal="right"/>
    </xf>
    <xf numFmtId="10" fontId="13" fillId="0" borderId="0" xfId="0" applyNumberFormat="1" applyFont="1" applyFill="1"/>
    <xf numFmtId="0" fontId="13" fillId="12" borderId="3" xfId="0" applyFont="1" applyFill="1" applyBorder="1"/>
    <xf numFmtId="166" fontId="12" fillId="8" borderId="4" xfId="0" applyNumberFormat="1" applyFont="1" applyFill="1" applyBorder="1" applyAlignment="1">
      <alignment horizontal="center"/>
    </xf>
    <xf numFmtId="0" fontId="13" fillId="0" borderId="2" xfId="0" applyFont="1" applyBorder="1"/>
    <xf numFmtId="164" fontId="13" fillId="0" borderId="2" xfId="0" applyNumberFormat="1" applyFont="1" applyBorder="1"/>
    <xf numFmtId="43" fontId="13" fillId="0" borderId="2" xfId="0" applyNumberFormat="1" applyFont="1" applyBorder="1"/>
    <xf numFmtId="0" fontId="13" fillId="7" borderId="5" xfId="0" applyFont="1" applyFill="1" applyBorder="1"/>
    <xf numFmtId="0" fontId="13" fillId="0" borderId="2" xfId="0" applyFont="1" applyFill="1" applyBorder="1"/>
    <xf numFmtId="9" fontId="11" fillId="0" borderId="0" xfId="6" applyFont="1"/>
    <xf numFmtId="0" fontId="13" fillId="12" borderId="2" xfId="0" applyFont="1" applyFill="1" applyBorder="1"/>
    <xf numFmtId="0" fontId="13" fillId="13" borderId="2" xfId="0" applyFont="1" applyFill="1" applyBorder="1"/>
    <xf numFmtId="0" fontId="11" fillId="0" borderId="2" xfId="0" applyFont="1" applyBorder="1"/>
    <xf numFmtId="2" fontId="13" fillId="0" borderId="2" xfId="0" applyNumberFormat="1" applyFont="1" applyBorder="1"/>
    <xf numFmtId="9" fontId="17" fillId="0" borderId="2" xfId="6" applyFont="1" applyBorder="1"/>
    <xf numFmtId="0" fontId="13" fillId="0" borderId="3" xfId="0" applyFont="1" applyFill="1" applyBorder="1" applyAlignment="1">
      <alignment horizontal="left"/>
    </xf>
    <xf numFmtId="0" fontId="13" fillId="0" borderId="3" xfId="0" applyFont="1" applyBorder="1"/>
    <xf numFmtId="0" fontId="13" fillId="0" borderId="2" xfId="0" applyFont="1" applyFill="1" applyBorder="1" applyAlignment="1"/>
    <xf numFmtId="2" fontId="13" fillId="0" borderId="2" xfId="0" applyNumberFormat="1" applyFont="1" applyFill="1" applyBorder="1" applyAlignment="1">
      <alignment horizontal="center" vertical="center"/>
    </xf>
    <xf numFmtId="2" fontId="13" fillId="0" borderId="2" xfId="0" applyNumberFormat="1" applyFont="1" applyBorder="1" applyAlignment="1">
      <alignment horizontal="center" vertical="center"/>
    </xf>
    <xf numFmtId="10" fontId="13" fillId="0" borderId="2" xfId="0" applyNumberFormat="1" applyFont="1" applyBorder="1"/>
    <xf numFmtId="0" fontId="13" fillId="0" borderId="0" xfId="0" applyFont="1" applyBorder="1"/>
    <xf numFmtId="10" fontId="13" fillId="0" borderId="0" xfId="0" applyNumberFormat="1" applyFont="1" applyBorder="1"/>
    <xf numFmtId="167" fontId="13" fillId="0" borderId="0" xfId="0" applyNumberFormat="1" applyFont="1" applyBorder="1"/>
    <xf numFmtId="164" fontId="10" fillId="0" borderId="0" xfId="0" applyNumberFormat="1" applyFont="1" applyBorder="1"/>
    <xf numFmtId="164" fontId="12" fillId="8" borderId="1" xfId="0" applyNumberFormat="1" applyFont="1" applyFill="1" applyBorder="1" applyAlignment="1">
      <alignment horizontal="center"/>
    </xf>
    <xf numFmtId="164" fontId="12" fillId="8" borderId="4" xfId="0" applyNumberFormat="1" applyFont="1" applyFill="1" applyBorder="1" applyAlignment="1">
      <alignment horizontal="center"/>
    </xf>
    <xf numFmtId="164" fontId="13" fillId="0" borderId="2" xfId="0" applyNumberFormat="1" applyFont="1" applyFill="1" applyBorder="1"/>
    <xf numFmtId="164" fontId="11" fillId="0" borderId="2" xfId="0" applyNumberFormat="1" applyFont="1" applyBorder="1"/>
    <xf numFmtId="0" fontId="22" fillId="0" borderId="0" xfId="0" applyFont="1" applyAlignment="1">
      <alignment horizontal="left" vertical="center"/>
    </xf>
    <xf numFmtId="0" fontId="1" fillId="0" borderId="0" xfId="0" applyFont="1" applyAlignment="1">
      <alignment wrapText="1"/>
    </xf>
    <xf numFmtId="168" fontId="1" fillId="0" borderId="0" xfId="0" applyNumberFormat="1" applyFont="1"/>
    <xf numFmtId="0" fontId="1" fillId="0" borderId="0" xfId="0" applyFont="1"/>
    <xf numFmtId="0" fontId="1"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wrapText="1"/>
    </xf>
    <xf numFmtId="9" fontId="0" fillId="0" borderId="0" xfId="6" applyFont="1" applyAlignment="1">
      <alignment horizontal="center" vertical="center"/>
    </xf>
    <xf numFmtId="0" fontId="24" fillId="0" borderId="0" xfId="0" applyFont="1" applyFill="1" applyAlignment="1">
      <alignment horizontal="left" vertical="center"/>
    </xf>
    <xf numFmtId="168" fontId="1" fillId="0" borderId="0" xfId="0" applyNumberFormat="1" applyFont="1" applyAlignment="1">
      <alignment horizontal="center" vertical="center"/>
    </xf>
    <xf numFmtId="9" fontId="0" fillId="0" borderId="0" xfId="0" applyNumberFormat="1" applyAlignment="1">
      <alignment horizontal="center" vertical="center"/>
    </xf>
    <xf numFmtId="9" fontId="0" fillId="0" borderId="0" xfId="0" applyNumberFormat="1"/>
    <xf numFmtId="168" fontId="1" fillId="0" borderId="0" xfId="6" applyNumberFormat="1" applyFont="1" applyAlignment="1">
      <alignment horizontal="center" vertical="center"/>
    </xf>
    <xf numFmtId="1" fontId="3" fillId="0" borderId="0" xfId="6" applyNumberFormat="1" applyFont="1" applyAlignment="1">
      <alignment horizontal="center" vertical="center"/>
    </xf>
    <xf numFmtId="1" fontId="3" fillId="13" borderId="0" xfId="6" applyNumberFormat="1" applyFont="1" applyFill="1" applyAlignment="1">
      <alignment horizontal="center" vertical="center"/>
    </xf>
    <xf numFmtId="0" fontId="0" fillId="0" borderId="0" xfId="0" applyFill="1" applyAlignment="1">
      <alignment horizontal="center" vertical="center"/>
    </xf>
    <xf numFmtId="0" fontId="26" fillId="0" borderId="0" xfId="0" applyFont="1" applyAlignment="1">
      <alignment wrapText="1"/>
    </xf>
    <xf numFmtId="0" fontId="0" fillId="0" borderId="0" xfId="0" applyFill="1" applyAlignment="1">
      <alignment horizontal="center"/>
    </xf>
    <xf numFmtId="1" fontId="0" fillId="0" borderId="0" xfId="0" applyNumberFormat="1" applyFill="1" applyAlignment="1">
      <alignment horizontal="center" vertical="center"/>
    </xf>
    <xf numFmtId="0" fontId="0" fillId="0" borderId="0" xfId="0" applyAlignment="1">
      <alignment horizontal="center" vertical="center"/>
    </xf>
    <xf numFmtId="169" fontId="0" fillId="0" borderId="0" xfId="0" applyNumberFormat="1" applyFill="1" applyAlignment="1">
      <alignment horizontal="center" vertical="center"/>
    </xf>
    <xf numFmtId="169" fontId="0" fillId="0" borderId="0" xfId="6" applyNumberFormat="1" applyFont="1" applyAlignment="1">
      <alignment horizontal="center" vertical="center"/>
    </xf>
    <xf numFmtId="169" fontId="0" fillId="0" borderId="0" xfId="0" applyNumberFormat="1"/>
    <xf numFmtId="1" fontId="0" fillId="0" borderId="0" xfId="6" applyNumberFormat="1" applyFont="1" applyAlignment="1">
      <alignment horizontal="center" vertical="center"/>
    </xf>
    <xf numFmtId="9" fontId="0" fillId="0" borderId="0" xfId="6" applyFont="1" applyFill="1" applyAlignment="1">
      <alignment horizontal="center" vertical="center"/>
    </xf>
    <xf numFmtId="2" fontId="0" fillId="0" borderId="0" xfId="6" applyNumberFormat="1" applyFont="1" applyFill="1" applyAlignment="1">
      <alignment horizontal="center" vertical="center"/>
    </xf>
    <xf numFmtId="9" fontId="1" fillId="0" borderId="0" xfId="6" applyFont="1" applyAlignment="1">
      <alignment horizontal="center" vertical="center"/>
    </xf>
    <xf numFmtId="170" fontId="0" fillId="0" borderId="0" xfId="6" applyNumberFormat="1" applyFont="1" applyAlignment="1">
      <alignment horizontal="center" vertical="center"/>
    </xf>
    <xf numFmtId="0" fontId="27" fillId="0" borderId="0" xfId="0" applyFont="1" applyAlignment="1">
      <alignment wrapText="1"/>
    </xf>
    <xf numFmtId="2" fontId="0" fillId="0" borderId="0" xfId="0" applyNumberForma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9" fontId="3" fillId="0" borderId="0" xfId="6" applyFont="1"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0" fontId="28" fillId="0" borderId="0" xfId="0" applyFont="1" applyAlignment="1">
      <alignment horizontal="left" vertical="center"/>
    </xf>
    <xf numFmtId="164" fontId="0" fillId="0" borderId="0" xfId="6" applyNumberFormat="1" applyFont="1" applyAlignment="1">
      <alignment horizontal="center" vertical="center"/>
    </xf>
    <xf numFmtId="164" fontId="0" fillId="0" borderId="0" xfId="0" applyNumberFormat="1" applyFill="1" applyAlignment="1">
      <alignment horizontal="center" vertical="center"/>
    </xf>
    <xf numFmtId="164" fontId="0" fillId="0" borderId="0" xfId="0" applyNumberFormat="1" applyFill="1" applyAlignment="1">
      <alignment horizontal="center"/>
    </xf>
    <xf numFmtId="164" fontId="3" fillId="0" borderId="0" xfId="6" applyNumberFormat="1" applyFont="1" applyAlignment="1">
      <alignment horizontal="center" vertical="center"/>
    </xf>
    <xf numFmtId="164" fontId="0" fillId="0" borderId="0" xfId="0" applyNumberFormat="1"/>
    <xf numFmtId="10" fontId="3" fillId="0" borderId="0" xfId="6" applyNumberFormat="1" applyFont="1" applyAlignment="1">
      <alignment horizontal="center" vertical="center"/>
    </xf>
    <xf numFmtId="2" fontId="3" fillId="0" borderId="0" xfId="6" applyNumberFormat="1" applyFont="1" applyAlignment="1">
      <alignment horizontal="center" vertical="center"/>
    </xf>
    <xf numFmtId="10" fontId="0" fillId="0" borderId="0" xfId="6" applyNumberFormat="1" applyFont="1" applyAlignment="1">
      <alignment horizontal="center" vertical="center"/>
    </xf>
    <xf numFmtId="0" fontId="30" fillId="0" borderId="0" xfId="7" applyFont="1" applyAlignment="1">
      <alignment wrapText="1"/>
    </xf>
    <xf numFmtId="0" fontId="30" fillId="0" borderId="10" xfId="7" applyFont="1" applyBorder="1" applyAlignment="1">
      <alignment wrapText="1"/>
    </xf>
    <xf numFmtId="0" fontId="31" fillId="14" borderId="10" xfId="7" applyFont="1" applyFill="1" applyBorder="1" applyAlignment="1">
      <alignment horizontal="center" wrapText="1"/>
    </xf>
    <xf numFmtId="0" fontId="32" fillId="0" borderId="3" xfId="7" applyFont="1" applyBorder="1" applyAlignment="1">
      <alignment wrapText="1"/>
    </xf>
    <xf numFmtId="2" fontId="33" fillId="15" borderId="3" xfId="7" applyNumberFormat="1" applyFont="1" applyFill="1" applyBorder="1" applyAlignment="1">
      <alignment horizontal="center" wrapText="1"/>
    </xf>
    <xf numFmtId="10" fontId="33" fillId="15" borderId="3" xfId="7" applyNumberFormat="1" applyFont="1" applyFill="1" applyBorder="1" applyAlignment="1">
      <alignment horizontal="center" wrapText="1"/>
    </xf>
    <xf numFmtId="1" fontId="33" fillId="15" borderId="3" xfId="7" applyNumberFormat="1" applyFont="1" applyFill="1" applyBorder="1" applyAlignment="1">
      <alignment horizontal="center" wrapText="1"/>
    </xf>
    <xf numFmtId="2" fontId="33" fillId="15" borderId="0" xfId="7" applyNumberFormat="1" applyFont="1" applyFill="1" applyBorder="1" applyAlignment="1">
      <alignment horizontal="center" wrapText="1"/>
    </xf>
    <xf numFmtId="10" fontId="33" fillId="15" borderId="0" xfId="7" applyNumberFormat="1" applyFont="1" applyFill="1" applyBorder="1" applyAlignment="1">
      <alignment horizontal="center" wrapText="1"/>
    </xf>
    <xf numFmtId="169" fontId="33" fillId="15" borderId="0" xfId="7" applyNumberFormat="1" applyFont="1" applyFill="1" applyBorder="1" applyAlignment="1">
      <alignment horizontal="center" wrapText="1"/>
    </xf>
    <xf numFmtId="9" fontId="33" fillId="15" borderId="0" xfId="6" applyFont="1" applyFill="1" applyBorder="1" applyAlignment="1">
      <alignment horizontal="center" wrapText="1"/>
    </xf>
    <xf numFmtId="169" fontId="33" fillId="15" borderId="3" xfId="7" applyNumberFormat="1" applyFont="1" applyFill="1" applyBorder="1" applyAlignment="1">
      <alignment horizontal="center" wrapText="1"/>
    </xf>
    <xf numFmtId="9" fontId="33" fillId="15" borderId="3" xfId="6" applyFont="1" applyFill="1" applyBorder="1" applyAlignment="1">
      <alignment horizontal="center" wrapText="1"/>
    </xf>
    <xf numFmtId="0" fontId="32" fillId="0" borderId="2" xfId="7" applyFont="1" applyBorder="1" applyAlignment="1">
      <alignment wrapText="1"/>
    </xf>
    <xf numFmtId="2" fontId="33" fillId="15" borderId="2" xfId="7" applyNumberFormat="1" applyFont="1" applyFill="1" applyBorder="1" applyAlignment="1">
      <alignment horizontal="center" wrapText="1"/>
    </xf>
    <xf numFmtId="10" fontId="33" fillId="15" borderId="2" xfId="7" applyNumberFormat="1" applyFont="1" applyFill="1" applyBorder="1" applyAlignment="1">
      <alignment horizontal="center" wrapText="1"/>
    </xf>
    <xf numFmtId="0" fontId="30" fillId="0" borderId="2" xfId="7" applyFont="1" applyBorder="1" applyAlignment="1">
      <alignment wrapText="1"/>
    </xf>
    <xf numFmtId="169" fontId="33" fillId="15" borderId="2" xfId="7" applyNumberFormat="1" applyFont="1" applyFill="1" applyBorder="1" applyAlignment="1">
      <alignment horizontal="center" wrapText="1"/>
    </xf>
    <xf numFmtId="9" fontId="33" fillId="15" borderId="2" xfId="6" applyFont="1" applyFill="1" applyBorder="1" applyAlignment="1">
      <alignment horizontal="center" wrapText="1"/>
    </xf>
    <xf numFmtId="0" fontId="32" fillId="0" borderId="11" xfId="7" applyFont="1" applyBorder="1" applyAlignment="1">
      <alignment wrapText="1"/>
    </xf>
    <xf numFmtId="2" fontId="33" fillId="15" borderId="11" xfId="7" applyNumberFormat="1" applyFont="1" applyFill="1" applyBorder="1" applyAlignment="1">
      <alignment horizontal="center" wrapText="1"/>
    </xf>
    <xf numFmtId="10" fontId="33" fillId="15" borderId="11" xfId="7" applyNumberFormat="1" applyFont="1" applyFill="1" applyBorder="1" applyAlignment="1">
      <alignment horizontal="center" wrapText="1"/>
    </xf>
    <xf numFmtId="1" fontId="33" fillId="15" borderId="11" xfId="7" applyNumberFormat="1" applyFont="1" applyFill="1" applyBorder="1" applyAlignment="1">
      <alignment horizontal="center" wrapText="1"/>
    </xf>
    <xf numFmtId="169" fontId="33" fillId="15" borderId="11" xfId="7" applyNumberFormat="1" applyFont="1" applyFill="1" applyBorder="1" applyAlignment="1">
      <alignment horizontal="center" wrapText="1"/>
    </xf>
    <xf numFmtId="9" fontId="33" fillId="15" borderId="11" xfId="6" applyFont="1" applyFill="1" applyBorder="1" applyAlignment="1">
      <alignment horizontal="center" wrapText="1"/>
    </xf>
    <xf numFmtId="170" fontId="31" fillId="15" borderId="2" xfId="7" applyNumberFormat="1" applyFont="1" applyFill="1" applyBorder="1" applyAlignment="1">
      <alignment horizontal="center" vertical="center" wrapText="1"/>
    </xf>
    <xf numFmtId="170" fontId="31" fillId="16" borderId="2" xfId="7" applyNumberFormat="1" applyFont="1" applyFill="1" applyBorder="1" applyAlignment="1">
      <alignment horizontal="center" vertical="center" wrapText="1"/>
    </xf>
    <xf numFmtId="10" fontId="32" fillId="0" borderId="2" xfId="7" applyNumberFormat="1" applyFont="1" applyBorder="1" applyAlignment="1">
      <alignment horizontal="center" vertical="center" wrapText="1"/>
    </xf>
    <xf numFmtId="0" fontId="32" fillId="0" borderId="2" xfId="7" applyFont="1" applyBorder="1" applyAlignment="1">
      <alignment horizontal="center" vertical="center" wrapText="1"/>
    </xf>
    <xf numFmtId="2" fontId="32" fillId="0" borderId="2" xfId="7" applyNumberFormat="1" applyFont="1" applyBorder="1" applyAlignment="1">
      <alignment horizontal="center" vertical="center" wrapText="1"/>
    </xf>
    <xf numFmtId="170" fontId="32" fillId="0" borderId="2" xfId="7" applyNumberFormat="1" applyFont="1" applyBorder="1" applyAlignment="1">
      <alignment horizontal="center" vertical="center" wrapText="1"/>
    </xf>
    <xf numFmtId="0" fontId="30" fillId="0" borderId="0" xfId="7" applyFont="1" applyBorder="1" applyAlignment="1">
      <alignment horizontal="center" wrapText="1"/>
    </xf>
    <xf numFmtId="0" fontId="30" fillId="0" borderId="0" xfId="7" applyFont="1" applyBorder="1" applyAlignment="1">
      <alignment wrapText="1"/>
    </xf>
    <xf numFmtId="0" fontId="32" fillId="0" borderId="0" xfId="7" applyFont="1" applyBorder="1" applyAlignment="1">
      <alignment wrapText="1"/>
    </xf>
    <xf numFmtId="0" fontId="29" fillId="8" borderId="3" xfId="7" applyFont="1" applyFill="1" applyBorder="1" applyAlignment="1">
      <alignment horizontal="center" wrapText="1"/>
    </xf>
    <xf numFmtId="0" fontId="29" fillId="8" borderId="12" xfId="7" applyFont="1" applyFill="1" applyBorder="1" applyAlignment="1">
      <alignment horizontal="center" wrapText="1"/>
    </xf>
    <xf numFmtId="0" fontId="34" fillId="0" borderId="3" xfId="7" applyFont="1" applyFill="1" applyBorder="1" applyAlignment="1">
      <alignment horizontal="right" wrapText="1"/>
    </xf>
    <xf numFmtId="1" fontId="33" fillId="15" borderId="3" xfId="7" applyNumberFormat="1" applyFont="1" applyFill="1" applyBorder="1" applyAlignment="1">
      <alignment horizontal="center" vertical="center" wrapText="1"/>
    </xf>
    <xf numFmtId="2" fontId="33" fillId="15" borderId="3" xfId="7" applyNumberFormat="1" applyFont="1" applyFill="1" applyBorder="1" applyAlignment="1">
      <alignment horizontal="center" vertical="center" wrapText="1"/>
    </xf>
    <xf numFmtId="2" fontId="29" fillId="15" borderId="3" xfId="7" applyNumberFormat="1" applyFont="1" applyFill="1" applyBorder="1" applyAlignment="1">
      <alignment horizontal="center" wrapText="1"/>
    </xf>
    <xf numFmtId="169" fontId="29" fillId="15" borderId="3" xfId="7" applyNumberFormat="1" applyFont="1" applyFill="1" applyBorder="1" applyAlignment="1">
      <alignment horizontal="center" wrapText="1"/>
    </xf>
    <xf numFmtId="9" fontId="29" fillId="15" borderId="3" xfId="6" applyFont="1" applyFill="1" applyBorder="1" applyAlignment="1">
      <alignment horizontal="center" wrapText="1"/>
    </xf>
    <xf numFmtId="0" fontId="30" fillId="0" borderId="7" xfId="7" applyFont="1" applyBorder="1" applyAlignment="1">
      <alignment horizontal="left" wrapText="1"/>
    </xf>
    <xf numFmtId="0" fontId="29" fillId="8" borderId="1" xfId="7" applyFont="1" applyFill="1" applyBorder="1" applyAlignment="1">
      <alignment horizontal="center" wrapText="1"/>
    </xf>
    <xf numFmtId="0" fontId="29" fillId="8" borderId="2" xfId="7" applyFont="1" applyFill="1" applyBorder="1" applyAlignment="1">
      <alignment horizontal="center" wrapText="1"/>
    </xf>
    <xf numFmtId="0" fontId="32" fillId="0" borderId="1" xfId="7" applyFont="1" applyBorder="1" applyAlignment="1">
      <alignment horizontal="right" wrapText="1"/>
    </xf>
    <xf numFmtId="170" fontId="29" fillId="17" borderId="3" xfId="7" applyNumberFormat="1" applyFont="1" applyFill="1" applyBorder="1" applyAlignment="1">
      <alignment horizontal="center" vertical="center" wrapText="1"/>
    </xf>
    <xf numFmtId="170" fontId="33" fillId="15" borderId="3" xfId="7" applyNumberFormat="1" applyFont="1" applyFill="1" applyBorder="1" applyAlignment="1">
      <alignment horizontal="center" wrapText="1"/>
    </xf>
    <xf numFmtId="0" fontId="33" fillId="15" borderId="3" xfId="7" applyFont="1" applyFill="1" applyBorder="1" applyAlignment="1">
      <alignment wrapText="1"/>
    </xf>
    <xf numFmtId="9" fontId="33" fillId="15" borderId="3" xfId="7" applyNumberFormat="1" applyFont="1" applyFill="1" applyBorder="1" applyAlignment="1">
      <alignment horizontal="center" wrapText="1"/>
    </xf>
    <xf numFmtId="0" fontId="33" fillId="15" borderId="0" xfId="7" applyFont="1" applyFill="1" applyAlignment="1">
      <alignment wrapText="1"/>
    </xf>
    <xf numFmtId="0" fontId="33" fillId="15" borderId="3" xfId="7" applyFont="1" applyFill="1" applyBorder="1" applyAlignment="1">
      <alignment horizontal="left" wrapText="1"/>
    </xf>
    <xf numFmtId="10" fontId="29" fillId="17" borderId="3" xfId="7" applyNumberFormat="1" applyFont="1" applyFill="1" applyBorder="1" applyAlignment="1">
      <alignment horizontal="center" vertical="center" wrapText="1"/>
    </xf>
    <xf numFmtId="0" fontId="32" fillId="18" borderId="0" xfId="7" applyFont="1" applyFill="1" applyBorder="1" applyAlignment="1">
      <alignment horizontal="right" wrapText="1"/>
    </xf>
    <xf numFmtId="170" fontId="31" fillId="16" borderId="0" xfId="7" applyNumberFormat="1" applyFont="1" applyFill="1" applyBorder="1" applyAlignment="1">
      <alignment horizontal="center" vertical="center" wrapText="1"/>
    </xf>
    <xf numFmtId="170" fontId="29" fillId="19" borderId="0" xfId="7" applyNumberFormat="1" applyFont="1" applyFill="1" applyBorder="1" applyAlignment="1">
      <alignment horizontal="center" vertical="center" wrapText="1"/>
    </xf>
    <xf numFmtId="170" fontId="33" fillId="16" borderId="0" xfId="7" applyNumberFormat="1" applyFont="1" applyFill="1" applyBorder="1" applyAlignment="1">
      <alignment horizontal="center" wrapText="1"/>
    </xf>
    <xf numFmtId="0" fontId="30" fillId="18" borderId="0" xfId="7" applyFont="1" applyFill="1" applyAlignment="1">
      <alignment wrapText="1"/>
    </xf>
    <xf numFmtId="0" fontId="29" fillId="8" borderId="2" xfId="7" applyFont="1" applyFill="1" applyBorder="1" applyAlignment="1">
      <alignment horizontal="center" vertical="center" wrapText="1"/>
    </xf>
    <xf numFmtId="169" fontId="31" fillId="16" borderId="2" xfId="7" applyNumberFormat="1" applyFont="1" applyFill="1" applyBorder="1" applyAlignment="1">
      <alignment horizontal="center" vertical="center" wrapText="1"/>
    </xf>
    <xf numFmtId="1" fontId="32" fillId="18" borderId="2" xfId="7" applyNumberFormat="1" applyFont="1" applyFill="1" applyBorder="1" applyAlignment="1">
      <alignment horizontal="center" vertical="center" wrapText="1"/>
    </xf>
    <xf numFmtId="169" fontId="32" fillId="18" borderId="2" xfId="7" applyNumberFormat="1" applyFont="1" applyFill="1" applyBorder="1" applyAlignment="1">
      <alignment horizontal="center" vertical="center" wrapText="1"/>
    </xf>
    <xf numFmtId="2" fontId="32" fillId="18" borderId="2" xfId="7" applyNumberFormat="1" applyFont="1" applyFill="1" applyBorder="1" applyAlignment="1">
      <alignment horizontal="center" vertical="center" wrapText="1"/>
    </xf>
    <xf numFmtId="170" fontId="35" fillId="16" borderId="2" xfId="7" applyNumberFormat="1" applyFont="1" applyFill="1" applyBorder="1" applyAlignment="1">
      <alignment horizontal="center" vertical="center" wrapText="1"/>
    </xf>
    <xf numFmtId="169" fontId="31" fillId="16" borderId="0" xfId="7" applyNumberFormat="1" applyFont="1" applyFill="1" applyBorder="1" applyAlignment="1">
      <alignment horizontal="center" vertical="center" wrapText="1"/>
    </xf>
    <xf numFmtId="1" fontId="32" fillId="18" borderId="0" xfId="7" applyNumberFormat="1" applyFont="1" applyFill="1" applyBorder="1" applyAlignment="1">
      <alignment horizontal="center" vertical="center" wrapText="1"/>
    </xf>
    <xf numFmtId="169" fontId="32" fillId="18" borderId="0" xfId="7" applyNumberFormat="1" applyFont="1" applyFill="1" applyBorder="1" applyAlignment="1">
      <alignment horizontal="center" vertical="center" wrapText="1"/>
    </xf>
    <xf numFmtId="2" fontId="32" fillId="18" borderId="0" xfId="7" applyNumberFormat="1" applyFont="1" applyFill="1" applyBorder="1" applyAlignment="1">
      <alignment horizontal="center" vertical="center" wrapText="1"/>
    </xf>
    <xf numFmtId="170" fontId="32" fillId="18" borderId="2" xfId="7" applyNumberFormat="1" applyFont="1" applyFill="1" applyBorder="1" applyAlignment="1">
      <alignment horizontal="center" vertical="center" wrapText="1"/>
    </xf>
    <xf numFmtId="0" fontId="30" fillId="18" borderId="2" xfId="7" applyFont="1" applyFill="1" applyBorder="1" applyAlignment="1">
      <alignment wrapText="1"/>
    </xf>
    <xf numFmtId="169" fontId="31" fillId="19" borderId="2" xfId="7" applyNumberFormat="1" applyFont="1" applyFill="1" applyBorder="1" applyAlignment="1">
      <alignment horizontal="center" vertical="center" wrapText="1"/>
    </xf>
    <xf numFmtId="170" fontId="31" fillId="19" borderId="2" xfId="7" applyNumberFormat="1" applyFont="1" applyFill="1" applyBorder="1" applyAlignment="1">
      <alignment horizontal="center" vertical="center" wrapText="1"/>
    </xf>
    <xf numFmtId="170" fontId="36" fillId="16" borderId="2" xfId="7" applyNumberFormat="1" applyFont="1" applyFill="1" applyBorder="1" applyAlignment="1">
      <alignment horizontal="center" wrapText="1"/>
    </xf>
    <xf numFmtId="170" fontId="33" fillId="16" borderId="2" xfId="7" applyNumberFormat="1" applyFont="1" applyFill="1" applyBorder="1" applyAlignment="1">
      <alignment horizontal="center" wrapText="1"/>
    </xf>
    <xf numFmtId="170" fontId="32" fillId="18" borderId="0" xfId="7" applyNumberFormat="1" applyFont="1" applyFill="1" applyBorder="1" applyAlignment="1">
      <alignment horizontal="center" vertical="center" wrapText="1"/>
    </xf>
    <xf numFmtId="0" fontId="30" fillId="18" borderId="0" xfId="7" applyFont="1" applyFill="1" applyBorder="1" applyAlignment="1">
      <alignment wrapText="1"/>
    </xf>
    <xf numFmtId="169" fontId="31" fillId="19" borderId="0" xfId="7" applyNumberFormat="1" applyFont="1" applyFill="1" applyBorder="1" applyAlignment="1">
      <alignment horizontal="center" vertical="center" wrapText="1"/>
    </xf>
    <xf numFmtId="170" fontId="31" fillId="19" borderId="0" xfId="7" applyNumberFormat="1" applyFont="1" applyFill="1" applyBorder="1" applyAlignment="1">
      <alignment horizontal="center" vertical="center" wrapText="1"/>
    </xf>
    <xf numFmtId="170" fontId="36" fillId="16" borderId="0" xfId="7" applyNumberFormat="1" applyFont="1" applyFill="1" applyBorder="1" applyAlignment="1">
      <alignment horizontal="center" wrapText="1"/>
    </xf>
    <xf numFmtId="169" fontId="32" fillId="0" borderId="2" xfId="7" applyNumberFormat="1" applyFont="1" applyBorder="1" applyAlignment="1">
      <alignment horizontal="center" vertical="center" wrapText="1"/>
    </xf>
    <xf numFmtId="170" fontId="30" fillId="0" borderId="2" xfId="7" applyNumberFormat="1" applyFont="1" applyBorder="1" applyAlignment="1">
      <alignment horizontal="center" vertical="center" wrapText="1"/>
    </xf>
    <xf numFmtId="169" fontId="32" fillId="0" borderId="0" xfId="7" applyNumberFormat="1" applyFont="1" applyBorder="1" applyAlignment="1">
      <alignment horizontal="center" vertical="center" wrapText="1"/>
    </xf>
    <xf numFmtId="2" fontId="32" fillId="0" borderId="0" xfId="7" applyNumberFormat="1" applyFont="1" applyAlignment="1">
      <alignment horizontal="center" vertical="center" wrapText="1"/>
    </xf>
    <xf numFmtId="10" fontId="32" fillId="0" borderId="0" xfId="7" applyNumberFormat="1" applyFont="1" applyAlignment="1">
      <alignment horizontal="center" vertical="center" wrapText="1"/>
    </xf>
    <xf numFmtId="170" fontId="32" fillId="0" borderId="0" xfId="7" applyNumberFormat="1" applyFont="1" applyAlignment="1">
      <alignment horizontal="center" vertical="center" wrapText="1"/>
    </xf>
    <xf numFmtId="170" fontId="30" fillId="0" borderId="0" xfId="7" applyNumberFormat="1" applyFont="1" applyAlignment="1">
      <alignment horizontal="center" wrapText="1"/>
    </xf>
    <xf numFmtId="0" fontId="32" fillId="0" borderId="0" xfId="7" applyFont="1" applyAlignment="1">
      <alignment horizontal="center" vertical="center" wrapText="1"/>
    </xf>
    <xf numFmtId="0" fontId="30" fillId="18" borderId="2" xfId="7" applyFont="1" applyFill="1" applyBorder="1" applyAlignment="1">
      <alignment horizontal="center" vertical="center" wrapText="1"/>
    </xf>
    <xf numFmtId="10" fontId="32" fillId="0" borderId="0" xfId="7" applyNumberFormat="1" applyFont="1" applyBorder="1" applyAlignment="1">
      <alignment wrapText="1"/>
    </xf>
    <xf numFmtId="14" fontId="29" fillId="8" borderId="1" xfId="7" applyNumberFormat="1" applyFont="1" applyFill="1" applyBorder="1" applyAlignment="1">
      <alignment horizontal="center" wrapText="1"/>
    </xf>
    <xf numFmtId="2" fontId="29" fillId="15" borderId="1" xfId="7" applyNumberFormat="1" applyFont="1" applyFill="1" applyBorder="1" applyAlignment="1">
      <alignment horizontal="center" vertical="center" wrapText="1"/>
    </xf>
    <xf numFmtId="169" fontId="29" fillId="15" borderId="1" xfId="7" applyNumberFormat="1" applyFont="1" applyFill="1" applyBorder="1" applyAlignment="1">
      <alignment horizontal="center" vertical="center" wrapText="1"/>
    </xf>
    <xf numFmtId="9" fontId="30" fillId="0" borderId="0" xfId="6" applyFont="1" applyAlignment="1">
      <alignment wrapText="1"/>
    </xf>
    <xf numFmtId="0" fontId="32" fillId="20" borderId="1" xfId="7" applyFont="1" applyFill="1" applyBorder="1" applyAlignment="1">
      <alignment horizontal="right" wrapText="1"/>
    </xf>
    <xf numFmtId="0" fontId="32" fillId="0" borderId="0" xfId="7" applyFont="1" applyAlignment="1">
      <alignment wrapText="1"/>
    </xf>
    <xf numFmtId="1" fontId="29" fillId="15" borderId="1" xfId="7" applyNumberFormat="1" applyFont="1" applyFill="1" applyBorder="1" applyAlignment="1">
      <alignment horizontal="center" vertical="center" wrapText="1"/>
    </xf>
    <xf numFmtId="0" fontId="32" fillId="0" borderId="0" xfId="7" applyFont="1" applyBorder="1" applyAlignment="1">
      <alignment horizontal="right" wrapText="1"/>
    </xf>
    <xf numFmtId="0" fontId="32" fillId="0" borderId="0" xfId="7" applyFont="1" applyAlignment="1">
      <alignment horizontal="right" wrapText="1"/>
    </xf>
    <xf numFmtId="0" fontId="32" fillId="0" borderId="1" xfId="7" applyFont="1" applyFill="1" applyBorder="1" applyAlignment="1">
      <alignment horizontal="right" wrapText="1"/>
    </xf>
    <xf numFmtId="10" fontId="33" fillId="17" borderId="1" xfId="7" applyNumberFormat="1" applyFont="1" applyFill="1" applyBorder="1" applyAlignment="1">
      <alignment horizontal="center" vertical="center" wrapText="1"/>
    </xf>
    <xf numFmtId="170" fontId="33" fillId="17" borderId="1" xfId="7" applyNumberFormat="1" applyFont="1" applyFill="1" applyBorder="1" applyAlignment="1">
      <alignment horizontal="center" vertical="center" wrapText="1"/>
    </xf>
    <xf numFmtId="10" fontId="30" fillId="0" borderId="0" xfId="7" applyNumberFormat="1" applyFont="1" applyAlignment="1">
      <alignment wrapText="1"/>
    </xf>
    <xf numFmtId="10" fontId="29" fillId="17" borderId="1" xfId="7" applyNumberFormat="1" applyFont="1" applyFill="1" applyBorder="1" applyAlignment="1">
      <alignment horizontal="center" vertical="center" wrapText="1"/>
    </xf>
    <xf numFmtId="170" fontId="29" fillId="17" borderId="1" xfId="7" applyNumberFormat="1" applyFont="1" applyFill="1" applyBorder="1" applyAlignment="1">
      <alignment horizontal="center" vertical="center" wrapText="1"/>
    </xf>
    <xf numFmtId="170" fontId="29" fillId="17" borderId="16" xfId="7" applyNumberFormat="1" applyFont="1" applyFill="1" applyBorder="1" applyAlignment="1">
      <alignment vertical="center" wrapText="1"/>
    </xf>
    <xf numFmtId="10" fontId="29" fillId="17" borderId="1" xfId="7" applyNumberFormat="1" applyFont="1" applyFill="1" applyBorder="1" applyAlignment="1">
      <alignment wrapText="1"/>
    </xf>
    <xf numFmtId="10" fontId="29" fillId="17" borderId="14" xfId="7" applyNumberFormat="1" applyFont="1" applyFill="1" applyBorder="1" applyAlignment="1">
      <alignment horizontal="center" wrapText="1"/>
    </xf>
    <xf numFmtId="10" fontId="29" fillId="17" borderId="15" xfId="7" applyNumberFormat="1" applyFont="1" applyFill="1" applyBorder="1" applyAlignment="1">
      <alignment horizontal="center" wrapText="1"/>
    </xf>
    <xf numFmtId="10" fontId="29" fillId="17" borderId="16" xfId="7" applyNumberFormat="1" applyFont="1" applyFill="1" applyBorder="1" applyAlignment="1">
      <alignment horizontal="center" wrapText="1"/>
    </xf>
    <xf numFmtId="0" fontId="30" fillId="21" borderId="1" xfId="7" applyFont="1" applyFill="1" applyBorder="1" applyAlignment="1">
      <alignment wrapText="1"/>
    </xf>
    <xf numFmtId="14" fontId="30" fillId="21" borderId="1" xfId="7" applyNumberFormat="1" applyFont="1" applyFill="1" applyBorder="1" applyAlignment="1">
      <alignment wrapText="1"/>
    </xf>
    <xf numFmtId="0" fontId="30" fillId="0" borderId="1" xfId="7" applyFont="1" applyFill="1" applyBorder="1" applyAlignment="1">
      <alignment horizontal="left" wrapText="1"/>
    </xf>
    <xf numFmtId="2" fontId="30" fillId="0" borderId="1" xfId="7" applyNumberFormat="1" applyFont="1" applyFill="1" applyBorder="1" applyAlignment="1">
      <alignment horizontal="center" vertical="center" wrapText="1"/>
    </xf>
    <xf numFmtId="169" fontId="30" fillId="0" borderId="1" xfId="7" applyNumberFormat="1" applyFont="1" applyFill="1" applyBorder="1" applyAlignment="1">
      <alignment horizontal="center" vertical="center" wrapText="1"/>
    </xf>
    <xf numFmtId="0" fontId="30" fillId="0" borderId="1" xfId="7" applyFont="1" applyBorder="1" applyAlignment="1">
      <alignment wrapText="1"/>
    </xf>
    <xf numFmtId="10" fontId="30" fillId="0" borderId="1" xfId="7" applyNumberFormat="1" applyFont="1" applyBorder="1" applyAlignment="1">
      <alignment horizontal="center" vertical="center" wrapText="1"/>
    </xf>
    <xf numFmtId="2" fontId="30" fillId="0" borderId="1" xfId="7" applyNumberFormat="1" applyFont="1" applyBorder="1" applyAlignment="1">
      <alignment horizontal="center" vertical="center" wrapText="1"/>
    </xf>
    <xf numFmtId="9" fontId="30" fillId="0" borderId="1" xfId="6" applyFont="1" applyBorder="1" applyAlignment="1">
      <alignment horizontal="center" vertical="center" wrapText="1"/>
    </xf>
    <xf numFmtId="9" fontId="30" fillId="0" borderId="0" xfId="7" applyNumberFormat="1" applyFont="1" applyAlignment="1">
      <alignment horizontal="center" vertical="center" wrapText="1"/>
    </xf>
    <xf numFmtId="0" fontId="30" fillId="0" borderId="1" xfId="7" applyFont="1" applyFill="1" applyBorder="1" applyAlignment="1">
      <alignment wrapText="1"/>
    </xf>
    <xf numFmtId="43" fontId="30" fillId="0" borderId="1" xfId="7" applyNumberFormat="1" applyFont="1" applyFill="1" applyBorder="1" applyAlignment="1">
      <alignment horizontal="center" vertical="center" wrapText="1"/>
    </xf>
    <xf numFmtId="0" fontId="30" fillId="0" borderId="3" xfId="7" applyFont="1" applyFill="1" applyBorder="1" applyAlignment="1">
      <alignment wrapText="1"/>
    </xf>
    <xf numFmtId="0" fontId="30" fillId="0" borderId="3" xfId="7" applyFont="1" applyFill="1" applyBorder="1" applyAlignment="1">
      <alignment horizontal="center" vertical="center" wrapText="1"/>
    </xf>
    <xf numFmtId="43" fontId="30" fillId="0" borderId="3" xfId="7" applyNumberFormat="1" applyFont="1" applyFill="1" applyBorder="1" applyAlignment="1">
      <alignment horizontal="center" vertical="center" wrapText="1"/>
    </xf>
    <xf numFmtId="0" fontId="30" fillId="0" borderId="3" xfId="7" applyFont="1" applyBorder="1" applyAlignment="1">
      <alignment wrapText="1"/>
    </xf>
    <xf numFmtId="2" fontId="30" fillId="0" borderId="3" xfId="7" applyNumberFormat="1" applyFont="1" applyBorder="1" applyAlignment="1">
      <alignment horizontal="center" vertical="center" wrapText="1"/>
    </xf>
    <xf numFmtId="2" fontId="30" fillId="0" borderId="0" xfId="7" applyNumberFormat="1" applyFont="1" applyBorder="1" applyAlignment="1">
      <alignment wrapText="1"/>
    </xf>
    <xf numFmtId="10" fontId="30" fillId="0" borderId="3" xfId="7" applyNumberFormat="1" applyFont="1" applyFill="1" applyBorder="1" applyAlignment="1">
      <alignment horizontal="center" vertical="center" wrapText="1"/>
    </xf>
    <xf numFmtId="2" fontId="30" fillId="0" borderId="0" xfId="7" applyNumberFormat="1" applyFont="1" applyFill="1" applyBorder="1" applyAlignment="1">
      <alignment wrapText="1"/>
    </xf>
    <xf numFmtId="2" fontId="30" fillId="0" borderId="0" xfId="7" applyNumberFormat="1" applyFont="1" applyFill="1" applyAlignment="1">
      <alignment wrapText="1"/>
    </xf>
    <xf numFmtId="10" fontId="30" fillId="0" borderId="0" xfId="7" applyNumberFormat="1" applyFont="1" applyFill="1" applyAlignment="1">
      <alignment wrapText="1"/>
    </xf>
    <xf numFmtId="0" fontId="30" fillId="0" borderId="0" xfId="7" applyFont="1" applyFill="1" applyAlignment="1">
      <alignment wrapText="1"/>
    </xf>
    <xf numFmtId="0" fontId="30" fillId="0" borderId="0" xfId="7" applyFont="1" applyAlignment="1">
      <alignment horizontal="center" vertical="center" wrapText="1"/>
    </xf>
    <xf numFmtId="10" fontId="30" fillId="0" borderId="2" xfId="7" applyNumberFormat="1" applyFont="1" applyBorder="1" applyAlignment="1">
      <alignment horizontal="center" vertical="center" wrapText="1"/>
    </xf>
    <xf numFmtId="2" fontId="30" fillId="0" borderId="2" xfId="7" applyNumberFormat="1" applyFont="1" applyBorder="1" applyAlignment="1">
      <alignment horizontal="center" vertical="center" wrapText="1"/>
    </xf>
    <xf numFmtId="10" fontId="37" fillId="0" borderId="2" xfId="8" applyNumberFormat="1" applyFont="1" applyBorder="1" applyAlignment="1">
      <alignment horizontal="center" vertical="center" wrapText="1"/>
    </xf>
    <xf numFmtId="164" fontId="29" fillId="8" borderId="1" xfId="7" applyNumberFormat="1" applyFont="1" applyFill="1" applyBorder="1" applyAlignment="1">
      <alignment horizontal="center" wrapText="1"/>
    </xf>
    <xf numFmtId="164" fontId="30" fillId="0" borderId="1" xfId="7" applyNumberFormat="1" applyFont="1" applyBorder="1" applyAlignment="1">
      <alignment horizontal="center" vertical="center" wrapText="1"/>
    </xf>
    <xf numFmtId="164" fontId="30" fillId="0" borderId="1" xfId="6" applyNumberFormat="1" applyFont="1" applyBorder="1" applyAlignment="1">
      <alignment horizontal="center" vertical="center" wrapText="1"/>
    </xf>
    <xf numFmtId="0" fontId="41" fillId="0" borderId="0" xfId="0" applyFont="1"/>
    <xf numFmtId="0" fontId="43" fillId="0" borderId="0" xfId="0" applyFont="1" applyAlignment="1">
      <alignment horizontal="left" vertical="center"/>
    </xf>
    <xf numFmtId="9" fontId="0" fillId="23" borderId="0" xfId="6" applyFont="1" applyFill="1" applyAlignment="1">
      <alignment horizontal="center" vertical="center"/>
    </xf>
    <xf numFmtId="0" fontId="20" fillId="0" borderId="23" xfId="0" applyFont="1" applyBorder="1" applyAlignment="1">
      <alignment horizontal="left"/>
    </xf>
    <xf numFmtId="171" fontId="20" fillId="0" borderId="24" xfId="0" applyNumberFormat="1" applyFont="1" applyBorder="1" applyAlignment="1">
      <alignment horizontal="center"/>
    </xf>
    <xf numFmtId="0" fontId="44" fillId="0" borderId="0" xfId="0" applyFont="1"/>
    <xf numFmtId="9" fontId="41" fillId="23" borderId="0" xfId="0" applyNumberFormat="1" applyFont="1" applyFill="1" applyAlignment="1">
      <alignment horizontal="center" vertical="center"/>
    </xf>
    <xf numFmtId="1" fontId="0" fillId="0" borderId="0" xfId="0" applyNumberFormat="1"/>
    <xf numFmtId="0" fontId="20" fillId="0" borderId="23" xfId="0" quotePrefix="1" applyFont="1" applyBorder="1" applyAlignment="1">
      <alignment horizontal="left"/>
    </xf>
    <xf numFmtId="9" fontId="41"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41" fillId="0" borderId="0" xfId="0" applyNumberFormat="1" applyFont="1" applyAlignment="1">
      <alignment horizontal="center" vertical="center"/>
    </xf>
    <xf numFmtId="43" fontId="20" fillId="0" borderId="24" xfId="0" applyNumberFormat="1" applyFont="1" applyBorder="1" applyAlignment="1">
      <alignment horizontal="center"/>
    </xf>
    <xf numFmtId="0" fontId="45" fillId="25" borderId="20" xfId="0" applyFont="1" applyFill="1" applyBorder="1" applyAlignment="1">
      <alignment horizontal="left"/>
    </xf>
    <xf numFmtId="171" fontId="45" fillId="25" borderId="22" xfId="0" applyNumberFormat="1" applyFont="1" applyFill="1" applyBorder="1" applyAlignment="1">
      <alignment horizontal="center"/>
    </xf>
    <xf numFmtId="0" fontId="44" fillId="0" borderId="0" xfId="0" applyFont="1" applyAlignment="1">
      <alignment horizontal="left"/>
    </xf>
    <xf numFmtId="0" fontId="40" fillId="23" borderId="25" xfId="0" applyNumberFormat="1" applyFont="1" applyFill="1" applyBorder="1" applyAlignment="1">
      <alignment horizontal="center"/>
    </xf>
    <xf numFmtId="0" fontId="40" fillId="23" borderId="26" xfId="0" applyNumberFormat="1" applyFont="1" applyFill="1" applyBorder="1" applyAlignment="1">
      <alignment horizontal="center"/>
    </xf>
    <xf numFmtId="49" fontId="40" fillId="23" borderId="25" xfId="0" applyNumberFormat="1" applyFont="1" applyFill="1" applyBorder="1" applyAlignment="1">
      <alignment horizontal="center"/>
    </xf>
    <xf numFmtId="0" fontId="20" fillId="0" borderId="27" xfId="0" applyFont="1" applyFill="1" applyBorder="1" applyAlignment="1">
      <alignment horizontal="left"/>
    </xf>
    <xf numFmtId="9" fontId="41" fillId="0" borderId="0" xfId="6" applyFont="1"/>
    <xf numFmtId="1" fontId="41"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20" fillId="23" borderId="0" xfId="0" applyNumberFormat="1" applyFont="1" applyFill="1" applyBorder="1" applyAlignment="1">
      <alignment horizontal="center"/>
    </xf>
    <xf numFmtId="9" fontId="20" fillId="24" borderId="0" xfId="6" applyFont="1" applyFill="1" applyBorder="1" applyAlignment="1">
      <alignment horizontal="center"/>
    </xf>
    <xf numFmtId="169" fontId="20" fillId="24" borderId="0" xfId="0" applyNumberFormat="1" applyFont="1" applyFill="1" applyBorder="1" applyAlignment="1">
      <alignment horizontal="center"/>
    </xf>
    <xf numFmtId="9" fontId="20" fillId="23" borderId="0" xfId="6" applyFont="1" applyFill="1" applyBorder="1" applyAlignment="1">
      <alignment horizontal="center"/>
    </xf>
    <xf numFmtId="9" fontId="3" fillId="24" borderId="0" xfId="6" applyFont="1" applyFill="1" applyAlignment="1">
      <alignment horizontal="center" vertical="center"/>
    </xf>
    <xf numFmtId="0" fontId="41" fillId="0" borderId="0" xfId="0" applyFont="1" applyAlignment="1">
      <alignment horizontal="center" vertical="center"/>
    </xf>
    <xf numFmtId="2" fontId="41" fillId="23" borderId="0" xfId="0" applyNumberFormat="1" applyFont="1" applyFill="1" applyAlignment="1">
      <alignment horizontal="center" vertical="center"/>
    </xf>
    <xf numFmtId="0" fontId="20" fillId="0" borderId="0" xfId="0" applyFont="1"/>
    <xf numFmtId="0" fontId="40" fillId="23" borderId="17" xfId="0" applyFont="1" applyFill="1" applyBorder="1" applyAlignment="1">
      <alignment horizontal="center"/>
    </xf>
    <xf numFmtId="0" fontId="40" fillId="23" borderId="18" xfId="0" applyFont="1" applyFill="1" applyBorder="1" applyAlignment="1">
      <alignment horizontal="center"/>
    </xf>
    <xf numFmtId="0" fontId="40" fillId="23" borderId="19" xfId="0" applyFont="1" applyFill="1" applyBorder="1" applyAlignment="1">
      <alignment horizontal="center"/>
    </xf>
    <xf numFmtId="0" fontId="20" fillId="0" borderId="23" xfId="0" applyFont="1" applyBorder="1" applyAlignment="1">
      <alignment horizontal="center"/>
    </xf>
    <xf numFmtId="38" fontId="20" fillId="0" borderId="2" xfId="0" applyNumberFormat="1" applyFont="1" applyBorder="1" applyAlignment="1">
      <alignment horizontal="center" vertical="center"/>
    </xf>
    <xf numFmtId="9" fontId="20" fillId="0" borderId="2" xfId="0" applyNumberFormat="1" applyFont="1" applyBorder="1" applyAlignment="1">
      <alignment horizontal="center" vertical="center"/>
    </xf>
    <xf numFmtId="167" fontId="20" fillId="0" borderId="24" xfId="0" applyNumberFormat="1" applyFont="1" applyBorder="1" applyAlignment="1">
      <alignment horizontal="center" vertical="center"/>
    </xf>
    <xf numFmtId="0" fontId="20" fillId="0" borderId="20" xfId="0" applyFont="1" applyBorder="1" applyAlignment="1">
      <alignment horizontal="center"/>
    </xf>
    <xf numFmtId="167" fontId="20" fillId="0" borderId="22" xfId="0" applyNumberFormat="1" applyFont="1" applyBorder="1" applyAlignment="1">
      <alignment horizontal="center" vertical="center"/>
    </xf>
    <xf numFmtId="38" fontId="20" fillId="0" borderId="21" xfId="0" applyNumberFormat="1" applyFont="1" applyBorder="1" applyAlignment="1">
      <alignment horizontal="center" vertical="center"/>
    </xf>
    <xf numFmtId="38" fontId="20" fillId="0" borderId="2" xfId="0" applyNumberFormat="1" applyFont="1" applyBorder="1" applyAlignment="1">
      <alignment horizontal="center"/>
    </xf>
    <xf numFmtId="9" fontId="20"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33" fillId="15" borderId="0" xfId="6" applyNumberFormat="1" applyFont="1" applyFill="1" applyBorder="1" applyAlignment="1">
      <alignment horizontal="center" wrapText="1"/>
    </xf>
    <xf numFmtId="10" fontId="33" fillId="15" borderId="3" xfId="6" applyNumberFormat="1" applyFont="1" applyFill="1" applyBorder="1" applyAlignment="1">
      <alignment horizontal="center" wrapText="1"/>
    </xf>
    <xf numFmtId="10" fontId="33" fillId="15" borderId="2" xfId="6" applyNumberFormat="1" applyFont="1" applyFill="1" applyBorder="1" applyAlignment="1">
      <alignment horizontal="center" wrapText="1"/>
    </xf>
    <xf numFmtId="10" fontId="33" fillId="15" borderId="11" xfId="6" applyNumberFormat="1" applyFont="1" applyFill="1" applyBorder="1" applyAlignment="1">
      <alignment horizontal="center" wrapText="1"/>
    </xf>
    <xf numFmtId="9" fontId="30" fillId="13" borderId="0" xfId="6" applyFont="1" applyFill="1" applyBorder="1" applyAlignment="1">
      <alignment wrapText="1"/>
    </xf>
    <xf numFmtId="2" fontId="0" fillId="0" borderId="0" xfId="6" applyNumberFormat="1" applyFont="1"/>
    <xf numFmtId="43" fontId="0" fillId="0" borderId="0" xfId="0" applyNumberFormat="1" applyAlignment="1">
      <alignment horizontal="center" vertical="center"/>
    </xf>
    <xf numFmtId="167" fontId="0" fillId="0" borderId="0" xfId="0" applyNumberFormat="1" applyAlignment="1">
      <alignment horizontal="center" vertical="center"/>
    </xf>
    <xf numFmtId="0" fontId="20" fillId="0" borderId="0" xfId="0" applyFont="1" applyFill="1" applyBorder="1" applyAlignment="1">
      <alignment horizontal="left"/>
    </xf>
    <xf numFmtId="1" fontId="0" fillId="0" borderId="0" xfId="0" applyNumberFormat="1" applyAlignment="1"/>
    <xf numFmtId="0" fontId="45"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0" fontId="47" fillId="0" borderId="0" xfId="0" applyFont="1"/>
    <xf numFmtId="0" fontId="47" fillId="0" borderId="0" xfId="0" applyFont="1" applyAlignment="1">
      <alignment vertical="center"/>
    </xf>
    <xf numFmtId="9" fontId="46" fillId="0" borderId="0" xfId="6" applyFont="1" applyAlignment="1">
      <alignment horizontal="center" vertical="center"/>
    </xf>
    <xf numFmtId="170" fontId="46" fillId="0" borderId="0" xfId="6" applyNumberFormat="1" applyFont="1" applyAlignment="1">
      <alignment horizontal="center" vertical="center"/>
    </xf>
    <xf numFmtId="9" fontId="48" fillId="0" borderId="0" xfId="6" applyFont="1" applyAlignment="1">
      <alignment horizontal="center" vertical="center"/>
    </xf>
    <xf numFmtId="169" fontId="46" fillId="0" borderId="0" xfId="6" applyNumberFormat="1" applyFont="1" applyAlignment="1">
      <alignment horizontal="center" vertical="center"/>
    </xf>
    <xf numFmtId="169" fontId="46" fillId="0" borderId="0" xfId="0" applyNumberFormat="1" applyFont="1" applyAlignment="1">
      <alignment horizontal="center" vertical="center"/>
    </xf>
    <xf numFmtId="170" fontId="49" fillId="0" borderId="0" xfId="6" applyNumberFormat="1" applyFont="1" applyAlignment="1">
      <alignment horizontal="center" vertical="center"/>
    </xf>
    <xf numFmtId="0" fontId="24" fillId="0" borderId="0" xfId="0" applyFont="1"/>
    <xf numFmtId="0" fontId="24" fillId="0" borderId="0" xfId="0" applyFont="1" applyAlignment="1">
      <alignment wrapText="1"/>
    </xf>
    <xf numFmtId="169" fontId="13" fillId="0" borderId="2" xfId="0" applyNumberFormat="1" applyFont="1" applyBorder="1"/>
    <xf numFmtId="17" fontId="0" fillId="0" borderId="0" xfId="0" applyNumberFormat="1"/>
    <xf numFmtId="0" fontId="0" fillId="0" borderId="0" xfId="0" applyAlignment="1">
      <alignment wrapText="1"/>
    </xf>
    <xf numFmtId="9" fontId="50" fillId="0" borderId="0" xfId="6" applyFont="1" applyAlignment="1">
      <alignment horizontal="center" vertical="center"/>
    </xf>
    <xf numFmtId="170" fontId="3" fillId="0" borderId="0" xfId="6" applyNumberFormat="1" applyFont="1" applyAlignment="1">
      <alignment horizontal="center" vertical="center"/>
    </xf>
    <xf numFmtId="1" fontId="0" fillId="26" borderId="0" xfId="0" applyNumberFormat="1" applyFill="1" applyAlignment="1">
      <alignment horizontal="center" vertical="center"/>
    </xf>
    <xf numFmtId="0" fontId="46" fillId="0" borderId="0" xfId="0" applyFont="1"/>
    <xf numFmtId="0" fontId="51" fillId="0" borderId="0" xfId="0" applyFont="1"/>
    <xf numFmtId="0" fontId="46" fillId="0" borderId="0" xfId="0" applyFont="1" applyAlignment="1">
      <alignment wrapText="1"/>
    </xf>
    <xf numFmtId="0" fontId="48" fillId="0" borderId="0" xfId="0" applyFont="1"/>
    <xf numFmtId="0" fontId="52" fillId="0" borderId="0" xfId="0" applyFont="1" applyAlignment="1">
      <alignment wrapText="1"/>
    </xf>
    <xf numFmtId="0" fontId="53" fillId="18" borderId="0" xfId="0" applyFont="1" applyFill="1"/>
    <xf numFmtId="0" fontId="54" fillId="0" borderId="0" xfId="0" applyFont="1"/>
    <xf numFmtId="0" fontId="53" fillId="0" borderId="0" xfId="0" applyFont="1"/>
    <xf numFmtId="9" fontId="55" fillId="0" borderId="0" xfId="6" applyFont="1" applyAlignment="1">
      <alignment horizontal="center" vertical="center"/>
    </xf>
    <xf numFmtId="9" fontId="8" fillId="0" borderId="0" xfId="6" applyFont="1" applyAlignment="1">
      <alignment horizontal="center" vertical="center"/>
    </xf>
    <xf numFmtId="0" fontId="53" fillId="0" borderId="0" xfId="0" applyFont="1" applyAlignment="1">
      <alignment wrapText="1"/>
    </xf>
    <xf numFmtId="0" fontId="54" fillId="0" borderId="0" xfId="0" applyFont="1" applyAlignment="1">
      <alignment wrapText="1"/>
    </xf>
    <xf numFmtId="169" fontId="0" fillId="0" borderId="0" xfId="0" applyNumberFormat="1" applyFont="1" applyAlignment="1">
      <alignment horizontal="center" vertical="center"/>
    </xf>
    <xf numFmtId="1" fontId="8" fillId="0" borderId="0" xfId="0" applyNumberFormat="1" applyFont="1" applyAlignment="1">
      <alignment horizontal="center" vertical="center"/>
    </xf>
    <xf numFmtId="0" fontId="51" fillId="0" borderId="0" xfId="0" applyFont="1" applyAlignment="1">
      <alignment wrapText="1"/>
    </xf>
    <xf numFmtId="1" fontId="0" fillId="0" borderId="0" xfId="0" applyNumberFormat="1" applyFont="1" applyAlignment="1">
      <alignment horizontal="center" vertical="center"/>
    </xf>
    <xf numFmtId="169" fontId="3" fillId="0" borderId="0" xfId="6" applyNumberFormat="1" applyFont="1" applyAlignment="1">
      <alignment horizontal="center" vertical="center"/>
    </xf>
    <xf numFmtId="0" fontId="3" fillId="0" borderId="0" xfId="0" applyFont="1"/>
    <xf numFmtId="169" fontId="3" fillId="0" borderId="0" xfId="0" applyNumberFormat="1" applyFont="1" applyAlignment="1">
      <alignment horizontal="center" vertical="center"/>
    </xf>
    <xf numFmtId="1" fontId="56" fillId="0" borderId="0" xfId="0" applyNumberFormat="1" applyFont="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3" fillId="9" borderId="5" xfId="0" applyFont="1" applyFill="1" applyBorder="1" applyAlignment="1"/>
    <xf numFmtId="0" fontId="13" fillId="9" borderId="4" xfId="0" applyFont="1" applyFill="1" applyBorder="1" applyAlignment="1"/>
    <xf numFmtId="0" fontId="12" fillId="6" borderId="0" xfId="0" applyFont="1" applyFill="1" applyBorder="1" applyAlignment="1">
      <alignment horizontal="center"/>
    </xf>
    <xf numFmtId="0" fontId="13" fillId="9" borderId="1" xfId="0"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9" borderId="9" xfId="0" applyFont="1" applyFill="1" applyBorder="1" applyAlignment="1"/>
    <xf numFmtId="170" fontId="29" fillId="17" borderId="14" xfId="7" applyNumberFormat="1" applyFont="1" applyFill="1" applyBorder="1" applyAlignment="1">
      <alignment horizontal="center" vertical="center" wrapText="1"/>
    </xf>
    <xf numFmtId="170" fontId="29" fillId="17" borderId="15" xfId="7" applyNumberFormat="1" applyFont="1" applyFill="1" applyBorder="1" applyAlignment="1">
      <alignment horizontal="center" vertical="center" wrapText="1"/>
    </xf>
    <xf numFmtId="170" fontId="29" fillId="17" borderId="16" xfId="7" applyNumberFormat="1" applyFont="1" applyFill="1" applyBorder="1" applyAlignment="1">
      <alignment horizontal="center" vertical="center" wrapText="1"/>
    </xf>
    <xf numFmtId="0" fontId="29" fillId="8" borderId="2" xfId="7" applyFont="1" applyFill="1" applyBorder="1" applyAlignment="1">
      <alignment horizontal="center" vertical="center" wrapText="1"/>
    </xf>
    <xf numFmtId="0" fontId="30" fillId="0" borderId="13" xfId="7" applyFont="1" applyBorder="1" applyAlignment="1">
      <alignment horizontal="center" wrapText="1"/>
    </xf>
    <xf numFmtId="0" fontId="30" fillId="9" borderId="1" xfId="7" applyFont="1" applyFill="1" applyBorder="1" applyAlignment="1">
      <alignment horizontal="right" wrapText="1"/>
    </xf>
    <xf numFmtId="0" fontId="43" fillId="0" borderId="0" xfId="0" applyFont="1" applyAlignment="1">
      <alignment horizontal="left" vertical="center"/>
    </xf>
    <xf numFmtId="0" fontId="43" fillId="22" borderId="28" xfId="0" applyFont="1" applyFill="1" applyBorder="1" applyAlignment="1">
      <alignment horizontal="center"/>
    </xf>
    <xf numFmtId="0" fontId="40" fillId="22" borderId="17" xfId="0" applyFont="1" applyFill="1" applyBorder="1" applyAlignment="1">
      <alignment horizontal="center" vertical="center"/>
    </xf>
    <xf numFmtId="0" fontId="40" fillId="22" borderId="18" xfId="0" applyFont="1" applyFill="1" applyBorder="1" applyAlignment="1">
      <alignment horizontal="center" vertical="center"/>
    </xf>
    <xf numFmtId="0" fontId="40" fillId="22" borderId="19" xfId="0" applyFont="1" applyFill="1" applyBorder="1" applyAlignment="1">
      <alignment horizontal="center" vertical="center"/>
    </xf>
    <xf numFmtId="0" fontId="40" fillId="22" borderId="20" xfId="0" applyFont="1" applyFill="1" applyBorder="1" applyAlignment="1">
      <alignment horizontal="center" vertical="center"/>
    </xf>
    <xf numFmtId="0" fontId="40" fillId="22" borderId="21" xfId="0" applyFont="1" applyFill="1" applyBorder="1" applyAlignment="1">
      <alignment horizontal="center" vertical="center"/>
    </xf>
    <xf numFmtId="0" fontId="40" fillId="22" borderId="22" xfId="0" applyFont="1" applyFill="1" applyBorder="1" applyAlignment="1">
      <alignment horizontal="center" vertical="center"/>
    </xf>
    <xf numFmtId="0" fontId="42" fillId="0" borderId="0" xfId="0" applyFont="1" applyBorder="1" applyAlignment="1">
      <alignment horizontal="center"/>
    </xf>
    <xf numFmtId="0" fontId="40" fillId="23" borderId="17" xfId="0" applyFont="1" applyFill="1" applyBorder="1" applyAlignment="1">
      <alignment horizontal="center"/>
    </xf>
    <xf numFmtId="0" fontId="40" fillId="23" borderId="19" xfId="0" applyFont="1" applyFill="1" applyBorder="1" applyAlignment="1">
      <alignment horizontal="center"/>
    </xf>
    <xf numFmtId="0" fontId="0" fillId="18" borderId="0" xfId="0" applyFill="1"/>
    <xf numFmtId="0" fontId="1" fillId="0" borderId="2" xfId="0" applyFont="1" applyBorder="1"/>
    <xf numFmtId="165" fontId="2" fillId="5" borderId="2" xfId="0" applyNumberFormat="1" applyFont="1" applyFill="1" applyBorder="1" applyAlignment="1">
      <alignment horizontal="center"/>
    </xf>
    <xf numFmtId="165" fontId="2" fillId="18" borderId="2" xfId="0" applyNumberFormat="1" applyFont="1" applyFill="1" applyBorder="1" applyAlignment="1">
      <alignment horizontal="center"/>
    </xf>
    <xf numFmtId="0" fontId="0" fillId="0" borderId="2" xfId="0" applyBorder="1"/>
    <xf numFmtId="0" fontId="46" fillId="0" borderId="2" xfId="0" applyFont="1" applyBorder="1" applyAlignment="1">
      <alignment wrapText="1"/>
    </xf>
    <xf numFmtId="169" fontId="0" fillId="0" borderId="2" xfId="0" applyNumberFormat="1" applyBorder="1" applyAlignment="1">
      <alignment horizontal="center" vertical="center"/>
    </xf>
    <xf numFmtId="169" fontId="0" fillId="18" borderId="2" xfId="0" applyNumberFormat="1" applyFill="1" applyBorder="1" applyAlignment="1">
      <alignment horizontal="center" vertical="center"/>
    </xf>
    <xf numFmtId="169" fontId="0" fillId="26" borderId="2" xfId="0" applyNumberFormat="1" applyFill="1" applyBorder="1" applyAlignment="1">
      <alignment horizontal="center" vertical="center"/>
    </xf>
    <xf numFmtId="0" fontId="0" fillId="0" borderId="2" xfId="0" applyBorder="1" applyAlignment="1">
      <alignment wrapText="1"/>
    </xf>
    <xf numFmtId="9" fontId="0" fillId="0" borderId="2" xfId="0" applyNumberFormat="1" applyBorder="1"/>
    <xf numFmtId="9" fontId="0" fillId="18" borderId="2" xfId="0" applyNumberFormat="1" applyFill="1" applyBorder="1"/>
    <xf numFmtId="0" fontId="57" fillId="0" borderId="2" xfId="0" applyFont="1" applyBorder="1" applyAlignment="1">
      <alignment wrapText="1"/>
    </xf>
    <xf numFmtId="2" fontId="0" fillId="0" borderId="2" xfId="0" applyNumberFormat="1" applyBorder="1" applyAlignment="1">
      <alignment horizontal="center" vertical="center"/>
    </xf>
    <xf numFmtId="0" fontId="0" fillId="18" borderId="2" xfId="0" applyFill="1" applyBorder="1"/>
    <xf numFmtId="169" fontId="57" fillId="0" borderId="2" xfId="0" applyNumberFormat="1" applyFont="1" applyBorder="1" applyAlignment="1">
      <alignment horizontal="center" vertical="center"/>
    </xf>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FF9900"/>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6" sqref="L6"/>
    </sheetView>
  </sheetViews>
  <sheetFormatPr defaultRowHeight="15" x14ac:dyDescent="0.2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x14ac:dyDescent="0.25">
      <c r="A1" s="8" t="str">
        <f>'Data Sheet'!B1</f>
        <v>TREE HOUSE EDUCATION &amp; ACCESSORIES LTD</v>
      </c>
      <c r="H1" t="str">
        <f>UPDATE</f>
        <v/>
      </c>
      <c r="J1" s="3"/>
      <c r="K1" s="3"/>
      <c r="M1" s="8" t="s">
        <v>1</v>
      </c>
    </row>
    <row r="3" spans="1:14" s="2" customFormat="1" x14ac:dyDescent="0.25">
      <c r="A3" s="15" t="s">
        <v>2</v>
      </c>
      <c r="B3" s="16">
        <f>'Data Sheet'!B16</f>
        <v>39172</v>
      </c>
      <c r="C3" s="16">
        <f>'Data Sheet'!C16</f>
        <v>39538</v>
      </c>
      <c r="D3" s="16">
        <f>'Data Sheet'!D16</f>
        <v>39903</v>
      </c>
      <c r="E3" s="16">
        <f>'Data Sheet'!E16</f>
        <v>40268</v>
      </c>
      <c r="F3" s="16">
        <f>'Data Sheet'!F16</f>
        <v>40633</v>
      </c>
      <c r="G3" s="16">
        <f>'Data Sheet'!G16</f>
        <v>40999</v>
      </c>
      <c r="H3" s="16">
        <f>'Data Sheet'!H16</f>
        <v>41364</v>
      </c>
      <c r="I3" s="16">
        <f>'Data Sheet'!I16</f>
        <v>41729</v>
      </c>
      <c r="J3" s="16">
        <f>'Data Sheet'!J16</f>
        <v>42094</v>
      </c>
      <c r="K3" s="16">
        <f>'Data Sheet'!K16</f>
        <v>42460</v>
      </c>
      <c r="L3" s="17" t="s">
        <v>3</v>
      </c>
      <c r="M3" s="17" t="s">
        <v>4</v>
      </c>
      <c r="N3" s="17" t="s">
        <v>5</v>
      </c>
    </row>
    <row r="4" spans="1:14" s="8" customFormat="1" x14ac:dyDescent="0.25">
      <c r="A4" s="8" t="s">
        <v>6</v>
      </c>
      <c r="B4" s="1">
        <f>'Data Sheet'!B17</f>
        <v>0.1</v>
      </c>
      <c r="C4" s="1">
        <f>'Data Sheet'!C17</f>
        <v>5.42</v>
      </c>
      <c r="D4" s="1">
        <f>'Data Sheet'!D17</f>
        <v>10.27</v>
      </c>
      <c r="E4" s="1">
        <f>'Data Sheet'!E17</f>
        <v>21.38</v>
      </c>
      <c r="F4" s="1">
        <f>'Data Sheet'!F17</f>
        <v>39.24</v>
      </c>
      <c r="G4" s="1">
        <f>'Data Sheet'!G17</f>
        <v>77.209999999999994</v>
      </c>
      <c r="H4" s="1">
        <f>'Data Sheet'!H17</f>
        <v>114.28</v>
      </c>
      <c r="I4" s="1">
        <f>'Data Sheet'!I17</f>
        <v>157.63999999999999</v>
      </c>
      <c r="J4" s="1">
        <f>'Data Sheet'!J17</f>
        <v>207.45</v>
      </c>
      <c r="K4" s="1">
        <f>'Data Sheet'!K17</f>
        <v>209.33</v>
      </c>
      <c r="L4" s="1">
        <f>SUM(Quarters!H4:K4)</f>
        <v>121.24999999999999</v>
      </c>
      <c r="M4" s="1">
        <f>$K4+M23*K4</f>
        <v>256.12495043008039</v>
      </c>
      <c r="N4" s="1">
        <f>$K4+N23*L4</f>
        <v>210.42881899252833</v>
      </c>
    </row>
    <row r="5" spans="1:14" x14ac:dyDescent="0.25">
      <c r="A5" s="6" t="s">
        <v>7</v>
      </c>
      <c r="B5" s="9">
        <f>SUM('Data Sheet'!B18,'Data Sheet'!B20:B24, -1*'Data Sheet'!B19)</f>
        <v>0.59</v>
      </c>
      <c r="C5" s="9">
        <f>SUM('Data Sheet'!C18,'Data Sheet'!C20:C24, -1*'Data Sheet'!C19)</f>
        <v>4.5600000000000005</v>
      </c>
      <c r="D5" s="9">
        <f>SUM('Data Sheet'!D18,'Data Sheet'!D20:D24, -1*'Data Sheet'!D19)</f>
        <v>8.2100000000000009</v>
      </c>
      <c r="E5" s="9">
        <f>SUM('Data Sheet'!E18,'Data Sheet'!E20:E24, -1*'Data Sheet'!E19)</f>
        <v>14.35</v>
      </c>
      <c r="F5" s="9">
        <f>SUM('Data Sheet'!F18,'Data Sheet'!F20:F24, -1*'Data Sheet'!F19)</f>
        <v>22.31</v>
      </c>
      <c r="G5" s="9">
        <f>SUM('Data Sheet'!G18,'Data Sheet'!G20:G24, -1*'Data Sheet'!G19)</f>
        <v>35.200000000000003</v>
      </c>
      <c r="H5" s="9">
        <f>SUM('Data Sheet'!H18,'Data Sheet'!H20:H24, -1*'Data Sheet'!H19)</f>
        <v>52.470000000000006</v>
      </c>
      <c r="I5" s="9">
        <f>SUM('Data Sheet'!I18,'Data Sheet'!I20:I24, -1*'Data Sheet'!I19)</f>
        <v>68.419999999999987</v>
      </c>
      <c r="J5" s="9">
        <f>SUM('Data Sheet'!J18,'Data Sheet'!J20:J24, -1*'Data Sheet'!J19)</f>
        <v>88.840000000000018</v>
      </c>
      <c r="K5" s="9">
        <f>SUM('Data Sheet'!K18,'Data Sheet'!K20:K24, -1*'Data Sheet'!K19)</f>
        <v>146.12</v>
      </c>
      <c r="L5" s="9">
        <f>SUM(Quarters!H5:K5)</f>
        <v>193.23</v>
      </c>
      <c r="M5" s="9">
        <f t="shared" ref="M5:N5" si="0">M4-M6</f>
        <v>135.27242690275023</v>
      </c>
      <c r="N5" s="9">
        <f t="shared" si="0"/>
        <v>210.42881899252833</v>
      </c>
    </row>
    <row r="6" spans="1:14" s="8" customFormat="1" x14ac:dyDescent="0.25">
      <c r="A6" s="8" t="s">
        <v>8</v>
      </c>
      <c r="B6" s="1">
        <f>B4-B5</f>
        <v>-0.49</v>
      </c>
      <c r="C6" s="1">
        <f t="shared" ref="C6:K6" si="1">C4-C5</f>
        <v>0.85999999999999943</v>
      </c>
      <c r="D6" s="1">
        <f t="shared" si="1"/>
        <v>2.0599999999999987</v>
      </c>
      <c r="E6" s="1">
        <f t="shared" si="1"/>
        <v>7.0299999999999994</v>
      </c>
      <c r="F6" s="1">
        <f t="shared" si="1"/>
        <v>16.930000000000003</v>
      </c>
      <c r="G6" s="1">
        <f t="shared" si="1"/>
        <v>42.009999999999991</v>
      </c>
      <c r="H6" s="1">
        <f t="shared" si="1"/>
        <v>61.809999999999995</v>
      </c>
      <c r="I6" s="1">
        <f t="shared" si="1"/>
        <v>89.22</v>
      </c>
      <c r="J6" s="1">
        <f t="shared" si="1"/>
        <v>118.60999999999997</v>
      </c>
      <c r="K6" s="1">
        <f t="shared" si="1"/>
        <v>63.210000000000008</v>
      </c>
      <c r="L6" s="1">
        <f>SUM(Quarters!H6:K6)</f>
        <v>-71.98</v>
      </c>
      <c r="M6" s="1">
        <f>M4*M24</f>
        <v>120.85252352733018</v>
      </c>
      <c r="N6" s="1">
        <f>N4*N24</f>
        <v>0</v>
      </c>
    </row>
    <row r="7" spans="1:14" x14ac:dyDescent="0.25">
      <c r="A7" s="6" t="s">
        <v>9</v>
      </c>
      <c r="B7" s="9">
        <f>'Data Sheet'!B25</f>
        <v>0</v>
      </c>
      <c r="C7" s="9">
        <f>'Data Sheet'!C25</f>
        <v>0.01</v>
      </c>
      <c r="D7" s="9">
        <f>'Data Sheet'!D25</f>
        <v>0.38</v>
      </c>
      <c r="E7" s="9">
        <f>'Data Sheet'!E25</f>
        <v>0.49</v>
      </c>
      <c r="F7" s="9">
        <f>'Data Sheet'!F25</f>
        <v>1.91</v>
      </c>
      <c r="G7" s="9">
        <f>'Data Sheet'!G25</f>
        <v>3.88</v>
      </c>
      <c r="H7" s="9">
        <f>'Data Sheet'!H25</f>
        <v>7.06</v>
      </c>
      <c r="I7" s="9">
        <f>'Data Sheet'!I25</f>
        <v>1.34</v>
      </c>
      <c r="J7" s="9">
        <f>'Data Sheet'!J25</f>
        <v>7.15</v>
      </c>
      <c r="K7" s="9">
        <f>'Data Sheet'!K25</f>
        <v>14.59</v>
      </c>
      <c r="L7" s="9">
        <f>SUM(Quarters!H7:K7)</f>
        <v>8.9300000000000015</v>
      </c>
      <c r="M7" s="9">
        <v>0</v>
      </c>
      <c r="N7" s="9">
        <v>0</v>
      </c>
    </row>
    <row r="8" spans="1:14" x14ac:dyDescent="0.25">
      <c r="A8" s="6" t="s">
        <v>10</v>
      </c>
      <c r="B8" s="9">
        <f>'Data Sheet'!B26</f>
        <v>0</v>
      </c>
      <c r="C8" s="9">
        <f>'Data Sheet'!C26</f>
        <v>0.94</v>
      </c>
      <c r="D8" s="9">
        <f>'Data Sheet'!D26</f>
        <v>1.87</v>
      </c>
      <c r="E8" s="9">
        <f>'Data Sheet'!E26</f>
        <v>2.93</v>
      </c>
      <c r="F8" s="9">
        <f>'Data Sheet'!F26</f>
        <v>3.96</v>
      </c>
      <c r="G8" s="9">
        <f>'Data Sheet'!G26</f>
        <v>7.8</v>
      </c>
      <c r="H8" s="9">
        <f>'Data Sheet'!H26</f>
        <v>13.38</v>
      </c>
      <c r="I8" s="9">
        <f>'Data Sheet'!I26</f>
        <v>16.96</v>
      </c>
      <c r="J8" s="9">
        <f>'Data Sheet'!J26</f>
        <v>26.82</v>
      </c>
      <c r="K8" s="9">
        <f>'Data Sheet'!K26</f>
        <v>44.83</v>
      </c>
      <c r="L8" s="9">
        <f>SUM(Quarters!H8:K8)</f>
        <v>51.42</v>
      </c>
      <c r="M8" s="9">
        <f>+$L8</f>
        <v>51.42</v>
      </c>
      <c r="N8" s="9">
        <f>+$L8</f>
        <v>51.42</v>
      </c>
    </row>
    <row r="9" spans="1:14" x14ac:dyDescent="0.25">
      <c r="A9" s="6" t="s">
        <v>11</v>
      </c>
      <c r="B9" s="9">
        <f>'Data Sheet'!B27</f>
        <v>0</v>
      </c>
      <c r="C9" s="9">
        <f>'Data Sheet'!C27</f>
        <v>0</v>
      </c>
      <c r="D9" s="9">
        <f>'Data Sheet'!D27</f>
        <v>0.04</v>
      </c>
      <c r="E9" s="9">
        <f>'Data Sheet'!E27</f>
        <v>0.57999999999999996</v>
      </c>
      <c r="F9" s="9">
        <f>'Data Sheet'!F27</f>
        <v>1.25</v>
      </c>
      <c r="G9" s="9">
        <f>'Data Sheet'!G27</f>
        <v>6.5</v>
      </c>
      <c r="H9" s="9">
        <f>'Data Sheet'!H27</f>
        <v>6.62</v>
      </c>
      <c r="I9" s="9">
        <f>'Data Sheet'!I27</f>
        <v>7.59</v>
      </c>
      <c r="J9" s="9">
        <f>'Data Sheet'!J27</f>
        <v>14.21</v>
      </c>
      <c r="K9" s="9">
        <f>'Data Sheet'!K27</f>
        <v>16.72</v>
      </c>
      <c r="L9" s="9">
        <f>SUM(Quarters!H9:K9)</f>
        <v>14.04</v>
      </c>
      <c r="M9" s="9">
        <f>+$L9</f>
        <v>14.04</v>
      </c>
      <c r="N9" s="9">
        <f>+$L9</f>
        <v>14.04</v>
      </c>
    </row>
    <row r="10" spans="1:14" x14ac:dyDescent="0.25">
      <c r="A10" s="6" t="s">
        <v>12</v>
      </c>
      <c r="B10" s="9">
        <f>'Data Sheet'!B28</f>
        <v>-0.49</v>
      </c>
      <c r="C10" s="9">
        <f>'Data Sheet'!C28</f>
        <v>-7.0000000000000007E-2</v>
      </c>
      <c r="D10" s="9">
        <f>'Data Sheet'!D28</f>
        <v>0.53</v>
      </c>
      <c r="E10" s="9">
        <f>'Data Sheet'!E28</f>
        <v>4.01</v>
      </c>
      <c r="F10" s="9">
        <f>'Data Sheet'!F28</f>
        <v>13.63</v>
      </c>
      <c r="G10" s="9">
        <f>'Data Sheet'!G28</f>
        <v>31.59</v>
      </c>
      <c r="H10" s="9">
        <f>'Data Sheet'!H28</f>
        <v>48.88</v>
      </c>
      <c r="I10" s="9">
        <f>'Data Sheet'!I28</f>
        <v>66.02</v>
      </c>
      <c r="J10" s="9">
        <f>'Data Sheet'!J28</f>
        <v>84.73</v>
      </c>
      <c r="K10" s="9">
        <f>'Data Sheet'!K28</f>
        <v>16.23</v>
      </c>
      <c r="L10" s="9">
        <f>SUM(Quarters!H10:K10)</f>
        <v>-128.51</v>
      </c>
      <c r="M10" s="9">
        <f>M6+M7-SUM(M8:M9)</f>
        <v>55.392523527330169</v>
      </c>
      <c r="N10" s="9">
        <f>N6+N7-SUM(N8:N9)</f>
        <v>-65.460000000000008</v>
      </c>
    </row>
    <row r="11" spans="1:14" x14ac:dyDescent="0.25">
      <c r="A11" s="6" t="s">
        <v>13</v>
      </c>
      <c r="B11" s="9">
        <f>'Data Sheet'!B29</f>
        <v>0</v>
      </c>
      <c r="C11" s="9">
        <f>'Data Sheet'!C29</f>
        <v>0.12</v>
      </c>
      <c r="D11" s="9">
        <f>'Data Sheet'!D29</f>
        <v>0.02</v>
      </c>
      <c r="E11" s="9">
        <f>'Data Sheet'!E29</f>
        <v>1.41</v>
      </c>
      <c r="F11" s="9">
        <f>'Data Sheet'!F29</f>
        <v>4.43</v>
      </c>
      <c r="G11" s="9">
        <f>'Data Sheet'!G29</f>
        <v>9.93</v>
      </c>
      <c r="H11" s="9">
        <f>'Data Sheet'!H29</f>
        <v>15.54</v>
      </c>
      <c r="I11" s="9">
        <f>'Data Sheet'!I29</f>
        <v>22.1</v>
      </c>
      <c r="J11" s="9">
        <f>'Data Sheet'!J29</f>
        <v>23.86</v>
      </c>
      <c r="K11" s="9">
        <f>'Data Sheet'!K29</f>
        <v>9.4700000000000006</v>
      </c>
      <c r="L11" s="9">
        <f>SUM(Quarters!H11:K11)</f>
        <v>-11.41</v>
      </c>
      <c r="M11" s="10">
        <f>IF($L10&gt;0,$L11/$L10,0)</f>
        <v>0</v>
      </c>
      <c r="N11" s="10">
        <f>IF($L10&gt;0,$L11/$L10,0)</f>
        <v>0</v>
      </c>
    </row>
    <row r="12" spans="1:14" s="8" customFormat="1" x14ac:dyDescent="0.25">
      <c r="A12" s="8" t="s">
        <v>14</v>
      </c>
      <c r="B12" s="1">
        <f>'Data Sheet'!B30</f>
        <v>-0.49</v>
      </c>
      <c r="C12" s="1">
        <f>'Data Sheet'!C30</f>
        <v>-0.19</v>
      </c>
      <c r="D12" s="1">
        <f>'Data Sheet'!D30</f>
        <v>0.51</v>
      </c>
      <c r="E12" s="1">
        <f>'Data Sheet'!E30</f>
        <v>2.6</v>
      </c>
      <c r="F12" s="1">
        <f>'Data Sheet'!F30</f>
        <v>9.1999999999999993</v>
      </c>
      <c r="G12" s="1">
        <f>'Data Sheet'!G30</f>
        <v>21.66</v>
      </c>
      <c r="H12" s="1">
        <f>'Data Sheet'!H30</f>
        <v>33.340000000000003</v>
      </c>
      <c r="I12" s="1">
        <f>'Data Sheet'!I30</f>
        <v>43.92</v>
      </c>
      <c r="J12" s="1">
        <f>'Data Sheet'!J30</f>
        <v>60.87</v>
      </c>
      <c r="K12" s="1">
        <f>'Data Sheet'!K30</f>
        <v>6.77</v>
      </c>
      <c r="L12" s="1">
        <f>SUM(Quarters!H12:K12)</f>
        <v>-117.1</v>
      </c>
      <c r="M12" s="1">
        <f>M10-M11*M10</f>
        <v>55.392523527330169</v>
      </c>
      <c r="N12" s="1">
        <f>N10-N11*N10</f>
        <v>-65.460000000000008</v>
      </c>
    </row>
    <row r="13" spans="1:14" x14ac:dyDescent="0.25">
      <c r="A13" s="11" t="s">
        <v>58</v>
      </c>
      <c r="B13" s="9">
        <f>IF('Data Sheet'!B93&gt;0,B12/'Data Sheet'!B93,0)</f>
        <v>-490</v>
      </c>
      <c r="C13" s="9">
        <f>IF('Data Sheet'!C93&gt;0,C12/'Data Sheet'!C93,0)</f>
        <v>-0.21566401816118047</v>
      </c>
      <c r="D13" s="9">
        <f>IF('Data Sheet'!D93&gt;0,D12/'Data Sheet'!D93,0)</f>
        <v>0.33905816423139801</v>
      </c>
      <c r="E13" s="9">
        <f>IF('Data Sheet'!E93&gt;0,E12/'Data Sheet'!E93,0)</f>
        <v>1.4928229379364033</v>
      </c>
      <c r="F13" s="9">
        <f>IF('Data Sheet'!F93&gt;0,F12/'Data Sheet'!F93,0)</f>
        <v>3.8303126530173475</v>
      </c>
      <c r="G13" s="9">
        <f>IF('Data Sheet'!G93&gt;0,G12/'Data Sheet'!G93,0)</f>
        <v>6.4243887117024423</v>
      </c>
      <c r="H13" s="9">
        <f>IF('Data Sheet'!H93&gt;0,H12/'Data Sheet'!H93,0)</f>
        <v>9.2700541383395709</v>
      </c>
      <c r="I13" s="9">
        <f>IF('Data Sheet'!I93&gt;0,I12/'Data Sheet'!I93,0)</f>
        <v>11.815958377264288</v>
      </c>
      <c r="J13" s="9">
        <f>IF('Data Sheet'!J93&gt;0,J12/'Data Sheet'!J93,0)</f>
        <v>14.3864236404936</v>
      </c>
      <c r="K13" s="9">
        <f>IF('Data Sheet'!K93&gt;0,K12/'Data Sheet'!K93,0)</f>
        <v>1.6000671602783254</v>
      </c>
      <c r="L13" s="9">
        <f>IF('Data Sheet'!$B6&gt;0,'Profit &amp; Loss'!L12/'Data Sheet'!$B6,0)</f>
        <v>-27.675148925148925</v>
      </c>
      <c r="M13" s="9">
        <f>IF('Data Sheet'!$B6&gt;0,'Profit &amp; Loss'!M12/'Data Sheet'!$B6,0)</f>
        <v>13.091343620484015</v>
      </c>
      <c r="N13" s="9">
        <f>IF('Data Sheet'!$B6&gt;0,'Profit &amp; Loss'!N12/'Data Sheet'!$B6,0)</f>
        <v>-15.470668220668223</v>
      </c>
    </row>
    <row r="14" spans="1:14" x14ac:dyDescent="0.25">
      <c r="A14" s="6" t="s">
        <v>16</v>
      </c>
      <c r="B14" s="9" t="str">
        <f>IF(B15&gt;0,B15/B13,"")</f>
        <v/>
      </c>
      <c r="C14" s="9" t="str">
        <f t="shared" ref="C14:K14" si="2">IF(C15&gt;0,C15/C13,"")</f>
        <v/>
      </c>
      <c r="D14" s="9" t="str">
        <f t="shared" si="2"/>
        <v/>
      </c>
      <c r="E14" s="9" t="str">
        <f t="shared" si="2"/>
        <v/>
      </c>
      <c r="F14" s="9" t="str">
        <f t="shared" si="2"/>
        <v/>
      </c>
      <c r="G14" s="9">
        <f t="shared" si="2"/>
        <v>32.894958490766392</v>
      </c>
      <c r="H14" s="9">
        <f t="shared" si="2"/>
        <v>27.730150888422315</v>
      </c>
      <c r="I14" s="9">
        <f t="shared" si="2"/>
        <v>24.98570074248634</v>
      </c>
      <c r="J14" s="9">
        <f t="shared" si="2"/>
        <v>27.904085826449815</v>
      </c>
      <c r="K14" s="9">
        <f t="shared" si="2"/>
        <v>49.116688318463822</v>
      </c>
      <c r="L14" s="9">
        <f t="shared" ref="L14" si="3">IF(L13&gt;0,L15/L13,0)</f>
        <v>0</v>
      </c>
      <c r="M14" s="9">
        <f>M25</f>
        <v>34.002158295799994</v>
      </c>
      <c r="N14" s="9">
        <f>N25</f>
        <v>0</v>
      </c>
    </row>
    <row r="15" spans="1:14" s="8" customFormat="1" x14ac:dyDescent="0.25">
      <c r="A15" s="8" t="s">
        <v>59</v>
      </c>
      <c r="B15" s="1">
        <f>'Data Sheet'!B90</f>
        <v>0</v>
      </c>
      <c r="C15" s="1">
        <f>'Data Sheet'!C90</f>
        <v>0</v>
      </c>
      <c r="D15" s="1">
        <f>'Data Sheet'!D90</f>
        <v>0</v>
      </c>
      <c r="E15" s="1">
        <f>'Data Sheet'!E90</f>
        <v>0</v>
      </c>
      <c r="F15" s="1">
        <f>'Data Sheet'!F90</f>
        <v>0</v>
      </c>
      <c r="G15" s="1">
        <f>'Data Sheet'!G90</f>
        <v>211.33</v>
      </c>
      <c r="H15" s="1">
        <f>'Data Sheet'!H90</f>
        <v>257.06</v>
      </c>
      <c r="I15" s="1">
        <f>'Data Sheet'!I90</f>
        <v>295.23</v>
      </c>
      <c r="J15" s="1">
        <f>'Data Sheet'!J90</f>
        <v>401.44</v>
      </c>
      <c r="K15" s="1">
        <f>'Data Sheet'!K90</f>
        <v>78.59</v>
      </c>
      <c r="L15" s="1">
        <f>'Data Sheet'!B8</f>
        <v>18.25</v>
      </c>
      <c r="M15" s="12">
        <f>M13*M14</f>
        <v>445.13393808840885</v>
      </c>
      <c r="N15" s="13">
        <f>N13*N14</f>
        <v>0</v>
      </c>
    </row>
    <row r="17" spans="1:14" s="8" customFormat="1" x14ac:dyDescent="0.25">
      <c r="A17" s="8" t="s">
        <v>15</v>
      </c>
    </row>
    <row r="18" spans="1:14" x14ac:dyDescent="0.25">
      <c r="A18" s="6" t="s">
        <v>17</v>
      </c>
      <c r="B18" s="7">
        <f>IF('Data Sheet'!B30&gt;0, 'Data Sheet'!B31/'Data Sheet'!B30, 0)</f>
        <v>0</v>
      </c>
      <c r="C18" s="7">
        <f>IF('Data Sheet'!C30&gt;0, 'Data Sheet'!C31/'Data Sheet'!C30, 0)</f>
        <v>0</v>
      </c>
      <c r="D18" s="7">
        <f>IF('Data Sheet'!D30&gt;0, 'Data Sheet'!D31/'Data Sheet'!D30, 0)</f>
        <v>0</v>
      </c>
      <c r="E18" s="7">
        <f>IF('Data Sheet'!E30&gt;0, 'Data Sheet'!E31/'Data Sheet'!E30, 0)</f>
        <v>0</v>
      </c>
      <c r="F18" s="7">
        <f>IF('Data Sheet'!F30&gt;0, 'Data Sheet'!F31/'Data Sheet'!F30, 0)</f>
        <v>0</v>
      </c>
      <c r="G18" s="7">
        <f>IF('Data Sheet'!G30&gt;0, 'Data Sheet'!G31/'Data Sheet'!G30, 0)</f>
        <v>0.15558633425669438</v>
      </c>
      <c r="H18" s="7">
        <f>IF('Data Sheet'!H30&gt;0, 'Data Sheet'!H31/'Data Sheet'!H30, 0)</f>
        <v>0.13497300539892021</v>
      </c>
      <c r="I18" s="7">
        <f>IF('Data Sheet'!I30&gt;0, 'Data Sheet'!I31/'Data Sheet'!I30, 0)</f>
        <v>0.12704918032786885</v>
      </c>
      <c r="J18" s="7">
        <f>IF('Data Sheet'!J30&gt;0, 'Data Sheet'!J31/'Data Sheet'!J30, 0)</f>
        <v>0.13898472153770333</v>
      </c>
      <c r="K18" s="7">
        <f>IF('Data Sheet'!K30&gt;0, 'Data Sheet'!K31/'Data Sheet'!K30, 0)</f>
        <v>0</v>
      </c>
    </row>
    <row r="19" spans="1:14" x14ac:dyDescent="0.25">
      <c r="A19" s="6" t="s">
        <v>18</v>
      </c>
      <c r="B19" s="7">
        <f t="shared" ref="B19:L19" si="4">IF(B6&gt;0,B6/B4,0)</f>
        <v>0</v>
      </c>
      <c r="C19" s="7">
        <f t="shared" ref="C19:K19" si="5">IF(C6&gt;0,C6/C4,0)</f>
        <v>0.15867158671586706</v>
      </c>
      <c r="D19" s="7">
        <f t="shared" si="5"/>
        <v>0.20058422590068148</v>
      </c>
      <c r="E19" s="7">
        <f t="shared" si="5"/>
        <v>0.32881197380729654</v>
      </c>
      <c r="F19" s="7">
        <f t="shared" si="5"/>
        <v>0.43144750254842001</v>
      </c>
      <c r="G19" s="7">
        <f t="shared" si="5"/>
        <v>0.54410050511591757</v>
      </c>
      <c r="H19" s="7">
        <f t="shared" si="5"/>
        <v>0.54086454322716127</v>
      </c>
      <c r="I19" s="7">
        <f t="shared" si="5"/>
        <v>0.56597310327328099</v>
      </c>
      <c r="J19" s="7">
        <f t="shared" si="5"/>
        <v>0.57175222945288007</v>
      </c>
      <c r="K19" s="7">
        <f t="shared" si="5"/>
        <v>0.30196340706062202</v>
      </c>
      <c r="L19" s="7">
        <f t="shared" si="4"/>
        <v>0</v>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25">
      <c r="A23" s="6"/>
      <c r="B23" s="6"/>
      <c r="C23" s="6"/>
      <c r="D23" s="6"/>
      <c r="E23" s="6"/>
      <c r="F23" s="6"/>
      <c r="G23" s="6" t="s">
        <v>22</v>
      </c>
      <c r="H23" s="7">
        <f>IF(B4=0,"",POWER($K4/B4,1/9)-1)</f>
        <v>1.3387363988167467</v>
      </c>
      <c r="I23" s="7">
        <f>IF(D4=0,"",POWER($K4/D4,1/7)-1)</f>
        <v>0.53828671708055498</v>
      </c>
      <c r="J23" s="7">
        <f>IF(F4=0,"",POWER($K4/F4,1/5)-1)</f>
        <v>0.39772101509900781</v>
      </c>
      <c r="K23" s="7">
        <f>IF(H4=0,"",POWER($K4/H4, 1/3)-1)</f>
        <v>0.22354631648631518</v>
      </c>
      <c r="L23" s="7">
        <f>IF(ISERROR(MAX(IF(J4=0,"",(K4-J4)/J4),IF(K4=0,"",(L4-K4)/K4))),"",MAX(IF(J4=0,"",(K4-J4)/J4),IF(K4=0,"",(L4-K4)/K4)))</f>
        <v>9.0624246806460546E-3</v>
      </c>
      <c r="M23" s="22">
        <f>MAX(K23:L23)</f>
        <v>0.22354631648631518</v>
      </c>
      <c r="N23" s="22">
        <f>MIN(H23:L23)</f>
        <v>9.0624246806460546E-3</v>
      </c>
    </row>
    <row r="24" spans="1:14" x14ac:dyDescent="0.25">
      <c r="G24" s="6" t="s">
        <v>18</v>
      </c>
      <c r="H24" s="7">
        <f>IF(SUM(B4:$K$4)=0,"",SUMPRODUCT(B19:$K$19,B4:$K$4)/SUM(B4:$K$4))</f>
        <v>0.47694462911957447</v>
      </c>
      <c r="I24" s="7">
        <f>IF(SUM(E4:$K$4)=0,"",SUMPRODUCT(E19:$K$19,E4:$K$4)/SUM(E4:$K$4))</f>
        <v>0.48252332038764467</v>
      </c>
      <c r="J24" s="7">
        <f>IF(SUM(G4:$K$4)=0,"",SUMPRODUCT(G19:$K$19,G4:$K$4)/SUM(G4:$K$4))</f>
        <v>0.48943087307908245</v>
      </c>
      <c r="K24" s="7">
        <f>IF(SUM(I4:$K$4)=0, "", SUMPRODUCT(I19:$K$19,I4:$K$4)/SUM(I4:$K$4))</f>
        <v>0.47184986595174272</v>
      </c>
      <c r="L24" s="7">
        <f>L19</f>
        <v>0</v>
      </c>
      <c r="M24" s="22">
        <f>MAX(K24:L24)</f>
        <v>0.47184986595174272</v>
      </c>
      <c r="N24" s="22">
        <f>MIN(H24:L24)</f>
        <v>0</v>
      </c>
    </row>
    <row r="25" spans="1:14" x14ac:dyDescent="0.25">
      <c r="G25" s="6" t="s">
        <v>23</v>
      </c>
      <c r="H25" s="9">
        <f>IF(ISERROR(AVERAGEIF(B14:$L14,"&gt;0")),"",AVERAGEIF(B14:$L14,"&gt;0"))</f>
        <v>32.526316853317738</v>
      </c>
      <c r="I25" s="9">
        <f>IF(ISERROR(AVERAGEIF(E14:$L14,"&gt;0")),"",AVERAGEIF(E14:$L14,"&gt;0"))</f>
        <v>32.526316853317738</v>
      </c>
      <c r="J25" s="9">
        <f>IF(ISERROR(AVERAGEIF(G14:$L14,"&gt;0")),"",AVERAGEIF(G14:$L14,"&gt;0"))</f>
        <v>32.526316853317738</v>
      </c>
      <c r="K25" s="9">
        <f>IF(ISERROR(AVERAGEIF(I14:$L14,"&gt;0")),"",AVERAGEIF(I14:$L14,"&gt;0"))</f>
        <v>34.002158295799994</v>
      </c>
      <c r="L25" s="9">
        <f>L14</f>
        <v>0</v>
      </c>
      <c r="M25" s="1">
        <f>MAX(K25:L25)</f>
        <v>34.002158295799994</v>
      </c>
      <c r="N25" s="1">
        <f>MIN(H25:L25)</f>
        <v>0</v>
      </c>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4"/>
  <sheetViews>
    <sheetView tabSelected="1" zoomScale="80" zoomScaleNormal="80" workbookViewId="0">
      <selection activeCell="B12" sqref="B12"/>
    </sheetView>
  </sheetViews>
  <sheetFormatPr defaultRowHeight="15" x14ac:dyDescent="0.25"/>
  <cols>
    <col min="1" max="1" width="7.42578125" customWidth="1"/>
    <col min="2" max="2" width="74.7109375" customWidth="1"/>
    <col min="3" max="10" width="8.140625" customWidth="1"/>
    <col min="11" max="11" width="4" style="388" customWidth="1"/>
    <col min="12" max="19" width="8.140625" customWidth="1"/>
    <col min="20" max="20" width="3.140625" customWidth="1"/>
    <col min="21" max="21" width="15.140625" customWidth="1"/>
    <col min="22" max="22" width="24.140625" customWidth="1"/>
  </cols>
  <sheetData>
    <row r="1" spans="1:22" ht="21" customHeight="1" x14ac:dyDescent="0.25">
      <c r="A1" s="389" t="s">
        <v>848</v>
      </c>
      <c r="B1" s="389" t="s">
        <v>849</v>
      </c>
      <c r="C1" s="390">
        <f>'Data Sheet'!C16</f>
        <v>39538</v>
      </c>
      <c r="D1" s="390">
        <f>'Data Sheet'!D16</f>
        <v>39903</v>
      </c>
      <c r="E1" s="390">
        <f>'Data Sheet'!E16</f>
        <v>40268</v>
      </c>
      <c r="F1" s="390">
        <f>'Data Sheet'!F16</f>
        <v>40633</v>
      </c>
      <c r="G1" s="390">
        <f>'Data Sheet'!G16</f>
        <v>40999</v>
      </c>
      <c r="H1" s="390">
        <f>'Data Sheet'!H16</f>
        <v>41364</v>
      </c>
      <c r="I1" s="390">
        <f>'Data Sheet'!I16</f>
        <v>41729</v>
      </c>
      <c r="J1" s="390">
        <f>'Data Sheet'!J16</f>
        <v>42094</v>
      </c>
      <c r="K1" s="391"/>
      <c r="L1" s="390">
        <f>C1</f>
        <v>39538</v>
      </c>
      <c r="M1" s="390">
        <f t="shared" ref="M1:Q1" si="0">D1</f>
        <v>39903</v>
      </c>
      <c r="N1" s="390">
        <f t="shared" si="0"/>
        <v>40268</v>
      </c>
      <c r="O1" s="390">
        <f t="shared" si="0"/>
        <v>40633</v>
      </c>
      <c r="P1" s="390">
        <f t="shared" si="0"/>
        <v>40999</v>
      </c>
      <c r="Q1" s="390">
        <f t="shared" si="0"/>
        <v>41364</v>
      </c>
      <c r="R1" s="390">
        <f t="shared" ref="R1" si="1">I1</f>
        <v>41729</v>
      </c>
      <c r="S1" s="390">
        <f t="shared" ref="S1" si="2">J1</f>
        <v>42094</v>
      </c>
      <c r="T1" s="389"/>
      <c r="U1" s="389" t="s">
        <v>850</v>
      </c>
      <c r="V1" s="389" t="s">
        <v>851</v>
      </c>
    </row>
    <row r="2" spans="1:22" ht="45" x14ac:dyDescent="0.25">
      <c r="A2" s="392" t="s">
        <v>831</v>
      </c>
      <c r="B2" s="393" t="s">
        <v>840</v>
      </c>
      <c r="C2" s="394" t="e">
        <f>Trend!C74/Trend!B74</f>
        <v>#DIV/0!</v>
      </c>
      <c r="D2" s="394">
        <f>Trend!D74/Trend!C74</f>
        <v>22.165530671859781</v>
      </c>
      <c r="E2" s="394">
        <f>Trend!E74/Trend!D74</f>
        <v>7.9487393647823961</v>
      </c>
      <c r="F2" s="394">
        <f>Trend!F74/Trend!E74</f>
        <v>0.13876091787120765</v>
      </c>
      <c r="G2" s="394">
        <f>Trend!G74/Trend!F74</f>
        <v>1.668239162837869</v>
      </c>
      <c r="H2" s="394">
        <f>Trend!H74/Trend!G74</f>
        <v>0.79888437192943973</v>
      </c>
      <c r="I2" s="394">
        <f>Trend!I74/Trend!H74</f>
        <v>3.0601665689738793</v>
      </c>
      <c r="J2" s="394">
        <f>Trend!J74/Trend!I74</f>
        <v>1.0874344461897756</v>
      </c>
      <c r="K2" s="395"/>
      <c r="L2" s="394" t="str">
        <f>IFERROR(IF(C2&gt;$V2,"RF","OK"),"")</f>
        <v/>
      </c>
      <c r="M2" s="396" t="str">
        <f t="shared" ref="M2:S2" si="3">IFERROR(IF(D2&gt;$V2,"RF","OK"),"")</f>
        <v>RF</v>
      </c>
      <c r="N2" s="396" t="str">
        <f t="shared" si="3"/>
        <v>RF</v>
      </c>
      <c r="O2" s="394" t="str">
        <f t="shared" si="3"/>
        <v>OK</v>
      </c>
      <c r="P2" s="396" t="str">
        <f t="shared" si="3"/>
        <v>RF</v>
      </c>
      <c r="Q2" s="394" t="str">
        <f t="shared" si="3"/>
        <v>OK</v>
      </c>
      <c r="R2" s="396" t="str">
        <f t="shared" si="3"/>
        <v>RF</v>
      </c>
      <c r="S2" s="394" t="str">
        <f t="shared" si="3"/>
        <v>OK</v>
      </c>
      <c r="T2" s="392"/>
      <c r="U2" s="392">
        <v>1.0309999999999999</v>
      </c>
      <c r="V2" s="392">
        <v>1.4650000000000001</v>
      </c>
    </row>
    <row r="3" spans="1:22" ht="60" x14ac:dyDescent="0.25">
      <c r="A3" s="392" t="s">
        <v>832</v>
      </c>
      <c r="B3" s="397" t="s">
        <v>846</v>
      </c>
      <c r="C3" s="398">
        <f>Trend!B37/Trend!C37</f>
        <v>1</v>
      </c>
      <c r="D3" s="398">
        <f>Trend!C37/Trend!D37</f>
        <v>1</v>
      </c>
      <c r="E3" s="398">
        <f>Trend!D37/Trend!E37</f>
        <v>1</v>
      </c>
      <c r="F3" s="398">
        <f>Trend!E37/Trend!F37</f>
        <v>1</v>
      </c>
      <c r="G3" s="398">
        <f>Trend!F37/Trend!G37</f>
        <v>1</v>
      </c>
      <c r="H3" s="398">
        <f>Trend!G37/Trend!H37</f>
        <v>1</v>
      </c>
      <c r="I3" s="398">
        <f>Trend!H37/Trend!I37</f>
        <v>1</v>
      </c>
      <c r="J3" s="398">
        <f>Trend!I37/Trend!J37</f>
        <v>1</v>
      </c>
      <c r="K3" s="399"/>
      <c r="L3" s="394"/>
      <c r="M3" s="394"/>
      <c r="N3" s="394"/>
      <c r="O3" s="394"/>
      <c r="P3" s="394"/>
      <c r="Q3" s="394"/>
      <c r="R3" s="394"/>
      <c r="S3" s="394"/>
      <c r="T3" s="392"/>
      <c r="U3" s="392">
        <v>1.014</v>
      </c>
      <c r="V3" s="392">
        <v>1.1930000000000001</v>
      </c>
    </row>
    <row r="4" spans="1:22" ht="90" x14ac:dyDescent="0.25">
      <c r="A4" s="392" t="s">
        <v>833</v>
      </c>
      <c r="B4" s="400" t="s">
        <v>841</v>
      </c>
      <c r="C4" s="392"/>
      <c r="D4" s="392"/>
      <c r="E4" s="401">
        <f>E13/E14</f>
        <v>0.4555659494855005</v>
      </c>
      <c r="F4" s="401">
        <f>F13/F14</f>
        <v>0.7757390417940877</v>
      </c>
      <c r="G4" s="401">
        <f>G13/G14</f>
        <v>0.5556275093899754</v>
      </c>
      <c r="H4" s="401">
        <f>H13/H14</f>
        <v>0.43752187609380466</v>
      </c>
      <c r="I4" s="401">
        <f>I13/I14</f>
        <v>0.47475260086272525</v>
      </c>
      <c r="J4" s="401">
        <f>J13/J14</f>
        <v>0.4698481561822126</v>
      </c>
      <c r="K4" s="402"/>
      <c r="L4" s="403" t="str">
        <f>IFERROR(IF(C4&gt;$V4,"RF","OK"),"")</f>
        <v>OK</v>
      </c>
      <c r="M4" s="403" t="str">
        <f>IFERROR(IF(D4&gt;$V4,"RF","OK"),"")</f>
        <v>OK</v>
      </c>
      <c r="N4" s="403" t="str">
        <f>IFERROR(IF(E4&gt;$V4,"RF","OK"),"")</f>
        <v>OK</v>
      </c>
      <c r="O4" s="403" t="str">
        <f>IFERROR(IF(F4&gt;$V4,"RF","OK"),"")</f>
        <v>OK</v>
      </c>
      <c r="P4" s="403" t="str">
        <f>IFERROR(IF(G4&gt;$V4,"RF","OK"),"")</f>
        <v>OK</v>
      </c>
      <c r="Q4" s="403" t="str">
        <f>IFERROR(IF(H4&gt;$V4,"RF","OK"),"")</f>
        <v>OK</v>
      </c>
      <c r="R4" s="403" t="str">
        <f>IFERROR(IF(I4&gt;$V4,"RF","OK"),"")</f>
        <v>OK</v>
      </c>
      <c r="S4" s="403" t="str">
        <f>IFERROR(IF(J4&gt;$V4,"RF","OK"),"")</f>
        <v>OK</v>
      </c>
      <c r="T4" s="392"/>
      <c r="U4" s="392">
        <v>1.0389999999999999</v>
      </c>
      <c r="V4" s="392">
        <v>1.254</v>
      </c>
    </row>
    <row r="5" spans="1:22" ht="75" x14ac:dyDescent="0.25">
      <c r="A5" s="392" t="s">
        <v>834</v>
      </c>
      <c r="B5" s="393" t="s">
        <v>847</v>
      </c>
      <c r="C5" s="394">
        <f>Trend!C3/Trend!B3</f>
        <v>54.199999999999996</v>
      </c>
      <c r="D5" s="394">
        <f>Trend!D3/Trend!C3</f>
        <v>1.8948339483394834</v>
      </c>
      <c r="E5" s="394">
        <f>Trend!E3/Trend!D3</f>
        <v>2.0817916260954235</v>
      </c>
      <c r="F5" s="394">
        <f>Trend!F3/Trend!E3</f>
        <v>1.8353601496725913</v>
      </c>
      <c r="G5" s="394">
        <f>Trend!G3/Trend!F3</f>
        <v>1.9676350662589193</v>
      </c>
      <c r="H5" s="394">
        <f>Trend!H3/Trend!G3</f>
        <v>1.4801191555497994</v>
      </c>
      <c r="I5" s="394">
        <f>Trend!I3/Trend!H3</f>
        <v>1.3794189709485474</v>
      </c>
      <c r="J5" s="394">
        <f>Trend!J3/Trend!I3</f>
        <v>1.3159731032732809</v>
      </c>
      <c r="K5" s="395"/>
      <c r="L5" s="396" t="str">
        <f>IFERROR(IF(C5&gt;$V5,"RF","OK"),"")</f>
        <v>RF</v>
      </c>
      <c r="M5" s="396" t="str">
        <f>IFERROR(IF(D5&gt;$V5,"RF","OK"),"")</f>
        <v>RF</v>
      </c>
      <c r="N5" s="396" t="str">
        <f>IFERROR(IF(E5&gt;$V5,"RF","OK"),"")</f>
        <v>RF</v>
      </c>
      <c r="O5" s="396" t="str">
        <f>IFERROR(IF(F5&gt;$V5,"RF","OK"),"")</f>
        <v>RF</v>
      </c>
      <c r="P5" s="396" t="str">
        <f>IFERROR(IF(G5&gt;$V5,"RF","OK"),"")</f>
        <v>RF</v>
      </c>
      <c r="Q5" s="394" t="str">
        <f>IFERROR(IF(H5&gt;$V5,"RF","OK"),"")</f>
        <v>OK</v>
      </c>
      <c r="R5" s="394" t="str">
        <f>IFERROR(IF(I5&gt;$V5,"RF","OK"),"")</f>
        <v>OK</v>
      </c>
      <c r="S5" s="394" t="str">
        <f>IFERROR(IF(J5&gt;$V5,"RF","OK"),"")</f>
        <v>OK</v>
      </c>
      <c r="T5" s="392"/>
      <c r="U5" s="392">
        <v>1.1339999999999999</v>
      </c>
      <c r="V5" s="392">
        <v>1.607</v>
      </c>
    </row>
    <row r="6" spans="1:22" ht="60" x14ac:dyDescent="0.25">
      <c r="A6" s="392" t="s">
        <v>835</v>
      </c>
      <c r="B6" s="397" t="s">
        <v>842</v>
      </c>
      <c r="C6" s="394">
        <f>Trend!B36/Trend!C36</f>
        <v>0</v>
      </c>
      <c r="D6" s="394">
        <f>Trend!C36/Trend!D36</f>
        <v>0.95248337510113046</v>
      </c>
      <c r="E6" s="394">
        <f>Trend!D36/Trend!E36</f>
        <v>1.3286519934465673</v>
      </c>
      <c r="F6" s="394">
        <f>Trend!E36/Trend!F36</f>
        <v>1.3579811208436094</v>
      </c>
      <c r="G6" s="394">
        <f>Trend!F36/Trend!G36</f>
        <v>0.99895318748529749</v>
      </c>
      <c r="H6" s="394">
        <f>Trend!G36/Trend!H36</f>
        <v>0.86284973193486048</v>
      </c>
      <c r="I6" s="394">
        <f>Trend!H36/Trend!I36</f>
        <v>1.0882444475997384</v>
      </c>
      <c r="J6" s="394">
        <f>Trend!I36/Trend!J36</f>
        <v>0.83217389379249984</v>
      </c>
      <c r="K6" s="395"/>
      <c r="L6" s="394" t="str">
        <f>IFERROR(IF(C6&gt;$V6,"RF","OK"),"")</f>
        <v>OK</v>
      </c>
      <c r="M6" s="394" t="str">
        <f>IFERROR(IF(D6&gt;$V6,"RF","OK"),"")</f>
        <v>OK</v>
      </c>
      <c r="N6" s="396" t="str">
        <f>IFERROR(IF(E6&gt;$V6,"RF","OK"),"")</f>
        <v>RF</v>
      </c>
      <c r="O6" s="396" t="str">
        <f>IFERROR(IF(F6&gt;$V6,"RF","OK"),"")</f>
        <v>RF</v>
      </c>
      <c r="P6" s="394" t="str">
        <f>IFERROR(IF(G6&gt;$V6,"RF","OK"),"")</f>
        <v>OK</v>
      </c>
      <c r="Q6" s="394" t="str">
        <f>IFERROR(IF(H6&gt;$V6,"RF","OK"),"")</f>
        <v>OK</v>
      </c>
      <c r="R6" s="396" t="str">
        <f>IFERROR(IF(I6&gt;$V6,"RF","OK"),"")</f>
        <v>RF</v>
      </c>
      <c r="S6" s="394" t="str">
        <f>IFERROR(IF(J6&gt;$V6,"RF","OK"),"")</f>
        <v>OK</v>
      </c>
      <c r="T6" s="392"/>
      <c r="U6" s="392">
        <v>1.0009999999999999</v>
      </c>
      <c r="V6" s="392">
        <v>1.077</v>
      </c>
    </row>
    <row r="7" spans="1:22" ht="60" x14ac:dyDescent="0.25">
      <c r="A7" s="392" t="s">
        <v>836</v>
      </c>
      <c r="B7" s="393" t="s">
        <v>843</v>
      </c>
      <c r="C7" s="394">
        <f>('Data Sheet'!C22+'Data Sheet'!C23)/('Data Sheet'!B23+'Data Sheet'!B22)</f>
        <v>9</v>
      </c>
      <c r="D7" s="394">
        <f>('Data Sheet'!D22+'Data Sheet'!D23)/('Data Sheet'!C23+'Data Sheet'!C22)</f>
        <v>1.7929292929292928</v>
      </c>
      <c r="E7" s="394">
        <f>('Data Sheet'!E22+'Data Sheet'!E23)/('Data Sheet'!D23+'Data Sheet'!D22)</f>
        <v>1.6985915492957748</v>
      </c>
      <c r="F7" s="394">
        <f>('Data Sheet'!F22+'Data Sheet'!F23)/('Data Sheet'!E23+'Data Sheet'!E22)</f>
        <v>1.4203980099502489</v>
      </c>
      <c r="G7" s="394">
        <f>('Data Sheet'!G22+'Data Sheet'!G23)/('Data Sheet'!F23+'Data Sheet'!F22)</f>
        <v>1.6258026853473437</v>
      </c>
      <c r="H7" s="394">
        <f>('Data Sheet'!H22+'Data Sheet'!H23)/('Data Sheet'!G23+'Data Sheet'!G22)</f>
        <v>1.5863554757630161</v>
      </c>
      <c r="I7" s="394">
        <f>('Data Sheet'!I22+'Data Sheet'!I23)/('Data Sheet'!H23+'Data Sheet'!H22)</f>
        <v>0.63014938886373928</v>
      </c>
      <c r="J7" s="394">
        <f>('Data Sheet'!J22+'Data Sheet'!J23)/('Data Sheet'!I23+'Data Sheet'!I22)</f>
        <v>1.4227729885057472</v>
      </c>
      <c r="K7" s="395"/>
      <c r="L7" s="396" t="str">
        <f>IFERROR(IF(C7&gt;$V7,"RF","OK"),"")</f>
        <v>RF</v>
      </c>
      <c r="M7" s="396" t="str">
        <f>IFERROR(IF(D7&gt;$V7,"RF","OK"),"")</f>
        <v>RF</v>
      </c>
      <c r="N7" s="396" t="str">
        <f>IFERROR(IF(E7&gt;$V7,"RF","OK"),"")</f>
        <v>RF</v>
      </c>
      <c r="O7" s="396" t="str">
        <f>IFERROR(IF(F7&gt;$V7,"RF","OK"),"")</f>
        <v>RF</v>
      </c>
      <c r="P7" s="396" t="str">
        <f>IFERROR(IF(G7&gt;$V7,"RF","OK"),"")</f>
        <v>RF</v>
      </c>
      <c r="Q7" s="396" t="str">
        <f>IFERROR(IF(H7&gt;$V7,"RF","OK"),"")</f>
        <v>RF</v>
      </c>
      <c r="R7" s="394" t="str">
        <f>IFERROR(IF(I7&gt;$V7,"RF","OK"),"")</f>
        <v>OK</v>
      </c>
      <c r="S7" s="396" t="str">
        <f>IFERROR(IF(J7&gt;$V7,"RF","OK"),"")</f>
        <v>RF</v>
      </c>
      <c r="T7" s="392"/>
      <c r="U7" s="392">
        <v>1.054</v>
      </c>
      <c r="V7" s="392">
        <v>1.0409999999999999</v>
      </c>
    </row>
    <row r="8" spans="1:22" ht="60" x14ac:dyDescent="0.25">
      <c r="A8" s="392" t="s">
        <v>837</v>
      </c>
      <c r="B8" s="397" t="s">
        <v>844</v>
      </c>
      <c r="C8" s="394">
        <f>('Data Sheet'!C59/'Data Sheet'!C62)/('Data Sheet'!B59/'Data Sheet'!B62)</f>
        <v>1.7297517297517301E-2</v>
      </c>
      <c r="D8" s="394">
        <f>('Data Sheet'!D59/'Data Sheet'!D62)/('Data Sheet'!C59/'Data Sheet'!C62)</f>
        <v>9.285714285714286E-2</v>
      </c>
      <c r="E8" s="394">
        <f>('Data Sheet'!E59/'Data Sheet'!E62)/('Data Sheet'!D59/'Data Sheet'!D62)</f>
        <v>213.86674742580252</v>
      </c>
      <c r="F8" s="394">
        <f>('Data Sheet'!F59/'Data Sheet'!F62)/('Data Sheet'!E59/'Data Sheet'!E62)</f>
        <v>2.1001806589899283</v>
      </c>
      <c r="G8" s="394">
        <f>('Data Sheet'!G59/'Data Sheet'!G62)/('Data Sheet'!F59/'Data Sheet'!F62)</f>
        <v>0.49090574327712405</v>
      </c>
      <c r="H8" s="394">
        <f>('Data Sheet'!H59/'Data Sheet'!H62)/('Data Sheet'!G59/'Data Sheet'!G62)</f>
        <v>1.1478248296771112</v>
      </c>
      <c r="I8" s="394">
        <f>('Data Sheet'!I59/'Data Sheet'!I62)/('Data Sheet'!H59/'Data Sheet'!H62)</f>
        <v>0.77772470283374662</v>
      </c>
      <c r="J8" s="394">
        <f>('Data Sheet'!J59/'Data Sheet'!J62)/('Data Sheet'!I59/'Data Sheet'!I62)</f>
        <v>0.98481360444700383</v>
      </c>
      <c r="K8" s="395"/>
      <c r="L8" s="394" t="str">
        <f>IFERROR(IF(C8&gt;$V8,"RF","OK"),"")</f>
        <v>OK</v>
      </c>
      <c r="M8" s="394" t="str">
        <f>IFERROR(IF(D8&gt;$V8,"RF","OK"),"")</f>
        <v>OK</v>
      </c>
      <c r="N8" s="396" t="str">
        <f>IFERROR(IF(E8&gt;$V8,"RF","OK"),"")</f>
        <v>RF</v>
      </c>
      <c r="O8" s="396" t="str">
        <f>IFERROR(IF(F8&gt;$V8,"RF","OK"),"")</f>
        <v>RF</v>
      </c>
      <c r="P8" s="394" t="str">
        <f>IFERROR(IF(G8&gt;$V8,"RF","OK"),"")</f>
        <v>OK</v>
      </c>
      <c r="Q8" s="396" t="str">
        <f>IFERROR(IF(H8&gt;$V8,"RF","OK"),"")</f>
        <v>RF</v>
      </c>
      <c r="R8" s="394" t="str">
        <f>IFERROR(IF(I8&gt;$V8,"RF","OK"),"")</f>
        <v>OK</v>
      </c>
      <c r="S8" s="394" t="str">
        <f>IFERROR(IF(J8&gt;$V8,"RF","OK"),"")</f>
        <v>OK</v>
      </c>
      <c r="T8" s="392"/>
      <c r="U8" s="392">
        <v>1.0369999999999999</v>
      </c>
      <c r="V8" s="392">
        <v>1.111</v>
      </c>
    </row>
    <row r="9" spans="1:22" ht="45" x14ac:dyDescent="0.25">
      <c r="A9" s="392" t="s">
        <v>838</v>
      </c>
      <c r="B9" s="393" t="s">
        <v>845</v>
      </c>
      <c r="C9" s="394">
        <f>(('Data Sheet'!C65-'Data Sheet'!C60)-('Data Sheet'!B65-'Data Sheet'!B60))/'Data Sheet'!C17</f>
        <v>3.690036900369003E-2</v>
      </c>
      <c r="D9" s="394">
        <f>(('Data Sheet'!D65-'Data Sheet'!D60)-('Data Sheet'!C65-'Data Sheet'!C60))/'Data Sheet'!D17</f>
        <v>0.51509250243427451</v>
      </c>
      <c r="E9" s="394">
        <f>(('Data Sheet'!E65-'Data Sheet'!E60)-('Data Sheet'!D65-'Data Sheet'!D60))/'Data Sheet'!E17</f>
        <v>0.18521983161833494</v>
      </c>
      <c r="F9" s="394">
        <f>(('Data Sheet'!F65-'Data Sheet'!F60)-('Data Sheet'!E65-'Data Sheet'!E60))/'Data Sheet'!F17</f>
        <v>1.1335372069317025</v>
      </c>
      <c r="G9" s="394">
        <f>(('Data Sheet'!G65-'Data Sheet'!G60)-('Data Sheet'!F65-'Data Sheet'!F60))/'Data Sheet'!G17</f>
        <v>0.86180546561326254</v>
      </c>
      <c r="H9" s="394">
        <f>(('Data Sheet'!H65-'Data Sheet'!H60)-('Data Sheet'!G65-'Data Sheet'!G60))/'Data Sheet'!H17</f>
        <v>0.65899544977248858</v>
      </c>
      <c r="I9" s="394">
        <f>(('Data Sheet'!I65-'Data Sheet'!I60)-('Data Sheet'!H65-'Data Sheet'!H60))/'Data Sheet'!I17</f>
        <v>-1.2306521187515846E-2</v>
      </c>
      <c r="J9" s="394">
        <f>(('Data Sheet'!J65-'Data Sheet'!J60)-('Data Sheet'!I65-'Data Sheet'!I60))/'Data Sheet'!J17</f>
        <v>0.96466618462280074</v>
      </c>
      <c r="K9" s="402"/>
      <c r="L9" s="396" t="str">
        <f t="shared" ref="L9" si="4">IFERROR(IF(C9&gt;$V9,"RF","OK"),"")</f>
        <v>RF</v>
      </c>
      <c r="M9" s="396" t="str">
        <f t="shared" ref="M9" si="5">IFERROR(IF(D9&gt;$V9,"RF","OK"),"")</f>
        <v>RF</v>
      </c>
      <c r="N9" s="396" t="str">
        <f t="shared" ref="N9" si="6">IFERROR(IF(E9&gt;$V9,"RF","OK"),"")</f>
        <v>RF</v>
      </c>
      <c r="O9" s="396" t="str">
        <f t="shared" ref="O9" si="7">IFERROR(IF(F9&gt;$V9,"RF","OK"),"")</f>
        <v>RF</v>
      </c>
      <c r="P9" s="396" t="str">
        <f t="shared" ref="P9" si="8">IFERROR(IF(G9&gt;$V9,"RF","OK"),"")</f>
        <v>RF</v>
      </c>
      <c r="Q9" s="396" t="str">
        <f t="shared" ref="Q9" si="9">IFERROR(IF(H9&gt;$V9,"RF","OK"),"")</f>
        <v>RF</v>
      </c>
      <c r="R9" s="394" t="str">
        <f t="shared" ref="R9" si="10">IFERROR(IF(I9&gt;$V9,"RF","OK"),"")</f>
        <v>OK</v>
      </c>
      <c r="S9" s="396" t="str">
        <f t="shared" ref="S9" si="11">IFERROR(IF(J9&gt;$V9,"RF","OK"),"")</f>
        <v>RF</v>
      </c>
      <c r="T9" s="392"/>
      <c r="U9" s="392">
        <v>1.7999999999999999E-2</v>
      </c>
      <c r="V9" s="392">
        <v>3.1E-2</v>
      </c>
    </row>
    <row r="13" spans="1:22" ht="45" x14ac:dyDescent="0.25">
      <c r="A13" s="337" t="s">
        <v>839</v>
      </c>
      <c r="B13" s="337"/>
      <c r="E13">
        <v>9.74</v>
      </c>
      <c r="F13">
        <v>30.44</v>
      </c>
      <c r="G13">
        <v>42.9</v>
      </c>
      <c r="H13">
        <v>50</v>
      </c>
      <c r="I13">
        <v>74.84</v>
      </c>
      <c r="J13">
        <v>97.47</v>
      </c>
    </row>
    <row r="14" spans="1:22" x14ac:dyDescent="0.25">
      <c r="A14" t="s">
        <v>6</v>
      </c>
      <c r="E14">
        <f>'Data Sheet'!E17</f>
        <v>21.38</v>
      </c>
      <c r="F14">
        <f>'Data Sheet'!F17</f>
        <v>39.24</v>
      </c>
      <c r="G14">
        <f>'Data Sheet'!G17</f>
        <v>77.209999999999994</v>
      </c>
      <c r="H14">
        <f>'Data Sheet'!H17</f>
        <v>114.28</v>
      </c>
      <c r="I14">
        <f>'Data Sheet'!I17</f>
        <v>157.63999999999999</v>
      </c>
      <c r="J14">
        <f>'Data Sheet'!J17</f>
        <v>207.45</v>
      </c>
    </row>
  </sheetData>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0"/>
  <sheetViews>
    <sheetView workbookViewId="0">
      <selection activeCell="C29" sqref="C29"/>
    </sheetView>
  </sheetViews>
  <sheetFormatPr defaultRowHeight="15" x14ac:dyDescent="0.25"/>
  <cols>
    <col min="2" max="2" width="78.28515625" bestFit="1" customWidth="1"/>
    <col min="3" max="3" width="17.85546875" customWidth="1"/>
  </cols>
  <sheetData>
    <row r="1" spans="2:4" x14ac:dyDescent="0.25">
      <c r="C1" t="s">
        <v>823</v>
      </c>
      <c r="D1" t="s">
        <v>824</v>
      </c>
    </row>
    <row r="2" spans="2:4" x14ac:dyDescent="0.25">
      <c r="B2" t="s">
        <v>765</v>
      </c>
      <c r="C2" t="s">
        <v>818</v>
      </c>
    </row>
    <row r="3" spans="2:4" x14ac:dyDescent="0.25">
      <c r="B3" t="s">
        <v>766</v>
      </c>
      <c r="C3" t="s">
        <v>819</v>
      </c>
    </row>
    <row r="4" spans="2:4" x14ac:dyDescent="0.25">
      <c r="B4" t="s">
        <v>767</v>
      </c>
      <c r="C4" t="s">
        <v>820</v>
      </c>
    </row>
    <row r="5" spans="2:4" x14ac:dyDescent="0.25">
      <c r="B5" t="s">
        <v>768</v>
      </c>
      <c r="C5" t="s">
        <v>821</v>
      </c>
      <c r="D5" t="s">
        <v>822</v>
      </c>
    </row>
    <row r="6" spans="2:4" x14ac:dyDescent="0.25">
      <c r="B6" t="s">
        <v>769</v>
      </c>
      <c r="C6" t="s">
        <v>821</v>
      </c>
      <c r="D6" t="s">
        <v>822</v>
      </c>
    </row>
    <row r="7" spans="2:4" x14ac:dyDescent="0.25">
      <c r="B7" t="s">
        <v>770</v>
      </c>
      <c r="C7" t="s">
        <v>821</v>
      </c>
      <c r="D7" t="s">
        <v>822</v>
      </c>
    </row>
    <row r="8" spans="2:4" x14ac:dyDescent="0.25">
      <c r="B8" t="s">
        <v>771</v>
      </c>
      <c r="C8" t="s">
        <v>821</v>
      </c>
      <c r="D8" t="s">
        <v>825</v>
      </c>
    </row>
    <row r="9" spans="2:4" x14ac:dyDescent="0.25">
      <c r="B9" t="s">
        <v>772</v>
      </c>
      <c r="C9" t="s">
        <v>821</v>
      </c>
      <c r="D9" t="s">
        <v>825</v>
      </c>
    </row>
    <row r="10" spans="2:4" x14ac:dyDescent="0.25">
      <c r="B10" t="s">
        <v>804</v>
      </c>
      <c r="C10" t="s">
        <v>821</v>
      </c>
      <c r="D10" t="s">
        <v>731</v>
      </c>
    </row>
    <row r="11" spans="2:4" x14ac:dyDescent="0.25">
      <c r="B11" t="s">
        <v>805</v>
      </c>
      <c r="C11" t="s">
        <v>821</v>
      </c>
      <c r="D11" t="s">
        <v>731</v>
      </c>
    </row>
    <row r="12" spans="2:4" x14ac:dyDescent="0.25">
      <c r="B12" t="s">
        <v>806</v>
      </c>
    </row>
    <row r="13" spans="2:4" x14ac:dyDescent="0.25">
      <c r="B13" t="s">
        <v>807</v>
      </c>
      <c r="C13" t="s">
        <v>821</v>
      </c>
      <c r="D13" t="s">
        <v>822</v>
      </c>
    </row>
    <row r="14" spans="2:4" x14ac:dyDescent="0.25">
      <c r="B14" t="s">
        <v>808</v>
      </c>
      <c r="C14" t="s">
        <v>821</v>
      </c>
      <c r="D14" t="s">
        <v>822</v>
      </c>
    </row>
    <row r="15" spans="2:4" x14ac:dyDescent="0.25">
      <c r="B15" t="s">
        <v>809</v>
      </c>
    </row>
    <row r="16" spans="2:4" x14ac:dyDescent="0.25">
      <c r="B16" t="s">
        <v>826</v>
      </c>
      <c r="C16" t="s">
        <v>821</v>
      </c>
      <c r="D16" t="s">
        <v>822</v>
      </c>
    </row>
    <row r="19" spans="2:3" x14ac:dyDescent="0.25">
      <c r="B19" t="s">
        <v>773</v>
      </c>
      <c r="C19" t="s">
        <v>827</v>
      </c>
    </row>
    <row r="20" spans="2:3" x14ac:dyDescent="0.25">
      <c r="B20" t="s">
        <v>774</v>
      </c>
      <c r="C20" t="s">
        <v>827</v>
      </c>
    </row>
    <row r="21" spans="2:3" x14ac:dyDescent="0.25">
      <c r="B21" t="s">
        <v>775</v>
      </c>
      <c r="C21" t="s">
        <v>733</v>
      </c>
    </row>
    <row r="22" spans="2:3" x14ac:dyDescent="0.25">
      <c r="B22" t="s">
        <v>776</v>
      </c>
      <c r="C22" t="s">
        <v>733</v>
      </c>
    </row>
    <row r="23" spans="2:3" x14ac:dyDescent="0.25">
      <c r="B23" t="s">
        <v>777</v>
      </c>
      <c r="C23" t="s">
        <v>733</v>
      </c>
    </row>
    <row r="24" spans="2:3" x14ac:dyDescent="0.25">
      <c r="B24" t="s">
        <v>778</v>
      </c>
      <c r="C24" t="s">
        <v>828</v>
      </c>
    </row>
    <row r="25" spans="2:3" x14ac:dyDescent="0.25">
      <c r="B25" t="s">
        <v>779</v>
      </c>
      <c r="C25" t="s">
        <v>827</v>
      </c>
    </row>
    <row r="26" spans="2:3" x14ac:dyDescent="0.25">
      <c r="B26" t="s">
        <v>780</v>
      </c>
      <c r="C26" t="s">
        <v>828</v>
      </c>
    </row>
    <row r="27" spans="2:3" x14ac:dyDescent="0.25">
      <c r="B27" t="s">
        <v>829</v>
      </c>
      <c r="C27" t="s">
        <v>828</v>
      </c>
    </row>
    <row r="28" spans="2:3" x14ac:dyDescent="0.25">
      <c r="B28" t="s">
        <v>781</v>
      </c>
    </row>
    <row r="29" spans="2:3" x14ac:dyDescent="0.25">
      <c r="B29" t="s">
        <v>782</v>
      </c>
      <c r="C29" t="s">
        <v>827</v>
      </c>
    </row>
    <row r="30" spans="2:3" x14ac:dyDescent="0.25">
      <c r="B30" t="s">
        <v>783</v>
      </c>
      <c r="C30" t="s">
        <v>827</v>
      </c>
    </row>
    <row r="31" spans="2:3" x14ac:dyDescent="0.25">
      <c r="B31" t="s">
        <v>784</v>
      </c>
      <c r="C31" t="s">
        <v>827</v>
      </c>
    </row>
    <row r="32" spans="2:3" x14ac:dyDescent="0.25">
      <c r="B32" t="s">
        <v>785</v>
      </c>
      <c r="C32" t="s">
        <v>827</v>
      </c>
    </row>
    <row r="33" spans="2:3" x14ac:dyDescent="0.25">
      <c r="B33" t="s">
        <v>786</v>
      </c>
      <c r="C33" t="s">
        <v>733</v>
      </c>
    </row>
    <row r="34" spans="2:3" x14ac:dyDescent="0.25">
      <c r="B34" t="s">
        <v>787</v>
      </c>
    </row>
    <row r="35" spans="2:3" x14ac:dyDescent="0.25">
      <c r="B35" t="s">
        <v>788</v>
      </c>
    </row>
    <row r="36" spans="2:3" x14ac:dyDescent="0.25">
      <c r="B36" t="s">
        <v>789</v>
      </c>
    </row>
    <row r="37" spans="2:3" x14ac:dyDescent="0.25">
      <c r="B37" t="s">
        <v>790</v>
      </c>
    </row>
    <row r="38" spans="2:3" x14ac:dyDescent="0.25">
      <c r="B38" t="s">
        <v>791</v>
      </c>
      <c r="C38" t="s">
        <v>827</v>
      </c>
    </row>
    <row r="39" spans="2:3" x14ac:dyDescent="0.25">
      <c r="B39" t="s">
        <v>792</v>
      </c>
    </row>
    <row r="40" spans="2:3" x14ac:dyDescent="0.25">
      <c r="B40" t="s">
        <v>793</v>
      </c>
    </row>
    <row r="41" spans="2:3" x14ac:dyDescent="0.25">
      <c r="B41" t="s">
        <v>794</v>
      </c>
    </row>
    <row r="42" spans="2:3" x14ac:dyDescent="0.25">
      <c r="B42" t="s">
        <v>795</v>
      </c>
    </row>
    <row r="43" spans="2:3" x14ac:dyDescent="0.25">
      <c r="B43" t="s">
        <v>796</v>
      </c>
    </row>
    <row r="44" spans="2:3" x14ac:dyDescent="0.25">
      <c r="B44" t="s">
        <v>797</v>
      </c>
    </row>
    <row r="45" spans="2:3" x14ac:dyDescent="0.25">
      <c r="B45" t="s">
        <v>798</v>
      </c>
    </row>
    <row r="46" spans="2:3" x14ac:dyDescent="0.25">
      <c r="B46" t="s">
        <v>799</v>
      </c>
    </row>
    <row r="47" spans="2:3" x14ac:dyDescent="0.25">
      <c r="B47" t="s">
        <v>800</v>
      </c>
    </row>
    <row r="48" spans="2:3" x14ac:dyDescent="0.25">
      <c r="B48" t="s">
        <v>801</v>
      </c>
    </row>
    <row r="49" spans="2:2" x14ac:dyDescent="0.25">
      <c r="B49" t="s">
        <v>802</v>
      </c>
    </row>
    <row r="50" spans="2:2" x14ac:dyDescent="0.25">
      <c r="B50" t="s">
        <v>803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7"/>
  <sheetViews>
    <sheetView workbookViewId="0">
      <selection activeCell="C2" sqref="C2"/>
    </sheetView>
  </sheetViews>
  <sheetFormatPr defaultRowHeight="15" x14ac:dyDescent="0.25"/>
  <cols>
    <col min="3" max="3" width="21.5703125" bestFit="1" customWidth="1"/>
  </cols>
  <sheetData>
    <row r="1" spans="2:3" x14ac:dyDescent="0.25">
      <c r="C1" s="336">
        <v>40603</v>
      </c>
    </row>
    <row r="2" spans="2:3" x14ac:dyDescent="0.25">
      <c r="B2" t="s">
        <v>757</v>
      </c>
      <c r="C2" t="s">
        <v>759</v>
      </c>
    </row>
    <row r="3" spans="2:3" x14ac:dyDescent="0.25">
      <c r="C3" t="s">
        <v>760</v>
      </c>
    </row>
    <row r="4" spans="2:3" x14ac:dyDescent="0.25">
      <c r="B4" t="s">
        <v>758</v>
      </c>
      <c r="C4" t="s">
        <v>761</v>
      </c>
    </row>
    <row r="5" spans="2:3" x14ac:dyDescent="0.25">
      <c r="C5" t="s">
        <v>762</v>
      </c>
    </row>
    <row r="6" spans="2:3" x14ac:dyDescent="0.25">
      <c r="C6" t="s">
        <v>763</v>
      </c>
    </row>
    <row r="7" spans="2:3" x14ac:dyDescent="0.25">
      <c r="C7" t="s">
        <v>764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7"/>
  <sheetViews>
    <sheetView workbookViewId="0">
      <selection activeCell="D3" sqref="D3"/>
    </sheetView>
  </sheetViews>
  <sheetFormatPr defaultRowHeight="15" x14ac:dyDescent="0.25"/>
  <cols>
    <col min="3" max="3" width="16.42578125" bestFit="1" customWidth="1"/>
  </cols>
  <sheetData>
    <row r="2" spans="2:5" x14ac:dyDescent="0.25">
      <c r="D2" s="336">
        <v>40603</v>
      </c>
      <c r="E2" s="336">
        <v>40969</v>
      </c>
    </row>
    <row r="3" spans="2:5" x14ac:dyDescent="0.25">
      <c r="B3" t="s">
        <v>816</v>
      </c>
      <c r="C3" t="s">
        <v>702</v>
      </c>
      <c r="E3">
        <v>3599995</v>
      </c>
    </row>
    <row r="4" spans="2:5" x14ac:dyDescent="0.25">
      <c r="B4" t="s">
        <v>816</v>
      </c>
      <c r="C4" t="s">
        <v>706</v>
      </c>
      <c r="E4">
        <v>1600000</v>
      </c>
    </row>
    <row r="5" spans="2:5" x14ac:dyDescent="0.25">
      <c r="B5" t="s">
        <v>816</v>
      </c>
      <c r="C5" t="s">
        <v>757</v>
      </c>
    </row>
    <row r="6" spans="2:5" x14ac:dyDescent="0.25">
      <c r="B6" t="s">
        <v>816</v>
      </c>
      <c r="C6" t="s">
        <v>815</v>
      </c>
    </row>
    <row r="7" spans="2:5" x14ac:dyDescent="0.25">
      <c r="B7" t="s">
        <v>817</v>
      </c>
      <c r="C7" t="s">
        <v>706</v>
      </c>
      <c r="E7">
        <v>1300000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topLeftCell="A6" workbookViewId="0">
      <selection activeCell="C12" sqref="C12"/>
    </sheetView>
  </sheetViews>
  <sheetFormatPr defaultRowHeight="15" x14ac:dyDescent="0.25"/>
  <cols>
    <col min="2" max="3" width="38.5703125" customWidth="1"/>
    <col min="4" max="4" width="56.140625" customWidth="1"/>
    <col min="5" max="5" width="60" customWidth="1"/>
  </cols>
  <sheetData>
    <row r="2" spans="1:5" x14ac:dyDescent="0.25">
      <c r="A2" t="s">
        <v>565</v>
      </c>
      <c r="B2" t="s">
        <v>753</v>
      </c>
      <c r="C2" t="s">
        <v>754</v>
      </c>
      <c r="D2" t="s">
        <v>755</v>
      </c>
      <c r="E2" t="s">
        <v>756</v>
      </c>
    </row>
    <row r="3" spans="1:5" ht="45" x14ac:dyDescent="0.25">
      <c r="A3">
        <v>2011</v>
      </c>
      <c r="B3" t="s">
        <v>698</v>
      </c>
      <c r="C3" t="s">
        <v>699</v>
      </c>
      <c r="D3" s="337" t="s">
        <v>700</v>
      </c>
      <c r="E3" t="s">
        <v>701</v>
      </c>
    </row>
    <row r="4" spans="1:5" ht="60" x14ac:dyDescent="0.25">
      <c r="A4">
        <v>2011</v>
      </c>
      <c r="B4" t="s">
        <v>702</v>
      </c>
      <c r="C4" t="s">
        <v>703</v>
      </c>
      <c r="D4" t="s">
        <v>704</v>
      </c>
      <c r="E4" s="337" t="s">
        <v>705</v>
      </c>
    </row>
    <row r="5" spans="1:5" ht="60" x14ac:dyDescent="0.25">
      <c r="A5">
        <v>2011</v>
      </c>
      <c r="B5" t="s">
        <v>706</v>
      </c>
      <c r="C5" t="s">
        <v>707</v>
      </c>
      <c r="D5" s="337" t="s">
        <v>708</v>
      </c>
      <c r="E5" s="337" t="s">
        <v>709</v>
      </c>
    </row>
    <row r="6" spans="1:5" ht="60" x14ac:dyDescent="0.25">
      <c r="A6">
        <v>2011</v>
      </c>
      <c r="B6" t="s">
        <v>710</v>
      </c>
      <c r="C6" t="s">
        <v>711</v>
      </c>
      <c r="D6" t="s">
        <v>712</v>
      </c>
      <c r="E6" s="337" t="s">
        <v>713</v>
      </c>
    </row>
    <row r="7" spans="1:5" ht="30" x14ac:dyDescent="0.25">
      <c r="A7">
        <v>2011</v>
      </c>
      <c r="B7" t="s">
        <v>714</v>
      </c>
      <c r="C7" t="s">
        <v>715</v>
      </c>
      <c r="D7" s="337" t="s">
        <v>716</v>
      </c>
      <c r="E7" s="337" t="s">
        <v>717</v>
      </c>
    </row>
    <row r="8" spans="1:5" ht="30" x14ac:dyDescent="0.25">
      <c r="A8">
        <v>2011</v>
      </c>
      <c r="B8" t="s">
        <v>718</v>
      </c>
      <c r="C8" t="s">
        <v>715</v>
      </c>
      <c r="D8" t="s">
        <v>719</v>
      </c>
      <c r="E8" s="337" t="s">
        <v>720</v>
      </c>
    </row>
    <row r="9" spans="1:5" ht="45" x14ac:dyDescent="0.25">
      <c r="A9">
        <v>2011</v>
      </c>
      <c r="B9" t="s">
        <v>721</v>
      </c>
      <c r="C9" t="s">
        <v>722</v>
      </c>
      <c r="D9" s="337" t="s">
        <v>723</v>
      </c>
    </row>
    <row r="10" spans="1:5" ht="60" x14ac:dyDescent="0.25">
      <c r="A10">
        <v>2011</v>
      </c>
      <c r="B10" t="s">
        <v>724</v>
      </c>
      <c r="C10" t="s">
        <v>722</v>
      </c>
      <c r="D10" s="337" t="s">
        <v>725</v>
      </c>
      <c r="E10" s="337" t="s">
        <v>726</v>
      </c>
    </row>
    <row r="11" spans="1:5" ht="135" x14ac:dyDescent="0.25">
      <c r="A11">
        <v>2012</v>
      </c>
      <c r="B11" t="s">
        <v>810</v>
      </c>
      <c r="C11" t="s">
        <v>814</v>
      </c>
      <c r="D11" s="337" t="s">
        <v>812</v>
      </c>
      <c r="E11" s="337" t="s">
        <v>811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selection activeCell="A10" sqref="A10"/>
    </sheetView>
  </sheetViews>
  <sheetFormatPr defaultRowHeight="15" x14ac:dyDescent="0.25"/>
  <cols>
    <col min="1" max="1" width="25.28515625" customWidth="1"/>
  </cols>
  <sheetData>
    <row r="1" spans="1:6" x14ac:dyDescent="0.25">
      <c r="B1" s="336">
        <v>40603</v>
      </c>
      <c r="C1" s="336">
        <v>40969</v>
      </c>
      <c r="D1" s="336">
        <v>41334</v>
      </c>
      <c r="E1" s="336">
        <v>41699</v>
      </c>
      <c r="F1" s="336">
        <v>42064</v>
      </c>
    </row>
    <row r="2" spans="1:6" x14ac:dyDescent="0.25">
      <c r="A2" t="s">
        <v>686</v>
      </c>
      <c r="B2">
        <v>178</v>
      </c>
      <c r="C2">
        <v>302</v>
      </c>
    </row>
    <row r="3" spans="1:6" x14ac:dyDescent="0.25">
      <c r="A3" t="s">
        <v>687</v>
      </c>
      <c r="B3">
        <v>110</v>
      </c>
      <c r="C3">
        <v>240</v>
      </c>
    </row>
    <row r="4" spans="1:6" x14ac:dyDescent="0.25">
      <c r="A4" t="s">
        <v>688</v>
      </c>
      <c r="B4">
        <v>68</v>
      </c>
      <c r="C4">
        <v>62</v>
      </c>
    </row>
    <row r="5" spans="1:6" x14ac:dyDescent="0.25">
      <c r="A5" t="s">
        <v>689</v>
      </c>
      <c r="B5">
        <v>5355</v>
      </c>
    </row>
    <row r="6" spans="1:6" x14ac:dyDescent="0.25">
      <c r="A6" t="s">
        <v>690</v>
      </c>
      <c r="B6">
        <v>38</v>
      </c>
      <c r="C6">
        <v>35</v>
      </c>
    </row>
    <row r="7" spans="1:6" x14ac:dyDescent="0.25">
      <c r="A7" t="s">
        <v>691</v>
      </c>
      <c r="B7">
        <v>33</v>
      </c>
      <c r="C7">
        <v>37</v>
      </c>
    </row>
    <row r="8" spans="1:6" x14ac:dyDescent="0.25">
      <c r="A8" t="s">
        <v>692</v>
      </c>
      <c r="B8">
        <v>12</v>
      </c>
      <c r="C8">
        <v>17</v>
      </c>
    </row>
    <row r="9" spans="1:6" x14ac:dyDescent="0.25">
      <c r="A9" t="s">
        <v>813</v>
      </c>
      <c r="C9">
        <v>1017</v>
      </c>
    </row>
    <row r="11" spans="1:6" x14ac:dyDescent="0.25">
      <c r="A11" t="s">
        <v>693</v>
      </c>
    </row>
    <row r="12" spans="1:6" x14ac:dyDescent="0.25">
      <c r="A12" t="s">
        <v>694</v>
      </c>
      <c r="B12" t="s">
        <v>695</v>
      </c>
    </row>
    <row r="13" spans="1:6" x14ac:dyDescent="0.25">
      <c r="A13" t="s">
        <v>696</v>
      </c>
      <c r="B13" t="s">
        <v>697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zoomScaleNormal="100" workbookViewId="0">
      <selection activeCell="D6" sqref="D6"/>
    </sheetView>
  </sheetViews>
  <sheetFormatPr defaultColWidth="14.42578125" defaultRowHeight="12" x14ac:dyDescent="0.2"/>
  <cols>
    <col min="1" max="1" width="17.28515625" style="121" customWidth="1"/>
    <col min="2" max="2" width="16.28515625" style="121" customWidth="1"/>
    <col min="3" max="4" width="14.42578125" style="121"/>
    <col min="5" max="5" width="12.28515625" style="121" customWidth="1"/>
    <col min="6" max="6" width="14.7109375" style="121" customWidth="1"/>
    <col min="7" max="7" width="14.42578125" style="121"/>
    <col min="8" max="8" width="11.140625" style="121" customWidth="1"/>
    <col min="9" max="9" width="10.7109375" style="121" customWidth="1"/>
    <col min="10" max="10" width="14.42578125" style="121"/>
    <col min="11" max="11" width="11.85546875" style="121" customWidth="1"/>
    <col min="12" max="12" width="14.42578125" style="121"/>
    <col min="13" max="13" width="13.28515625" style="121" customWidth="1"/>
    <col min="14" max="14" width="15.28515625" style="121" customWidth="1"/>
    <col min="15" max="16384" width="14.42578125" style="121"/>
  </cols>
  <sheetData>
    <row r="1" spans="1:35" ht="14.25" customHeight="1" x14ac:dyDescent="0.2">
      <c r="A1" s="374" t="s">
        <v>362</v>
      </c>
      <c r="B1" s="374"/>
      <c r="C1" s="374"/>
      <c r="D1" s="374"/>
      <c r="E1" s="374"/>
      <c r="F1" s="374"/>
      <c r="G1" s="374"/>
      <c r="H1" s="374"/>
      <c r="I1" s="374"/>
      <c r="J1" s="374"/>
      <c r="K1" s="374" t="s">
        <v>363</v>
      </c>
      <c r="L1" s="374"/>
      <c r="M1" s="374"/>
      <c r="N1" s="374"/>
      <c r="O1" s="374"/>
      <c r="P1" s="374"/>
      <c r="Q1" s="374"/>
      <c r="R1" s="374"/>
      <c r="S1" s="374"/>
      <c r="T1" s="374"/>
      <c r="U1" s="374"/>
      <c r="V1" s="374"/>
      <c r="W1" s="374"/>
      <c r="X1" s="374"/>
      <c r="Y1" s="374"/>
      <c r="Z1" s="374"/>
      <c r="AA1" s="374"/>
      <c r="AB1" s="374"/>
      <c r="AC1" s="374"/>
      <c r="AD1" s="374"/>
      <c r="AE1" s="374"/>
      <c r="AF1" s="374"/>
      <c r="AG1" s="374"/>
      <c r="AH1" s="374"/>
      <c r="AI1" s="374"/>
    </row>
    <row r="2" spans="1:35" ht="15.75" customHeight="1" x14ac:dyDescent="0.2">
      <c r="A2" s="122"/>
      <c r="B2" s="123" t="s">
        <v>139</v>
      </c>
      <c r="C2" s="123" t="s">
        <v>364</v>
      </c>
      <c r="D2" s="123" t="s">
        <v>145</v>
      </c>
      <c r="E2" s="123" t="s">
        <v>365</v>
      </c>
      <c r="F2" s="123" t="s">
        <v>366</v>
      </c>
      <c r="G2" s="123" t="s">
        <v>147</v>
      </c>
      <c r="H2" s="123" t="s">
        <v>240</v>
      </c>
      <c r="I2" s="123" t="s">
        <v>140</v>
      </c>
      <c r="J2" s="123" t="s">
        <v>367</v>
      </c>
      <c r="K2" s="123" t="s">
        <v>368</v>
      </c>
      <c r="L2" s="123" t="s">
        <v>112</v>
      </c>
      <c r="M2" s="123" t="s">
        <v>114</v>
      </c>
      <c r="N2" s="123" t="s">
        <v>116</v>
      </c>
      <c r="O2" s="123" t="s">
        <v>369</v>
      </c>
      <c r="P2" s="123" t="s">
        <v>370</v>
      </c>
      <c r="Q2" s="123" t="s">
        <v>371</v>
      </c>
      <c r="R2" s="123" t="s">
        <v>372</v>
      </c>
      <c r="S2" s="123" t="s">
        <v>373</v>
      </c>
      <c r="T2" s="123" t="s">
        <v>374</v>
      </c>
      <c r="U2" s="123" t="s">
        <v>375</v>
      </c>
      <c r="V2" s="123" t="s">
        <v>376</v>
      </c>
      <c r="W2" s="123" t="s">
        <v>377</v>
      </c>
      <c r="X2" s="123" t="s">
        <v>378</v>
      </c>
      <c r="Y2" s="123" t="s">
        <v>379</v>
      </c>
      <c r="Z2" s="123" t="s">
        <v>380</v>
      </c>
      <c r="AA2" s="123" t="s">
        <v>381</v>
      </c>
      <c r="AB2" s="123" t="s">
        <v>382</v>
      </c>
      <c r="AC2" s="123" t="s">
        <v>383</v>
      </c>
      <c r="AD2" s="123" t="s">
        <v>384</v>
      </c>
      <c r="AE2" s="123" t="s">
        <v>385</v>
      </c>
      <c r="AF2" s="123" t="s">
        <v>386</v>
      </c>
      <c r="AG2" s="123" t="s">
        <v>387</v>
      </c>
      <c r="AH2" s="123" t="s">
        <v>388</v>
      </c>
      <c r="AI2" s="123" t="s">
        <v>389</v>
      </c>
    </row>
    <row r="3" spans="1:35" ht="12.75" customHeight="1" x14ac:dyDescent="0.2">
      <c r="A3" s="124" t="s">
        <v>390</v>
      </c>
      <c r="B3" s="125">
        <f>MIN(Other_input_data!G69:L69)</f>
        <v>-0.65943637916310849</v>
      </c>
      <c r="C3" s="125">
        <f>MIN(Other_input_data!F71:K71)</f>
        <v>0</v>
      </c>
      <c r="D3" s="125">
        <f>MIN(Other_input_data!F75:K75)</f>
        <v>0.99469214437367282</v>
      </c>
      <c r="E3" s="125">
        <f>MIN(Other_input_data!F74:K74)</f>
        <v>0</v>
      </c>
      <c r="F3" s="126" t="e">
        <f>MIN(Other_input_data!F76:K76)</f>
        <v>#DIV/0!</v>
      </c>
      <c r="G3" s="127">
        <f>MIN(Other_input_data!F77:K77)</f>
        <v>-18.739999999999998</v>
      </c>
      <c r="H3" s="126">
        <f>MIN('Financial Analysis'!F61:K61)</f>
        <v>-7.5450476721075077E-2</v>
      </c>
      <c r="I3" s="128">
        <f>MIN('Financial Analysis'!F126:K126)</f>
        <v>-0.55263083510996169</v>
      </c>
      <c r="J3" s="129">
        <f>1/B4</f>
        <v>2.0359678843088501E-2</v>
      </c>
      <c r="K3" s="129">
        <f>MIN('Financial Analysis'!F27:K27)</f>
        <v>0.42824777054711988</v>
      </c>
      <c r="L3" s="129">
        <f>MIN(F60:K60)</f>
        <v>0.37166196913963606</v>
      </c>
      <c r="M3" s="129"/>
      <c r="N3" s="129">
        <f>MIN('Financial Analysis'!F31:K31)</f>
        <v>3.2341279319734385E-2</v>
      </c>
      <c r="O3" s="129">
        <f>MIN('Financial Analysis'!F32:K32)</f>
        <v>0.28160037767024665</v>
      </c>
      <c r="P3" s="130">
        <f>MIN('Financial Analysis'!F110:K110)</f>
        <v>1.9706937799043065</v>
      </c>
      <c r="Q3" s="130">
        <f>MIN(Analysis2!F47:K47)</f>
        <v>0.15107682908202227</v>
      </c>
      <c r="R3" s="130">
        <f>MIN(F54:K54)</f>
        <v>4.4231754161331631</v>
      </c>
      <c r="S3" s="131">
        <f>MIN(F49:K49)</f>
        <v>1.2267191068256789</v>
      </c>
      <c r="T3" s="130">
        <f>MIN(F51:K51)</f>
        <v>7.5500406057421294</v>
      </c>
      <c r="U3" s="130"/>
      <c r="V3" s="130"/>
      <c r="W3" s="130"/>
      <c r="X3" s="306">
        <f>MIN('Financial Analysis'!B34:K34)</f>
        <v>9.2250922509225092E-3</v>
      </c>
      <c r="Y3" s="131">
        <f>MIN('Financial Analysis'!F33:K33)</f>
        <v>4.5107033639143729E-2</v>
      </c>
      <c r="Z3" s="130">
        <f>MIN('Financial Analysis'!F74:K74)</f>
        <v>0.21109258163429989</v>
      </c>
      <c r="AA3" s="131">
        <f>MIN('Financial Analysis'!F68:K68)</f>
        <v>8.5186163854390796E-3</v>
      </c>
      <c r="AB3" s="130">
        <f>MIN('Financial Analysis'!F75:K75)</f>
        <v>1.2138842217809682</v>
      </c>
      <c r="AC3" s="131">
        <f>MIN('Financial Analysis'!F72:K72)</f>
        <v>1.0340614021689322E-2</v>
      </c>
      <c r="AD3" s="131">
        <f>MIN('Financial Analysis'!F70:K70)</f>
        <v>4.3722880535024752E-2</v>
      </c>
      <c r="AE3" s="129"/>
      <c r="AF3" s="129"/>
      <c r="AG3" s="129"/>
      <c r="AH3" s="129"/>
      <c r="AI3" s="129"/>
    </row>
    <row r="4" spans="1:35" ht="12.75" customHeight="1" x14ac:dyDescent="0.2">
      <c r="A4" s="124" t="s">
        <v>391</v>
      </c>
      <c r="B4" s="125">
        <f>MAX(Other_input_data!G69:L69)</f>
        <v>49.116688318463822</v>
      </c>
      <c r="C4" s="125">
        <f>MAX(Other_input_data!F71:K71)</f>
        <v>2.7789882636218266</v>
      </c>
      <c r="D4" s="125">
        <f>MAX(Other_input_data!F75:K75)</f>
        <v>15.607208561996082</v>
      </c>
      <c r="E4" s="125">
        <f>MAX(Other_input_data!F74:K74)</f>
        <v>9.2281414442429757</v>
      </c>
      <c r="F4" s="126" t="e">
        <f>MAX(Other_input_data!F76:K76)</f>
        <v>#DIV/0!</v>
      </c>
      <c r="G4" s="127">
        <f>MAX(Other_input_data!F77:K77)</f>
        <v>1754.0817042560004</v>
      </c>
      <c r="H4" s="126">
        <f>MAX('Financial Analysis'!F61:K61)</f>
        <v>0.23648585026387181</v>
      </c>
      <c r="I4" s="125">
        <f>MAX('Financial Analysis'!F126:K126)</f>
        <v>1.2826997563340634</v>
      </c>
      <c r="J4" s="126">
        <f>1/B3</f>
        <v>-1.5164465164465164</v>
      </c>
      <c r="K4" s="126">
        <f>MAX('Financial Analysis'!F27:K27)</f>
        <v>0.69803659293937803</v>
      </c>
      <c r="L4" s="126">
        <f>MAX(F60:K60)</f>
        <v>0.60621836587129418</v>
      </c>
      <c r="M4" s="126"/>
      <c r="N4" s="126">
        <f>MAX('Financial Analysis'!F31:K31)</f>
        <v>0.29342010122921186</v>
      </c>
      <c r="O4" s="126">
        <f>MAX('Financial Analysis'!F32:K32)</f>
        <v>0.58348736906962417</v>
      </c>
      <c r="P4" s="132">
        <f>MAX('Financial Analysis'!F110:K110)</f>
        <v>11.904</v>
      </c>
      <c r="Q4" s="132">
        <f>MAX(Analysis2!F47:K47)</f>
        <v>0.38825927435792906</v>
      </c>
      <c r="R4" s="132">
        <f>MAX(F54:K54)</f>
        <v>8.3291115663997015</v>
      </c>
      <c r="S4" s="133">
        <f>MAX(F49:K49)</f>
        <v>1.8968426126777538</v>
      </c>
      <c r="T4" s="132">
        <f>MAX(F51:K51)</f>
        <v>17.254889263048828</v>
      </c>
      <c r="U4" s="132"/>
      <c r="V4" s="132"/>
      <c r="W4" s="132"/>
      <c r="X4" s="307">
        <f>MAX('Financial Analysis'!B34:K34)</f>
        <v>4.7273669213832407E-2</v>
      </c>
      <c r="Y4" s="133">
        <f>MAX('Financial Analysis'!F33:K33)</f>
        <v>0.27282281564993072</v>
      </c>
      <c r="Z4" s="132">
        <f>MAX('Financial Analysis'!F74:K74)</f>
        <v>0.29917822778083542</v>
      </c>
      <c r="AA4" s="133">
        <f>MAX('Financial Analysis'!F68:K68)</f>
        <v>8.3353893454290118E-2</v>
      </c>
      <c r="AB4" s="132">
        <f>MAX('Financial Analysis'!F75:K75)</f>
        <v>1.5156135344476152</v>
      </c>
      <c r="AC4" s="133">
        <f>MAX('Financial Analysis'!F72:K72)</f>
        <v>0.11047389073347419</v>
      </c>
      <c r="AD4" s="133">
        <f>MAX('Financial Analysis'!F70:K70)</f>
        <v>0.15329348799433556</v>
      </c>
      <c r="AE4" s="126"/>
      <c r="AF4" s="126"/>
      <c r="AG4" s="126"/>
      <c r="AH4" s="126"/>
      <c r="AI4" s="126"/>
    </row>
    <row r="5" spans="1:35" ht="12.75" customHeight="1" x14ac:dyDescent="0.2">
      <c r="A5" s="134" t="s">
        <v>392</v>
      </c>
      <c r="B5" s="135">
        <f>AVERAGE(Other_input_data!F69:K69)</f>
        <v>27.105264044431447</v>
      </c>
      <c r="C5" s="135">
        <f>AVERAGE(Other_input_data!F71:K71)</f>
        <v>1.90916850403079</v>
      </c>
      <c r="D5" s="135">
        <f>AVERAGE(Other_input_data!F75:K75)</f>
        <v>10.253907909114856</v>
      </c>
      <c r="E5" s="135">
        <f>AVERAGE(Other_input_data!F74:K74)</f>
        <v>5.6759156293276289</v>
      </c>
      <c r="F5" s="136" t="e">
        <f>AVERAGE(Other_input_data!F76:K76)</f>
        <v>#DIV/0!</v>
      </c>
      <c r="G5" s="137"/>
      <c r="H5" s="136">
        <f>AVERAGE('Financial Analysis'!F61:K61)</f>
        <v>0.13460306333854155</v>
      </c>
      <c r="I5" s="135"/>
      <c r="J5" s="136">
        <f>1/B5</f>
        <v>3.6893202676822542E-2</v>
      </c>
      <c r="K5" s="136">
        <f>AVERAGE('Financial Analysis'!F27:K27)</f>
        <v>0.50731645155361971</v>
      </c>
      <c r="L5" s="136">
        <f>AVERAGE(F60:K60)</f>
        <v>0.5382453063772713</v>
      </c>
      <c r="M5" s="136"/>
      <c r="N5" s="136">
        <f>AVERAGE('Financial Analysis'!F31:K31)</f>
        <v>0.23518311754431312</v>
      </c>
      <c r="O5" s="136">
        <f>AVERAGE('Financial Analysis'!F32:K32)</f>
        <v>0.35951909270847643</v>
      </c>
      <c r="P5" s="138">
        <f>AVERAGE('Financial Analysis'!F110:K110)</f>
        <v>7.4632281871405199</v>
      </c>
      <c r="Q5" s="138">
        <f>AVERAGE(Analysis2!F47:K47)</f>
        <v>0.21865533966648373</v>
      </c>
      <c r="R5" s="138">
        <f>AVERAGE(F54:K54)</f>
        <v>6.0155977131193126</v>
      </c>
      <c r="S5" s="139">
        <f>AVERAGE(F49:K49)</f>
        <v>1.5094494769511775</v>
      </c>
      <c r="T5" s="138">
        <f>AVERAGE(F51:K51)</f>
        <v>12.55830155169302</v>
      </c>
      <c r="U5" s="138"/>
      <c r="V5" s="138"/>
      <c r="W5" s="138"/>
      <c r="X5" s="308">
        <f>AVERAGE('Financial Analysis'!B34:K34)</f>
        <v>2.7252676528280419E-2</v>
      </c>
      <c r="Y5" s="139">
        <f>AVERAGE('Financial Analysis'!F33:K33)</f>
        <v>0.13955105675628701</v>
      </c>
      <c r="Z5" s="138">
        <f>AVERAGE('Financial Analysis'!F74:K74)</f>
        <v>0.25300311462303676</v>
      </c>
      <c r="AA5" s="139">
        <f>AVERAGE('Financial Analysis'!F68:K68)</f>
        <v>5.9397307230617508E-2</v>
      </c>
      <c r="AB5" s="138">
        <f>AVERAGE('Financial Analysis'!F75:K75)</f>
        <v>1.3248202011749586</v>
      </c>
      <c r="AC5" s="139">
        <f>AVERAGE('Financial Analysis'!F72:K72)</f>
        <v>7.912174131938822E-2</v>
      </c>
      <c r="AD5" s="139">
        <f>AVERAGE('Financial Analysis'!F70:K70)</f>
        <v>0.11311792221307665</v>
      </c>
      <c r="AE5" s="136"/>
      <c r="AF5" s="136"/>
      <c r="AG5" s="136"/>
      <c r="AH5" s="136"/>
      <c r="AI5" s="136"/>
    </row>
    <row r="6" spans="1:35" ht="12.75" customHeight="1" x14ac:dyDescent="0.2">
      <c r="A6" s="140" t="s">
        <v>393</v>
      </c>
      <c r="B6" s="141">
        <f>'Data Sheet'!B8/'Profit &amp; Loss'!L13</f>
        <v>-0.65943637916310849</v>
      </c>
      <c r="C6" s="141">
        <f>Other_input_data!K71</f>
        <v>0.50789671592485119</v>
      </c>
      <c r="D6" s="141">
        <f>Other_input_data!L75</f>
        <v>-2.1396221172547927</v>
      </c>
      <c r="E6" s="141">
        <f>Other_input_data!L74</f>
        <v>0.6368659793814434</v>
      </c>
      <c r="F6" s="142">
        <f>Other_input_data!L76</f>
        <v>0</v>
      </c>
      <c r="G6" s="143">
        <f>Other_input_data!L77</f>
        <v>0.43000000000000682</v>
      </c>
      <c r="H6" s="142">
        <f>'Financial Analysis'!L61</f>
        <v>-0.72635954894383448</v>
      </c>
      <c r="I6" s="141">
        <f>'Financial Analysis'!L126</f>
        <v>3.6042176136727807E-4</v>
      </c>
      <c r="J6" s="142">
        <f>1/B6</f>
        <v>-1.5164465164465164</v>
      </c>
      <c r="K6" s="142">
        <f>'Financial Analysis'!L27</f>
        <v>1.5936494845360827</v>
      </c>
      <c r="L6" s="142">
        <f>L60</f>
        <v>0.37166196913963606</v>
      </c>
      <c r="M6" s="142"/>
      <c r="N6" s="142">
        <f>'Financial Analysis'!L31</f>
        <v>-0.96577319587628874</v>
      </c>
      <c r="O6" s="142">
        <f>'Financial Analysis'!L32</f>
        <v>0.58348736906962417</v>
      </c>
      <c r="P6" s="144">
        <f>'Financial Analysis'!L110</f>
        <v>2.3468660968660973</v>
      </c>
      <c r="Q6" s="144">
        <f>Analysis2!L47</f>
        <v>0.15107682908202227</v>
      </c>
      <c r="R6" s="144">
        <f>K54</f>
        <v>7.6536964980544759</v>
      </c>
      <c r="S6" s="145">
        <f>K49</f>
        <v>1.3070271819614963</v>
      </c>
      <c r="T6" s="144">
        <f>K51</f>
        <v>7.5500406057421294</v>
      </c>
      <c r="U6" s="144"/>
      <c r="V6" s="144"/>
      <c r="W6" s="144"/>
      <c r="X6" s="309">
        <f>'Financial Analysis'!K34</f>
        <v>2.0685042755457888E-2</v>
      </c>
      <c r="Y6" s="145">
        <f>'Financial Analysis'!K33</f>
        <v>0.27282281564993072</v>
      </c>
      <c r="Z6" s="144">
        <f>'Financial Analysis'!L74</f>
        <v>0.2633976319001422</v>
      </c>
      <c r="AA6" s="145">
        <f>'Financial Analysis'!K68</f>
        <v>8.5186163854390796E-3</v>
      </c>
      <c r="AB6" s="144">
        <f>'Financial Analysis'!K75</f>
        <v>1.2138842217809682</v>
      </c>
      <c r="AC6" s="145">
        <f>'Financial Analysis'!K72</f>
        <v>1.0340614021689322E-2</v>
      </c>
      <c r="AD6" s="145">
        <f>'Financial Analysis'!K70</f>
        <v>4.3722880535024752E-2</v>
      </c>
      <c r="AE6" s="142"/>
      <c r="AF6" s="142"/>
      <c r="AG6" s="142"/>
      <c r="AH6" s="142"/>
      <c r="AI6" s="142"/>
    </row>
    <row r="7" spans="1:35" ht="12.75" customHeight="1" x14ac:dyDescent="0.2">
      <c r="A7" s="134" t="s">
        <v>394</v>
      </c>
      <c r="B7" s="146">
        <f>(B5-B6)/B5</f>
        <v>1.0243287199889346</v>
      </c>
      <c r="C7" s="146">
        <f>(C5-C6)/C5</f>
        <v>0.73396967588112894</v>
      </c>
      <c r="D7" s="146">
        <f>(D5-D6)/D5</f>
        <v>1.2086640660535726</v>
      </c>
      <c r="E7" s="146">
        <f>(E5-E6)/E5</f>
        <v>0.88779502357456874</v>
      </c>
      <c r="F7" s="147"/>
      <c r="G7" s="147"/>
      <c r="H7" s="147"/>
      <c r="I7" s="146">
        <f>1-I6-(B6/100)</f>
        <v>1.0062339420302637</v>
      </c>
      <c r="J7" s="146">
        <f>(J6-J5)/J6</f>
        <v>1.0243287199889346</v>
      </c>
      <c r="K7" s="148">
        <f>K5-K6</f>
        <v>-1.086333032982463</v>
      </c>
      <c r="L7" s="148">
        <f>L6-L5</f>
        <v>-0.16658333723763524</v>
      </c>
      <c r="M7" s="148"/>
      <c r="N7" s="148">
        <f>N6-N5</f>
        <v>-1.2009563134206018</v>
      </c>
      <c r="O7" s="148">
        <f>O5-O6</f>
        <v>-0.22396827636114774</v>
      </c>
      <c r="P7" s="149" t="str">
        <f>IF(P6&gt;4,"Positive","Negative")</f>
        <v>Negative</v>
      </c>
      <c r="Q7" s="149" t="str">
        <f>IF(Q6&lt;0.5,"Positive","Negative")</f>
        <v>Positive</v>
      </c>
      <c r="R7" s="149" t="str">
        <f>IF(R6&gt;1,"Positive","Negative")</f>
        <v>Positive</v>
      </c>
      <c r="S7" s="148">
        <f>S5-S6</f>
        <v>0.20242229498968123</v>
      </c>
      <c r="T7" s="150">
        <f>T5-T6</f>
        <v>5.0082609459508909</v>
      </c>
      <c r="U7" s="149"/>
      <c r="V7" s="149"/>
      <c r="W7" s="149"/>
      <c r="X7" s="151">
        <f>X5-X6</f>
        <v>6.5676337728225315E-3</v>
      </c>
      <c r="Y7" s="151">
        <f>Y5-Y6</f>
        <v>-0.1332717588936437</v>
      </c>
      <c r="Z7" s="151">
        <f>Z6-Z5</f>
        <v>1.0394517277105442E-2</v>
      </c>
      <c r="AA7" s="151">
        <f>AA6-AA5</f>
        <v>-5.0878690845178431E-2</v>
      </c>
      <c r="AB7" s="151">
        <f>AB5-AB6</f>
        <v>0.11093597939399036</v>
      </c>
      <c r="AC7" s="151">
        <f>AC6-AC5</f>
        <v>-6.8781127297698891E-2</v>
      </c>
      <c r="AD7" s="151">
        <f>AD6-AD5</f>
        <v>-6.9395041678051897E-2</v>
      </c>
      <c r="AE7" s="149"/>
      <c r="AF7" s="149"/>
      <c r="AG7" s="149"/>
      <c r="AH7" s="149"/>
      <c r="AI7" s="149"/>
    </row>
    <row r="8" spans="1:35" ht="12.75" customHeight="1" x14ac:dyDescent="0.2">
      <c r="A8" s="134" t="s">
        <v>395</v>
      </c>
      <c r="B8" s="146">
        <f>(10-B6)/10</f>
        <v>1.065943637916311</v>
      </c>
      <c r="C8" s="147"/>
      <c r="D8" s="147"/>
      <c r="E8" s="147"/>
      <c r="F8" s="147"/>
      <c r="G8" s="147"/>
      <c r="H8" s="147"/>
      <c r="I8" s="146">
        <f>(1-I6)/1</f>
        <v>0.9996395782386327</v>
      </c>
      <c r="J8" s="146">
        <f>(J6-0.08)/0.08</f>
        <v>-19.955581455581456</v>
      </c>
    </row>
    <row r="9" spans="1:35" ht="8.25" customHeight="1" x14ac:dyDescent="0.2">
      <c r="A9" s="152"/>
      <c r="B9" s="152"/>
      <c r="C9" s="152"/>
      <c r="D9" s="152"/>
      <c r="E9" s="153"/>
      <c r="F9" s="154"/>
      <c r="G9" s="154"/>
      <c r="H9" s="154"/>
      <c r="I9" s="154"/>
      <c r="J9" s="154"/>
      <c r="K9" s="154"/>
      <c r="L9" s="154"/>
      <c r="M9" s="154"/>
      <c r="N9" s="154"/>
      <c r="O9" s="154"/>
    </row>
    <row r="10" spans="1:35" ht="13.5" customHeight="1" x14ac:dyDescent="0.2">
      <c r="A10" s="155"/>
      <c r="B10" s="155" t="s">
        <v>570</v>
      </c>
      <c r="C10" s="155" t="s">
        <v>396</v>
      </c>
      <c r="D10" s="155" t="s">
        <v>397</v>
      </c>
      <c r="E10" s="155" t="s">
        <v>398</v>
      </c>
      <c r="F10" s="156" t="s">
        <v>304</v>
      </c>
      <c r="G10" s="156" t="s">
        <v>116</v>
      </c>
      <c r="H10" s="156" t="s">
        <v>399</v>
      </c>
      <c r="I10" s="156" t="s">
        <v>222</v>
      </c>
      <c r="J10" s="156" t="s">
        <v>400</v>
      </c>
      <c r="K10" s="156" t="s">
        <v>401</v>
      </c>
      <c r="L10" s="156" t="s">
        <v>305</v>
      </c>
      <c r="M10" s="156" t="s">
        <v>402</v>
      </c>
      <c r="N10" s="156" t="s">
        <v>403</v>
      </c>
      <c r="O10" s="156" t="s">
        <v>404</v>
      </c>
      <c r="P10" s="156" t="s">
        <v>405</v>
      </c>
      <c r="Q10" s="156" t="s">
        <v>406</v>
      </c>
    </row>
    <row r="11" spans="1:35" ht="13.5" customHeight="1" x14ac:dyDescent="0.2">
      <c r="A11" s="157" t="s">
        <v>407</v>
      </c>
      <c r="B11" s="158">
        <f>AVERAGE('Financial Analysis'!D107:L107)</f>
        <v>5.7420330626862279</v>
      </c>
      <c r="C11" s="158">
        <f>Other_input_data!K41-Other_input_data!B41</f>
        <v>655.18000000000006</v>
      </c>
      <c r="D11" s="158">
        <f>Other_input_data!K36-Other_input_data!B36</f>
        <v>332.51997991600007</v>
      </c>
      <c r="E11" s="159">
        <f>D11/C11</f>
        <v>0.50752461906041091</v>
      </c>
      <c r="F11" s="132">
        <f>SUM('Data Sheet'!B82:K82)</f>
        <v>86.720000000000013</v>
      </c>
      <c r="G11" s="132">
        <f>SUM('Data Sheet'!B30:K30)</f>
        <v>178.19</v>
      </c>
      <c r="H11" s="160">
        <f>F11/G11</f>
        <v>0.48667153038891081</v>
      </c>
      <c r="I11" s="132">
        <f>SUM('Financial Analysis'!C45:K45)</f>
        <v>588.18000000000006</v>
      </c>
      <c r="J11" s="144">
        <f>SUM('Data Sheet'!B31:K31)</f>
        <v>21.91</v>
      </c>
      <c r="K11" s="144">
        <f>F11-I11</f>
        <v>-501.46000000000004</v>
      </c>
      <c r="L11" s="161">
        <f>F11-I11-J11</f>
        <v>-523.37</v>
      </c>
      <c r="M11" s="125">
        <f>K11/F11</f>
        <v>-5.7825184501845017</v>
      </c>
      <c r="N11" s="146">
        <f>'Financial Analysis'!N3</f>
        <v>1.6007819007836837</v>
      </c>
      <c r="O11" s="146" t="e">
        <f>'Financial Analysis'!N8</f>
        <v>#NUM!</v>
      </c>
      <c r="P11" s="162" t="str">
        <f>'Financial Analysis'!N13</f>
        <v>NA</v>
      </c>
      <c r="Q11" s="162" t="str">
        <f>'Financial Analysis'!N14</f>
        <v>NA</v>
      </c>
    </row>
    <row r="12" spans="1:35" ht="13.5" customHeight="1" x14ac:dyDescent="0.2">
      <c r="A12" s="157" t="s">
        <v>408</v>
      </c>
      <c r="B12" s="158">
        <f>AVERAGE('Financial Analysis'!H107:L107)</f>
        <v>-11.930115515602292</v>
      </c>
      <c r="C12" s="158">
        <f>Other_input_data!K41-Other_input_data!F41</f>
        <v>532.05000000000007</v>
      </c>
      <c r="D12" s="158">
        <f>Other_input_data!K36-Other_input_data!G36</f>
        <v>-379.98482099400002</v>
      </c>
      <c r="E12" s="159">
        <f>D12/C12</f>
        <v>-0.71419005919368472</v>
      </c>
      <c r="F12" s="130">
        <f>SUM('Data Sheet'!G82:K82)</f>
        <v>74.220000000000013</v>
      </c>
      <c r="G12" s="130">
        <f>SUM('Data Sheet'!G30:K30)</f>
        <v>166.56</v>
      </c>
      <c r="H12" s="160">
        <f t="shared" ref="H12:H13" si="0">F12/G12</f>
        <v>0.4456051873198848</v>
      </c>
      <c r="I12" s="130">
        <f>SUM('Financial Analysis'!G45:K45)</f>
        <v>464.67</v>
      </c>
      <c r="J12" s="144">
        <f>SUM('Data Sheet'!G31:K31)</f>
        <v>21.91</v>
      </c>
      <c r="K12" s="144">
        <f t="shared" ref="K12:K14" si="1">F12-I12</f>
        <v>-390.45</v>
      </c>
      <c r="L12" s="161">
        <f>F12-I12-J12</f>
        <v>-412.36</v>
      </c>
      <c r="M12" s="125">
        <f>K12/F12</f>
        <v>-5.2607113985448652</v>
      </c>
      <c r="N12" s="146">
        <f>'Financial Analysis'!O3</f>
        <v>0.51976213100540969</v>
      </c>
      <c r="O12" s="146">
        <f>'Financial Analysis'!O8</f>
        <v>-0.1960556328150963</v>
      </c>
      <c r="P12" s="162">
        <f>'Financial Analysis'!O13</f>
        <v>0.64273202294497644</v>
      </c>
      <c r="Q12" s="162">
        <f>'Financial Analysis'!O14</f>
        <v>4.3635294443927997E-2</v>
      </c>
    </row>
    <row r="13" spans="1:35" ht="13.5" customHeight="1" x14ac:dyDescent="0.2">
      <c r="A13" s="157" t="s">
        <v>409</v>
      </c>
      <c r="B13" s="158">
        <f>AVERAGE('Financial Analysis'!J107:L107)</f>
        <v>-8.0287045725583592</v>
      </c>
      <c r="C13" s="158">
        <f>Other_input_data!K41-Other_input_data!H41</f>
        <v>321.34000000000003</v>
      </c>
      <c r="D13" s="158">
        <f>Other_input_data!K36-Other_input_data!I36</f>
        <v>-764.85199669400004</v>
      </c>
      <c r="E13" s="159">
        <f>D13/C13</f>
        <v>-2.3801954213418806</v>
      </c>
      <c r="F13" s="132">
        <f>SUM('Data Sheet'!I82:K82)</f>
        <v>81.680000000000007</v>
      </c>
      <c r="G13" s="132">
        <f>SUM('Data Sheet'!I30:K30)</f>
        <v>111.55999999999999</v>
      </c>
      <c r="H13" s="160">
        <f t="shared" si="0"/>
        <v>0.7321620652563644</v>
      </c>
      <c r="I13" s="132">
        <f>SUM('Financial Analysis'!I45:K45)</f>
        <v>362.86</v>
      </c>
      <c r="J13" s="144">
        <f>SUM('Data Sheet'!I31:K31)</f>
        <v>14.040000000000001</v>
      </c>
      <c r="K13" s="144">
        <f t="shared" si="1"/>
        <v>-281.18</v>
      </c>
      <c r="L13" s="161">
        <f>F13-I13-J13</f>
        <v>-295.22000000000003</v>
      </c>
      <c r="M13" s="125">
        <f>K13/F13</f>
        <v>-3.4424583741429968</v>
      </c>
      <c r="N13" s="146">
        <f>'Financial Analysis'!P3</f>
        <v>0.35341386369961603</v>
      </c>
      <c r="O13" s="146">
        <f>'Financial Analysis'!P8</f>
        <v>-0.58454119204377419</v>
      </c>
      <c r="P13" s="162">
        <f>'Financial Analysis'!P13</f>
        <v>0.40332118377354598</v>
      </c>
      <c r="Q13" s="162">
        <f>'Financial Analysis'!P14</f>
        <v>8.9174627809064377E-2</v>
      </c>
    </row>
    <row r="14" spans="1:35" ht="13.5" customHeight="1" x14ac:dyDescent="0.2">
      <c r="A14" s="157" t="s">
        <v>410</v>
      </c>
      <c r="B14" s="158">
        <f>'Financial Analysis'!L107</f>
        <v>-26.432430835930049</v>
      </c>
      <c r="C14" s="158">
        <f>Other_input_data!K41-Other_input_data!J41</f>
        <v>9.9800000000000182</v>
      </c>
      <c r="D14" s="158">
        <f>Other_input_data!K36-Other_input_data!J36</f>
        <v>-1366.0017243400002</v>
      </c>
      <c r="E14" s="159">
        <f>D14/C14</f>
        <v>-136.87392027454888</v>
      </c>
      <c r="F14" s="144">
        <f>'Data Sheet'!K82</f>
        <v>-12.58</v>
      </c>
      <c r="G14" s="144">
        <f>'Data Sheet'!K30</f>
        <v>6.77</v>
      </c>
      <c r="H14" s="160">
        <f>F14/G14</f>
        <v>-1.8581979320531758</v>
      </c>
      <c r="I14" s="144">
        <f>'Financial Analysis'!K45</f>
        <v>168.06</v>
      </c>
      <c r="J14" s="144">
        <f>'Data Sheet'!K31</f>
        <v>0</v>
      </c>
      <c r="K14" s="144">
        <f t="shared" si="1"/>
        <v>-180.64000000000001</v>
      </c>
      <c r="L14" s="161">
        <f>F14-I14-J14</f>
        <v>-180.64000000000001</v>
      </c>
      <c r="M14" s="125">
        <f>K14/F14</f>
        <v>14.359300476947537</v>
      </c>
      <c r="N14" s="146">
        <f>'Financial Analysis'!K3</f>
        <v>9.0624246806460546E-3</v>
      </c>
      <c r="O14" s="146">
        <f>'Financial Analysis'!K8</f>
        <v>-0.8887793658616725</v>
      </c>
      <c r="P14" s="162">
        <f>'Financial Analysis'!L13</f>
        <v>0.37614457831325299</v>
      </c>
      <c r="Q14" s="162">
        <f>'Financial Analysis'!L14</f>
        <v>-0.16890595009596926</v>
      </c>
    </row>
    <row r="15" spans="1:35" ht="11.25" customHeight="1" x14ac:dyDescent="0.2">
      <c r="A15" s="375" t="s">
        <v>411</v>
      </c>
      <c r="B15" s="375"/>
      <c r="C15" s="375"/>
      <c r="D15" s="375"/>
      <c r="E15" s="153"/>
      <c r="F15" s="154"/>
      <c r="G15" s="154"/>
      <c r="H15" s="154"/>
      <c r="I15" s="154"/>
      <c r="J15" s="154"/>
      <c r="K15" s="154"/>
      <c r="L15" s="154"/>
      <c r="M15" s="154"/>
      <c r="N15" s="154"/>
      <c r="O15" s="154"/>
    </row>
    <row r="16" spans="1:35" ht="6.75" customHeight="1" x14ac:dyDescent="0.2">
      <c r="A16" s="163"/>
      <c r="B16" s="163"/>
      <c r="C16" s="163"/>
      <c r="D16" s="163"/>
      <c r="E16" s="163"/>
      <c r="F16" s="163"/>
      <c r="G16" s="163"/>
      <c r="H16" s="163"/>
      <c r="I16" s="163"/>
      <c r="J16" s="163"/>
    </row>
    <row r="17" spans="1:20" ht="14.25" customHeight="1" x14ac:dyDescent="0.2">
      <c r="A17" s="257" t="str">
        <f>'Data Sheet'!A1</f>
        <v>COMPANY NAME</v>
      </c>
      <c r="B17" s="164" t="s">
        <v>412</v>
      </c>
      <c r="C17" s="164" t="s">
        <v>413</v>
      </c>
      <c r="D17" s="164" t="s">
        <v>114</v>
      </c>
      <c r="E17" s="164" t="s">
        <v>116</v>
      </c>
      <c r="F17" s="164" t="s">
        <v>414</v>
      </c>
      <c r="G17" s="164" t="s">
        <v>415</v>
      </c>
      <c r="H17" s="164" t="s">
        <v>416</v>
      </c>
      <c r="I17" s="164" t="s">
        <v>417</v>
      </c>
      <c r="J17" s="164" t="s">
        <v>418</v>
      </c>
      <c r="K17" s="164" t="s">
        <v>417</v>
      </c>
      <c r="L17" s="164" t="s">
        <v>419</v>
      </c>
      <c r="M17" s="164" t="s">
        <v>304</v>
      </c>
      <c r="N17" s="164" t="s">
        <v>305</v>
      </c>
      <c r="O17" s="164" t="s">
        <v>420</v>
      </c>
      <c r="P17" s="164" t="s">
        <v>421</v>
      </c>
      <c r="Q17" s="164" t="s">
        <v>422</v>
      </c>
      <c r="S17" s="165" t="s">
        <v>423</v>
      </c>
      <c r="T17" s="165"/>
    </row>
    <row r="18" spans="1:20" ht="10.5" customHeight="1" x14ac:dyDescent="0.2">
      <c r="A18" s="166" t="s">
        <v>424</v>
      </c>
      <c r="B18" s="146">
        <f>POWER(Other_input_data!K25/Other_input_data!B25,1/9)-1</f>
        <v>1.3387363988167467</v>
      </c>
      <c r="C18" s="146">
        <f>POWER(Other_input_data!K27/Other_input_data!B27,1/9)-1</f>
        <v>1.3387363988167467</v>
      </c>
      <c r="D18" s="146">
        <f>POWER(Other_input_data!K30/Other_input_data!B30,1/9)-1</f>
        <v>-2.5962559929863671</v>
      </c>
      <c r="E18" s="146">
        <f>POWER(Other_input_data!K34/Other_input_data!B34,1/9)-1</f>
        <v>-2.3390028847221607</v>
      </c>
      <c r="F18" s="167">
        <f>IFERROR(POWER(Other_input_data!K35/Other_input_data!B35,1/9)-1,0)</f>
        <v>0</v>
      </c>
      <c r="G18" s="167">
        <f>AVERAGE(B70:K70)</f>
        <v>0.45666592178772109</v>
      </c>
      <c r="H18" s="167">
        <f>L74</f>
        <v>1.890079798009699E-2</v>
      </c>
      <c r="I18" s="167">
        <f>POWER(K87/B87,1/9)-1</f>
        <v>0.71579446881946085</v>
      </c>
      <c r="J18" s="167">
        <f>SUM(B87:K87)/SUM('Data Sheet'!B17:K17)</f>
        <v>-0.10468534627064419</v>
      </c>
      <c r="K18" s="167">
        <f>POWER(K87/B87,1/9)-1</f>
        <v>0.71579446881946085</v>
      </c>
      <c r="L18" s="167" t="e">
        <f>POWER(K89/B89,1/9)-1</f>
        <v>#DIV/0!</v>
      </c>
      <c r="M18" s="146">
        <f>(Other_input_data!K61/Other_input_data!B61)^(1/9)-1</f>
        <v>0.40757814929511804</v>
      </c>
      <c r="N18" s="146">
        <f>(Other_input_data!K62/Other_input_data!B61)^(1/9)-1</f>
        <v>0.89253047346492931</v>
      </c>
      <c r="O18" s="168">
        <f>(Other_input_data!K41/Other_input_data!B41)^(1/9)-1</f>
        <v>-3.2300327121790575</v>
      </c>
      <c r="P18" s="168" t="e">
        <f>(Other_input_data!K66/Other_input_data!C66)^(1/9)-1</f>
        <v>#DIV/0!</v>
      </c>
      <c r="S18" s="169" t="s">
        <v>425</v>
      </c>
      <c r="T18" s="170">
        <v>0.1</v>
      </c>
    </row>
    <row r="19" spans="1:20" ht="10.5" customHeight="1" x14ac:dyDescent="0.2">
      <c r="A19" s="166" t="s">
        <v>426</v>
      </c>
      <c r="B19" s="146">
        <f>POWER(Other_input_data!K25/Other_input_data!F25,1/5)-1</f>
        <v>0.39772101509900781</v>
      </c>
      <c r="C19" s="146">
        <f>POWER(Other_input_data!K27/Other_input_data!F27,1/5)-1</f>
        <v>0.39772101509900781</v>
      </c>
      <c r="D19" s="146">
        <f>POWER(Other_input_data!K30/Other_input_data!F30,1/5)-1</f>
        <v>0.17247395226083695</v>
      </c>
      <c r="E19" s="146">
        <f>POWER(Other_input_data!K34/Other_input_data!F34,1/5)-1</f>
        <v>-5.9219356368337972E-2</v>
      </c>
      <c r="F19" s="167">
        <f>IFERROR(POWER(Other_input_data!K35/Other_input_data!F35,1/5)-1,0)</f>
        <v>0</v>
      </c>
      <c r="G19" s="167">
        <f>AVERAGE(G70:K70)</f>
        <v>7.8872009384664613E-2</v>
      </c>
      <c r="H19" s="167">
        <f>L73</f>
        <v>6.3639925067792459E-3</v>
      </c>
      <c r="I19" s="167">
        <f>POWER(K87/F87,1/5)-1</f>
        <v>0.54565032796015811</v>
      </c>
      <c r="J19" s="167">
        <f>SUM(G87:K87)/SUM('Data Sheet'!G17:K17)</f>
        <v>-9.3308402240125765E-2</v>
      </c>
      <c r="K19" s="167">
        <f>POWER(K87/F87,1/5)-1</f>
        <v>0.54565032796015811</v>
      </c>
      <c r="L19" s="167">
        <f>POWER(K89/G89,1/5)-1</f>
        <v>-0.14137013497153483</v>
      </c>
      <c r="M19" s="146">
        <f>(Other_input_data!K61/Other_input_data!F61)^(1/5)-1</f>
        <v>-2.0336766054780742</v>
      </c>
      <c r="N19" s="146">
        <f>(Other_input_data!K62/Other_input_data!F62)^(1/5)-1</f>
        <v>0.32681552417088833</v>
      </c>
      <c r="O19" s="168">
        <f>(Other_input_data!K41/Other_input_data!F41)^(1/5)-1</f>
        <v>0.39789630738711379</v>
      </c>
      <c r="P19" s="168">
        <f>(Other_input_data!K66/Other_input_data!G66)^(1/5)-1</f>
        <v>-0.13704486535965188</v>
      </c>
      <c r="S19" s="171" t="s">
        <v>427</v>
      </c>
      <c r="T19" s="125">
        <f>('Profit &amp; Loss'!K10/'Data Sheet'!K93)/T18</f>
        <v>38.359069440645825</v>
      </c>
    </row>
    <row r="20" spans="1:20" ht="10.5" customHeight="1" x14ac:dyDescent="0.2">
      <c r="A20" s="166" t="s">
        <v>428</v>
      </c>
      <c r="B20" s="146">
        <f>POWER(Other_input_data!K25/Other_input_data!H25,1/3)-1</f>
        <v>0.22354631648631518</v>
      </c>
      <c r="C20" s="146">
        <f>POWER(Other_input_data!K27/Other_input_data!H27,1/3)-1</f>
        <v>0.22354631648631518</v>
      </c>
      <c r="D20" s="146">
        <f>POWER(Other_input_data!K30/Other_input_data!H30,1/3)-1</f>
        <v>-0.15931220820128589</v>
      </c>
      <c r="E20" s="146">
        <f>POWER(Other_input_data!K34/Other_input_data!H34,1/3)-1</f>
        <v>-0.41188156430876388</v>
      </c>
      <c r="F20" s="167">
        <f>IFERROR(POWER(Other_input_data!K35/Other_input_data!H35,1/3)-1,0)</f>
        <v>-1</v>
      </c>
      <c r="G20" s="167">
        <f>AVERAGE(I70:K70)</f>
        <v>7.1638004966943822E-2</v>
      </c>
      <c r="I20" s="167">
        <f>POWER(K87/H87,1/3)-1</f>
        <v>2.0538534453385053</v>
      </c>
      <c r="J20" s="167">
        <f>SUM(I87:K87)/SUM('Data Sheet'!I17:K17)</f>
        <v>-0.11253187195385635</v>
      </c>
      <c r="K20" s="167">
        <f>POWER(K87/H87,1/3)-1</f>
        <v>2.0538534453385053</v>
      </c>
      <c r="L20" s="167">
        <f>POWER(K89/H89,1/3)-1</f>
        <v>-0.28884111699751891</v>
      </c>
      <c r="M20" s="146">
        <f>(Other_input_data!K61/Other_input_data!H61)^(1/3)-1</f>
        <v>-3.178352046959787E-2</v>
      </c>
      <c r="N20" s="146">
        <f>(Other_input_data!K62/Other_input_data!H62)^(1/3)-1</f>
        <v>0.40299651358078648</v>
      </c>
      <c r="O20" s="168">
        <f>(Other_input_data!K41/Other_input_data!H41)^(1/3)-1</f>
        <v>0.25230356762799255</v>
      </c>
      <c r="P20" s="168">
        <f>(Other_input_data!K66/Other_input_data!I66)^(1/3)-1</f>
        <v>-0.32360677699343166</v>
      </c>
      <c r="S20" s="172" t="s">
        <v>429</v>
      </c>
      <c r="T20" s="126">
        <f>('Profit &amp; Loss'!K10/'Data Sheet'!K93)/'Data Sheet'!B8</f>
        <v>0.21018668186655246</v>
      </c>
    </row>
    <row r="21" spans="1:20" ht="10.5" customHeight="1" x14ac:dyDescent="0.2">
      <c r="A21" s="166" t="s">
        <v>430</v>
      </c>
      <c r="B21" s="146">
        <f>POWER(Other_input_data!K25/Other_input_data!J25,1/1)-1</f>
        <v>9.0624246806461084E-3</v>
      </c>
      <c r="C21" s="146">
        <f>POWER(Other_input_data!K27/Other_input_data!J27,1/1)-1</f>
        <v>9.0624246806461084E-3</v>
      </c>
      <c r="D21" s="146">
        <f>POWER(Other_input_data!K30/Other_input_data!J30,1/1)-1</f>
        <v>-0.6667677380230439</v>
      </c>
      <c r="E21" s="146">
        <f>POWER(Other_input_data!K34/Other_input_data!J34,1/1)-1</f>
        <v>-0.88861508132084721</v>
      </c>
      <c r="F21" s="173">
        <f>POWER(Other_input_data!K35/Other_input_data!J35,1/1)-1</f>
        <v>-1</v>
      </c>
      <c r="G21" s="167">
        <f>K70</f>
        <v>1.825360393511034E-2</v>
      </c>
      <c r="I21" s="167">
        <f>POWER(K87/J87,1/1)-1</f>
        <v>14.495977995491787</v>
      </c>
      <c r="J21" s="167">
        <f>K87/'Data Sheet'!K17</f>
        <v>-0.29429561715215924</v>
      </c>
      <c r="K21" s="167">
        <f>POWER(K87/J87,1/1)-1</f>
        <v>14.495977995491787</v>
      </c>
      <c r="L21" s="167">
        <f>POWER(K89/J89,1/1)-1</f>
        <v>-0.80422977281785568</v>
      </c>
      <c r="M21" s="146">
        <f>(Other_input_data!K61/Other_input_data!J61)^(1/1)-1</f>
        <v>-1.2131480853947814</v>
      </c>
      <c r="N21" s="146">
        <f>(Other_input_data!K62/Other_input_data!J62)^(1/1)-1</f>
        <v>3.7201463287170125</v>
      </c>
      <c r="O21" s="168">
        <f>(Other_input_data!K41/Other_input_data!J41)^(1/1)-1</f>
        <v>1.5479588038218139E-2</v>
      </c>
      <c r="P21" s="168">
        <f>(Other_input_data!K66/Other_input_data!J66)^(1/1)-1</f>
        <v>-0.79990632069412215</v>
      </c>
    </row>
    <row r="22" spans="1:20" s="178" customFormat="1" ht="9" customHeight="1" x14ac:dyDescent="0.2">
      <c r="A22" s="174"/>
      <c r="B22" s="175"/>
      <c r="C22" s="175"/>
      <c r="D22" s="175"/>
      <c r="E22" s="175"/>
      <c r="F22" s="176"/>
      <c r="G22" s="176"/>
      <c r="H22" s="176"/>
      <c r="I22" s="175"/>
      <c r="J22" s="175"/>
      <c r="K22" s="177"/>
      <c r="L22" s="177"/>
    </row>
    <row r="23" spans="1:20" s="178" customFormat="1" ht="26.25" customHeight="1" x14ac:dyDescent="0.2">
      <c r="A23" s="179" t="s">
        <v>431</v>
      </c>
      <c r="B23" s="179" t="s">
        <v>432</v>
      </c>
      <c r="C23" s="179" t="s">
        <v>135</v>
      </c>
      <c r="D23" s="179" t="s">
        <v>433</v>
      </c>
      <c r="E23" s="179" t="s">
        <v>267</v>
      </c>
      <c r="F23" s="179" t="s">
        <v>434</v>
      </c>
      <c r="G23" s="179" t="s">
        <v>435</v>
      </c>
      <c r="H23" s="179" t="s">
        <v>314</v>
      </c>
      <c r="I23" s="179" t="s">
        <v>436</v>
      </c>
      <c r="J23" s="179" t="s">
        <v>437</v>
      </c>
      <c r="K23" s="179" t="s">
        <v>438</v>
      </c>
      <c r="L23" s="179" t="s">
        <v>439</v>
      </c>
    </row>
    <row r="24" spans="1:20" s="178" customFormat="1" ht="15.75" customHeight="1" x14ac:dyDescent="0.2">
      <c r="A24" s="147">
        <f>1-'Financial Analysis'!K27</f>
        <v>0.30196340706062197</v>
      </c>
      <c r="B24" s="147">
        <f>'Financial Analysis'!K31</f>
        <v>3.2341279319734385E-2</v>
      </c>
      <c r="C24" s="147">
        <f>'Financial Analysis'!K32</f>
        <v>0.58348736906962417</v>
      </c>
      <c r="D24" s="147">
        <f>'Financial Analysis'!K33</f>
        <v>0.27282281564993072</v>
      </c>
      <c r="E24" s="147">
        <f>'Financial Analysis'!K34</f>
        <v>2.0685042755457888E-2</v>
      </c>
      <c r="F24" s="180">
        <f>Analysis2!K48</f>
        <v>1.9718899521531119</v>
      </c>
      <c r="G24" s="180">
        <f>K47</f>
        <v>0.15107682908202227</v>
      </c>
      <c r="H24" s="180">
        <f>K54</f>
        <v>7.6536964980544759</v>
      </c>
      <c r="I24" s="181">
        <f>F13/3</f>
        <v>27.22666666666667</v>
      </c>
      <c r="J24" s="182">
        <f>F12/G12</f>
        <v>0.4456051873198848</v>
      </c>
      <c r="K24" s="183">
        <f>IF(F12&lt;0,-M12,M12)</f>
        <v>-5.2607113985448652</v>
      </c>
      <c r="L24" s="184">
        <v>0.1847</v>
      </c>
    </row>
    <row r="25" spans="1:20" s="178" customFormat="1" ht="4.5" customHeight="1" x14ac:dyDescent="0.2">
      <c r="A25" s="175"/>
      <c r="B25" s="175"/>
      <c r="C25" s="175"/>
      <c r="D25" s="175"/>
      <c r="E25" s="175"/>
      <c r="F25" s="185"/>
      <c r="G25" s="185"/>
      <c r="H25" s="185"/>
      <c r="I25" s="186"/>
      <c r="J25" s="187"/>
      <c r="K25" s="188"/>
      <c r="L25" s="177"/>
    </row>
    <row r="26" spans="1:20" s="178" customFormat="1" ht="21.75" customHeight="1" x14ac:dyDescent="0.2">
      <c r="A26" s="179" t="s">
        <v>440</v>
      </c>
      <c r="B26" s="179" t="s">
        <v>441</v>
      </c>
      <c r="C26" s="179" t="s">
        <v>442</v>
      </c>
      <c r="D26" s="179" t="s">
        <v>443</v>
      </c>
      <c r="E26" s="179" t="s">
        <v>444</v>
      </c>
      <c r="F26" s="179" t="s">
        <v>445</v>
      </c>
      <c r="G26" s="179" t="s">
        <v>446</v>
      </c>
      <c r="H26" s="179" t="s">
        <v>447</v>
      </c>
      <c r="I26" s="179" t="s">
        <v>448</v>
      </c>
      <c r="J26" s="179" t="s">
        <v>449</v>
      </c>
      <c r="K26" s="179" t="s">
        <v>450</v>
      </c>
      <c r="L26" s="179" t="s">
        <v>451</v>
      </c>
      <c r="M26" s="179" t="s">
        <v>452</v>
      </c>
      <c r="N26" s="179" t="s">
        <v>453</v>
      </c>
      <c r="O26" s="179" t="s">
        <v>454</v>
      </c>
    </row>
    <row r="27" spans="1:20" s="178" customFormat="1" ht="13.5" customHeight="1" x14ac:dyDescent="0.2">
      <c r="A27" s="189">
        <f>B19</f>
        <v>0.39772101509900781</v>
      </c>
      <c r="B27" s="189">
        <f>E19</f>
        <v>-5.9219356368337972E-2</v>
      </c>
      <c r="C27" s="147">
        <f>'Financial Analysis'!O8</f>
        <v>-0.1960556328150963</v>
      </c>
      <c r="D27" s="189">
        <f>F19</f>
        <v>0</v>
      </c>
      <c r="E27" s="190"/>
      <c r="F27" s="191">
        <f>C27/A27</f>
        <v>-0.49294763256673935</v>
      </c>
      <c r="G27" s="192">
        <f>H5</f>
        <v>0.13460306333854155</v>
      </c>
      <c r="H27" s="192">
        <f>G19</f>
        <v>7.8872009384664613E-2</v>
      </c>
      <c r="I27" s="147">
        <f>H19</f>
        <v>6.3639925067792459E-3</v>
      </c>
      <c r="J27" s="147">
        <f>I19</f>
        <v>0.54565032796015811</v>
      </c>
      <c r="K27" s="193">
        <f>J19</f>
        <v>-9.3308402240125765E-2</v>
      </c>
      <c r="L27" s="194"/>
      <c r="M27" s="190"/>
      <c r="N27" s="190"/>
      <c r="O27" s="190"/>
    </row>
    <row r="28" spans="1:20" s="178" customFormat="1" ht="5.25" customHeight="1" x14ac:dyDescent="0.2">
      <c r="A28" s="195"/>
      <c r="B28" s="195"/>
      <c r="C28" s="175"/>
      <c r="D28" s="195"/>
      <c r="E28" s="196"/>
      <c r="F28" s="197"/>
      <c r="G28" s="198"/>
      <c r="H28" s="198"/>
      <c r="I28" s="175"/>
      <c r="J28" s="175"/>
      <c r="K28" s="199"/>
      <c r="L28" s="177"/>
      <c r="M28" s="196"/>
      <c r="N28" s="196"/>
      <c r="O28" s="196"/>
    </row>
    <row r="29" spans="1:20" s="178" customFormat="1" ht="27.75" customHeight="1" x14ac:dyDescent="0.2">
      <c r="A29" s="179" t="s">
        <v>139</v>
      </c>
      <c r="B29" s="179" t="s">
        <v>140</v>
      </c>
      <c r="C29" s="179" t="s">
        <v>455</v>
      </c>
      <c r="D29" s="179" t="s">
        <v>364</v>
      </c>
      <c r="E29" s="179" t="s">
        <v>365</v>
      </c>
      <c r="F29" s="179" t="s">
        <v>366</v>
      </c>
      <c r="G29" s="179" t="s">
        <v>240</v>
      </c>
      <c r="H29" s="179" t="s">
        <v>415</v>
      </c>
      <c r="I29" s="179" t="s">
        <v>416</v>
      </c>
      <c r="J29" s="179" t="s">
        <v>417</v>
      </c>
      <c r="K29" s="179" t="s">
        <v>418</v>
      </c>
      <c r="L29" s="179" t="s">
        <v>389</v>
      </c>
      <c r="M29" s="179" t="s">
        <v>569</v>
      </c>
      <c r="N29" s="179" t="s">
        <v>456</v>
      </c>
    </row>
    <row r="30" spans="1:20" s="178" customFormat="1" ht="15.75" customHeight="1" x14ac:dyDescent="0.2">
      <c r="A30" s="200">
        <f>B6</f>
        <v>-0.65943637916310849</v>
      </c>
      <c r="B30" s="150">
        <f>I6</f>
        <v>3.6042176136727807E-4</v>
      </c>
      <c r="C30" s="148">
        <f>J6</f>
        <v>-1.5164465164465164</v>
      </c>
      <c r="D30" s="150">
        <f>C6</f>
        <v>0.50789671592485119</v>
      </c>
      <c r="E30" s="150">
        <f>E6</f>
        <v>0.6368659793814434</v>
      </c>
      <c r="F30" s="148">
        <f>F6</f>
        <v>0</v>
      </c>
      <c r="G30" s="148">
        <f>H6</f>
        <v>-0.72635954894383448</v>
      </c>
      <c r="H30" s="151">
        <f>G21</f>
        <v>1.825360393511034E-2</v>
      </c>
      <c r="I30" s="201">
        <f>L74</f>
        <v>1.890079798009699E-2</v>
      </c>
      <c r="J30" s="151">
        <f>I21</f>
        <v>14.495977995491787</v>
      </c>
      <c r="K30" s="201">
        <f>J21</f>
        <v>-0.29429561715215924</v>
      </c>
      <c r="L30" s="149" t="s">
        <v>457</v>
      </c>
      <c r="M30" s="150">
        <f>H5/B19</f>
        <v>0.33843588402044522</v>
      </c>
      <c r="N30" s="190"/>
    </row>
    <row r="31" spans="1:20" s="178" customFormat="1" ht="6.75" customHeight="1" x14ac:dyDescent="0.2">
      <c r="A31" s="202"/>
      <c r="B31" s="203"/>
      <c r="C31" s="204"/>
      <c r="D31" s="203"/>
      <c r="E31" s="203"/>
      <c r="F31" s="204"/>
      <c r="G31" s="204"/>
      <c r="H31" s="205"/>
      <c r="I31" s="206"/>
      <c r="J31" s="205"/>
      <c r="K31" s="206"/>
      <c r="L31" s="207"/>
      <c r="M31" s="203"/>
    </row>
    <row r="32" spans="1:20" s="178" customFormat="1" ht="24.75" customHeight="1" x14ac:dyDescent="0.2">
      <c r="A32" s="179" t="s">
        <v>458</v>
      </c>
      <c r="B32" s="179" t="s">
        <v>459</v>
      </c>
      <c r="C32" s="179" t="s">
        <v>460</v>
      </c>
      <c r="D32" s="179" t="s">
        <v>461</v>
      </c>
      <c r="E32" s="179" t="s">
        <v>462</v>
      </c>
      <c r="F32" s="179" t="s">
        <v>463</v>
      </c>
      <c r="G32" s="179" t="s">
        <v>464</v>
      </c>
      <c r="H32" s="179" t="s">
        <v>465</v>
      </c>
      <c r="I32" s="179" t="s">
        <v>466</v>
      </c>
      <c r="J32" s="179" t="s">
        <v>467</v>
      </c>
      <c r="K32" s="179" t="s">
        <v>468</v>
      </c>
      <c r="L32" s="179" t="s">
        <v>469</v>
      </c>
      <c r="M32" s="179" t="s">
        <v>470</v>
      </c>
      <c r="N32" s="179" t="s">
        <v>471</v>
      </c>
      <c r="O32" s="179" t="s">
        <v>472</v>
      </c>
    </row>
    <row r="33" spans="1:35" s="178" customFormat="1" ht="13.5" customHeight="1" x14ac:dyDescent="0.2">
      <c r="A33" s="208" t="str">
        <f>IF(B19&lt;B21,"+VE","-VE")</f>
        <v>-VE</v>
      </c>
      <c r="B33" s="208" t="str">
        <f>IF(E19&lt;E21,"+VE","-VE")</f>
        <v>-VE</v>
      </c>
      <c r="C33" s="208" t="str">
        <f>IF(N6&lt;N5,"+VE","-VE")</f>
        <v>+VE</v>
      </c>
      <c r="D33" s="208" t="str">
        <f>IF(N6&gt;N5,"+VE","-VE")</f>
        <v>-VE</v>
      </c>
      <c r="E33" s="208" t="str">
        <f>IF(Y6&gt;Y5,"-VE","+VE")</f>
        <v>-VE</v>
      </c>
      <c r="F33" s="208" t="str">
        <f>IF(X6&gt;X5,"-VE","+VE")</f>
        <v>+VE</v>
      </c>
      <c r="G33" s="208" t="str">
        <f>IF(H6&gt;H5,"+VE","-VE")</f>
        <v>-VE</v>
      </c>
      <c r="H33" s="208" t="str">
        <f>IF(G21&gt;G20,"+VE","-VE")</f>
        <v>-VE</v>
      </c>
      <c r="I33" s="208" t="str">
        <f>IF('Financial Analysis'!N35&lt;0,"+VE","-VE")</f>
        <v>+VE</v>
      </c>
      <c r="J33" s="208" t="str">
        <f>IF(I21&gt;I20,"+VE","-VE")</f>
        <v>+VE</v>
      </c>
      <c r="K33" s="208" t="str">
        <f>IF(J21&gt;J19,"+VE","-VE")</f>
        <v>-VE</v>
      </c>
      <c r="L33" s="208" t="str">
        <f>IF(Q6&lt;Q5,"+VE","-VE")</f>
        <v>+VE</v>
      </c>
      <c r="M33" s="208" t="str">
        <f>IF('Financial Analysis'!M74&gt;0,"+VE","-VE")</f>
        <v>+VE</v>
      </c>
      <c r="N33" s="208"/>
      <c r="O33" s="208" t="str">
        <f>IF(E21&gt;B21,"+VE","-VE")</f>
        <v>-VE</v>
      </c>
    </row>
    <row r="34" spans="1:35" x14ac:dyDescent="0.2">
      <c r="H34" s="207"/>
      <c r="M34" s="207"/>
      <c r="N34" s="207"/>
    </row>
    <row r="35" spans="1:35" x14ac:dyDescent="0.2">
      <c r="H35" s="207"/>
      <c r="I35" s="207"/>
      <c r="J35" s="207"/>
      <c r="K35" s="207"/>
      <c r="L35" s="207"/>
      <c r="M35" s="207"/>
      <c r="N35" s="207"/>
    </row>
    <row r="36" spans="1:35" x14ac:dyDescent="0.2">
      <c r="H36" s="207"/>
      <c r="I36" s="207"/>
      <c r="J36" s="207"/>
      <c r="K36" s="207"/>
      <c r="L36" s="207"/>
      <c r="M36" s="207"/>
      <c r="N36" s="207"/>
    </row>
    <row r="37" spans="1:35" x14ac:dyDescent="0.2">
      <c r="H37" s="207"/>
      <c r="I37" s="207"/>
      <c r="J37" s="207"/>
      <c r="K37" s="207"/>
      <c r="L37" s="207"/>
      <c r="M37" s="207"/>
      <c r="N37" s="207"/>
    </row>
    <row r="38" spans="1:35" x14ac:dyDescent="0.2">
      <c r="H38" s="207"/>
      <c r="I38" s="207"/>
      <c r="J38" s="207"/>
      <c r="K38" s="207"/>
      <c r="L38" s="207"/>
      <c r="M38" s="207"/>
      <c r="N38" s="207"/>
    </row>
    <row r="39" spans="1:35" x14ac:dyDescent="0.2">
      <c r="B39" s="203"/>
      <c r="C39" s="204"/>
      <c r="D39" s="203"/>
      <c r="E39" s="203"/>
      <c r="F39" s="204"/>
      <c r="G39" s="204"/>
      <c r="H39" s="207"/>
      <c r="I39" s="207"/>
      <c r="J39" s="207"/>
      <c r="K39" s="207"/>
      <c r="L39" s="207"/>
      <c r="M39" s="207"/>
      <c r="N39" s="207"/>
    </row>
    <row r="40" spans="1:35" x14ac:dyDescent="0.2">
      <c r="A40" s="202"/>
      <c r="B40" s="203"/>
      <c r="C40" s="204"/>
      <c r="D40" s="203"/>
      <c r="E40" s="203"/>
      <c r="F40" s="204"/>
      <c r="G40" s="204"/>
      <c r="H40" s="207"/>
      <c r="I40" s="207"/>
      <c r="J40" s="207"/>
      <c r="K40" s="207"/>
      <c r="L40" s="207"/>
      <c r="M40" s="207"/>
      <c r="N40" s="207"/>
    </row>
    <row r="41" spans="1:35" x14ac:dyDescent="0.2">
      <c r="A41" s="154"/>
      <c r="B41" s="209"/>
    </row>
    <row r="42" spans="1:35" x14ac:dyDescent="0.2">
      <c r="A42" s="257" t="str">
        <f>'Data Sheet'!A1</f>
        <v>COMPANY NAME</v>
      </c>
      <c r="B42" s="210">
        <f>'Data Sheet'!B16</f>
        <v>39172</v>
      </c>
      <c r="C42" s="210">
        <f>'Data Sheet'!C16</f>
        <v>39538</v>
      </c>
      <c r="D42" s="210">
        <f>'Data Sheet'!D16</f>
        <v>39903</v>
      </c>
      <c r="E42" s="210">
        <f>'Data Sheet'!E16</f>
        <v>40268</v>
      </c>
      <c r="F42" s="210">
        <f>'Data Sheet'!F16</f>
        <v>40633</v>
      </c>
      <c r="G42" s="210">
        <f>'Data Sheet'!G16</f>
        <v>40999</v>
      </c>
      <c r="H42" s="210">
        <f>'Data Sheet'!H16</f>
        <v>41364</v>
      </c>
      <c r="I42" s="210">
        <f>'Data Sheet'!I16</f>
        <v>41729</v>
      </c>
      <c r="J42" s="210">
        <f>'Data Sheet'!J16</f>
        <v>42094</v>
      </c>
      <c r="K42" s="210">
        <f>'Data Sheet'!K16</f>
        <v>42460</v>
      </c>
      <c r="L42" s="210">
        <f>'Data Sheet'!K16</f>
        <v>42460</v>
      </c>
      <c r="M42" s="121" t="s">
        <v>473</v>
      </c>
    </row>
    <row r="43" spans="1:35" x14ac:dyDescent="0.2">
      <c r="A43" s="166" t="s">
        <v>257</v>
      </c>
      <c r="B43" s="212">
        <f>Other_input_data!B59/(Other_input_data!B39+Other_input_data!B40)</f>
        <v>-2.2083333333333335</v>
      </c>
      <c r="C43" s="212">
        <f>Other_input_data!C59/(Other_input_data!C39+Other_input_data!C40)</f>
        <v>1.2263222632226323</v>
      </c>
      <c r="D43" s="212">
        <f>Other_input_data!D59/(Other_input_data!D39+Other_input_data!D40)</f>
        <v>1.0711201999545559</v>
      </c>
      <c r="E43" s="212">
        <f>Other_input_data!E59/(Other_input_data!E39+Other_input_data!E40)</f>
        <v>1.424414824447334</v>
      </c>
      <c r="F43" s="212">
        <f>Other_input_data!F59/(Other_input_data!F39+Other_input_data!F40)</f>
        <v>1.5156135344476152</v>
      </c>
      <c r="G43" s="212">
        <f>Other_input_data!G59/(Other_input_data!G39+Other_input_data!G40)</f>
        <v>1.3129607238971879</v>
      </c>
      <c r="H43" s="212">
        <f>Other_input_data!H59/(Other_input_data!H39+Other_input_data!H40)</f>
        <v>1.3336933045356372</v>
      </c>
      <c r="I43" s="212">
        <f>Other_input_data!I59/(Other_input_data!I39+Other_input_data!I40)</f>
        <v>1.3253596941342187</v>
      </c>
      <c r="J43" s="212">
        <f>Other_input_data!J59/(Other_input_data!J39+Other_input_data!J40)</f>
        <v>1.2474097282541259</v>
      </c>
      <c r="K43" s="212">
        <f>Other_input_data!K59/(Other_input_data!K39+Other_input_data!K40)</f>
        <v>1.2138842217809682</v>
      </c>
      <c r="L43" s="212">
        <f>Other_input_data!K59/(Other_input_data!K39+Other_input_data!K40)</f>
        <v>1.2138842217809682</v>
      </c>
      <c r="M43" s="213">
        <f t="shared" ref="M43:M57" si="2">(L43/C43)^(1/9)-1</f>
        <v>-1.1320633470598418E-3</v>
      </c>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24" x14ac:dyDescent="0.2">
      <c r="A44" s="166" t="s">
        <v>474</v>
      </c>
      <c r="B44" s="212">
        <f>Other_input_data!B44/Other_input_data!B34</f>
        <v>-0.73469387755102045</v>
      </c>
      <c r="C44" s="212">
        <f>Other_input_data!C44/Other_input_data!C34</f>
        <v>-0.78947368421052233</v>
      </c>
      <c r="D44" s="212">
        <f>Other_input_data!D44/Other_input_data!D34</f>
        <v>7.8431372549019843E-2</v>
      </c>
      <c r="E44" s="212">
        <f>Other_input_data!E44/Other_input_data!E34</f>
        <v>4.6192307692307759</v>
      </c>
      <c r="F44" s="212">
        <f>Other_input_data!F44/Other_input_data!F34</f>
        <v>5.1760869565217371</v>
      </c>
      <c r="G44" s="212">
        <f>Other_input_data!G44/Other_input_data!G34</f>
        <v>2.3730378578024012</v>
      </c>
      <c r="H44" s="212">
        <f>Other_input_data!H44/Other_input_data!H34</f>
        <v>2.0018001800180021</v>
      </c>
      <c r="I44" s="212">
        <f>Other_input_data!I44/Other_input_data!I34</f>
        <v>1.8818036893646097</v>
      </c>
      <c r="J44" s="212">
        <f>Other_input_data!J44/Other_input_data!J34</f>
        <v>1.7384590110070652</v>
      </c>
      <c r="K44" s="212">
        <f>Other_input_data!K44/Other_input_data!K34</f>
        <v>14.588495575221179</v>
      </c>
      <c r="L44" s="212">
        <f>Other_input_data!K44/Other_input_data!K34</f>
        <v>14.588495575221179</v>
      </c>
      <c r="M44" s="213">
        <f t="shared" si="2"/>
        <v>-2.3827428700723194</v>
      </c>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24" x14ac:dyDescent="0.2">
      <c r="A45" s="166" t="s">
        <v>475</v>
      </c>
      <c r="B45" s="212">
        <f>Other_input_data!B51/Other_input_data!B34</f>
        <v>0.93877551020408156</v>
      </c>
      <c r="C45" s="212">
        <f>Other_input_data!C51/Other_input_data!C34</f>
        <v>1.3684210526315721</v>
      </c>
      <c r="D45" s="212">
        <f>Other_input_data!D51/Other_input_data!D34</f>
        <v>9.8627450980392446</v>
      </c>
      <c r="E45" s="212">
        <f>Other_input_data!E51/Other_input_data!E34</f>
        <v>3.4576923076923132</v>
      </c>
      <c r="F45" s="212">
        <f>Other_input_data!F51/Other_input_data!F34</f>
        <v>5.8119565217391296</v>
      </c>
      <c r="G45" s="212">
        <f>Other_input_data!G51/Other_input_data!G34</f>
        <v>5.5406278855032323</v>
      </c>
      <c r="H45" s="212">
        <f>Other_input_data!H51/Other_input_data!H34</f>
        <v>5.8601860186018619</v>
      </c>
      <c r="I45" s="212">
        <f>Other_input_data!I51/Other_input_data!I34</f>
        <v>4.4040081985880217</v>
      </c>
      <c r="J45" s="212">
        <f>Other_input_data!J51/Other_input_data!J34</f>
        <v>6.4645966814522797</v>
      </c>
      <c r="K45" s="212">
        <f>Other_input_data!K51/Other_input_data!K34</f>
        <v>40.353982300884795</v>
      </c>
      <c r="L45" s="212">
        <f>Other_input_data!K51/Other_input_data!K34</f>
        <v>40.353982300884795</v>
      </c>
      <c r="M45" s="213">
        <f t="shared" si="2"/>
        <v>0.45645239720917119</v>
      </c>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x14ac:dyDescent="0.2">
      <c r="A46" s="166" t="s">
        <v>476</v>
      </c>
      <c r="B46" s="212">
        <f>Other_input_data!B58/Other_input_data!B34</f>
        <v>-3.1428571428571428</v>
      </c>
      <c r="C46" s="212">
        <f>Other_input_data!C58/Other_input_data!C34</f>
        <v>-9.6842105263157396</v>
      </c>
      <c r="D46" s="212">
        <f>Other_input_data!D58/Other_input_data!D34</f>
        <v>6.1372549019608025</v>
      </c>
      <c r="E46" s="212">
        <f>Other_input_data!E58/Other_input_data!E34</f>
        <v>10.042307692307707</v>
      </c>
      <c r="F46" s="212">
        <f>Other_input_data!F58/Other_input_data!F34</f>
        <v>6.8739130434782583</v>
      </c>
      <c r="G46" s="212">
        <f>Other_input_data!G58/Other_input_data!G34</f>
        <v>3.7045244690674055</v>
      </c>
      <c r="H46" s="212">
        <f>Other_input_data!H58/Other_input_data!H34</f>
        <v>3.3375337533753386</v>
      </c>
      <c r="I46" s="212">
        <f>Other_input_data!I58/Other_input_data!I34</f>
        <v>2.9457982236392626</v>
      </c>
      <c r="J46" s="212">
        <f>Other_input_data!J58/Other_input_data!J34</f>
        <v>2.6205027106949252</v>
      </c>
      <c r="K46" s="212">
        <f>Other_input_data!K58/Other_input_data!K34</f>
        <v>20.653392330383397</v>
      </c>
      <c r="L46" s="212">
        <f>Other_input_data!K58/Other_input_data!K34</f>
        <v>20.653392330383397</v>
      </c>
      <c r="M46" s="213">
        <f t="shared" si="2"/>
        <v>-2.087796015385301</v>
      </c>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x14ac:dyDescent="0.2">
      <c r="A47" s="214" t="s">
        <v>435</v>
      </c>
      <c r="B47" s="212">
        <f>Other_input_data!B44/Other_input_data!B41</f>
        <v>-0.75</v>
      </c>
      <c r="C47" s="212">
        <f>Other_input_data!C44/Other_input_data!C41</f>
        <v>1.8450184501845015E-2</v>
      </c>
      <c r="D47" s="212">
        <f>Other_input_data!D44/Other_input_data!D41</f>
        <v>9.0888434446716659E-4</v>
      </c>
      <c r="E47" s="212">
        <f>Other_input_data!E44/Other_input_data!E41</f>
        <v>0.19522106631989594</v>
      </c>
      <c r="F47" s="212">
        <f>Other_input_data!F44/Other_input_data!F41</f>
        <v>0.38825927435792906</v>
      </c>
      <c r="G47" s="212">
        <f>Other_input_data!G44/Other_input_data!G41</f>
        <v>0.20047583759116971</v>
      </c>
      <c r="H47" s="212">
        <f>Other_input_data!H44/Other_input_data!H41</f>
        <v>0.20014398848092152</v>
      </c>
      <c r="I47" s="212">
        <f>Other_input_data!I44/Other_input_data!I41</f>
        <v>0.20784284133212597</v>
      </c>
      <c r="J47" s="212">
        <f>Other_input_data!J44/Other_input_data!J41</f>
        <v>0.16413326715473381</v>
      </c>
      <c r="K47" s="212">
        <f>Other_input_data!K44/Other_input_data!K41</f>
        <v>0.15107682908202227</v>
      </c>
      <c r="L47" s="212">
        <f>Other_input_data!K44/Other_input_data!K41</f>
        <v>0.15107682908202227</v>
      </c>
      <c r="M47" s="213">
        <f t="shared" si="2"/>
        <v>0.26318322525282034</v>
      </c>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x14ac:dyDescent="0.2">
      <c r="A48" s="214" t="s">
        <v>434</v>
      </c>
      <c r="B48" s="212" t="e">
        <f>Other_input_data!B30/Other_input_data!B31</f>
        <v>#DIV/0!</v>
      </c>
      <c r="C48" s="212" t="e">
        <f>Other_input_data!C30/Other_input_data!C31</f>
        <v>#DIV/0!</v>
      </c>
      <c r="D48" s="212">
        <f>Other_input_data!D30/Other_input_data!D31</f>
        <v>14.249999999999963</v>
      </c>
      <c r="E48" s="212">
        <f>Other_input_data!E30/Other_input_data!E31</f>
        <v>7.9137931034482705</v>
      </c>
      <c r="F48" s="212">
        <f>Other_input_data!F30/Other_input_data!F31</f>
        <v>11.904000000000002</v>
      </c>
      <c r="G48" s="212">
        <f>Other_input_data!G30/Other_input_data!G31</f>
        <v>5.8599999999999994</v>
      </c>
      <c r="H48" s="212">
        <f>Other_input_data!H30/Other_input_data!H31</f>
        <v>8.3821752265861011</v>
      </c>
      <c r="I48" s="212">
        <f>Other_input_data!I30/Other_input_data!I31</f>
        <v>9.6969696969696972</v>
      </c>
      <c r="J48" s="212">
        <f>Other_input_data!J30/Other_input_data!J31</f>
        <v>6.9627023223082309</v>
      </c>
      <c r="K48" s="212">
        <f>Other_input_data!K30/Other_input_data!K31</f>
        <v>1.9718899521531119</v>
      </c>
      <c r="L48" s="212">
        <f>Other_input_data!K30/Other_input_data!K31</f>
        <v>1.9718899521531119</v>
      </c>
      <c r="M48" s="213" t="e">
        <f t="shared" si="2"/>
        <v>#DIV/0!</v>
      </c>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s="215" customFormat="1" x14ac:dyDescent="0.2">
      <c r="A49" s="166" t="s">
        <v>277</v>
      </c>
      <c r="B49" s="212">
        <f>Other_input_data!B51/Other_input_data!B25</f>
        <v>-4.5999999999999996</v>
      </c>
      <c r="C49" s="212">
        <f>Other_input_data!C51/Other_input_data!C25</f>
        <v>-4.797047970479705E-2</v>
      </c>
      <c r="D49" s="212">
        <f>Other_input_data!D51/Other_input_data!D25</f>
        <v>0.48977604673807201</v>
      </c>
      <c r="E49" s="212">
        <f>Other_input_data!E51/Other_input_data!E25</f>
        <v>0.42048643592142193</v>
      </c>
      <c r="F49" s="212">
        <f>Other_input_data!F51/Other_input_data!F25</f>
        <v>1.3626401630988787</v>
      </c>
      <c r="G49" s="212">
        <f>Other_input_data!G51/Other_input_data!G25</f>
        <v>1.5543323403704183</v>
      </c>
      <c r="H49" s="212">
        <f>Other_input_data!H51/Other_input_data!H25</f>
        <v>1.7091354567728385</v>
      </c>
      <c r="I49" s="212">
        <f>Other_input_data!I51/Other_input_data!I25</f>
        <v>1.2267191068256789</v>
      </c>
      <c r="J49" s="212">
        <f>Other_input_data!J51/Other_input_data!J25</f>
        <v>1.8968426126777538</v>
      </c>
      <c r="K49" s="212">
        <f>Other_input_data!K51/Other_input_data!K25</f>
        <v>1.3070271819614963</v>
      </c>
      <c r="L49" s="212">
        <f>Other_input_data!K51/Other_input_data!K25</f>
        <v>1.3070271819614963</v>
      </c>
      <c r="M49" s="213">
        <f t="shared" si="2"/>
        <v>-2.443706629995321</v>
      </c>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s="215" customFormat="1" x14ac:dyDescent="0.2">
      <c r="A50" s="166" t="s">
        <v>46</v>
      </c>
      <c r="B50" s="216">
        <f>IFERROR((Other_input_data!B7/Other_input_data!B25)*365,"NA")</f>
        <v>0</v>
      </c>
      <c r="C50" s="216">
        <f>IFERROR((Other_input_data!C7/Other_input_data!C25)*365,"NA")</f>
        <v>0.67343173431734327</v>
      </c>
      <c r="D50" s="216">
        <f>IFERROR((Other_input_data!D7/Other_input_data!D25)*365,"NA")</f>
        <v>14.9269717624148</v>
      </c>
      <c r="E50" s="216">
        <f>IFERROR((Other_input_data!E7/Other_input_data!E25)*365,"NA")</f>
        <v>118.65060804490177</v>
      </c>
      <c r="F50" s="216">
        <f>IFERROR((Other_input_data!F7/Other_input_data!F25)*365,"NA")</f>
        <v>16.464067278287462</v>
      </c>
      <c r="G50" s="216">
        <f>IFERROR((Other_input_data!G7/Other_input_data!G25)*365,"NA")</f>
        <v>27.466001813236627</v>
      </c>
      <c r="H50" s="216">
        <f>IFERROR((Other_input_data!H7/Other_input_data!H25)*365,"NA")</f>
        <v>21.942159607980397</v>
      </c>
      <c r="I50" s="216">
        <f>IFERROR((Other_input_data!I7/Other_input_data!I25)*365,"NA")</f>
        <v>67.146663283430613</v>
      </c>
      <c r="J50" s="216">
        <f>IFERROR((Other_input_data!J7/Other_input_data!J25)*365,"NA")</f>
        <v>73.017594601108712</v>
      </c>
      <c r="K50" s="216">
        <f>IFERROR((Other_input_data!K7/Other_input_data!K25)*365,"NA")</f>
        <v>99.580327712224715</v>
      </c>
      <c r="L50" s="216">
        <f>IFERROR((Other_input_data!K7/Other_input_data!K25)*365,"NA")</f>
        <v>99.580327712224715</v>
      </c>
      <c r="M50" s="213">
        <f t="shared" si="2"/>
        <v>0.74219905889983862</v>
      </c>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s="215" customFormat="1" x14ac:dyDescent="0.2">
      <c r="A51" s="166" t="s">
        <v>477</v>
      </c>
      <c r="B51" s="216">
        <f>IFERROR((Other_input_data!B6/Other_input_data!B25)*365,"NA")</f>
        <v>0</v>
      </c>
      <c r="C51" s="216">
        <f>IFERROR((Other_input_data!C6/Other_input_data!C25)*365,"NA")</f>
        <v>3.3671586715867159</v>
      </c>
      <c r="D51" s="216">
        <f>IFERROR((Other_input_data!D6/Other_input_data!D25)*365,"NA")</f>
        <v>5.6864654333008762</v>
      </c>
      <c r="E51" s="216">
        <f>IFERROR((Other_input_data!E6/Other_input_data!E25)*365,"NA")</f>
        <v>5.1216089803554725</v>
      </c>
      <c r="F51" s="216">
        <f>IFERROR((Other_input_data!F6/Other_input_data!F25)*365,"NA")</f>
        <v>13.673547400611621</v>
      </c>
      <c r="G51" s="216">
        <f>IFERROR((Other_input_data!G6/Other_input_data!G25)*365,"NA")</f>
        <v>17.254889263048828</v>
      </c>
      <c r="H51" s="216">
        <f>IFERROR((Other_input_data!H6/Other_input_data!H25)*365,"NA")</f>
        <v>14.69198459922996</v>
      </c>
      <c r="I51" s="216">
        <f>IFERROR((Other_input_data!I6/Other_input_data!I25)*365,"NA")</f>
        <v>13.012560263892416</v>
      </c>
      <c r="J51" s="216">
        <f>IFERROR((Other_input_data!J6/Other_input_data!J25)*365,"NA")</f>
        <v>9.1667871776331644</v>
      </c>
      <c r="K51" s="216">
        <f>IFERROR((Other_input_data!K6/Other_input_data!K25)*365,"NA")</f>
        <v>7.5500406057421294</v>
      </c>
      <c r="L51" s="216">
        <f>IFERROR((Other_input_data!K6/Other_input_data!K25)*365,"NA")</f>
        <v>7.5500406057421294</v>
      </c>
      <c r="M51" s="213">
        <f t="shared" si="2"/>
        <v>9.3868404688812968E-2</v>
      </c>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s="215" customFormat="1" x14ac:dyDescent="0.2">
      <c r="A52" s="166" t="s">
        <v>478</v>
      </c>
      <c r="B52" s="212" t="e">
        <f t="shared" ref="B52" si="3">365/B51</f>
        <v>#DIV/0!</v>
      </c>
      <c r="C52" s="212">
        <f t="shared" ref="C52:L52" si="4">365/C51</f>
        <v>108.4</v>
      </c>
      <c r="D52" s="212">
        <f t="shared" si="4"/>
        <v>64.1875</v>
      </c>
      <c r="E52" s="212">
        <f t="shared" si="4"/>
        <v>71.266666666666666</v>
      </c>
      <c r="F52" s="212">
        <f t="shared" si="4"/>
        <v>26.693877551020407</v>
      </c>
      <c r="G52" s="212">
        <f t="shared" si="4"/>
        <v>21.153424657534249</v>
      </c>
      <c r="H52" s="212">
        <f t="shared" si="4"/>
        <v>24.843478260869567</v>
      </c>
      <c r="I52" s="212">
        <f t="shared" si="4"/>
        <v>28.049822064056933</v>
      </c>
      <c r="J52" s="212">
        <f t="shared" si="4"/>
        <v>39.817658349328212</v>
      </c>
      <c r="K52" s="212">
        <f t="shared" si="4"/>
        <v>48.344110854503462</v>
      </c>
      <c r="L52" s="212">
        <f t="shared" si="4"/>
        <v>48.344110854503462</v>
      </c>
      <c r="M52" s="213">
        <f t="shared" si="2"/>
        <v>-8.5813251654815792E-2</v>
      </c>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s="215" customFormat="1" ht="24" x14ac:dyDescent="0.2">
      <c r="A53" s="166" t="s">
        <v>479</v>
      </c>
      <c r="B53" s="212">
        <f>(Other_input_data!B7+Other_input_data!B8)/(Other_input_data!B10)</f>
        <v>0.23728813559322037</v>
      </c>
      <c r="C53" s="212">
        <f>(Other_input_data!C7+Other_input_data!C8)/(Other_input_data!C10)</f>
        <v>0.11242603550295859</v>
      </c>
      <c r="D53" s="212">
        <f>(Other_input_data!D7+Other_input_data!D8)/(Other_input_data!D10)</f>
        <v>0.83171521035598706</v>
      </c>
      <c r="E53" s="212">
        <f>(Other_input_data!E7+Other_input_data!E8)/(Other_input_data!E10)</f>
        <v>1.226241134751773</v>
      </c>
      <c r="F53" s="212">
        <f>(Other_input_data!F7+Other_input_data!F8)/(Other_input_data!F10)</f>
        <v>1.9622279129321383</v>
      </c>
      <c r="G53" s="212">
        <f>(Other_input_data!G7+Other_input_data!G8)/(Other_input_data!G10)</f>
        <v>1.8550624133148406</v>
      </c>
      <c r="H53" s="212">
        <f>(Other_input_data!H7+Other_input_data!H8)/(Other_input_data!H10)</f>
        <v>1.2486522911051212</v>
      </c>
      <c r="I53" s="212">
        <f>(Other_input_data!I7+Other_input_data!I8)/(Other_input_data!I10)</f>
        <v>0.85209760273972612</v>
      </c>
      <c r="J53" s="212">
        <f>(Other_input_data!J7+Other_input_data!J8)/(Other_input_data!J10)</f>
        <v>3.7787297448314399</v>
      </c>
      <c r="K53" s="212">
        <f>(Other_input_data!K7+Other_input_data!K8)/(Other_input_data!K10)</f>
        <v>1.9267996108949419</v>
      </c>
      <c r="L53" s="212">
        <f>(Other_input_data!K7+Other_input_data!K8)/(Other_input_data!K10)</f>
        <v>1.9267996108949419</v>
      </c>
      <c r="M53" s="213">
        <f t="shared" si="2"/>
        <v>0.37122189516647741</v>
      </c>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s="215" customFormat="1" x14ac:dyDescent="0.2">
      <c r="A54" s="166" t="s">
        <v>314</v>
      </c>
      <c r="B54" s="212">
        <f>Other_input_data!B9/Other_input_data!B10</f>
        <v>0.61016949152542377</v>
      </c>
      <c r="C54" s="212">
        <f>Other_input_data!C9/Other_input_data!C10</f>
        <v>0.84615384615384615</v>
      </c>
      <c r="D54" s="212">
        <f>Other_input_data!D9/Other_input_data!D10</f>
        <v>2.6278317152103559</v>
      </c>
      <c r="E54" s="212">
        <f>Other_input_data!E9/Other_input_data!E10</f>
        <v>1.6375886524822696</v>
      </c>
      <c r="F54" s="212">
        <f>Other_input_data!F9/Other_input_data!F10</f>
        <v>4.4231754161331631</v>
      </c>
      <c r="G54" s="212">
        <f>Other_input_data!G9/Other_input_data!G10</f>
        <v>5.1612343966712899</v>
      </c>
      <c r="H54" s="212">
        <f>Other_input_data!H9/Other_input_data!H10</f>
        <v>5.3872416891284809</v>
      </c>
      <c r="I54" s="212">
        <f>Other_input_data!I9/Other_input_data!I10</f>
        <v>5.1391267123287667</v>
      </c>
      <c r="J54" s="212">
        <f>Other_input_data!J9/Other_input_data!J10</f>
        <v>8.3291115663997015</v>
      </c>
      <c r="K54" s="212">
        <f>Other_input_data!K9/Other_input_data!K10</f>
        <v>7.6536964980544759</v>
      </c>
      <c r="L54" s="212">
        <f>Other_input_data!K9/Other_input_data!K10</f>
        <v>7.6536964980544759</v>
      </c>
      <c r="M54" s="213">
        <f t="shared" si="2"/>
        <v>0.27722996934306998</v>
      </c>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s="215" customFormat="1" x14ac:dyDescent="0.2">
      <c r="A55" s="217" t="s">
        <v>480</v>
      </c>
      <c r="B55" s="212">
        <f>Other_input_data!B23/Other_input_data!B62</f>
        <v>0</v>
      </c>
      <c r="C55" s="212">
        <f>Other_input_data!C23/Other_input_data!C62</f>
        <v>-1.1554993678887484</v>
      </c>
      <c r="D55" s="212">
        <f>Other_input_data!D23/Other_input_data!D62</f>
        <v>-0.96653719749028988</v>
      </c>
      <c r="E55" s="212">
        <f>Other_input_data!E23/Other_input_data!E62</f>
        <v>-1.0919585987261147</v>
      </c>
      <c r="F55" s="212">
        <f>Other_input_data!F23/Other_input_data!F62</f>
        <v>-1.2426587753243796</v>
      </c>
      <c r="G55" s="212">
        <f>Other_input_data!G23/Other_input_data!G62</f>
        <v>-1.1459188326493388</v>
      </c>
      <c r="H55" s="212">
        <f>Other_input_data!H23/Other_input_data!H62</f>
        <v>-0.78810579422106719</v>
      </c>
      <c r="I55" s="212">
        <f>Other_input_data!I23/Other_input_data!I62</f>
        <v>-1.5659225951501525</v>
      </c>
      <c r="J55" s="212">
        <f>Other_input_data!J23/Other_input_data!J62</f>
        <v>-2.5422001567807686</v>
      </c>
      <c r="K55" s="212">
        <f>Other_input_data!K23/Other_input_data!K62</f>
        <v>-0.93035872453498669</v>
      </c>
      <c r="L55" s="212">
        <f>Other_input_data!K23/Other_input_data!K62</f>
        <v>-0.93035872453498669</v>
      </c>
      <c r="M55" s="213">
        <f t="shared" si="2"/>
        <v>-2.3792134597570236E-2</v>
      </c>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s="215" customFormat="1" x14ac:dyDescent="0.2">
      <c r="A56" s="217" t="s">
        <v>481</v>
      </c>
      <c r="B56" s="212">
        <f>Other_input_data!B62/Other_input_data!B34</f>
        <v>1.1836734693877551</v>
      </c>
      <c r="C56" s="212">
        <f>Other_input_data!C62/Other_input_data!C34</f>
        <v>41.631578947368205</v>
      </c>
      <c r="D56" s="212">
        <f>Other_input_data!D62/Other_input_data!D34</f>
        <v>-65.627450980392354</v>
      </c>
      <c r="E56" s="212">
        <f>Other_input_data!E62/Other_input_data!E34</f>
        <v>-9.661538461538477</v>
      </c>
      <c r="F56" s="212">
        <f>Other_input_data!F62/Other_input_data!F34</f>
        <v>-4.7749999999999995</v>
      </c>
      <c r="G56" s="212">
        <f>Other_input_data!G62/Other_input_data!G34</f>
        <v>-2.0249307479224372</v>
      </c>
      <c r="H56" s="212">
        <f>Other_input_data!H62/Other_input_data!H34</f>
        <v>-1.9624962496249629</v>
      </c>
      <c r="I56" s="212">
        <f>Other_input_data!I62/Other_input_data!I34</f>
        <v>-1.4181279890685501</v>
      </c>
      <c r="J56" s="212">
        <f>Other_input_data!J62/Other_input_data!J34</f>
        <v>-0.62871693773615922</v>
      </c>
      <c r="K56" s="212">
        <f>Other_input_data!K62/Other_input_data!K34</f>
        <v>-26.643067846607561</v>
      </c>
      <c r="L56" s="212">
        <f>Other_input_data!K62/Other_input_data!K34</f>
        <v>-26.643067846607561</v>
      </c>
      <c r="M56" s="213">
        <f t="shared" si="2"/>
        <v>-1.9516173948601145</v>
      </c>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s="215" customFormat="1" x14ac:dyDescent="0.2">
      <c r="A57" s="218" t="s">
        <v>399</v>
      </c>
      <c r="B57" s="212">
        <f>Other_input_data!B61/Other_input_data!B34</f>
        <v>1.1836734693877551</v>
      </c>
      <c r="C57" s="212">
        <f>Other_input_data!C61/Other_input_data!C34</f>
        <v>-6.4736842105262831</v>
      </c>
      <c r="D57" s="212">
        <f>Other_input_data!D61/Other_input_data!D34</f>
        <v>-2.1960784313725559</v>
      </c>
      <c r="E57" s="212">
        <f>Other_input_data!E61/Other_input_data!E34</f>
        <v>0.88846153846153986</v>
      </c>
      <c r="F57" s="212">
        <f>Other_input_data!F61/Other_input_data!F34</f>
        <v>1.1586956521739127</v>
      </c>
      <c r="G57" s="212">
        <f>Other_input_data!G61/Other_input_data!G34</f>
        <v>0.29547553093259471</v>
      </c>
      <c r="H57" s="212">
        <f>Other_input_data!H61/Other_input_data!H34</f>
        <v>-0.41584158415841593</v>
      </c>
      <c r="I57" s="212">
        <f>Other_input_data!I61/Other_input_data!I34</f>
        <v>0.80255067182874085</v>
      </c>
      <c r="J57" s="212">
        <f>Other_input_data!J61/Other_input_data!J34</f>
        <v>0.96960735994742964</v>
      </c>
      <c r="K57" s="212">
        <f>Other_input_data!K61/Other_input_data!K34</f>
        <v>-1.8554572271386354</v>
      </c>
      <c r="L57" s="212">
        <f>Other_input_data!K61/Other_input_data!K34</f>
        <v>-1.8554572271386354</v>
      </c>
      <c r="M57" s="213">
        <f t="shared" si="2"/>
        <v>-0.12963796804711103</v>
      </c>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x14ac:dyDescent="0.2">
      <c r="A58" s="376"/>
      <c r="B58" s="376"/>
      <c r="C58" s="376"/>
      <c r="D58" s="376"/>
      <c r="E58" s="376"/>
      <c r="F58" s="376"/>
      <c r="G58" s="376"/>
      <c r="H58" s="376"/>
      <c r="I58" s="376"/>
      <c r="J58" s="376"/>
      <c r="K58" s="376"/>
      <c r="L58" s="121" t="s">
        <v>482</v>
      </c>
    </row>
    <row r="59" spans="1:35" x14ac:dyDescent="0.2">
      <c r="A59" s="219" t="s">
        <v>431</v>
      </c>
      <c r="B59" s="220">
        <f>Other_input_data!B27/Other_input_data!B25</f>
        <v>1</v>
      </c>
      <c r="C59" s="221">
        <f>Other_input_data!C27/Other_input_data!C25</f>
        <v>1</v>
      </c>
      <c r="D59" s="221">
        <f>Other_input_data!D27/Other_input_data!D25</f>
        <v>1</v>
      </c>
      <c r="E59" s="221">
        <f>Other_input_data!E27/Other_input_data!E25</f>
        <v>1</v>
      </c>
      <c r="F59" s="221">
        <f>Other_input_data!F27/Other_input_data!F25</f>
        <v>1</v>
      </c>
      <c r="G59" s="221">
        <f>Other_input_data!G27/Other_input_data!G25</f>
        <v>1</v>
      </c>
      <c r="H59" s="221">
        <f>Other_input_data!H27/Other_input_data!H25</f>
        <v>1</v>
      </c>
      <c r="I59" s="221">
        <f>Other_input_data!I27/Other_input_data!I25</f>
        <v>1</v>
      </c>
      <c r="J59" s="221">
        <f>Other_input_data!J27/Other_input_data!J25</f>
        <v>1</v>
      </c>
      <c r="K59" s="221">
        <f>Other_input_data!K27/Other_input_data!K25</f>
        <v>1</v>
      </c>
      <c r="L59" s="221">
        <f>Other_input_data!K27/Other_input_data!K25</f>
        <v>1</v>
      </c>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row>
    <row r="60" spans="1:35" x14ac:dyDescent="0.2">
      <c r="A60" s="166" t="s">
        <v>483</v>
      </c>
      <c r="B60" s="223">
        <f>Other_input_data!B28/Other_input_data!B25</f>
        <v>-4.8999999999999995</v>
      </c>
      <c r="C60" s="224">
        <f>Other_input_data!C28/Other_input_data!C25</f>
        <v>0.16051660516605148</v>
      </c>
      <c r="D60" s="224">
        <f>Other_input_data!D28/Other_input_data!D25</f>
        <v>0.23758519961051594</v>
      </c>
      <c r="E60" s="224">
        <f>Other_input_data!E28/Other_input_data!E25</f>
        <v>0.35173058933582768</v>
      </c>
      <c r="F60" s="224">
        <f>Other_input_data!F28/Other_input_data!F25</f>
        <v>0.48012232415902145</v>
      </c>
      <c r="G60" s="224">
        <f>Other_input_data!G28/Other_input_data!G25</f>
        <v>0.59435306307473124</v>
      </c>
      <c r="H60" s="224">
        <f>Other_input_data!H28/Other_input_data!H25</f>
        <v>0.60264263213160651</v>
      </c>
      <c r="I60" s="224">
        <f>Other_input_data!I28/Other_input_data!I25</f>
        <v>0.57447348388733832</v>
      </c>
      <c r="J60" s="224">
        <f>Other_input_data!J28/Other_input_data!J25</f>
        <v>0.60621836587129418</v>
      </c>
      <c r="K60" s="224">
        <f>Other_input_data!K28/Other_input_data!K25</f>
        <v>0.37166196913963606</v>
      </c>
      <c r="L60" s="224">
        <f>Other_input_data!K28/Other_input_data!K25</f>
        <v>0.37166196913963606</v>
      </c>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row>
    <row r="61" spans="1:35" x14ac:dyDescent="0.2">
      <c r="A61" s="166" t="s">
        <v>484</v>
      </c>
      <c r="B61" s="223">
        <f>Other_input_data!B34/Other_input_data!B25</f>
        <v>-4.8999999999999995</v>
      </c>
      <c r="C61" s="224">
        <f>Other_input_data!C34/Other_input_data!C25</f>
        <v>-3.5055350553505712E-2</v>
      </c>
      <c r="D61" s="224">
        <f>Other_input_data!D34/Other_input_data!D25</f>
        <v>4.9659201557935587E-2</v>
      </c>
      <c r="E61" s="224">
        <f>Other_input_data!E34/Other_input_data!E25</f>
        <v>0.12160898035547223</v>
      </c>
      <c r="F61" s="224">
        <f>Other_input_data!F34/Other_input_data!F25</f>
        <v>0.23445463812436296</v>
      </c>
      <c r="G61" s="224">
        <f>Other_input_data!G34/Other_input_data!G25</f>
        <v>0.2805336096360575</v>
      </c>
      <c r="H61" s="224">
        <f>Other_input_data!H34/Other_input_data!H25</f>
        <v>0.29165208260413011</v>
      </c>
      <c r="I61" s="224">
        <f>Other_input_data!I34/Other_input_data!I25</f>
        <v>0.27854605430093882</v>
      </c>
      <c r="J61" s="224">
        <f>Other_input_data!J34/Other_input_data!J25</f>
        <v>0.29342010122921169</v>
      </c>
      <c r="K61" s="224">
        <f>Other_input_data!K34/Other_input_data!K25</f>
        <v>3.2389050781063522E-2</v>
      </c>
      <c r="L61" s="224">
        <f>Other_input_data!K34/Other_input_data!K25</f>
        <v>3.2389050781063522E-2</v>
      </c>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row>
    <row r="62" spans="1:35" x14ac:dyDescent="0.2">
      <c r="A62" s="166" t="s">
        <v>485</v>
      </c>
      <c r="B62" s="223">
        <f>Other_input_data!B62/Other_input_data!B25</f>
        <v>-5.7999999999999989</v>
      </c>
      <c r="C62" s="224">
        <f>Other_input_data!C62/Other_input_data!C25</f>
        <v>-1.4594095940959406</v>
      </c>
      <c r="D62" s="224">
        <f>Other_input_data!D62/Other_input_data!D25</f>
        <v>-3.2590068159688412</v>
      </c>
      <c r="E62" s="224">
        <f>Other_input_data!E62/Other_input_data!E25</f>
        <v>-1.1749298409728721</v>
      </c>
      <c r="F62" s="224">
        <f>Other_input_data!F62/Other_input_data!F25</f>
        <v>-1.1195208970438328</v>
      </c>
      <c r="G62" s="224">
        <f>Other_input_data!G62/Other_input_data!G25</f>
        <v>-0.5680611319777229</v>
      </c>
      <c r="H62" s="224">
        <f>Other_input_data!H62/Other_input_data!H25</f>
        <v>-0.57236611830591522</v>
      </c>
      <c r="I62" s="224">
        <f>Other_input_data!I62/Other_input_data!I25</f>
        <v>-0.39501395584876947</v>
      </c>
      <c r="J62" s="224">
        <f>Other_input_data!J62/Other_input_data!J25</f>
        <v>-0.18447818751506384</v>
      </c>
      <c r="K62" s="224">
        <f>Other_input_data!K62/Other_input_data!K25</f>
        <v>-0.8629436774470931</v>
      </c>
      <c r="L62" s="224">
        <f>Other_input_data!K62/Other_input_data!K25</f>
        <v>-0.8629436774470931</v>
      </c>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row>
    <row r="63" spans="1:35" x14ac:dyDescent="0.2">
      <c r="A63" s="376"/>
      <c r="B63" s="376"/>
      <c r="C63" s="376"/>
      <c r="D63" s="376"/>
      <c r="E63" s="376"/>
      <c r="F63" s="376"/>
      <c r="G63" s="376"/>
      <c r="H63" s="376"/>
      <c r="I63" s="376"/>
      <c r="J63" s="376"/>
      <c r="K63" s="376"/>
    </row>
    <row r="64" spans="1:35" x14ac:dyDescent="0.2">
      <c r="A64" s="166" t="s">
        <v>486</v>
      </c>
      <c r="B64" s="211">
        <f>Other_input_data!B25/Other_input_data!B56</f>
        <v>-0.83333333333333337</v>
      </c>
      <c r="C64" s="212">
        <f>Other_input_data!C25/Other_input_data!C56</f>
        <v>0.65458937198067624</v>
      </c>
      <c r="D64" s="212">
        <f>Other_input_data!D25/Other_input_data!D56</f>
        <v>0.23314415437003405</v>
      </c>
      <c r="E64" s="212">
        <f>Other_input_data!E25/Other_input_data!E56</f>
        <v>0.290765673874609</v>
      </c>
      <c r="F64" s="212">
        <f>Other_input_data!F25/Other_input_data!F56</f>
        <v>0.2304575086627122</v>
      </c>
      <c r="G64" s="212">
        <f>Other_input_data!G25/Other_input_data!G56</f>
        <v>0.25085285421878556</v>
      </c>
      <c r="H64" s="212">
        <f>Other_input_data!H25/Other_input_data!H56</f>
        <v>0.28564287142571482</v>
      </c>
      <c r="I64" s="212">
        <f>Other_input_data!I25/Other_input_data!I56</f>
        <v>0.3282867198400633</v>
      </c>
      <c r="J64" s="212">
        <f>Other_input_data!J25/Other_input_data!J56</f>
        <v>0.27640099128627388</v>
      </c>
      <c r="K64" s="212">
        <f>Other_input_data!K25/Other_input_data!K56</f>
        <v>0.27776966866150926</v>
      </c>
      <c r="L64" s="212">
        <f>Other_input_data!K25/Other_input_data!K56</f>
        <v>0.27776966866150926</v>
      </c>
    </row>
    <row r="65" spans="1:35" s="215" customFormat="1" x14ac:dyDescent="0.2">
      <c r="A65" s="166" t="s">
        <v>487</v>
      </c>
      <c r="B65" s="211">
        <f>Other_input_data!B25/Other_input_data!B49</f>
        <v>0.29411764705882354</v>
      </c>
      <c r="C65" s="212">
        <f>Other_input_data!C25/Other_input_data!C49</f>
        <v>0.66178266178266176</v>
      </c>
      <c r="D65" s="212">
        <f>Other_input_data!D25/Other_input_data!D49</f>
        <v>0.43664965986394555</v>
      </c>
      <c r="E65" s="212">
        <f>Other_input_data!E25/Other_input_data!E49</f>
        <v>0.64748637189582059</v>
      </c>
      <c r="F65" s="212">
        <f>Other_input_data!F25/Other_input_data!F49</f>
        <v>0.62945139557266605</v>
      </c>
      <c r="G65" s="212">
        <f>Other_input_data!G25/Other_input_data!G49</f>
        <v>0.56328883052454948</v>
      </c>
      <c r="H65" s="212">
        <f>Other_input_data!H25/Other_input_data!H49</f>
        <v>0.73724275853170773</v>
      </c>
      <c r="I65" s="212">
        <f>Other_input_data!I25/Other_input_data!I49</f>
        <v>0.63863231242910379</v>
      </c>
      <c r="J65" s="212">
        <f>Other_input_data!J25/Other_input_data!J49</f>
        <v>0.64628181563288567</v>
      </c>
      <c r="K65" s="212">
        <f>Other_input_data!K25/Other_input_data!K49</f>
        <v>0.45079248858644155</v>
      </c>
      <c r="L65" s="212">
        <f>Other_input_data!K25/Other_input_data!K49</f>
        <v>0.45079248858644155</v>
      </c>
    </row>
    <row r="66" spans="1:35" x14ac:dyDescent="0.2">
      <c r="A66" s="166" t="s">
        <v>488</v>
      </c>
      <c r="B66" s="211">
        <f>Other_input_data!B25/Other_input_data!B59</f>
        <v>9.4339622641509441E-2</v>
      </c>
      <c r="C66" s="212">
        <f>Other_input_data!C25/Other_input_data!C59</f>
        <v>0.54363089267803411</v>
      </c>
      <c r="D66" s="212">
        <f>Other_input_data!D25/Other_input_data!D59</f>
        <v>0.2178616885871871</v>
      </c>
      <c r="E66" s="212">
        <f>Other_input_data!E25/Other_input_data!E59</f>
        <v>0.24398037201871506</v>
      </c>
      <c r="F66" s="212">
        <f>Other_input_data!F25/Other_input_data!F59</f>
        <v>0.21109258163429989</v>
      </c>
      <c r="G66" s="212">
        <f>Other_input_data!G25/Other_input_data!G59</f>
        <v>0.22936161364108962</v>
      </c>
      <c r="H66" s="212">
        <f>Other_input_data!H25/Other_input_data!H59</f>
        <v>0.25704003598740438</v>
      </c>
      <c r="I66" s="212">
        <f>Other_input_data!I25/Other_input_data!I59</f>
        <v>0.29917822778083542</v>
      </c>
      <c r="J66" s="212">
        <f>Other_input_data!J25/Other_input_data!J59</f>
        <v>0.25794859679444931</v>
      </c>
      <c r="K66" s="212">
        <f>Other_input_data!K25/Other_input_data!K59</f>
        <v>0.2633976319001422</v>
      </c>
      <c r="L66" s="212">
        <f>Other_input_data!K25/Other_input_data!K59</f>
        <v>0.2633976319001422</v>
      </c>
    </row>
    <row r="67" spans="1:35" x14ac:dyDescent="0.2">
      <c r="A67" s="166" t="s">
        <v>489</v>
      </c>
      <c r="B67" s="224">
        <f>B61*B66</f>
        <v>-0.46226415094339623</v>
      </c>
      <c r="C67" s="224">
        <f t="shared" ref="C67:L67" si="5">C61*C66</f>
        <v>-1.9057171514543728E-2</v>
      </c>
      <c r="D67" s="224">
        <f t="shared" si="5"/>
        <v>1.081883750530332E-2</v>
      </c>
      <c r="E67" s="224">
        <f t="shared" si="5"/>
        <v>2.9670204267944724E-2</v>
      </c>
      <c r="F67" s="224">
        <f t="shared" si="5"/>
        <v>4.949163483780733E-2</v>
      </c>
      <c r="G67" s="224">
        <f t="shared" si="5"/>
        <v>6.4343641386685677E-2</v>
      </c>
      <c r="H67" s="224">
        <f t="shared" si="5"/>
        <v>7.4966261808367046E-2</v>
      </c>
      <c r="I67" s="224">
        <f t="shared" si="5"/>
        <v>8.3334914881099217E-2</v>
      </c>
      <c r="J67" s="224">
        <f t="shared" si="5"/>
        <v>7.5687303383360424E-2</v>
      </c>
      <c r="K67" s="224">
        <f t="shared" si="5"/>
        <v>8.5311992752255834E-3</v>
      </c>
      <c r="L67" s="224">
        <f t="shared" si="5"/>
        <v>8.5311992752255834E-3</v>
      </c>
    </row>
    <row r="68" spans="1:35" x14ac:dyDescent="0.2">
      <c r="A68" s="166" t="s">
        <v>490</v>
      </c>
      <c r="B68" s="224">
        <f>B61*B66*B43</f>
        <v>1.0208333333333335</v>
      </c>
      <c r="C68" s="224">
        <f t="shared" ref="C68:L68" si="6">C61*C66*C43</f>
        <v>-2.3370233702337144E-2</v>
      </c>
      <c r="D68" s="224">
        <f t="shared" si="6"/>
        <v>1.1588275391956341E-2</v>
      </c>
      <c r="E68" s="224">
        <f t="shared" si="6"/>
        <v>4.2262678803641027E-2</v>
      </c>
      <c r="F68" s="224">
        <f t="shared" si="6"/>
        <v>7.5010191602119886E-2</v>
      </c>
      <c r="G68" s="224">
        <f t="shared" si="6"/>
        <v>8.4480673973243881E-2</v>
      </c>
      <c r="H68" s="224">
        <f t="shared" si="6"/>
        <v>9.9982001439884782E-2</v>
      </c>
      <c r="I68" s="224">
        <f t="shared" si="6"/>
        <v>0.11044873729751481</v>
      </c>
      <c r="J68" s="224">
        <f t="shared" si="6"/>
        <v>9.4413078545725213E-2</v>
      </c>
      <c r="K68" s="224">
        <f t="shared" si="6"/>
        <v>1.0355888193065568E-2</v>
      </c>
      <c r="L68" s="224">
        <f t="shared" si="6"/>
        <v>1.0355888193065568E-2</v>
      </c>
    </row>
    <row r="69" spans="1:35" x14ac:dyDescent="0.2">
      <c r="A69" s="166" t="s">
        <v>491</v>
      </c>
      <c r="B69" s="224">
        <f>Other_input_data!B30/Other_input_data!B57</f>
        <v>4.0833333333333375</v>
      </c>
      <c r="C69" s="224">
        <f>Other_input_data!C30/Other_input_data!C57</f>
        <v>-8.4541062801933506E-3</v>
      </c>
      <c r="D69" s="224">
        <f>Other_input_data!D30/Other_input_data!D57</f>
        <v>1.2939841089670796E-2</v>
      </c>
      <c r="E69" s="224">
        <f>Other_input_data!E30/Other_input_data!E57</f>
        <v>6.2423500611995052E-2</v>
      </c>
      <c r="F69" s="224">
        <f>Other_input_data!F30/Other_input_data!F57</f>
        <v>8.7390614905737976E-2</v>
      </c>
      <c r="G69" s="224">
        <f>Other_input_data!G30/Other_input_data!G57</f>
        <v>0.12375320835634684</v>
      </c>
      <c r="H69" s="224">
        <f>Other_input_data!H30/Other_input_data!H57</f>
        <v>0.13869726054789039</v>
      </c>
      <c r="I69" s="224">
        <f>Other_input_data!I30/Other_input_data!I57</f>
        <v>0.15327266290426708</v>
      </c>
      <c r="J69" s="224">
        <f>Other_input_data!J30/Other_input_data!J57</f>
        <v>0.1318250859381245</v>
      </c>
      <c r="K69" s="224">
        <f>Other_input_data!K30/Other_input_data!K57</f>
        <v>4.3749419460994449E-2</v>
      </c>
      <c r="L69" s="224">
        <f>Other_input_data!K30/Other_input_data!K57</f>
        <v>4.3749419460994449E-2</v>
      </c>
    </row>
    <row r="70" spans="1:35" x14ac:dyDescent="0.2">
      <c r="A70" s="166" t="s">
        <v>492</v>
      </c>
      <c r="B70" s="224">
        <f t="shared" ref="B70:L70" si="7">B85*(1-B78)</f>
        <v>4.083333333333333</v>
      </c>
      <c r="C70" s="224">
        <f t="shared" si="7"/>
        <v>-2.2946859903381755E-2</v>
      </c>
      <c r="D70" s="224">
        <f t="shared" si="7"/>
        <v>1.2451545199494539E-2</v>
      </c>
      <c r="E70" s="224">
        <f t="shared" si="7"/>
        <v>4.0474090172365848E-2</v>
      </c>
      <c r="F70" s="224">
        <f t="shared" si="7"/>
        <v>5.8987062152075533E-2</v>
      </c>
      <c r="G70" s="224">
        <f t="shared" si="7"/>
        <v>8.4852627192101071E-2</v>
      </c>
      <c r="H70" s="224">
        <f t="shared" si="7"/>
        <v>9.4593404830390554E-2</v>
      </c>
      <c r="I70" s="224">
        <f t="shared" si="7"/>
        <v>0.10195731901418521</v>
      </c>
      <c r="J70" s="224">
        <f t="shared" si="7"/>
        <v>9.4703091951535895E-2</v>
      </c>
      <c r="K70" s="224">
        <f t="shared" si="7"/>
        <v>1.825360393511034E-2</v>
      </c>
      <c r="L70" s="224">
        <f t="shared" si="7"/>
        <v>1.825360393511034E-2</v>
      </c>
    </row>
    <row r="71" spans="1:35" x14ac:dyDescent="0.2">
      <c r="A71" s="166" t="s">
        <v>493</v>
      </c>
      <c r="B71" s="224"/>
      <c r="C71" s="224">
        <f>(Other_input_data!C64-Other_input_data!B64)/(Other_input_data!C56-Other_input_data!B56)</f>
        <v>3.5714285714285601E-2</v>
      </c>
      <c r="D71" s="224">
        <f>(Other_input_data!D64-Other_input_data!C64)/(Other_input_data!D56-Other_input_data!C56)</f>
        <v>2.0645528824091011E-2</v>
      </c>
      <c r="E71" s="224">
        <f>(Other_input_data!E64-Other_input_data!D64)/(Other_input_data!E56-Other_input_data!D56)</f>
        <v>8.2346312223077561E-2</v>
      </c>
      <c r="F71" s="224">
        <f>(Other_input_data!F64-Other_input_data!E64)/(Other_input_data!F56-Other_input_data!E56)</f>
        <v>7.305837525594211E-2</v>
      </c>
      <c r="G71" s="224">
        <f>(Other_input_data!G64-Other_input_data!F64)/(Other_input_data!G56-Other_input_data!F56)</f>
        <v>0.11687800356910186</v>
      </c>
      <c r="H71" s="224">
        <f>(Other_input_data!H64-Other_input_data!G64)/(Other_input_data!H56-Other_input_data!G56)</f>
        <v>0.12707919905824966</v>
      </c>
      <c r="I71" s="224">
        <f>(Other_input_data!I64-Other_input_data!H64)/(Other_input_data!I56-Other_input_data!H56)</f>
        <v>0.13873368634226621</v>
      </c>
      <c r="J71" s="224">
        <f>(Other_input_data!J64-Other_input_data!I64)/(Other_input_data!J56-Other_input_data!I56)</f>
        <v>8.181828598440602E-2</v>
      </c>
      <c r="K71" s="224">
        <f>(Other_input_data!K64-Other_input_data!J64)/(Other_input_data!K56-Other_input_data!J56)</f>
        <v>-18.671778557578605</v>
      </c>
      <c r="L71" s="224">
        <f>(Other_input_data!K64-Other_input_data!J64)/(Other_input_data!K56-Other_input_data!J56)</f>
        <v>-18.671778557578605</v>
      </c>
    </row>
    <row r="72" spans="1:35" ht="15" customHeight="1" x14ac:dyDescent="0.2">
      <c r="A72" s="166" t="s">
        <v>494</v>
      </c>
      <c r="B72" s="371"/>
      <c r="C72" s="372"/>
      <c r="D72" s="373"/>
      <c r="E72" s="224">
        <f>(Other_input_data!E64-Other_input_data!B64)/(Other_input_data!E56-Other_input_data!B56)</f>
        <v>4.7061233542078224E-2</v>
      </c>
      <c r="F72" s="224">
        <f>(Other_input_data!F64-Other_input_data!C64)/(Other_input_data!F56-Other_input_data!C56)</f>
        <v>6.3175054464065072E-2</v>
      </c>
      <c r="G72" s="224">
        <f>(Other_input_data!G64-Other_input_data!D64)/(Other_input_data!G56-Other_input_data!D56)</f>
        <v>9.6945095766357223E-2</v>
      </c>
      <c r="H72" s="224">
        <f>(Other_input_data!H64-Other_input_data!E64)/(Other_input_data!H56-Other_input_data!E56)</f>
        <v>0.10677957297249605</v>
      </c>
      <c r="I72" s="224">
        <f>(Other_input_data!I64-Other_input_data!F64)/(Other_input_data!I56-Other_input_data!F56)</f>
        <v>0.12556517147905166</v>
      </c>
      <c r="J72" s="224">
        <f>(Other_input_data!J64-Other_input_data!G64)/(Other_input_data!J56-Other_input_data!G56)</f>
        <v>0.10155091701829244</v>
      </c>
      <c r="K72" s="224">
        <f>(Other_input_data!K64-Other_input_data!H64)/(Other_input_data!K56-Other_input_data!H56)</f>
        <v>-6.8138010757231776E-2</v>
      </c>
      <c r="L72" s="224">
        <f>(Other_input_data!K64-Other_input_data!H64)/(Other_input_data!K56-Other_input_data!H56)</f>
        <v>-6.8138010757231776E-2</v>
      </c>
    </row>
    <row r="73" spans="1:35" ht="15" customHeight="1" x14ac:dyDescent="0.2">
      <c r="A73" s="166" t="s">
        <v>495</v>
      </c>
      <c r="B73" s="371"/>
      <c r="C73" s="372"/>
      <c r="D73" s="372"/>
      <c r="E73" s="372"/>
      <c r="F73" s="373"/>
      <c r="G73" s="224">
        <f>(Other_input_data!G64-Other_input_data!B64)/(Other_input_data!G56-Other_input_data!B56)</f>
        <v>8.6410932166726601E-2</v>
      </c>
      <c r="H73" s="224">
        <f>(Other_input_data!H64-Other_input_data!C64)/(Other_input_data!H56-Other_input_data!C56)</f>
        <v>9.7077410425070565E-2</v>
      </c>
      <c r="I73" s="224">
        <f>(Other_input_data!I64-Other_input_data!D64)/(Other_input_data!I56-Other_input_data!D56)</f>
        <v>0.11099737343830848</v>
      </c>
      <c r="J73" s="224">
        <f>(Other_input_data!J64-Other_input_data!E64)/(Other_input_data!J56-Other_input_data!E56)</f>
        <v>0.10059289934112008</v>
      </c>
      <c r="K73" s="224">
        <f>(Other_input_data!K64-Other_input_data!F64)/(Other_input_data!K56-Other_input_data!F56)</f>
        <v>6.3639925067792459E-3</v>
      </c>
      <c r="L73" s="224">
        <f>(Other_input_data!K64-Other_input_data!F64)/(Other_input_data!K56-Other_input_data!F56)</f>
        <v>6.3639925067792459E-3</v>
      </c>
    </row>
    <row r="74" spans="1:35" ht="15" customHeight="1" x14ac:dyDescent="0.2">
      <c r="A74" s="166" t="s">
        <v>496</v>
      </c>
      <c r="B74" s="371"/>
      <c r="C74" s="372"/>
      <c r="D74" s="372"/>
      <c r="E74" s="372"/>
      <c r="F74" s="372"/>
      <c r="G74" s="372"/>
      <c r="H74" s="372"/>
      <c r="I74" s="372"/>
      <c r="J74" s="372"/>
      <c r="K74" s="373"/>
      <c r="L74" s="225">
        <f>(Other_input_data!K64-Other_input_data!B64)/(Other_input_data!K56-Other_input_data!B56)</f>
        <v>1.890079798009699E-2</v>
      </c>
    </row>
    <row r="75" spans="1:35" ht="15" customHeight="1" x14ac:dyDescent="0.2">
      <c r="A75" s="166"/>
      <c r="B75" s="226"/>
      <c r="C75" s="227"/>
      <c r="D75" s="228"/>
      <c r="E75" s="228"/>
      <c r="F75" s="228"/>
      <c r="G75" s="228"/>
      <c r="H75" s="228"/>
      <c r="I75" s="228"/>
      <c r="J75" s="228"/>
      <c r="K75" s="229"/>
    </row>
    <row r="76" spans="1:35" x14ac:dyDescent="0.2">
      <c r="A76" s="230"/>
      <c r="B76" s="231">
        <f>B42</f>
        <v>39172</v>
      </c>
      <c r="C76" s="231">
        <f t="shared" ref="C76:L76" si="8">C42</f>
        <v>39538</v>
      </c>
      <c r="D76" s="231">
        <f t="shared" si="8"/>
        <v>39903</v>
      </c>
      <c r="E76" s="231">
        <f t="shared" si="8"/>
        <v>40268</v>
      </c>
      <c r="F76" s="231">
        <f t="shared" si="8"/>
        <v>40633</v>
      </c>
      <c r="G76" s="231">
        <f t="shared" si="8"/>
        <v>40999</v>
      </c>
      <c r="H76" s="231">
        <f t="shared" si="8"/>
        <v>41364</v>
      </c>
      <c r="I76" s="231">
        <f t="shared" si="8"/>
        <v>41729</v>
      </c>
      <c r="J76" s="231">
        <f t="shared" si="8"/>
        <v>42094</v>
      </c>
      <c r="K76" s="231">
        <f t="shared" si="8"/>
        <v>42460</v>
      </c>
      <c r="L76" s="231">
        <f t="shared" si="8"/>
        <v>42460</v>
      </c>
    </row>
    <row r="77" spans="1:35" x14ac:dyDescent="0.2">
      <c r="A77" s="232" t="s">
        <v>154</v>
      </c>
      <c r="B77" s="233">
        <f>Other_input_data!B84</f>
        <v>-2.5990566037735841</v>
      </c>
      <c r="C77" s="234">
        <f>Other_input_data!C84</f>
        <v>0.46248746238716104</v>
      </c>
      <c r="D77" s="234">
        <f>Other_input_data!D84</f>
        <v>0.40095460330929128</v>
      </c>
      <c r="E77" s="234">
        <f>Other_input_data!E84</f>
        <v>0.58147894556658652</v>
      </c>
      <c r="F77" s="234">
        <f>Other_input_data!F84</f>
        <v>0.88970896766905172</v>
      </c>
      <c r="G77" s="234">
        <f>Other_input_data!G84</f>
        <v>22.19259787522763</v>
      </c>
      <c r="H77" s="234">
        <f>Other_input_data!H84</f>
        <v>21.022615421704202</v>
      </c>
      <c r="I77" s="234">
        <f>Other_input_data!I84</f>
        <v>21.448161916023576</v>
      </c>
      <c r="J77" s="234">
        <f>Other_input_data!J84</f>
        <v>26.628293089654591</v>
      </c>
      <c r="K77" s="234">
        <f>Other_input_data!K84</f>
        <v>6.4642518335438641</v>
      </c>
      <c r="L77" s="234">
        <f>Other_input_data!K84</f>
        <v>6.4642518335438641</v>
      </c>
    </row>
    <row r="78" spans="1:35" x14ac:dyDescent="0.2">
      <c r="A78" s="235" t="s">
        <v>135</v>
      </c>
      <c r="B78" s="236">
        <f>Other_input_data!B33/Other_input_data!B32</f>
        <v>0</v>
      </c>
      <c r="C78" s="236">
        <f>Other_input_data!C33/Other_input_data!C32</f>
        <v>-1.7142857142856909</v>
      </c>
      <c r="D78" s="236">
        <f>Other_input_data!D33/Other_input_data!D32</f>
        <v>3.7735849056603883E-2</v>
      </c>
      <c r="E78" s="236">
        <f>Other_input_data!E33/Other_input_data!E32</f>
        <v>0.351620947630923</v>
      </c>
      <c r="F78" s="236">
        <f>Other_input_data!F33/Other_input_data!F32</f>
        <v>0.32501834189288326</v>
      </c>
      <c r="G78" s="236">
        <f>Other_input_data!G33/Other_input_data!G32</f>
        <v>0.31433998100664773</v>
      </c>
      <c r="H78" s="236">
        <f>Other_input_data!H33/Other_input_data!H32</f>
        <v>0.31798649478207491</v>
      </c>
      <c r="I78" s="236">
        <f>Other_input_data!I33/Other_input_data!I32</f>
        <v>0.3347977579154674</v>
      </c>
      <c r="J78" s="236">
        <f>Other_input_data!J33/Other_input_data!J32</f>
        <v>0.28160037767024682</v>
      </c>
      <c r="K78" s="236">
        <f>Other_input_data!K33/Other_input_data!K32</f>
        <v>0.58276923076922982</v>
      </c>
      <c r="L78" s="258">
        <f>Other_input_data!K33/Other_input_data!K32</f>
        <v>0.58276923076922982</v>
      </c>
    </row>
    <row r="79" spans="1:35" ht="24" x14ac:dyDescent="0.2">
      <c r="A79" s="235" t="s">
        <v>497</v>
      </c>
      <c r="B79" s="236"/>
      <c r="C79" s="236">
        <f>(Other_input_data!C39-Other_input_data!B39)/Other_input_data!B39</f>
        <v>880</v>
      </c>
      <c r="D79" s="236">
        <f>(Other_input_data!D39-Other_input_data!C39)/Other_input_data!C39</f>
        <v>0.70715096481271267</v>
      </c>
      <c r="E79" s="236">
        <f>(Other_input_data!E39-Other_input_data!D39)/Other_input_data!D39</f>
        <v>0.158244680851064</v>
      </c>
      <c r="F79" s="236">
        <f>(Other_input_data!F39-Other_input_data!E39)/Other_input_data!E39</f>
        <v>0.37887485648679664</v>
      </c>
      <c r="G79" s="236">
        <f>(Other_input_data!G39-Other_input_data!F39)/Other_input_data!F39</f>
        <v>0.40383014154870939</v>
      </c>
      <c r="H79" s="236">
        <f>(Other_input_data!H39-Other_input_data!G39)/Other_input_data!G39</f>
        <v>6.672597864768684E-2</v>
      </c>
      <c r="I79" s="236">
        <f>(Other_input_data!I39-Other_input_data!H39)/Other_input_data!H39</f>
        <v>3.3361134278565553E-2</v>
      </c>
      <c r="J79" s="236">
        <f>(Other_input_data!J39-Other_input_data!I39)/Other_input_data!I39</f>
        <v>0.13828356201237557</v>
      </c>
      <c r="K79" s="236">
        <f>(Other_input_data!K39-Other_input_data!J39)/Other_input_data!J39</f>
        <v>0</v>
      </c>
      <c r="L79" s="236">
        <f>(Other_input_data!K39-Other_input_data!J39)/Other_input_data!J39</f>
        <v>0</v>
      </c>
      <c r="M79" s="213">
        <f>(L79/F79)^(1/6)-1</f>
        <v>-1</v>
      </c>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36" x14ac:dyDescent="0.2">
      <c r="A80" s="235" t="s">
        <v>498</v>
      </c>
      <c r="B80" s="237"/>
      <c r="C80" s="233" t="e">
        <f>((Other_input_data!C6-Other_input_data!B6)/Other_input_data!B6)/((Other_input_data!C25-Other_input_data!B25)/Other_input_data!B25)</f>
        <v>#DIV/0!</v>
      </c>
      <c r="D80" s="233">
        <f>((Other_input_data!D6-Other_input_data!C6)/Other_input_data!C6)/((Other_input_data!D25-Other_input_data!C25)/Other_input_data!C25)</f>
        <v>2.4585567010309277</v>
      </c>
      <c r="E80" s="233">
        <f>((Other_input_data!E6-Other_input_data!D6)/Other_input_data!D6)/((Other_input_data!E25-Other_input_data!D25)/Other_input_data!D25)</f>
        <v>0.80884338433843384</v>
      </c>
      <c r="F80" s="233">
        <f>((Other_input_data!F6-Other_input_data!E6)/Other_input_data!E6)/((Other_input_data!F25-Other_input_data!E25)/Other_input_data!E25)</f>
        <v>4.6686450167973108</v>
      </c>
      <c r="G80" s="233">
        <f>((Other_input_data!G6-Other_input_data!F6)/Other_input_data!F6)/((Other_input_data!G25-Other_input_data!F25)/Other_input_data!F25)</f>
        <v>1.5325955507301685</v>
      </c>
      <c r="H80" s="233">
        <f>((Other_input_data!H6-Other_input_data!G6)/Other_input_data!G6)/((Other_input_data!H25-Other_input_data!G25)/Other_input_data!G25)</f>
        <v>0.54210287091064269</v>
      </c>
      <c r="I80" s="233">
        <f>((Other_input_data!I6-Other_input_data!H6)/Other_input_data!H6)/((Other_input_data!I25-Other_input_data!H25)/Other_input_data!H25)</f>
        <v>0.58441761591529007</v>
      </c>
      <c r="J80" s="233">
        <f>((Other_input_data!J6-Other_input_data!I6)/Other_input_data!I6)/((Other_input_data!J25-Other_input_data!I25)/Other_input_data!I25)</f>
        <v>-0.23088590737328546</v>
      </c>
      <c r="K80" s="233">
        <f>((Other_input_data!K6-Other_input_data!J6)/Other_input_data!J6)/((Other_input_data!K25-Other_input_data!J25)/Other_input_data!J25)</f>
        <v>-18.638052844366158</v>
      </c>
      <c r="L80" s="233">
        <f>((Other_input_data!K6-Other_input_data!J6)/Other_input_data!J6)/((Other_input_data!K25-Other_input_data!J25)/Other_input_data!J25)</f>
        <v>-18.638052844366158</v>
      </c>
    </row>
    <row r="81" spans="1:35" ht="36" x14ac:dyDescent="0.2">
      <c r="A81" s="235" t="s">
        <v>499</v>
      </c>
      <c r="B81" s="237"/>
      <c r="C81" s="233" t="e">
        <f>((Other_input_data!C7-Other_input_data!B7)/Other_input_data!B7)/((Other_input_data!C25-Other_input_data!B25)/Other_input_data!B25)</f>
        <v>#DIV/0!</v>
      </c>
      <c r="D81" s="233">
        <f>((Other_input_data!D7-Other_input_data!C7)/Other_input_data!C7)/((Other_input_data!D25-Other_input_data!C25)/Other_input_data!C25)</f>
        <v>45.818556701030928</v>
      </c>
      <c r="E81" s="233">
        <f>((Other_input_data!E7-Other_input_data!D7)/Other_input_data!D7)/((Other_input_data!E25-Other_input_data!D25)/Other_input_data!D25)</f>
        <v>14.372101495863875</v>
      </c>
      <c r="F81" s="233">
        <f>((Other_input_data!F7-Other_input_data!E7)/Other_input_data!E7)/((Other_input_data!F25-Other_input_data!E25)/Other_input_data!E25)</f>
        <v>-0.89221845368050434</v>
      </c>
      <c r="G81" s="233">
        <f>((Other_input_data!G7-Other_input_data!F7)/Other_input_data!F7)/((Other_input_data!G25-Other_input_data!F25)/Other_input_data!F25)</f>
        <v>2.3588292273561198</v>
      </c>
      <c r="H81" s="233">
        <f>((Other_input_data!H7-Other_input_data!G7)/Other_input_data!G7)/((Other_input_data!H25-Other_input_data!G25)/Other_input_data!G25)</f>
        <v>0.37999746490683545</v>
      </c>
      <c r="I81" s="233">
        <f>((Other_input_data!I7-Other_input_data!H7)/Other_input_data!H7)/((Other_input_data!I25-Other_input_data!H25)/Other_input_data!H25)</f>
        <v>8.4899598231790208</v>
      </c>
      <c r="J81" s="233">
        <f>((Other_input_data!J7-Other_input_data!I7)/Other_input_data!I7)/((Other_input_data!J25-Other_input_data!I25)/Other_input_data!I25)</f>
        <v>1.3641492845225649</v>
      </c>
      <c r="K81" s="233">
        <f>((Other_input_data!K7-Other_input_data!J7)/Other_input_data!J7)/((Other_input_data!K25-Other_input_data!J25)/Other_input_data!J25)</f>
        <v>41.505953601640073</v>
      </c>
      <c r="L81" s="233">
        <f>((Other_input_data!K7-Other_input_data!J7)/Other_input_data!J7)/((Other_input_data!K25-Other_input_data!J25)/Other_input_data!J25)</f>
        <v>41.505953601640073</v>
      </c>
    </row>
    <row r="82" spans="1:35" x14ac:dyDescent="0.2">
      <c r="A82" s="235" t="s">
        <v>500</v>
      </c>
      <c r="B82" s="237"/>
      <c r="C82" s="237">
        <f>Other_input_data!C23/Other_input_data!C29</f>
        <v>9.7234042553191475</v>
      </c>
      <c r="D82" s="237">
        <f>Other_input_data!D23/Other_input_data!D29</f>
        <v>17.299465240641712</v>
      </c>
      <c r="E82" s="237">
        <f>Other_input_data!E23/Other_input_data!E29</f>
        <v>9.3617747440273043</v>
      </c>
      <c r="F82" s="237">
        <f>Other_input_data!F23/Other_input_data!F29</f>
        <v>13.785353535353536</v>
      </c>
      <c r="G82" s="237">
        <f>Other_input_data!G23/Other_input_data!G29</f>
        <v>6.443589743589742</v>
      </c>
      <c r="H82" s="237">
        <f>Other_input_data!H23/Other_input_data!H29</f>
        <v>3.8527653213751871</v>
      </c>
      <c r="I82" s="237">
        <f>Other_input_data!I23/Other_input_data!I29</f>
        <v>5.7494103773584913</v>
      </c>
      <c r="J82" s="237">
        <f>Other_input_data!J23/Other_input_data!J29</f>
        <v>3.6275167785234896</v>
      </c>
      <c r="K82" s="237">
        <f>Other_input_data!K23/Other_input_data!K29</f>
        <v>3.7488289092125813</v>
      </c>
      <c r="L82" s="237">
        <f>Other_input_data!K23/Other_input_data!K29</f>
        <v>3.7488289092125813</v>
      </c>
    </row>
    <row r="83" spans="1:35" x14ac:dyDescent="0.2">
      <c r="A83" s="235" t="s">
        <v>17</v>
      </c>
      <c r="B83" s="258">
        <f>Other_input_data!B35/Other_input_data!B34</f>
        <v>0</v>
      </c>
      <c r="C83" s="258">
        <f>Other_input_data!C35/Other_input_data!C34</f>
        <v>0</v>
      </c>
      <c r="D83" s="258">
        <f>Other_input_data!D35/Other_input_data!D34</f>
        <v>0</v>
      </c>
      <c r="E83" s="258">
        <f>Other_input_data!E35/Other_input_data!E34</f>
        <v>0</v>
      </c>
      <c r="F83" s="258">
        <f>Other_input_data!F35/Other_input_data!F34</f>
        <v>0</v>
      </c>
      <c r="G83" s="258">
        <f>Other_input_data!G35/Other_input_data!G34</f>
        <v>0.15558633425669441</v>
      </c>
      <c r="H83" s="258">
        <f>Other_input_data!H35/Other_input_data!H34</f>
        <v>0.13501350135013504</v>
      </c>
      <c r="I83" s="258">
        <f>Other_input_data!I35/Other_input_data!I34</f>
        <v>0.12707811432475521</v>
      </c>
      <c r="J83" s="258">
        <f>Other_input_data!J35/Other_input_data!J34</f>
        <v>0.13898472153770342</v>
      </c>
      <c r="K83" s="258">
        <f>Other_input_data!K35/Other_input_data!K34</f>
        <v>0</v>
      </c>
      <c r="L83" s="258">
        <f>Other_input_data!K35/Other_input_data!K34</f>
        <v>0</v>
      </c>
      <c r="M83" s="213" t="e">
        <f>(L83/F83)^(1/6)-1</f>
        <v>#DIV/0!</v>
      </c>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x14ac:dyDescent="0.2">
      <c r="A84" s="235" t="s">
        <v>501</v>
      </c>
      <c r="B84" s="238">
        <f>Other_input_data!B8/Other_input_data!B48</f>
        <v>0.26415094339622641</v>
      </c>
      <c r="C84" s="238">
        <f>Other_input_data!C8/Other_input_data!C48</f>
        <v>1.8054162487462385E-2</v>
      </c>
      <c r="D84" s="238">
        <f>Other_input_data!D8/Other_input_data!D48</f>
        <v>4.5608824777259228E-2</v>
      </c>
      <c r="E84" s="238">
        <f>Other_input_data!E8/Other_input_data!E48</f>
        <v>0.11799612005021112</v>
      </c>
      <c r="F84" s="238">
        <f>Other_input_data!F8/Other_input_data!F48</f>
        <v>0.15536069718650816</v>
      </c>
      <c r="G84" s="238">
        <f>Other_input_data!G8/Other_input_data!G48</f>
        <v>0.14166889463208865</v>
      </c>
      <c r="H84" s="238">
        <f>Other_input_data!H8/Other_input_data!H48</f>
        <v>0.10958164642375168</v>
      </c>
      <c r="I84" s="238">
        <f>Other_input_data!I8/Other_input_data!I48</f>
        <v>2.0515837619327782E-2</v>
      </c>
      <c r="J84" s="238">
        <f>Other_input_data!J8/Other_input_data!J48</f>
        <v>0.20066398915733061</v>
      </c>
      <c r="K84" s="238">
        <f>Other_input_data!K8/Other_input_data!K48</f>
        <v>2.7833352207668013E-2</v>
      </c>
      <c r="L84" s="259">
        <f>Other_input_data!K8/Other_input_data!K48</f>
        <v>2.7833352207668013E-2</v>
      </c>
    </row>
    <row r="85" spans="1:35" ht="24" x14ac:dyDescent="0.2">
      <c r="A85" s="235" t="s">
        <v>502</v>
      </c>
      <c r="B85" s="236">
        <f>Other_input_data!B30/Other_input_data!B56</f>
        <v>4.083333333333333</v>
      </c>
      <c r="C85" s="236">
        <f>Other_input_data!C30/Other_input_data!C56</f>
        <v>-8.4541062801933506E-3</v>
      </c>
      <c r="D85" s="236">
        <f>Other_input_data!D30/Other_input_data!D56</f>
        <v>1.2939841089670796E-2</v>
      </c>
      <c r="E85" s="236">
        <f>Other_input_data!E30/Other_input_data!E56</f>
        <v>6.2423500611995052E-2</v>
      </c>
      <c r="F85" s="236">
        <f>Other_input_data!F30/Other_input_data!F56</f>
        <v>8.7390614905737976E-2</v>
      </c>
      <c r="G85" s="236">
        <f>Other_input_data!G30/Other_input_data!G56</f>
        <v>0.12375320835634686</v>
      </c>
      <c r="H85" s="236">
        <f>Other_input_data!H30/Other_input_data!H56</f>
        <v>0.13869726054789039</v>
      </c>
      <c r="I85" s="236">
        <f>Other_input_data!I30/Other_input_data!I56</f>
        <v>0.15327266290426705</v>
      </c>
      <c r="J85" s="236">
        <f>Other_input_data!J30/Other_input_data!J56</f>
        <v>0.1318250859381245</v>
      </c>
      <c r="K85" s="236">
        <f>Other_input_data!K30/Other_input_data!K56</f>
        <v>4.3749419460994449E-2</v>
      </c>
      <c r="L85" s="236">
        <f>Other_input_data!K30/Other_input_data!K56</f>
        <v>4.3749419460994449E-2</v>
      </c>
    </row>
    <row r="86" spans="1:35" x14ac:dyDescent="0.2">
      <c r="A86" s="235" t="s">
        <v>503</v>
      </c>
      <c r="B86" s="236">
        <v>0.1</v>
      </c>
      <c r="C86" s="236">
        <v>0.1</v>
      </c>
      <c r="D86" s="236">
        <v>0.1</v>
      </c>
      <c r="E86" s="236">
        <v>0.1</v>
      </c>
      <c r="F86" s="236">
        <v>0.1</v>
      </c>
      <c r="G86" s="236">
        <v>0.1</v>
      </c>
      <c r="H86" s="236">
        <v>0.1</v>
      </c>
      <c r="I86" s="236">
        <v>0.1</v>
      </c>
      <c r="J86" s="236">
        <v>0.1</v>
      </c>
      <c r="K86" s="236">
        <v>0.1</v>
      </c>
      <c r="L86" s="239">
        <v>0.1</v>
      </c>
    </row>
    <row r="87" spans="1:35" x14ac:dyDescent="0.2">
      <c r="A87" s="235" t="s">
        <v>417</v>
      </c>
      <c r="B87" s="237">
        <f>Other_input_data!B56*(Analysis2!B70-Analysis2!B86)</f>
        <v>-0.47799999999999992</v>
      </c>
      <c r="C87" s="237">
        <f>Other_input_data!C56*(Analysis2!C70-Analysis2!C86)</f>
        <v>-1.0180000000000011</v>
      </c>
      <c r="D87" s="237">
        <f>Other_input_data!D56*(Analysis2!D70-Analysis2!D86)</f>
        <v>-3.8565094339622656</v>
      </c>
      <c r="E87" s="237">
        <f>Other_input_data!E56*(Analysis2!E70-Analysis2!E86)</f>
        <v>-4.3769401496259395</v>
      </c>
      <c r="F87" s="237">
        <f>Other_input_data!F56*(Analysis2!F70-Analysis2!F86)</f>
        <v>-6.9832729273660989</v>
      </c>
      <c r="G87" s="237">
        <f>Other_input_data!G56*(Analysis2!G70-Analysis2!G86)</f>
        <v>-4.6622098765432121</v>
      </c>
      <c r="H87" s="237">
        <f>Other_input_data!H56*(Analysis2!H70-Analysis2!H86)</f>
        <v>-2.1630705954573495</v>
      </c>
      <c r="I87" s="237">
        <f>Other_input_data!I56*(Analysis2!I70-Analysis2!I86)</f>
        <v>0.9398850174215948</v>
      </c>
      <c r="J87" s="237">
        <f>Other_input_data!J56*(Analysis2!J70-Analysis2!J86)</f>
        <v>-3.9755413666942534</v>
      </c>
      <c r="K87" s="237">
        <f>Other_input_data!K56*(Analysis2!K70-Analysis2!K86)</f>
        <v>-61.604901538461498</v>
      </c>
      <c r="L87" s="237">
        <f>Other_input_data!K56*(Analysis2!L70-Analysis2!L86)</f>
        <v>-61.604901538461498</v>
      </c>
    </row>
    <row r="88" spans="1:35" x14ac:dyDescent="0.2">
      <c r="A88" s="235" t="s">
        <v>418</v>
      </c>
      <c r="B88" s="236">
        <f>B87/Other_input_data!B25</f>
        <v>-4.7799999999999994</v>
      </c>
      <c r="C88" s="236">
        <f>C87/Other_input_data!C25</f>
        <v>-0.18782287822878249</v>
      </c>
      <c r="D88" s="236">
        <f>D87/Other_input_data!D25</f>
        <v>-0.37551211625728004</v>
      </c>
      <c r="E88" s="236">
        <f>E87/Other_input_data!E25</f>
        <v>-0.20472124179728438</v>
      </c>
      <c r="F88" s="236">
        <f>F87/Other_input_data!F25</f>
        <v>-0.17796312251187815</v>
      </c>
      <c r="G88" s="236">
        <f>G87/Other_input_data!G25</f>
        <v>-6.0383497947716781E-2</v>
      </c>
      <c r="H88" s="236">
        <f>H87/Other_input_data!H25</f>
        <v>-1.8927814100956855E-2</v>
      </c>
      <c r="I88" s="236">
        <f>I87/Other_input_data!I25</f>
        <v>5.9622241653234896E-3</v>
      </c>
      <c r="J88" s="236">
        <f>J87/Other_input_data!J25</f>
        <v>-1.9163853298116432E-2</v>
      </c>
      <c r="K88" s="236">
        <f>K87/Other_input_data!K25</f>
        <v>-0.29429561715215924</v>
      </c>
      <c r="L88" s="236">
        <f>L87/Other_input_data!K25</f>
        <v>-0.29429561715215924</v>
      </c>
    </row>
    <row r="89" spans="1:35" ht="15" customHeight="1" x14ac:dyDescent="0.2">
      <c r="A89" s="240" t="s">
        <v>504</v>
      </c>
      <c r="B89" s="121">
        <f>Other_input_data!B36</f>
        <v>0</v>
      </c>
      <c r="C89" s="241">
        <f>Other_input_data!C36</f>
        <v>0</v>
      </c>
      <c r="D89" s="241">
        <f>Other_input_data!D36</f>
        <v>0</v>
      </c>
      <c r="E89" s="241">
        <f>Other_input_data!E36</f>
        <v>0</v>
      </c>
      <c r="F89" s="241">
        <f>Other_input_data!F36</f>
        <v>0</v>
      </c>
      <c r="G89" s="241">
        <f>Other_input_data!G36</f>
        <v>712.50480091000009</v>
      </c>
      <c r="H89" s="241">
        <f>Other_input_data!H36</f>
        <v>924.52323062000005</v>
      </c>
      <c r="I89" s="241">
        <f>Other_input_data!I36</f>
        <v>1097.37197661</v>
      </c>
      <c r="J89" s="241">
        <f>Other_input_data!J36</f>
        <v>1698.5217042560002</v>
      </c>
      <c r="K89" s="241">
        <f>Other_input_data!K36</f>
        <v>332.51997991600007</v>
      </c>
      <c r="L89" s="241">
        <f>Other_input_data!K36</f>
        <v>332.51997991600007</v>
      </c>
    </row>
    <row r="90" spans="1:35" ht="15" customHeight="1" x14ac:dyDescent="0.2">
      <c r="A90" s="242" t="s">
        <v>505</v>
      </c>
      <c r="B90" s="243"/>
      <c r="D90" s="244">
        <f t="shared" ref="D90:L90" si="9">D89-C89</f>
        <v>0</v>
      </c>
      <c r="E90" s="244">
        <f t="shared" si="9"/>
        <v>0</v>
      </c>
      <c r="F90" s="244">
        <f t="shared" si="9"/>
        <v>0</v>
      </c>
      <c r="G90" s="244">
        <f t="shared" si="9"/>
        <v>712.50480091000009</v>
      </c>
      <c r="H90" s="244">
        <f t="shared" si="9"/>
        <v>212.01842970999996</v>
      </c>
      <c r="I90" s="244">
        <f t="shared" si="9"/>
        <v>172.84874599</v>
      </c>
      <c r="J90" s="244">
        <f t="shared" si="9"/>
        <v>601.1497276460002</v>
      </c>
      <c r="K90" s="244">
        <f t="shared" si="9"/>
        <v>-1366.0017243400002</v>
      </c>
      <c r="L90" s="244">
        <f t="shared" si="9"/>
        <v>0</v>
      </c>
    </row>
    <row r="91" spans="1:35" x14ac:dyDescent="0.2">
      <c r="A91" s="245" t="s">
        <v>506</v>
      </c>
      <c r="B91" s="246"/>
      <c r="D91" s="246">
        <f t="shared" ref="D91:L91" si="10">D90-C87</f>
        <v>1.0180000000000011</v>
      </c>
      <c r="E91" s="246">
        <f t="shared" si="10"/>
        <v>3.8565094339622656</v>
      </c>
      <c r="F91" s="246">
        <f t="shared" si="10"/>
        <v>4.3769401496259395</v>
      </c>
      <c r="G91" s="246">
        <f t="shared" si="10"/>
        <v>719.48807383736619</v>
      </c>
      <c r="H91" s="246">
        <f t="shared" si="10"/>
        <v>216.68063958654318</v>
      </c>
      <c r="I91" s="246">
        <f t="shared" si="10"/>
        <v>175.01181658545735</v>
      </c>
      <c r="J91" s="246">
        <f t="shared" si="10"/>
        <v>600.2098426285786</v>
      </c>
      <c r="K91" s="246">
        <f t="shared" si="10"/>
        <v>-1362.026182973306</v>
      </c>
      <c r="L91" s="246">
        <f t="shared" si="10"/>
        <v>61.604901538461498</v>
      </c>
    </row>
    <row r="92" spans="1:35" x14ac:dyDescent="0.2">
      <c r="A92" s="153"/>
      <c r="B92" s="247"/>
      <c r="C92" s="247"/>
      <c r="D92" s="247"/>
      <c r="E92" s="247"/>
      <c r="F92" s="247"/>
      <c r="G92" s="247"/>
      <c r="H92" s="247"/>
      <c r="I92" s="247"/>
      <c r="J92" s="247"/>
      <c r="K92" s="247"/>
    </row>
    <row r="93" spans="1:35" ht="24" x14ac:dyDescent="0.2">
      <c r="A93" s="242" t="s">
        <v>507</v>
      </c>
      <c r="B93" s="248">
        <f>SUM(Other_input_data!B23:K23)/SUM(Other_input_data!B61:K61)</f>
        <v>6.7825184501845017</v>
      </c>
      <c r="C93" s="310" t="s">
        <v>568</v>
      </c>
      <c r="D93" s="249"/>
      <c r="E93" s="249"/>
      <c r="F93" s="249"/>
      <c r="G93" s="249"/>
      <c r="H93" s="249"/>
      <c r="I93" s="249"/>
      <c r="J93" s="249"/>
      <c r="K93" s="249"/>
    </row>
    <row r="94" spans="1:35" ht="24" x14ac:dyDescent="0.2">
      <c r="A94" s="242" t="s">
        <v>508</v>
      </c>
      <c r="B94" s="248">
        <f>SUM(Other_input_data!E23:K23)/SUM(Other_input_data!E61:K61)</f>
        <v>6.2700997820851017</v>
      </c>
      <c r="C94" s="250"/>
      <c r="D94" s="250"/>
      <c r="E94" s="250"/>
      <c r="F94" s="250"/>
      <c r="G94" s="250"/>
      <c r="H94" s="250"/>
      <c r="I94" s="250"/>
      <c r="J94" s="250"/>
      <c r="K94" s="250"/>
    </row>
    <row r="95" spans="1:35" ht="24" x14ac:dyDescent="0.2">
      <c r="A95" s="242" t="s">
        <v>509</v>
      </c>
      <c r="B95" s="248">
        <f>SUM(Other_input_data!G23:K23)/SUM(Other_input_data!G61:K61)</f>
        <v>6.2607113985448661</v>
      </c>
      <c r="C95" s="251"/>
      <c r="D95" s="251"/>
      <c r="E95" s="251"/>
      <c r="F95" s="251"/>
      <c r="G95" s="251"/>
      <c r="H95" s="251"/>
      <c r="I95" s="251"/>
      <c r="J95" s="251"/>
      <c r="K95" s="251"/>
    </row>
    <row r="96" spans="1:35" ht="24" x14ac:dyDescent="0.2">
      <c r="A96" s="242" t="s">
        <v>510</v>
      </c>
      <c r="B96" s="248">
        <f>SUM(Other_input_data!I23:K23)/SUM(Other_input_data!I61:K61)</f>
        <v>4.4424583741429968</v>
      </c>
      <c r="C96" s="252"/>
      <c r="D96" s="252"/>
      <c r="E96" s="252"/>
      <c r="F96" s="252"/>
      <c r="G96" s="252"/>
      <c r="H96" s="252"/>
      <c r="I96" s="252"/>
      <c r="J96" s="252"/>
      <c r="K96" s="252"/>
    </row>
    <row r="97" spans="1:3" ht="24" x14ac:dyDescent="0.2">
      <c r="A97" s="245" t="s">
        <v>511</v>
      </c>
      <c r="B97" s="246">
        <f>SUM(Other_input_data!C23:L23)/SUM(Other_input_data!C29:L29)</f>
        <v>4.4633432800889361</v>
      </c>
      <c r="C97" s="310" t="s">
        <v>568</v>
      </c>
    </row>
    <row r="98" spans="1:3" x14ac:dyDescent="0.2">
      <c r="B98" s="253"/>
    </row>
    <row r="99" spans="1:3" ht="24" x14ac:dyDescent="0.2">
      <c r="A99" s="137" t="s">
        <v>512</v>
      </c>
      <c r="B99" s="254">
        <f>AVERAGE(I60:K60)</f>
        <v>0.5174512729660895</v>
      </c>
    </row>
    <row r="100" spans="1:3" ht="24" x14ac:dyDescent="0.2">
      <c r="A100" s="137" t="s">
        <v>513</v>
      </c>
      <c r="B100" s="254">
        <f>AVERAGE(G60:K60)</f>
        <v>0.5498699028209213</v>
      </c>
    </row>
    <row r="101" spans="1:3" ht="24" x14ac:dyDescent="0.2">
      <c r="A101" s="137" t="s">
        <v>514</v>
      </c>
      <c r="B101" s="255">
        <f>AVERAGE(I64:K64)</f>
        <v>0.29415245992928213</v>
      </c>
    </row>
    <row r="102" spans="1:3" ht="24" x14ac:dyDescent="0.2">
      <c r="A102" s="137" t="s">
        <v>515</v>
      </c>
      <c r="B102" s="255">
        <f>AVERAGE(G64:K64)</f>
        <v>0.28379062108646935</v>
      </c>
    </row>
    <row r="103" spans="1:3" x14ac:dyDescent="0.2">
      <c r="A103" s="137" t="s">
        <v>516</v>
      </c>
      <c r="B103" s="254">
        <f>AVERAGE(I70:K70)</f>
        <v>7.1638004966943822E-2</v>
      </c>
    </row>
    <row r="104" spans="1:3" x14ac:dyDescent="0.2">
      <c r="A104" s="137" t="s">
        <v>517</v>
      </c>
      <c r="B104" s="254">
        <f>AVERAGE(G70:K70)</f>
        <v>7.8872009384664613E-2</v>
      </c>
    </row>
    <row r="105" spans="1:3" ht="24" x14ac:dyDescent="0.2">
      <c r="A105" s="137" t="s">
        <v>518</v>
      </c>
      <c r="B105" s="255">
        <f>AVERAGE(Other_input_data!I56:K56)</f>
        <v>661.44666666666672</v>
      </c>
    </row>
    <row r="106" spans="1:3" ht="24" x14ac:dyDescent="0.2">
      <c r="A106" s="137" t="s">
        <v>519</v>
      </c>
      <c r="B106" s="255">
        <f>AVERAGE(Other_input_data!F56:K56)</f>
        <v>477.08</v>
      </c>
    </row>
    <row r="107" spans="1:3" x14ac:dyDescent="0.2">
      <c r="A107" s="137" t="s">
        <v>520</v>
      </c>
      <c r="B107" s="256">
        <f>AVERAGE(I88:K88)</f>
        <v>-0.10249908209498405</v>
      </c>
    </row>
    <row r="108" spans="1:3" x14ac:dyDescent="0.2">
      <c r="A108" s="137" t="s">
        <v>521</v>
      </c>
      <c r="B108" s="256">
        <f>AVERAGE(G88:K88)</f>
        <v>-7.7361711666725161E-2</v>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C12" sqref="C12"/>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x14ac:dyDescent="0.25">
      <c r="A1" s="379" t="str">
        <f>CONCATENATE('Data Sheet'!B1,"    : 3-Stage DCF")</f>
        <v>TREE HOUSE EDUCATION &amp; ACCESSORIES LTD    : 3-Stage DCF</v>
      </c>
      <c r="B1" s="380"/>
      <c r="C1" s="381"/>
      <c r="D1" s="260"/>
      <c r="E1" s="16"/>
      <c r="F1" s="16"/>
      <c r="G1" s="16"/>
      <c r="H1" s="16"/>
      <c r="I1" s="16"/>
      <c r="J1" s="16"/>
      <c r="K1" s="16"/>
      <c r="L1" s="16"/>
    </row>
    <row r="2" spans="1:19" ht="4.5" customHeight="1" thickBot="1" x14ac:dyDescent="0.3">
      <c r="A2" s="382"/>
      <c r="B2" s="383"/>
      <c r="C2" s="384"/>
      <c r="D2" s="260"/>
      <c r="M2" s="98"/>
    </row>
    <row r="3" spans="1:19" x14ac:dyDescent="0.25">
      <c r="A3" s="385" t="s">
        <v>522</v>
      </c>
      <c r="B3" s="385"/>
      <c r="C3" s="385"/>
      <c r="D3" s="377" t="s">
        <v>523</v>
      </c>
      <c r="E3" s="377"/>
      <c r="F3" s="103">
        <f>Analysis2!B24</f>
        <v>3.2341279319734385E-2</v>
      </c>
      <c r="G3" s="261" t="s">
        <v>524</v>
      </c>
      <c r="H3" s="261"/>
      <c r="I3" s="262">
        <f>Analysis2!H14</f>
        <v>-1.8581979320531758</v>
      </c>
      <c r="M3" s="98"/>
      <c r="N3" s="386" t="s">
        <v>525</v>
      </c>
      <c r="O3" s="387"/>
      <c r="P3" s="260"/>
      <c r="Q3" s="386" t="s">
        <v>526</v>
      </c>
      <c r="R3" s="387"/>
      <c r="S3" s="260"/>
    </row>
    <row r="4" spans="1:19" ht="15" customHeight="1" x14ac:dyDescent="0.25">
      <c r="A4" s="260" t="s">
        <v>527</v>
      </c>
      <c r="B4" s="108">
        <f>Analysis2!K13/3</f>
        <v>-93.726666666666674</v>
      </c>
      <c r="C4" s="260"/>
      <c r="D4" s="377" t="s">
        <v>528</v>
      </c>
      <c r="E4" s="377"/>
      <c r="F4" s="103">
        <f>AVERAGE('Financial Analysis'!E31:K31)</f>
        <v>0.21895824080305018</v>
      </c>
      <c r="G4" s="377" t="s">
        <v>529</v>
      </c>
      <c r="H4" s="377"/>
      <c r="I4" s="262">
        <f>Analysis2!H12</f>
        <v>0.4456051873198848</v>
      </c>
      <c r="M4" s="98"/>
      <c r="N4" s="263" t="s">
        <v>530</v>
      </c>
      <c r="O4" s="264">
        <f>(B45*B30)+B45</f>
        <v>-149.36653055044144</v>
      </c>
      <c r="P4" s="260"/>
      <c r="Q4" s="263" t="s">
        <v>530</v>
      </c>
      <c r="R4" s="264">
        <f>(G45*B31)+G45</f>
        <v>-117.15022003956193</v>
      </c>
      <c r="S4" s="260"/>
    </row>
    <row r="5" spans="1:19" x14ac:dyDescent="0.25">
      <c r="A5" s="265" t="s">
        <v>531</v>
      </c>
      <c r="B5" s="266">
        <f>'Financial Analysis'!N46</f>
        <v>0.26858090607276952</v>
      </c>
      <c r="C5" s="260"/>
      <c r="D5" s="377" t="s">
        <v>532</v>
      </c>
      <c r="E5" s="377"/>
      <c r="F5" s="86">
        <f>'Financial Analysis'!L78</f>
        <v>0</v>
      </c>
      <c r="G5" s="377" t="s">
        <v>237</v>
      </c>
      <c r="H5" s="377"/>
      <c r="I5" s="304">
        <f>Other_input_data!L49</f>
        <v>464.36</v>
      </c>
      <c r="J5" s="267"/>
      <c r="K5" s="267"/>
      <c r="L5" s="267"/>
      <c r="M5" s="267"/>
      <c r="N5" s="268" t="s">
        <v>533</v>
      </c>
      <c r="O5" s="264">
        <f>SUM(D36:D45)</f>
        <v>-1057.8936546136003</v>
      </c>
      <c r="Q5" s="268" t="s">
        <v>533</v>
      </c>
      <c r="R5" s="264">
        <f>SUM(I36:I45)</f>
        <v>-846.31492369088028</v>
      </c>
    </row>
    <row r="6" spans="1:19" x14ac:dyDescent="0.25">
      <c r="A6" s="265" t="s">
        <v>534</v>
      </c>
      <c r="B6" s="269">
        <v>0.2</v>
      </c>
      <c r="C6" s="260"/>
      <c r="D6" s="377" t="s">
        <v>535</v>
      </c>
      <c r="E6" s="377"/>
      <c r="F6" s="305">
        <f>AVERAGE('Financial Analysis'!G78:K78)</f>
        <v>0.11131864830423736</v>
      </c>
      <c r="G6" s="377" t="s">
        <v>536</v>
      </c>
      <c r="H6" s="377"/>
      <c r="I6" s="270">
        <v>0.24</v>
      </c>
      <c r="N6" s="263" t="s">
        <v>537</v>
      </c>
      <c r="O6" s="264">
        <f>((O4)/($B$28-$B$30))/(1+$B$28)^A45</f>
        <v>-719.84079398867243</v>
      </c>
      <c r="Q6" s="263" t="s">
        <v>537</v>
      </c>
      <c r="R6" s="264">
        <f>((R4)/($B$29-$B$31))/(1+$B$29)^F45</f>
        <v>-451.66481191446121</v>
      </c>
    </row>
    <row r="7" spans="1:19" x14ac:dyDescent="0.25">
      <c r="A7" t="s">
        <v>538</v>
      </c>
      <c r="B7" s="83">
        <f>AVERAGE(Other_input_data!C23:L23)/AVERAGE(Other_input_data!C49:L49)</f>
        <v>0.39819909171582185</v>
      </c>
      <c r="C7" s="260"/>
      <c r="D7" s="377" t="s">
        <v>539</v>
      </c>
      <c r="E7" s="377"/>
      <c r="F7" s="111">
        <f>Analysis2!K14</f>
        <v>-180.64000000000001</v>
      </c>
      <c r="G7" s="377" t="s">
        <v>10</v>
      </c>
      <c r="H7" s="377"/>
      <c r="I7" s="262">
        <f>AVERAGE('Financial Analysis'!G24:K24)</f>
        <v>7.8405239814708982E-2</v>
      </c>
      <c r="N7" s="263" t="s">
        <v>540</v>
      </c>
      <c r="O7" s="264">
        <f>O5+O6</f>
        <v>-1777.7344486022728</v>
      </c>
      <c r="P7" s="260"/>
      <c r="Q7" s="263" t="s">
        <v>540</v>
      </c>
      <c r="R7" s="264">
        <f>R5+R6</f>
        <v>-1297.9797356053414</v>
      </c>
    </row>
    <row r="8" spans="1:19" x14ac:dyDescent="0.25">
      <c r="A8" s="265"/>
      <c r="B8" s="271"/>
      <c r="C8" s="260"/>
      <c r="D8" s="377" t="s">
        <v>541</v>
      </c>
      <c r="E8" s="377"/>
      <c r="F8" s="103">
        <f>Analysis2!B21</f>
        <v>9.0624246806461084E-3</v>
      </c>
      <c r="G8" s="377" t="s">
        <v>542</v>
      </c>
      <c r="H8" s="377"/>
      <c r="I8" s="103">
        <f>Analysis2!B19</f>
        <v>0.39772101509900781</v>
      </c>
      <c r="N8" s="263" t="s">
        <v>543</v>
      </c>
      <c r="O8" s="272">
        <f>B32</f>
        <v>4.2312328767123288</v>
      </c>
      <c r="P8" s="260"/>
      <c r="Q8" s="263" t="s">
        <v>543</v>
      </c>
      <c r="R8" s="272">
        <f>B32</f>
        <v>4.2312328767123288</v>
      </c>
    </row>
    <row r="9" spans="1:19" ht="15.75" thickBot="1" x14ac:dyDescent="0.3">
      <c r="A9" s="265"/>
      <c r="B9" s="271"/>
      <c r="C9" s="260"/>
      <c r="D9" s="261"/>
      <c r="E9" s="261"/>
      <c r="N9" s="273" t="s">
        <v>544</v>
      </c>
      <c r="O9" s="274">
        <f>(O7-B33)/O8</f>
        <v>-440.92691254845221</v>
      </c>
      <c r="P9" s="260"/>
      <c r="Q9" s="273" t="s">
        <v>544</v>
      </c>
      <c r="R9" s="274">
        <f>(R7-B33)/R8</f>
        <v>-327.54276968139703</v>
      </c>
    </row>
    <row r="10" spans="1:19" ht="13.5" customHeight="1" thickBot="1" x14ac:dyDescent="0.3">
      <c r="A10" s="275" t="s">
        <v>545</v>
      </c>
      <c r="B10" s="276">
        <v>1</v>
      </c>
      <c r="C10" s="276">
        <v>2</v>
      </c>
      <c r="D10" s="277">
        <v>3</v>
      </c>
      <c r="E10" s="278">
        <v>4</v>
      </c>
      <c r="F10" s="278">
        <v>5</v>
      </c>
      <c r="G10" s="278">
        <v>6</v>
      </c>
      <c r="H10" s="278">
        <v>7</v>
      </c>
      <c r="I10" s="278">
        <v>8</v>
      </c>
      <c r="J10" s="278">
        <v>9</v>
      </c>
      <c r="K10" s="278">
        <v>10</v>
      </c>
      <c r="N10" s="279" t="s">
        <v>546</v>
      </c>
      <c r="O10" s="280">
        <f>O5/O7</f>
        <v>0.59507968439569781</v>
      </c>
      <c r="P10" s="106"/>
      <c r="Q10" s="279" t="s">
        <v>546</v>
      </c>
      <c r="R10" s="280">
        <f>R5/R7</f>
        <v>0.65202475853460273</v>
      </c>
      <c r="S10" s="260"/>
    </row>
    <row r="11" spans="1:19" ht="13.5" customHeight="1" x14ac:dyDescent="0.25">
      <c r="A11" s="275" t="s">
        <v>166</v>
      </c>
      <c r="B11" s="269">
        <v>0.1</v>
      </c>
      <c r="C11" s="269">
        <v>0.1</v>
      </c>
      <c r="D11" s="269">
        <v>0.06</v>
      </c>
      <c r="E11" s="269">
        <v>0.04</v>
      </c>
      <c r="F11" s="269">
        <v>0.04</v>
      </c>
      <c r="G11" s="269">
        <v>0.04</v>
      </c>
      <c r="H11" s="269">
        <v>0.02</v>
      </c>
      <c r="I11" s="269">
        <v>0.02</v>
      </c>
      <c r="J11" s="269">
        <v>0.02</v>
      </c>
      <c r="K11" s="269">
        <v>0.02</v>
      </c>
      <c r="N11" s="279" t="s">
        <v>547</v>
      </c>
      <c r="O11" s="280">
        <f>O6/O7</f>
        <v>0.40492031560430219</v>
      </c>
      <c r="P11" s="106"/>
      <c r="Q11" s="279" t="s">
        <v>547</v>
      </c>
      <c r="R11" s="280">
        <f>R6/R7</f>
        <v>0.34797524146539732</v>
      </c>
      <c r="S11" s="260"/>
    </row>
    <row r="12" spans="1:19" ht="13.5" customHeight="1" x14ac:dyDescent="0.25">
      <c r="A12" s="275" t="s">
        <v>548</v>
      </c>
      <c r="B12" s="281">
        <f>'Data Sheet'!K17*(1+B11)</f>
        <v>230.26300000000003</v>
      </c>
      <c r="C12" s="281">
        <f>B12*(1+C11)</f>
        <v>253.28930000000005</v>
      </c>
      <c r="D12" s="281">
        <f t="shared" ref="D12:K12" si="0">C12*(1+D11)</f>
        <v>268.48665800000009</v>
      </c>
      <c r="E12" s="281">
        <f t="shared" si="0"/>
        <v>279.22612432000011</v>
      </c>
      <c r="F12" s="281">
        <f t="shared" si="0"/>
        <v>290.39516929280012</v>
      </c>
      <c r="G12" s="281">
        <f t="shared" si="0"/>
        <v>302.01097606451214</v>
      </c>
      <c r="H12" s="281">
        <f t="shared" si="0"/>
        <v>308.05119558580236</v>
      </c>
      <c r="I12" s="281">
        <f t="shared" si="0"/>
        <v>314.21221949751839</v>
      </c>
      <c r="J12" s="281">
        <f t="shared" si="0"/>
        <v>320.49646388746874</v>
      </c>
      <c r="K12" s="281">
        <f t="shared" si="0"/>
        <v>326.90639316521811</v>
      </c>
      <c r="S12" s="260"/>
    </row>
    <row r="13" spans="1:19" ht="13.5" customHeight="1" x14ac:dyDescent="0.25">
      <c r="A13" s="275" t="s">
        <v>202</v>
      </c>
      <c r="B13" s="282">
        <v>7.2999999999999995E-2</v>
      </c>
      <c r="C13" s="282">
        <v>7.2999999999999995E-2</v>
      </c>
      <c r="D13" s="282">
        <v>7.2999999999999995E-2</v>
      </c>
      <c r="E13" s="282">
        <v>7.2999999999999995E-2</v>
      </c>
      <c r="F13" s="282">
        <v>7.2999999999999995E-2</v>
      </c>
      <c r="G13" s="282">
        <v>7.2999999999999995E-2</v>
      </c>
      <c r="H13" s="282">
        <v>7.2999999999999995E-2</v>
      </c>
      <c r="I13" s="282">
        <v>7.2999999999999995E-2</v>
      </c>
      <c r="J13" s="282">
        <v>7.2999999999999995E-2</v>
      </c>
      <c r="K13" s="282">
        <v>7.2999999999999995E-2</v>
      </c>
      <c r="N13" s="314" t="s">
        <v>591</v>
      </c>
      <c r="O13" s="267">
        <f>'Data Sheet'!B8</f>
        <v>18.25</v>
      </c>
      <c r="Q13" s="314" t="s">
        <v>591</v>
      </c>
      <c r="R13" s="315">
        <f>'Data Sheet'!B8</f>
        <v>18.25</v>
      </c>
    </row>
    <row r="14" spans="1:19" ht="13.5" customHeight="1" x14ac:dyDescent="0.25">
      <c r="A14" s="275" t="s">
        <v>116</v>
      </c>
      <c r="B14" s="283">
        <f>B12*B13</f>
        <v>16.809199000000003</v>
      </c>
      <c r="C14" s="283">
        <f t="shared" ref="C14:K14" si="1">C12*C13</f>
        <v>18.490118900000002</v>
      </c>
      <c r="D14" s="283">
        <f t="shared" si="1"/>
        <v>19.599526034000004</v>
      </c>
      <c r="E14" s="283">
        <f t="shared" si="1"/>
        <v>20.383507075360008</v>
      </c>
      <c r="F14" s="283">
        <f t="shared" si="1"/>
        <v>21.198847358374408</v>
      </c>
      <c r="G14" s="283">
        <f t="shared" si="1"/>
        <v>22.046801252709386</v>
      </c>
      <c r="H14" s="283">
        <f t="shared" si="1"/>
        <v>22.487737277763571</v>
      </c>
      <c r="I14" s="283">
        <f t="shared" si="1"/>
        <v>22.937492023318843</v>
      </c>
      <c r="J14" s="283">
        <f t="shared" si="1"/>
        <v>23.396241863785217</v>
      </c>
      <c r="K14" s="283">
        <f t="shared" si="1"/>
        <v>23.86416670106092</v>
      </c>
    </row>
    <row r="15" spans="1:19" ht="13.5" customHeight="1" x14ac:dyDescent="0.25">
      <c r="A15" s="275" t="s">
        <v>304</v>
      </c>
      <c r="B15" s="283">
        <f t="shared" ref="B15:K15" si="2">MIN($I$3,$I$4)*B14</f>
        <v>-31.234818821270316</v>
      </c>
      <c r="C15" s="283">
        <f t="shared" si="2"/>
        <v>-34.358300703397347</v>
      </c>
      <c r="D15" s="283">
        <f t="shared" si="2"/>
        <v>-36.419798745601192</v>
      </c>
      <c r="E15" s="283">
        <f t="shared" si="2"/>
        <v>-37.876590695425243</v>
      </c>
      <c r="F15" s="283">
        <f t="shared" si="2"/>
        <v>-39.391654323242257</v>
      </c>
      <c r="G15" s="283">
        <f t="shared" si="2"/>
        <v>-40.967320496171951</v>
      </c>
      <c r="H15" s="283">
        <f t="shared" si="2"/>
        <v>-41.786666906095384</v>
      </c>
      <c r="I15" s="283">
        <f t="shared" si="2"/>
        <v>-42.622400244217289</v>
      </c>
      <c r="J15" s="283">
        <f t="shared" si="2"/>
        <v>-43.474848249101633</v>
      </c>
      <c r="K15" s="283">
        <f t="shared" si="2"/>
        <v>-44.34434521408366</v>
      </c>
      <c r="N15" s="316" t="s">
        <v>596</v>
      </c>
      <c r="O15" s="318">
        <f>(O9-O13)/O9</f>
        <v>1.0413900795814874</v>
      </c>
      <c r="Q15" s="316" t="s">
        <v>597</v>
      </c>
      <c r="R15" s="318">
        <f>(R9-R13)/R9</f>
        <v>1.0557179143894762</v>
      </c>
    </row>
    <row r="16" spans="1:19" ht="13.5" customHeight="1" x14ac:dyDescent="0.25">
      <c r="A16" s="275" t="s">
        <v>237</v>
      </c>
      <c r="B16" s="283">
        <f>I5*(1-I7)</f>
        <v>427.95174283964172</v>
      </c>
      <c r="C16" s="283">
        <f>(B16+B21)*(1-$I$7)</f>
        <v>453.35893642183527</v>
      </c>
      <c r="D16" s="283">
        <f t="shared" ref="D16:K16" si="3">(C16+C21)*(1-$I$7)</f>
        <v>480.27453719367992</v>
      </c>
      <c r="E16" s="283">
        <f t="shared" si="3"/>
        <v>483.18636012422286</v>
      </c>
      <c r="F16" s="283">
        <f t="shared" si="3"/>
        <v>542.8781929453678</v>
      </c>
      <c r="G16" s="283">
        <f t="shared" si="3"/>
        <v>609.94423000653205</v>
      </c>
      <c r="H16" s="283">
        <f t="shared" si="3"/>
        <v>746.88249443582231</v>
      </c>
      <c r="I16" s="283">
        <f t="shared" si="3"/>
        <v>1134.5255209615905</v>
      </c>
      <c r="J16" s="283">
        <f t="shared" si="3"/>
        <v>1176.7575918376017</v>
      </c>
      <c r="K16" s="283">
        <f t="shared" si="3"/>
        <v>1220.5617276672199</v>
      </c>
    </row>
    <row r="17" spans="1:18" ht="13.5" customHeight="1" x14ac:dyDescent="0.25">
      <c r="A17" s="275" t="s">
        <v>549</v>
      </c>
      <c r="B17" s="284">
        <f>AVERAGE($B$7*(B11/$I$8),$B$7)</f>
        <v>0.24915964786392325</v>
      </c>
      <c r="C17" s="284">
        <f t="shared" ref="C17:K17" si="4">AVERAGE($B$7*(C11/$I$8),$B$7)</f>
        <v>0.24915964786392325</v>
      </c>
      <c r="D17" s="284">
        <f t="shared" si="4"/>
        <v>0.22913560706151831</v>
      </c>
      <c r="E17" s="284">
        <f t="shared" si="4"/>
        <v>0.21912358666031584</v>
      </c>
      <c r="F17" s="284">
        <f t="shared" si="4"/>
        <v>0.21912358666031584</v>
      </c>
      <c r="G17" s="284">
        <f t="shared" si="4"/>
        <v>0.21912358666031584</v>
      </c>
      <c r="H17" s="284">
        <f t="shared" si="4"/>
        <v>0.2091115662591134</v>
      </c>
      <c r="I17" s="284">
        <f t="shared" si="4"/>
        <v>0.2091115662591134</v>
      </c>
      <c r="J17" s="284">
        <f t="shared" si="4"/>
        <v>0.2091115662591134</v>
      </c>
      <c r="K17" s="284">
        <f t="shared" si="4"/>
        <v>0.2091115662591134</v>
      </c>
      <c r="N17" t="str">
        <f>'PE Forecast'!D13</f>
        <v>Aggressive PE 2 Quarters Forward</v>
      </c>
      <c r="O17" s="108">
        <f>'PE Forecast'!E13</f>
        <v>-12.856271094377838</v>
      </c>
      <c r="Q17" s="317" t="s">
        <v>593</v>
      </c>
      <c r="R17" s="318">
        <f>($O$20-O17)/$O$20</f>
        <v>1.4743090151530567</v>
      </c>
    </row>
    <row r="18" spans="1:18" ht="13.5" customHeight="1" x14ac:dyDescent="0.25">
      <c r="A18" s="275" t="s">
        <v>550</v>
      </c>
      <c r="B18" s="285">
        <v>-0.4</v>
      </c>
      <c r="C18" s="285">
        <v>-0.4</v>
      </c>
      <c r="D18" s="285">
        <v>-0.6</v>
      </c>
      <c r="E18" s="285">
        <v>0</v>
      </c>
      <c r="F18" s="285">
        <v>0</v>
      </c>
      <c r="G18" s="285">
        <v>0.5</v>
      </c>
      <c r="H18" s="285">
        <v>2.1</v>
      </c>
      <c r="I18" s="285">
        <v>-0.4</v>
      </c>
      <c r="J18" s="285">
        <v>-0.4</v>
      </c>
      <c r="K18" s="285">
        <v>-0.6</v>
      </c>
      <c r="N18" t="str">
        <f>'PE Forecast'!D14</f>
        <v>Moderate PE 2 Quarters Forward</v>
      </c>
      <c r="O18" s="108">
        <f>'PE Forecast'!E14</f>
        <v>-3.7620710695052653</v>
      </c>
      <c r="Q18" s="317" t="s">
        <v>594</v>
      </c>
      <c r="R18" s="318">
        <f>($O$20-O18)/$O$20</f>
        <v>1.1387948504518683</v>
      </c>
    </row>
    <row r="19" spans="1:18" ht="13.5" customHeight="1" x14ac:dyDescent="0.25">
      <c r="A19" s="275" t="s">
        <v>551</v>
      </c>
      <c r="B19" s="286">
        <f>B17*B18</f>
        <v>-9.96638591455693E-2</v>
      </c>
      <c r="C19" s="286">
        <f t="shared" ref="C19:K19" si="5">C17*C18</f>
        <v>-9.96638591455693E-2</v>
      </c>
      <c r="D19" s="286">
        <f t="shared" si="5"/>
        <v>-0.13748136423691099</v>
      </c>
      <c r="E19" s="286">
        <f t="shared" si="5"/>
        <v>0</v>
      </c>
      <c r="F19" s="286">
        <f t="shared" si="5"/>
        <v>0</v>
      </c>
      <c r="G19" s="286">
        <f t="shared" si="5"/>
        <v>0.10956179333015792</v>
      </c>
      <c r="H19" s="286">
        <f t="shared" si="5"/>
        <v>0.43913428914413816</v>
      </c>
      <c r="I19" s="286">
        <f t="shared" si="5"/>
        <v>-8.3644626503645361E-2</v>
      </c>
      <c r="J19" s="286">
        <f t="shared" si="5"/>
        <v>-8.3644626503645361E-2</v>
      </c>
      <c r="K19" s="286">
        <f t="shared" si="5"/>
        <v>-0.12546693975546802</v>
      </c>
      <c r="N19" t="str">
        <f>'PE Forecast'!D15</f>
        <v>Conservative PE 2 Quarters Forward</v>
      </c>
      <c r="O19" s="108">
        <f>'PE Forecast'!E15</f>
        <v>-1.8253071311897595</v>
      </c>
      <c r="Q19" s="317" t="s">
        <v>595</v>
      </c>
      <c r="R19" s="318">
        <f>($O$20-O19)/$O$20</f>
        <v>1.0673414259384333</v>
      </c>
    </row>
    <row r="20" spans="1:18" ht="13.5" customHeight="1" x14ac:dyDescent="0.25">
      <c r="A20" s="275" t="s">
        <v>552</v>
      </c>
      <c r="B20" s="286">
        <f>B17+B19</f>
        <v>0.14949578871835395</v>
      </c>
      <c r="C20" s="286">
        <f t="shared" ref="C20:K20" si="6">C17+C19</f>
        <v>0.14949578871835395</v>
      </c>
      <c r="D20" s="286">
        <f t="shared" si="6"/>
        <v>9.1654242824607324E-2</v>
      </c>
      <c r="E20" s="286">
        <f t="shared" si="6"/>
        <v>0.21912358666031584</v>
      </c>
      <c r="F20" s="286">
        <f t="shared" si="6"/>
        <v>0.21912358666031584</v>
      </c>
      <c r="G20" s="286">
        <f t="shared" si="6"/>
        <v>0.32868537999047376</v>
      </c>
      <c r="H20" s="286">
        <f t="shared" si="6"/>
        <v>0.64824585540325153</v>
      </c>
      <c r="I20" s="286">
        <f t="shared" si="6"/>
        <v>0.12546693975546802</v>
      </c>
      <c r="J20" s="286">
        <f t="shared" si="6"/>
        <v>0.12546693975546802</v>
      </c>
      <c r="K20" s="286">
        <f t="shared" si="6"/>
        <v>8.3644626503645375E-2</v>
      </c>
      <c r="N20" t="s">
        <v>592</v>
      </c>
      <c r="O20" s="107">
        <f>Analysis2!B5</f>
        <v>27.105264044431447</v>
      </c>
      <c r="P20" s="106"/>
      <c r="R20" s="106"/>
    </row>
    <row r="21" spans="1:18" ht="13.5" customHeight="1" x14ac:dyDescent="0.25">
      <c r="A21" s="275" t="s">
        <v>222</v>
      </c>
      <c r="B21" s="283">
        <f>B20*B16</f>
        <v>63.976983329206419</v>
      </c>
      <c r="C21" s="283">
        <f t="shared" ref="C21:K21" si="7">C20*C16</f>
        <v>67.77525177289634</v>
      </c>
      <c r="D21" s="283">
        <f t="shared" si="7"/>
        <v>44.019199054425442</v>
      </c>
      <c r="E21" s="283">
        <f t="shared" si="7"/>
        <v>105.87752825576273</v>
      </c>
      <c r="F21" s="283">
        <f t="shared" si="7"/>
        <v>118.95741675785996</v>
      </c>
      <c r="G21" s="283">
        <f t="shared" si="7"/>
        <v>200.47975101269392</v>
      </c>
      <c r="H21" s="283">
        <f t="shared" si="7"/>
        <v>484.16348149126389</v>
      </c>
      <c r="I21" s="283">
        <f t="shared" si="7"/>
        <v>142.34544518952885</v>
      </c>
      <c r="J21" s="283">
        <f t="shared" si="7"/>
        <v>147.644173881878</v>
      </c>
      <c r="K21" s="283">
        <f t="shared" si="7"/>
        <v>102.09342983536872</v>
      </c>
      <c r="P21" s="106"/>
      <c r="Q21" s="320" t="s">
        <v>598</v>
      </c>
      <c r="R21" s="107">
        <f>'Data Sheet'!B9/('Data Sheet'!K57+'Data Sheet'!K58)</f>
        <v>0.11794715136703833</v>
      </c>
    </row>
    <row r="22" spans="1:18" ht="13.5" customHeight="1" x14ac:dyDescent="0.25">
      <c r="A22" s="275" t="s">
        <v>553</v>
      </c>
      <c r="B22" s="287">
        <v>0</v>
      </c>
      <c r="C22" s="287">
        <v>0</v>
      </c>
      <c r="D22" s="287">
        <v>0</v>
      </c>
      <c r="E22" s="287">
        <v>0.1</v>
      </c>
      <c r="F22" s="287">
        <v>0</v>
      </c>
      <c r="G22" s="287">
        <v>0</v>
      </c>
      <c r="H22" s="287">
        <v>0</v>
      </c>
      <c r="I22" s="287">
        <v>0.1</v>
      </c>
      <c r="J22" s="287">
        <v>0</v>
      </c>
      <c r="K22" s="287">
        <v>0</v>
      </c>
      <c r="N22" s="323" t="s">
        <v>604</v>
      </c>
      <c r="O22" s="324">
        <v>1.2</v>
      </c>
      <c r="P22" s="106"/>
      <c r="Q22" s="320" t="s">
        <v>599</v>
      </c>
      <c r="R22" s="319">
        <f>Analysis2!C5</f>
        <v>1.90916850403079</v>
      </c>
    </row>
    <row r="23" spans="1:18" ht="13.5" customHeight="1" x14ac:dyDescent="0.25">
      <c r="A23" s="275" t="s">
        <v>400</v>
      </c>
      <c r="B23" s="283">
        <f>B14*($F$5*(1+B22))</f>
        <v>0</v>
      </c>
      <c r="C23" s="283">
        <f t="shared" ref="C23:K23" si="8">C14*($F$5*(1+C22))</f>
        <v>0</v>
      </c>
      <c r="D23" s="283">
        <f t="shared" si="8"/>
        <v>0</v>
      </c>
      <c r="E23" s="283">
        <f t="shared" si="8"/>
        <v>0</v>
      </c>
      <c r="F23" s="283">
        <f t="shared" si="8"/>
        <v>0</v>
      </c>
      <c r="G23" s="283">
        <f t="shared" si="8"/>
        <v>0</v>
      </c>
      <c r="H23" s="283">
        <f t="shared" si="8"/>
        <v>0</v>
      </c>
      <c r="I23" s="283">
        <f t="shared" si="8"/>
        <v>0</v>
      </c>
      <c r="J23" s="283">
        <f t="shared" si="8"/>
        <v>0</v>
      </c>
      <c r="K23" s="283">
        <f t="shared" si="8"/>
        <v>0</v>
      </c>
      <c r="N23" s="323" t="s">
        <v>605</v>
      </c>
      <c r="O23" s="324">
        <v>1</v>
      </c>
      <c r="P23" s="106"/>
      <c r="Q23" t="s">
        <v>601</v>
      </c>
      <c r="R23" s="83">
        <f>(('Data Sheet'!K57+'Data Sheet'!K58)-('Data Sheet'!J57+'Data Sheet'!J58))/('Data Sheet'!J57+'Data Sheet'!J58)</f>
        <v>1.5479588038218169E-2</v>
      </c>
    </row>
    <row r="24" spans="1:18" ht="13.5" customHeight="1" x14ac:dyDescent="0.25">
      <c r="A24" s="275" t="s">
        <v>554</v>
      </c>
      <c r="B24" s="283">
        <f>B15-B21</f>
        <v>-95.211802150476728</v>
      </c>
      <c r="C24" s="283">
        <f t="shared" ref="C24:K24" si="9">C15-C21</f>
        <v>-102.13355247629369</v>
      </c>
      <c r="D24" s="283">
        <f t="shared" si="9"/>
        <v>-80.438997800026641</v>
      </c>
      <c r="E24" s="283">
        <f t="shared" si="9"/>
        <v>-143.75411895118796</v>
      </c>
      <c r="F24" s="283">
        <f t="shared" si="9"/>
        <v>-158.34907108110221</v>
      </c>
      <c r="G24" s="283">
        <f t="shared" si="9"/>
        <v>-241.44707150886586</v>
      </c>
      <c r="H24" s="283">
        <f t="shared" si="9"/>
        <v>-525.95014839735927</v>
      </c>
      <c r="I24" s="283">
        <f t="shared" si="9"/>
        <v>-184.96784543374613</v>
      </c>
      <c r="J24" s="283">
        <f t="shared" si="9"/>
        <v>-191.11902213097963</v>
      </c>
      <c r="K24" s="283">
        <f t="shared" si="9"/>
        <v>-146.4377750494524</v>
      </c>
      <c r="N24" s="323" t="s">
        <v>606</v>
      </c>
      <c r="O24" s="324">
        <v>0.7</v>
      </c>
      <c r="P24" s="106"/>
      <c r="Q24" t="s">
        <v>603</v>
      </c>
      <c r="R24" s="321">
        <f>'Data Sheet'!B9/(('Data Sheet'!K57+'Data Sheet'!K58)*(1+R23))</f>
        <v>0.11614920945372989</v>
      </c>
    </row>
    <row r="25" spans="1:18" ht="13.5" customHeight="1" x14ac:dyDescent="0.25">
      <c r="A25" s="275" t="s">
        <v>555</v>
      </c>
      <c r="B25" s="283">
        <f t="shared" ref="B25:K25" si="10">B24*(1-$B$6)</f>
        <v>-76.169441720381386</v>
      </c>
      <c r="C25" s="283">
        <f t="shared" si="10"/>
        <v>-81.706841981034955</v>
      </c>
      <c r="D25" s="283">
        <f t="shared" si="10"/>
        <v>-64.351198240021318</v>
      </c>
      <c r="E25" s="283">
        <f t="shared" si="10"/>
        <v>-115.00329516095037</v>
      </c>
      <c r="F25" s="283">
        <f t="shared" si="10"/>
        <v>-126.67925686488178</v>
      </c>
      <c r="G25" s="283">
        <f t="shared" si="10"/>
        <v>-193.15765720709271</v>
      </c>
      <c r="H25" s="283">
        <f t="shared" si="10"/>
        <v>-420.76011871788745</v>
      </c>
      <c r="I25" s="283">
        <f t="shared" si="10"/>
        <v>-147.9742763469969</v>
      </c>
      <c r="J25" s="283">
        <f t="shared" si="10"/>
        <v>-152.8952177047837</v>
      </c>
      <c r="K25" s="283">
        <f t="shared" si="10"/>
        <v>-117.15022003956193</v>
      </c>
      <c r="P25" s="106"/>
    </row>
    <row r="26" spans="1:18" x14ac:dyDescent="0.25">
      <c r="A26" s="265" t="s">
        <v>556</v>
      </c>
      <c r="B26" s="266">
        <f>(B24-F7)/F7</f>
        <v>-0.47291960722721038</v>
      </c>
      <c r="C26" s="266">
        <f>(C24-B24)/B24</f>
        <v>7.2698448821266234E-2</v>
      </c>
      <c r="D26" s="266">
        <f t="shared" ref="D26:K27" si="11">(D24-C24)/C24</f>
        <v>-0.21241359132497217</v>
      </c>
      <c r="E26" s="266">
        <f t="shared" si="11"/>
        <v>0.78711971659025759</v>
      </c>
      <c r="F26" s="266">
        <f t="shared" si="11"/>
        <v>0.10152719265644136</v>
      </c>
      <c r="G26" s="266">
        <f t="shared" si="11"/>
        <v>0.52477731546150375</v>
      </c>
      <c r="H26" s="266">
        <f t="shared" si="11"/>
        <v>1.1783248192266706</v>
      </c>
      <c r="I26" s="266">
        <f t="shared" si="11"/>
        <v>-0.64831677299195001</v>
      </c>
      <c r="J26" s="266">
        <f t="shared" si="11"/>
        <v>3.3255383836088379E-2</v>
      </c>
      <c r="K26" s="266">
        <f t="shared" si="11"/>
        <v>-0.23378754549563269</v>
      </c>
      <c r="P26" s="106"/>
      <c r="Q26" s="317" t="s">
        <v>600</v>
      </c>
      <c r="R26" s="322">
        <f>(R22-R21)/R22</f>
        <v>0.93822066982667129</v>
      </c>
    </row>
    <row r="27" spans="1:18" x14ac:dyDescent="0.25">
      <c r="A27" s="265" t="s">
        <v>557</v>
      </c>
      <c r="B27" s="266">
        <f>(B25-$F$7)/$F$7</f>
        <v>-0.5783356857817683</v>
      </c>
      <c r="C27" s="266">
        <f>(C25-B25)/B25</f>
        <v>7.2698448821266262E-2</v>
      </c>
      <c r="D27" s="266">
        <f t="shared" si="11"/>
        <v>-0.21241359132497215</v>
      </c>
      <c r="E27" s="266">
        <f t="shared" si="11"/>
        <v>0.78711971659025748</v>
      </c>
      <c r="F27" s="266">
        <f t="shared" si="11"/>
        <v>0.10152719265644143</v>
      </c>
      <c r="G27" s="266">
        <f t="shared" si="11"/>
        <v>0.52477731546150375</v>
      </c>
      <c r="H27" s="266">
        <f t="shared" si="11"/>
        <v>1.1783248192266706</v>
      </c>
      <c r="I27" s="266">
        <f t="shared" si="11"/>
        <v>-0.64831677299195001</v>
      </c>
      <c r="J27" s="266">
        <f t="shared" si="11"/>
        <v>3.325538383608842E-2</v>
      </c>
      <c r="K27" s="266">
        <f t="shared" si="11"/>
        <v>-0.23378754549563263</v>
      </c>
      <c r="P27" s="106"/>
      <c r="Q27" s="317" t="s">
        <v>602</v>
      </c>
      <c r="R27" s="322">
        <f>(R22-R24)/R22</f>
        <v>0.93916241064709249</v>
      </c>
    </row>
    <row r="28" spans="1:18" x14ac:dyDescent="0.25">
      <c r="A28" s="265" t="s">
        <v>558</v>
      </c>
      <c r="B28" s="269">
        <v>0.1</v>
      </c>
      <c r="C28" s="288"/>
      <c r="D28" s="288"/>
    </row>
    <row r="29" spans="1:18" x14ac:dyDescent="0.25">
      <c r="A29" s="265" t="s">
        <v>559</v>
      </c>
      <c r="B29" s="269">
        <v>0.1</v>
      </c>
      <c r="C29" s="288"/>
      <c r="D29" s="288"/>
    </row>
    <row r="30" spans="1:18" x14ac:dyDescent="0.25">
      <c r="A30" s="265" t="s">
        <v>560</v>
      </c>
      <c r="B30" s="269">
        <v>0.02</v>
      </c>
      <c r="C30" s="288"/>
      <c r="D30" s="288"/>
      <c r="M30" s="87"/>
    </row>
    <row r="31" spans="1:18" x14ac:dyDescent="0.25">
      <c r="A31" s="265" t="s">
        <v>561</v>
      </c>
      <c r="B31" s="269">
        <v>0</v>
      </c>
      <c r="C31" s="288"/>
      <c r="D31" s="288"/>
      <c r="M31" s="87"/>
    </row>
    <row r="32" spans="1:18" x14ac:dyDescent="0.25">
      <c r="A32" s="265" t="s">
        <v>562</v>
      </c>
      <c r="B32" s="289">
        <f>'Data Sheet'!B6</f>
        <v>4.2312328767123288</v>
      </c>
      <c r="C32" s="260"/>
      <c r="D32" s="260"/>
      <c r="M32" s="98"/>
    </row>
    <row r="33" spans="1:13" x14ac:dyDescent="0.25">
      <c r="A33" s="290" t="s">
        <v>563</v>
      </c>
      <c r="B33" s="289">
        <f>'Data Sheet'!K59-'Data Sheet'!K64</f>
        <v>87.929999999999993</v>
      </c>
      <c r="C33" s="260"/>
      <c r="D33" s="260"/>
      <c r="M33" s="98"/>
    </row>
    <row r="34" spans="1:13" ht="18" customHeight="1" thickBot="1" x14ac:dyDescent="0.3">
      <c r="A34" s="378" t="s">
        <v>525</v>
      </c>
      <c r="B34" s="378"/>
      <c r="C34" s="378"/>
      <c r="D34" s="378"/>
      <c r="F34" s="378" t="s">
        <v>564</v>
      </c>
      <c r="G34" s="378"/>
      <c r="H34" s="378"/>
      <c r="I34" s="378"/>
    </row>
    <row r="35" spans="1:13" x14ac:dyDescent="0.25">
      <c r="A35" s="291" t="s">
        <v>565</v>
      </c>
      <c r="B35" s="292" t="s">
        <v>305</v>
      </c>
      <c r="C35" s="292" t="s">
        <v>566</v>
      </c>
      <c r="D35" s="293" t="s">
        <v>567</v>
      </c>
      <c r="F35" s="291" t="s">
        <v>565</v>
      </c>
      <c r="G35" s="292" t="s">
        <v>305</v>
      </c>
      <c r="H35" s="292" t="s">
        <v>566</v>
      </c>
      <c r="I35" s="293" t="s">
        <v>567</v>
      </c>
    </row>
    <row r="36" spans="1:13" x14ac:dyDescent="0.25">
      <c r="A36" s="294">
        <v>1</v>
      </c>
      <c r="B36" s="295">
        <f>B24+B23</f>
        <v>-95.211802150476728</v>
      </c>
      <c r="C36" s="296">
        <f>B26</f>
        <v>-0.47291960722721038</v>
      </c>
      <c r="D36" s="297">
        <f>B36/((1+$B$28)^A36)</f>
        <v>-86.556183773160654</v>
      </c>
      <c r="F36" s="294">
        <v>1</v>
      </c>
      <c r="G36" s="295">
        <f>B25+B23</f>
        <v>-76.169441720381386</v>
      </c>
      <c r="H36" s="296">
        <f>B27</f>
        <v>-0.5783356857817683</v>
      </c>
      <c r="I36" s="297">
        <f>G36/((1+$B$29)^F36)</f>
        <v>-69.244947018528521</v>
      </c>
    </row>
    <row r="37" spans="1:13" x14ac:dyDescent="0.25">
      <c r="A37" s="294">
        <v>2</v>
      </c>
      <c r="B37" s="295">
        <f>C24+C23</f>
        <v>-102.13355247629369</v>
      </c>
      <c r="C37" s="296">
        <f>(B37-B36)/B36</f>
        <v>7.2698448821266234E-2</v>
      </c>
      <c r="D37" s="297">
        <f t="shared" ref="D37:D45" si="12">B37/((1+$B$28)^A37)</f>
        <v>-84.407894608507164</v>
      </c>
      <c r="F37" s="294">
        <v>2</v>
      </c>
      <c r="G37" s="295">
        <f>C25+C23</f>
        <v>-81.706841981034955</v>
      </c>
      <c r="H37" s="296">
        <f>(G37-G36)/G36</f>
        <v>7.2698448821266262E-2</v>
      </c>
      <c r="I37" s="297">
        <f>G37/((1+$B$29)^F37)</f>
        <v>-67.526315686805731</v>
      </c>
    </row>
    <row r="38" spans="1:13" x14ac:dyDescent="0.25">
      <c r="A38" s="294">
        <v>3</v>
      </c>
      <c r="B38" s="295">
        <f>D24+D23</f>
        <v>-80.438997800026641</v>
      </c>
      <c r="C38" s="296">
        <f t="shared" ref="C38:C45" si="13">(B38-B37)/B37</f>
        <v>-0.21241359132497217</v>
      </c>
      <c r="D38" s="297">
        <f t="shared" si="12"/>
        <v>-60.435009616849449</v>
      </c>
      <c r="F38" s="294">
        <v>3</v>
      </c>
      <c r="G38" s="295">
        <f>D25+D23</f>
        <v>-64.351198240021318</v>
      </c>
      <c r="H38" s="296">
        <f t="shared" ref="H38:H45" si="14">(G38-G37)/G37</f>
        <v>-0.21241359132497215</v>
      </c>
      <c r="I38" s="297">
        <f>G38/((1+$B$29)^F38)</f>
        <v>-48.348007693479566</v>
      </c>
    </row>
    <row r="39" spans="1:13" x14ac:dyDescent="0.25">
      <c r="A39" s="294">
        <v>4</v>
      </c>
      <c r="B39" s="295">
        <f>E24+E23</f>
        <v>-143.75411895118796</v>
      </c>
      <c r="C39" s="296">
        <f t="shared" si="13"/>
        <v>0.78711971659025759</v>
      </c>
      <c r="D39" s="297">
        <f t="shared" si="12"/>
        <v>-98.18599750781226</v>
      </c>
      <c r="F39" s="294">
        <v>4</v>
      </c>
      <c r="G39" s="295">
        <f>E25+E23</f>
        <v>-115.00329516095037</v>
      </c>
      <c r="H39" s="296">
        <f t="shared" si="14"/>
        <v>0.78711971659025748</v>
      </c>
      <c r="I39" s="297">
        <f>G39/((1+$B$29)^F39)</f>
        <v>-78.548798006249811</v>
      </c>
    </row>
    <row r="40" spans="1:13" x14ac:dyDescent="0.25">
      <c r="A40" s="294">
        <v>5</v>
      </c>
      <c r="B40" s="295">
        <f>F24+F23</f>
        <v>-158.34907108110221</v>
      </c>
      <c r="C40" s="296">
        <f t="shared" si="13"/>
        <v>0.10152719265644136</v>
      </c>
      <c r="D40" s="297">
        <f t="shared" si="12"/>
        <v>-98.32231472086616</v>
      </c>
      <c r="F40" s="294">
        <v>5</v>
      </c>
      <c r="G40" s="295">
        <f>F25+F23</f>
        <v>-126.67925686488178</v>
      </c>
      <c r="H40" s="296">
        <f t="shared" si="14"/>
        <v>0.10152719265644143</v>
      </c>
      <c r="I40" s="297">
        <f>G40/((1+$B$29)^F40)</f>
        <v>-78.657851776692937</v>
      </c>
    </row>
    <row r="41" spans="1:13" x14ac:dyDescent="0.25">
      <c r="A41" s="294">
        <v>6</v>
      </c>
      <c r="B41" s="295">
        <f>G24+G23</f>
        <v>-241.44707150886586</v>
      </c>
      <c r="C41" s="296">
        <f t="shared" si="13"/>
        <v>0.52477731546150375</v>
      </c>
      <c r="D41" s="297">
        <f t="shared" si="12"/>
        <v>-136.29057735458488</v>
      </c>
      <c r="F41" s="294">
        <v>6</v>
      </c>
      <c r="G41" s="295">
        <f>G25+G23</f>
        <v>-193.15765720709271</v>
      </c>
      <c r="H41" s="296">
        <f t="shared" si="14"/>
        <v>0.52477731546150375</v>
      </c>
      <c r="I41" s="297">
        <f t="shared" ref="I41:I45" si="15">G41/((1+$B$29)^F41)</f>
        <v>-109.03246188366792</v>
      </c>
    </row>
    <row r="42" spans="1:13" x14ac:dyDescent="0.25">
      <c r="A42" s="294">
        <v>7</v>
      </c>
      <c r="B42" s="295">
        <f>H24+H23</f>
        <v>-525.95014839735927</v>
      </c>
      <c r="C42" s="296">
        <f t="shared" si="13"/>
        <v>1.1783248192266706</v>
      </c>
      <c r="D42" s="297">
        <f t="shared" si="12"/>
        <v>-269.8955884347497</v>
      </c>
      <c r="F42" s="294">
        <v>7</v>
      </c>
      <c r="G42" s="295">
        <f>H25+H23</f>
        <v>-420.76011871788745</v>
      </c>
      <c r="H42" s="296">
        <f t="shared" si="14"/>
        <v>1.1783248192266706</v>
      </c>
      <c r="I42" s="297">
        <f t="shared" si="15"/>
        <v>-215.91647074779976</v>
      </c>
    </row>
    <row r="43" spans="1:13" x14ac:dyDescent="0.25">
      <c r="A43" s="294">
        <v>8</v>
      </c>
      <c r="B43" s="295">
        <f>I24+I23</f>
        <v>-184.96784543374613</v>
      </c>
      <c r="C43" s="296">
        <f t="shared" si="13"/>
        <v>-0.64831677299195001</v>
      </c>
      <c r="D43" s="297">
        <f t="shared" si="12"/>
        <v>-86.288864996335761</v>
      </c>
      <c r="F43" s="294">
        <v>8</v>
      </c>
      <c r="G43" s="295">
        <f>I25+I23</f>
        <v>-147.9742763469969</v>
      </c>
      <c r="H43" s="296">
        <f t="shared" si="14"/>
        <v>-0.64831677299195001</v>
      </c>
      <c r="I43" s="297">
        <f t="shared" si="15"/>
        <v>-69.031091997068614</v>
      </c>
    </row>
    <row r="44" spans="1:13" x14ac:dyDescent="0.25">
      <c r="A44" s="294">
        <v>9</v>
      </c>
      <c r="B44" s="295">
        <f>J24+J23</f>
        <v>-191.11902213097963</v>
      </c>
      <c r="C44" s="296">
        <f t="shared" si="13"/>
        <v>3.3255383836088379E-2</v>
      </c>
      <c r="D44" s="297">
        <f t="shared" si="12"/>
        <v>-81.053122111426646</v>
      </c>
      <c r="F44" s="294">
        <v>9</v>
      </c>
      <c r="G44" s="295">
        <f>J25+J23</f>
        <v>-152.8952177047837</v>
      </c>
      <c r="H44" s="296">
        <f t="shared" si="14"/>
        <v>3.325538383608842E-2</v>
      </c>
      <c r="I44" s="297">
        <f t="shared" si="15"/>
        <v>-64.842497689141325</v>
      </c>
    </row>
    <row r="45" spans="1:13" ht="15.75" thickBot="1" x14ac:dyDescent="0.3">
      <c r="A45" s="298">
        <v>10</v>
      </c>
      <c r="B45" s="295">
        <f>K24+K23</f>
        <v>-146.4377750494524</v>
      </c>
      <c r="C45" s="296">
        <f t="shared" si="13"/>
        <v>-0.23378754549563269</v>
      </c>
      <c r="D45" s="299">
        <f t="shared" si="12"/>
        <v>-56.458101489307651</v>
      </c>
      <c r="F45" s="298">
        <v>10</v>
      </c>
      <c r="G45" s="300">
        <f>K25+K23</f>
        <v>-117.15022003956193</v>
      </c>
      <c r="H45" s="296">
        <f t="shared" si="14"/>
        <v>-0.23378754549563263</v>
      </c>
      <c r="I45" s="297">
        <f t="shared" si="15"/>
        <v>-45.166481191446124</v>
      </c>
    </row>
    <row r="46" spans="1:13" ht="6.75" customHeight="1" x14ac:dyDescent="0.25">
      <c r="A46" s="260"/>
      <c r="B46" s="301"/>
      <c r="C46" s="302"/>
      <c r="D46" s="264"/>
    </row>
    <row r="47" spans="1:13" x14ac:dyDescent="0.25">
      <c r="D47" s="260"/>
    </row>
    <row r="48" spans="1:13" x14ac:dyDescent="0.25">
      <c r="D48" s="260"/>
    </row>
    <row r="49" spans="1:14" x14ac:dyDescent="0.25">
      <c r="D49" s="260"/>
    </row>
    <row r="50" spans="1:14" x14ac:dyDescent="0.25">
      <c r="D50" s="260"/>
    </row>
    <row r="51" spans="1:14" x14ac:dyDescent="0.25">
      <c r="D51" s="260"/>
    </row>
    <row r="52" spans="1:14" x14ac:dyDescent="0.25">
      <c r="D52" s="260"/>
      <c r="F52" s="267"/>
      <c r="N52" s="267"/>
    </row>
    <row r="53" spans="1:14" x14ac:dyDescent="0.25">
      <c r="D53" s="260"/>
      <c r="F53" s="267"/>
      <c r="N53" s="267"/>
    </row>
    <row r="54" spans="1:14" x14ac:dyDescent="0.25">
      <c r="C54" s="87"/>
    </row>
    <row r="55" spans="1:14" x14ac:dyDescent="0.25">
      <c r="C55" s="87"/>
    </row>
    <row r="56" spans="1:14" x14ac:dyDescent="0.25">
      <c r="C56" s="87"/>
    </row>
    <row r="57" spans="1:14" x14ac:dyDescent="0.25">
      <c r="C57" s="303"/>
    </row>
    <row r="58" spans="1:14" x14ac:dyDescent="0.25">
      <c r="A58" s="87">
        <v>0</v>
      </c>
      <c r="B58" s="87">
        <v>0</v>
      </c>
      <c r="C58" s="87"/>
    </row>
    <row r="59" spans="1:14" x14ac:dyDescent="0.25">
      <c r="A59" s="87">
        <v>0.01</v>
      </c>
      <c r="B59" s="87">
        <v>0.01</v>
      </c>
      <c r="C59" s="87"/>
    </row>
    <row r="60" spans="1:14" x14ac:dyDescent="0.25">
      <c r="A60" s="87">
        <v>0.02</v>
      </c>
      <c r="B60" s="87">
        <v>0.02</v>
      </c>
      <c r="C60" s="87"/>
    </row>
    <row r="61" spans="1:14" x14ac:dyDescent="0.25">
      <c r="A61" s="87">
        <v>0.03</v>
      </c>
      <c r="B61" s="87">
        <v>0.03</v>
      </c>
      <c r="C61" s="87"/>
    </row>
    <row r="62" spans="1:14" x14ac:dyDescent="0.25">
      <c r="A62" s="87">
        <v>0.04</v>
      </c>
      <c r="B62" s="87">
        <v>0.04</v>
      </c>
    </row>
    <row r="63" spans="1:14" x14ac:dyDescent="0.25">
      <c r="A63" s="87">
        <v>0.06</v>
      </c>
      <c r="B63" s="87">
        <v>0.05</v>
      </c>
    </row>
    <row r="64" spans="1:14" x14ac:dyDescent="0.25">
      <c r="A64" s="87">
        <v>0.08</v>
      </c>
      <c r="B64" s="87">
        <v>0.06</v>
      </c>
    </row>
    <row r="65" spans="1:2" x14ac:dyDescent="0.25">
      <c r="A65" s="87">
        <v>0.1</v>
      </c>
      <c r="B65" s="87">
        <v>7.0000000000000007E-2</v>
      </c>
    </row>
    <row r="66" spans="1:2" x14ac:dyDescent="0.25">
      <c r="A66" s="87">
        <v>0.12</v>
      </c>
      <c r="B66" s="87">
        <v>0.08</v>
      </c>
    </row>
    <row r="67" spans="1:2" x14ac:dyDescent="0.25">
      <c r="A67" s="87">
        <v>0.14000000000000001</v>
      </c>
      <c r="B67" s="87">
        <v>0.09</v>
      </c>
    </row>
    <row r="68" spans="1:2" x14ac:dyDescent="0.25">
      <c r="A68" s="87">
        <v>0.16</v>
      </c>
      <c r="B68" s="87">
        <v>0.1</v>
      </c>
    </row>
    <row r="69" spans="1:2" x14ac:dyDescent="0.25">
      <c r="A69" s="87">
        <v>0.18</v>
      </c>
      <c r="B69" s="87">
        <v>0.11</v>
      </c>
    </row>
    <row r="70" spans="1:2" x14ac:dyDescent="0.25">
      <c r="A70" s="87">
        <v>0.2</v>
      </c>
      <c r="B70" s="87">
        <v>0.12</v>
      </c>
    </row>
    <row r="71" spans="1:2" x14ac:dyDescent="0.25">
      <c r="A71" s="87">
        <v>0.22</v>
      </c>
      <c r="B71" s="87">
        <v>0.13</v>
      </c>
    </row>
    <row r="72" spans="1:2" x14ac:dyDescent="0.25">
      <c r="A72" s="87">
        <v>0.24</v>
      </c>
      <c r="B72" s="87">
        <v>0.14000000000000001</v>
      </c>
    </row>
    <row r="73" spans="1:2" x14ac:dyDescent="0.25">
      <c r="A73" s="87">
        <v>0.26</v>
      </c>
      <c r="B73" s="87">
        <v>0.15</v>
      </c>
    </row>
    <row r="74" spans="1:2" x14ac:dyDescent="0.25">
      <c r="A74" s="87">
        <v>0.28000000000000003</v>
      </c>
      <c r="B74" s="87">
        <v>0.16</v>
      </c>
    </row>
    <row r="75" spans="1:2" x14ac:dyDescent="0.25">
      <c r="A75" s="87">
        <v>0.3</v>
      </c>
      <c r="B75" s="87">
        <v>0.17</v>
      </c>
    </row>
    <row r="76" spans="1:2" x14ac:dyDescent="0.25">
      <c r="A76" s="87">
        <v>0.32</v>
      </c>
      <c r="B76" s="87">
        <v>0.18</v>
      </c>
    </row>
    <row r="77" spans="1:2" x14ac:dyDescent="0.25">
      <c r="A77" s="87">
        <v>0.34</v>
      </c>
      <c r="B77" s="87">
        <v>0.19</v>
      </c>
    </row>
    <row r="78" spans="1:2" x14ac:dyDescent="0.25">
      <c r="A78" s="87">
        <v>0.36</v>
      </c>
      <c r="B78" s="87">
        <v>0.2</v>
      </c>
    </row>
    <row r="79" spans="1:2" x14ac:dyDescent="0.25">
      <c r="A79" s="87">
        <v>0.38</v>
      </c>
      <c r="B79" s="87">
        <v>0.21</v>
      </c>
    </row>
    <row r="80" spans="1:2" x14ac:dyDescent="0.25">
      <c r="A80" s="87">
        <v>0.4</v>
      </c>
      <c r="B80" s="87">
        <v>0.22</v>
      </c>
    </row>
    <row r="81" spans="1:2" x14ac:dyDescent="0.25">
      <c r="A81" s="87">
        <v>0.42</v>
      </c>
      <c r="B81" s="87">
        <v>0.23</v>
      </c>
    </row>
    <row r="82" spans="1:2" x14ac:dyDescent="0.25">
      <c r="A82" s="87">
        <v>0.44</v>
      </c>
      <c r="B82" s="87">
        <v>0.24</v>
      </c>
    </row>
    <row r="83" spans="1:2" x14ac:dyDescent="0.25">
      <c r="A83" s="87">
        <v>0.46</v>
      </c>
      <c r="B83" s="87">
        <v>0.25</v>
      </c>
    </row>
    <row r="84" spans="1:2" x14ac:dyDescent="0.25">
      <c r="A84" s="87">
        <v>0.48</v>
      </c>
      <c r="B84" s="87">
        <v>0.26</v>
      </c>
    </row>
    <row r="85" spans="1:2" x14ac:dyDescent="0.25">
      <c r="A85" s="87">
        <v>0.5</v>
      </c>
      <c r="B85" s="87">
        <v>0.27</v>
      </c>
    </row>
    <row r="86" spans="1:2" x14ac:dyDescent="0.25">
      <c r="A86" s="87">
        <v>0.52</v>
      </c>
      <c r="B86" s="87">
        <v>0.28000000000000003</v>
      </c>
    </row>
    <row r="87" spans="1:2" x14ac:dyDescent="0.25">
      <c r="A87" s="87">
        <v>0.54</v>
      </c>
      <c r="B87" s="87">
        <v>0.28999999999999998</v>
      </c>
    </row>
    <row r="88" spans="1:2" x14ac:dyDescent="0.25">
      <c r="A88" s="87">
        <v>0.56000000000000005</v>
      </c>
      <c r="B88" s="87">
        <v>0.3</v>
      </c>
    </row>
    <row r="89" spans="1:2" x14ac:dyDescent="0.25">
      <c r="A89" s="87">
        <v>0.57999999999999996</v>
      </c>
      <c r="B89" s="87">
        <v>0.31</v>
      </c>
    </row>
    <row r="90" spans="1:2" x14ac:dyDescent="0.25">
      <c r="A90" s="87">
        <v>0.6</v>
      </c>
      <c r="B90" s="87">
        <v>0.32</v>
      </c>
    </row>
    <row r="91" spans="1:2" x14ac:dyDescent="0.25">
      <c r="A91" s="87">
        <v>0.62</v>
      </c>
      <c r="B91" s="87">
        <v>0.33</v>
      </c>
    </row>
    <row r="92" spans="1:2" x14ac:dyDescent="0.25">
      <c r="A92" s="87">
        <v>0.64</v>
      </c>
      <c r="B92" s="87">
        <v>0.34</v>
      </c>
    </row>
    <row r="93" spans="1:2" x14ac:dyDescent="0.25">
      <c r="A93" s="87">
        <v>0.66</v>
      </c>
      <c r="B93" s="87">
        <v>0.35</v>
      </c>
    </row>
    <row r="94" spans="1:2" x14ac:dyDescent="0.25">
      <c r="A94" s="87">
        <v>0.68</v>
      </c>
      <c r="B94" s="87">
        <v>0.36</v>
      </c>
    </row>
    <row r="95" spans="1:2" x14ac:dyDescent="0.25">
      <c r="A95" s="87">
        <v>0.7</v>
      </c>
      <c r="B95" s="87">
        <v>0.37</v>
      </c>
    </row>
    <row r="96" spans="1:2" x14ac:dyDescent="0.25">
      <c r="A96" s="87">
        <v>0.72</v>
      </c>
      <c r="B96" s="87">
        <v>0.38</v>
      </c>
    </row>
    <row r="97" spans="1:2" x14ac:dyDescent="0.25">
      <c r="A97" s="87">
        <v>0.74</v>
      </c>
      <c r="B97" s="87">
        <v>0.39</v>
      </c>
    </row>
    <row r="98" spans="1:2" x14ac:dyDescent="0.25">
      <c r="A98" s="87">
        <v>0.76</v>
      </c>
      <c r="B98" s="87">
        <v>0.4</v>
      </c>
    </row>
    <row r="99" spans="1:2" x14ac:dyDescent="0.25">
      <c r="A99" s="87">
        <v>0.78</v>
      </c>
      <c r="B99" s="87">
        <v>0.41</v>
      </c>
    </row>
    <row r="100" spans="1:2" x14ac:dyDescent="0.25">
      <c r="A100" s="87">
        <v>0.8</v>
      </c>
      <c r="B100" s="87">
        <v>0.42</v>
      </c>
    </row>
    <row r="101" spans="1:2" x14ac:dyDescent="0.25">
      <c r="A101" s="87">
        <v>0.82</v>
      </c>
      <c r="B101" s="87">
        <v>0.43</v>
      </c>
    </row>
    <row r="102" spans="1:2" x14ac:dyDescent="0.25">
      <c r="A102" s="87">
        <v>0.84</v>
      </c>
      <c r="B102" s="87">
        <v>0.44</v>
      </c>
    </row>
    <row r="103" spans="1:2" x14ac:dyDescent="0.25">
      <c r="A103" s="87">
        <v>0.86</v>
      </c>
      <c r="B103" s="87">
        <v>0.45</v>
      </c>
    </row>
    <row r="104" spans="1:2" x14ac:dyDescent="0.25">
      <c r="A104" s="87">
        <v>0.88</v>
      </c>
      <c r="B104" s="87">
        <v>0.46</v>
      </c>
    </row>
    <row r="105" spans="1:2" x14ac:dyDescent="0.25">
      <c r="A105" s="87">
        <v>0.9</v>
      </c>
      <c r="B105" s="87">
        <v>0.47</v>
      </c>
    </row>
    <row r="106" spans="1:2" x14ac:dyDescent="0.25">
      <c r="A106" s="87">
        <v>0.92</v>
      </c>
      <c r="B106" s="87">
        <v>0.48</v>
      </c>
    </row>
    <row r="107" spans="1:2" x14ac:dyDescent="0.25">
      <c r="A107" s="87">
        <v>0.94</v>
      </c>
      <c r="B107" s="87">
        <v>0.49</v>
      </c>
    </row>
    <row r="108" spans="1:2" x14ac:dyDescent="0.25">
      <c r="A108" s="87">
        <v>0.96000000000000096</v>
      </c>
      <c r="B108" s="87">
        <v>0.5</v>
      </c>
    </row>
    <row r="109" spans="1:2" x14ac:dyDescent="0.25">
      <c r="A109" s="87">
        <v>0.98000000000000098</v>
      </c>
    </row>
    <row r="110" spans="1:2" x14ac:dyDescent="0.25">
      <c r="A110" s="87">
        <v>1</v>
      </c>
    </row>
  </sheetData>
  <mergeCells count="17">
    <mergeCell ref="A1:C2"/>
    <mergeCell ref="A3:C3"/>
    <mergeCell ref="D3:E3"/>
    <mergeCell ref="N3:O3"/>
    <mergeCell ref="Q3:R3"/>
    <mergeCell ref="D4:E4"/>
    <mergeCell ref="G4:H4"/>
    <mergeCell ref="D8:E8"/>
    <mergeCell ref="G8:H8"/>
    <mergeCell ref="A34:D34"/>
    <mergeCell ref="F34:I34"/>
    <mergeCell ref="D5:E5"/>
    <mergeCell ref="G5:H5"/>
    <mergeCell ref="D6:E6"/>
    <mergeCell ref="G6:H6"/>
    <mergeCell ref="D7:E7"/>
    <mergeCell ref="G7:H7"/>
  </mergeCells>
  <dataValidations count="3">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B11:K11">
      <formula1>$A$59:$A$80</formula1>
    </dataValidation>
  </dataValidations>
  <pageMargins left="0.7" right="0.7" top="0.75" bottom="0.75" header="0.3" footer="0.3"/>
  <pageSetup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 sqref="E1:E3"/>
    </sheetView>
  </sheetViews>
  <sheetFormatPr defaultRowHeight="15" x14ac:dyDescent="0.25"/>
  <cols>
    <col min="1" max="1" width="30.42578125" customWidth="1"/>
    <col min="2" max="2" width="14.85546875" style="95" customWidth="1"/>
    <col min="3" max="3" width="4.7109375" customWidth="1"/>
    <col min="4" max="4" width="33.140625" bestFit="1" customWidth="1"/>
    <col min="6" max="6" width="4.28515625" customWidth="1"/>
    <col min="7" max="7" width="40.7109375" customWidth="1"/>
    <col min="8" max="8" width="13.140625" style="95" customWidth="1"/>
  </cols>
  <sheetData>
    <row r="1" spans="1:8" x14ac:dyDescent="0.25">
      <c r="A1" t="s">
        <v>212</v>
      </c>
      <c r="B1" s="95">
        <f>'Data Sheet'!B8</f>
        <v>18.25</v>
      </c>
      <c r="D1" t="s">
        <v>578</v>
      </c>
      <c r="E1" s="95">
        <f>Valuation!O22</f>
        <v>1.2</v>
      </c>
      <c r="G1" t="s">
        <v>580</v>
      </c>
      <c r="H1" s="108">
        <f>$B$4*(1+$B$5)*E1</f>
        <v>87.113820546163836</v>
      </c>
    </row>
    <row r="2" spans="1:8" x14ac:dyDescent="0.25">
      <c r="A2" t="s">
        <v>572</v>
      </c>
      <c r="B2" s="312">
        <f>'Data Sheet'!K93</f>
        <v>4.2310724000000004</v>
      </c>
      <c r="D2" t="s">
        <v>579</v>
      </c>
      <c r="E2" s="95">
        <f>Valuation!O23</f>
        <v>1</v>
      </c>
      <c r="G2" t="s">
        <v>581</v>
      </c>
      <c r="H2" s="108">
        <f t="shared" ref="H2:H3" si="0">$B$4*(1+$B$5)*E2</f>
        <v>72.594850455136537</v>
      </c>
    </row>
    <row r="3" spans="1:8" x14ac:dyDescent="0.25">
      <c r="A3" t="s">
        <v>573</v>
      </c>
      <c r="B3" s="95">
        <f>('Data Sheet'!K49+'Data Sheet'!J49)</f>
        <v>-93.12</v>
      </c>
      <c r="D3" t="s">
        <v>577</v>
      </c>
      <c r="E3" s="95">
        <f>Valuation!O24</f>
        <v>0.7</v>
      </c>
      <c r="G3" t="s">
        <v>582</v>
      </c>
      <c r="H3" s="108">
        <f t="shared" si="0"/>
        <v>50.816395318595575</v>
      </c>
    </row>
    <row r="4" spans="1:8" x14ac:dyDescent="0.25">
      <c r="A4" t="s">
        <v>575</v>
      </c>
      <c r="B4" s="95">
        <f>'Data Sheet'!I49+'Data Sheet'!H49</f>
        <v>-23.98</v>
      </c>
    </row>
    <row r="5" spans="1:8" x14ac:dyDescent="0.25">
      <c r="A5" t="s">
        <v>574</v>
      </c>
      <c r="B5" s="103">
        <f>(('Data Sheet'!J49+'Data Sheet'!K49)-('Data Sheet'!F49+'Data Sheet'!G49))/('Data Sheet'!F49+'Data Sheet'!G49)</f>
        <v>-4.0273081924577374</v>
      </c>
    </row>
    <row r="6" spans="1:8" x14ac:dyDescent="0.25">
      <c r="B6" s="108"/>
      <c r="G6" t="s">
        <v>583</v>
      </c>
      <c r="H6" s="108">
        <f>$B$3+H1</f>
        <v>-6.0061794538361681</v>
      </c>
    </row>
    <row r="7" spans="1:8" x14ac:dyDescent="0.25">
      <c r="G7" t="s">
        <v>576</v>
      </c>
      <c r="H7" s="108">
        <f t="shared" ref="H7:H8" si="1">$B$3+H2</f>
        <v>-20.525149544863467</v>
      </c>
    </row>
    <row r="8" spans="1:8" x14ac:dyDescent="0.25">
      <c r="G8" t="s">
        <v>584</v>
      </c>
      <c r="H8" s="108">
        <f t="shared" si="1"/>
        <v>-42.30360468140443</v>
      </c>
    </row>
    <row r="9" spans="1:8" x14ac:dyDescent="0.25">
      <c r="A9" t="s">
        <v>576</v>
      </c>
      <c r="B9" s="108">
        <f>B3+B6</f>
        <v>-93.12</v>
      </c>
    </row>
    <row r="13" spans="1:8" x14ac:dyDescent="0.25">
      <c r="A13" t="s">
        <v>585</v>
      </c>
      <c r="B13" s="313">
        <f>H6/$B$2</f>
        <v>-1.41954069465608</v>
      </c>
      <c r="D13" t="s">
        <v>588</v>
      </c>
      <c r="E13" s="312">
        <f>$B$1/B13</f>
        <v>-12.856271094377838</v>
      </c>
    </row>
    <row r="14" spans="1:8" x14ac:dyDescent="0.25">
      <c r="A14" t="s">
        <v>586</v>
      </c>
      <c r="B14" s="313">
        <f t="shared" ref="B14:B15" si="2">H7/$B$2</f>
        <v>-4.8510513658105836</v>
      </c>
      <c r="D14" t="s">
        <v>589</v>
      </c>
      <c r="E14" s="312">
        <f t="shared" ref="E14:E15" si="3">$B$1/B14</f>
        <v>-3.7620710695052653</v>
      </c>
    </row>
    <row r="15" spans="1:8" x14ac:dyDescent="0.25">
      <c r="A15" t="s">
        <v>587</v>
      </c>
      <c r="B15" s="313">
        <f t="shared" si="2"/>
        <v>-9.9983173725423438</v>
      </c>
      <c r="D15" t="s">
        <v>590</v>
      </c>
      <c r="E15" s="312">
        <f t="shared" si="3"/>
        <v>-1.8253071311897595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v>TREE HOUSE EDUCATION &amp; ACCESSORIES LTD</v>
      </c>
      <c r="E1" t="str">
        <f>UPDATE</f>
        <v/>
      </c>
      <c r="J1" s="4" t="s">
        <v>1</v>
      </c>
      <c r="K1" s="4"/>
    </row>
    <row r="3" spans="1:11" s="2" customFormat="1" x14ac:dyDescent="0.25">
      <c r="A3" s="15" t="s">
        <v>2</v>
      </c>
      <c r="B3" s="16">
        <f>'Data Sheet'!B41</f>
        <v>41820</v>
      </c>
      <c r="C3" s="16">
        <f>'Data Sheet'!C41</f>
        <v>41912</v>
      </c>
      <c r="D3" s="16">
        <f>'Data Sheet'!D41</f>
        <v>42004</v>
      </c>
      <c r="E3" s="16">
        <f>'Data Sheet'!E41</f>
        <v>42094</v>
      </c>
      <c r="F3" s="16">
        <f>'Data Sheet'!F41</f>
        <v>42185</v>
      </c>
      <c r="G3" s="16">
        <f>'Data Sheet'!G41</f>
        <v>42277</v>
      </c>
      <c r="H3" s="16">
        <f>'Data Sheet'!H41</f>
        <v>42369</v>
      </c>
      <c r="I3" s="16">
        <f>'Data Sheet'!I41</f>
        <v>42460</v>
      </c>
      <c r="J3" s="16">
        <f>'Data Sheet'!J41</f>
        <v>42551</v>
      </c>
      <c r="K3" s="16">
        <f>'Data Sheet'!K41</f>
        <v>42643</v>
      </c>
    </row>
    <row r="4" spans="1:11" s="8" customFormat="1" x14ac:dyDescent="0.25">
      <c r="A4" s="8" t="s">
        <v>6</v>
      </c>
      <c r="B4" s="1">
        <f>'Data Sheet'!B42</f>
        <v>53.91</v>
      </c>
      <c r="C4" s="1">
        <f>'Data Sheet'!C42</f>
        <v>49.76</v>
      </c>
      <c r="D4" s="1">
        <f>'Data Sheet'!D42</f>
        <v>53.11</v>
      </c>
      <c r="E4" s="1">
        <f>'Data Sheet'!E42</f>
        <v>50.68</v>
      </c>
      <c r="F4" s="1">
        <f>'Data Sheet'!F42</f>
        <v>69.03</v>
      </c>
      <c r="G4" s="1">
        <f>'Data Sheet'!G42</f>
        <v>57.25</v>
      </c>
      <c r="H4" s="1">
        <f>'Data Sheet'!H42</f>
        <v>55.78</v>
      </c>
      <c r="I4" s="1">
        <f>'Data Sheet'!I42</f>
        <v>27.27</v>
      </c>
      <c r="J4" s="1">
        <f>'Data Sheet'!J42</f>
        <v>20.21</v>
      </c>
      <c r="K4" s="1">
        <f>'Data Sheet'!K42</f>
        <v>17.989999999999998</v>
      </c>
    </row>
    <row r="5" spans="1:11" x14ac:dyDescent="0.25">
      <c r="A5" s="6" t="s">
        <v>7</v>
      </c>
      <c r="B5" s="9">
        <f>'Data Sheet'!B43</f>
        <v>20.63</v>
      </c>
      <c r="C5" s="9">
        <f>'Data Sheet'!C43</f>
        <v>20.07</v>
      </c>
      <c r="D5" s="9">
        <f>'Data Sheet'!D43</f>
        <v>20.95</v>
      </c>
      <c r="E5" s="9">
        <f>'Data Sheet'!E43</f>
        <v>27.09</v>
      </c>
      <c r="F5" s="9">
        <f>'Data Sheet'!F43</f>
        <v>28.05</v>
      </c>
      <c r="G5" s="9">
        <f>'Data Sheet'!G43</f>
        <v>27.1</v>
      </c>
      <c r="H5" s="9">
        <f>'Data Sheet'!H43</f>
        <v>30.68</v>
      </c>
      <c r="I5" s="9">
        <f>'Data Sheet'!I43</f>
        <v>60.3</v>
      </c>
      <c r="J5" s="9">
        <f>'Data Sheet'!J43</f>
        <v>51.01</v>
      </c>
      <c r="K5" s="9">
        <f>'Data Sheet'!K43</f>
        <v>51.24</v>
      </c>
    </row>
    <row r="6" spans="1:11" s="8" customFormat="1" x14ac:dyDescent="0.25">
      <c r="A6" s="8" t="s">
        <v>8</v>
      </c>
      <c r="B6" s="1">
        <f>'Data Sheet'!B50</f>
        <v>33.28</v>
      </c>
      <c r="C6" s="1">
        <f>'Data Sheet'!C50</f>
        <v>29.69</v>
      </c>
      <c r="D6" s="1">
        <f>'Data Sheet'!D50</f>
        <v>32.159999999999997</v>
      </c>
      <c r="E6" s="1">
        <f>'Data Sheet'!E50</f>
        <v>23.59</v>
      </c>
      <c r="F6" s="1">
        <f>'Data Sheet'!F50</f>
        <v>40.98</v>
      </c>
      <c r="G6" s="1">
        <f>'Data Sheet'!G50</f>
        <v>30.15</v>
      </c>
      <c r="H6" s="1">
        <f>'Data Sheet'!H50</f>
        <v>25.1</v>
      </c>
      <c r="I6" s="1">
        <f>'Data Sheet'!I50</f>
        <v>-33.03</v>
      </c>
      <c r="J6" s="1">
        <f>'Data Sheet'!J50</f>
        <v>-30.8</v>
      </c>
      <c r="K6" s="1">
        <f>'Data Sheet'!K50</f>
        <v>-33.25</v>
      </c>
    </row>
    <row r="7" spans="1:11" x14ac:dyDescent="0.25">
      <c r="A7" s="6" t="s">
        <v>9</v>
      </c>
      <c r="B7" s="9">
        <f>'Data Sheet'!B44</f>
        <v>0.15</v>
      </c>
      <c r="C7" s="9">
        <f>'Data Sheet'!C44</f>
        <v>0.34</v>
      </c>
      <c r="D7" s="9">
        <f>'Data Sheet'!D44</f>
        <v>0.5</v>
      </c>
      <c r="E7" s="9">
        <f>'Data Sheet'!E44</f>
        <v>6.17</v>
      </c>
      <c r="F7" s="9">
        <f>'Data Sheet'!F44</f>
        <v>3</v>
      </c>
      <c r="G7" s="9">
        <f>'Data Sheet'!G44</f>
        <v>3.15</v>
      </c>
      <c r="H7" s="9">
        <f>'Data Sheet'!H44</f>
        <v>2.71</v>
      </c>
      <c r="I7" s="9">
        <f>'Data Sheet'!I44</f>
        <v>5.73</v>
      </c>
      <c r="J7" s="9">
        <f>'Data Sheet'!J44</f>
        <v>0.31</v>
      </c>
      <c r="K7" s="9">
        <f>'Data Sheet'!K44</f>
        <v>0.18</v>
      </c>
    </row>
    <row r="8" spans="1:11" x14ac:dyDescent="0.25">
      <c r="A8" s="6" t="s">
        <v>10</v>
      </c>
      <c r="B8" s="9">
        <f>'Data Sheet'!B45</f>
        <v>5.99</v>
      </c>
      <c r="C8" s="9">
        <f>'Data Sheet'!C45</f>
        <v>6.34</v>
      </c>
      <c r="D8" s="9">
        <f>'Data Sheet'!D45</f>
        <v>6.65</v>
      </c>
      <c r="E8" s="9">
        <f>'Data Sheet'!E45</f>
        <v>7.84</v>
      </c>
      <c r="F8" s="9">
        <f>'Data Sheet'!F45</f>
        <v>9.65</v>
      </c>
      <c r="G8" s="9">
        <f>'Data Sheet'!G45</f>
        <v>10.039999999999999</v>
      </c>
      <c r="H8" s="9">
        <f>'Data Sheet'!H45</f>
        <v>11.7</v>
      </c>
      <c r="I8" s="9">
        <f>'Data Sheet'!I45</f>
        <v>13.44</v>
      </c>
      <c r="J8" s="9">
        <f>'Data Sheet'!J45</f>
        <v>14.39</v>
      </c>
      <c r="K8" s="9">
        <f>'Data Sheet'!K45</f>
        <v>11.89</v>
      </c>
    </row>
    <row r="9" spans="1:11" x14ac:dyDescent="0.25">
      <c r="A9" s="6" t="s">
        <v>11</v>
      </c>
      <c r="B9" s="9">
        <f>'Data Sheet'!B46</f>
        <v>3.2</v>
      </c>
      <c r="C9" s="9">
        <f>'Data Sheet'!C46</f>
        <v>4.3600000000000003</v>
      </c>
      <c r="D9" s="9">
        <f>'Data Sheet'!D46</f>
        <v>4.3</v>
      </c>
      <c r="E9" s="9">
        <f>'Data Sheet'!E46</f>
        <v>3.45</v>
      </c>
      <c r="F9" s="9">
        <f>'Data Sheet'!F46</f>
        <v>3.69</v>
      </c>
      <c r="G9" s="9">
        <f>'Data Sheet'!G46</f>
        <v>4.5199999999999996</v>
      </c>
      <c r="H9" s="9">
        <f>'Data Sheet'!H46</f>
        <v>5.0599999999999996</v>
      </c>
      <c r="I9" s="9">
        <f>'Data Sheet'!I46</f>
        <v>3.45</v>
      </c>
      <c r="J9" s="9">
        <f>'Data Sheet'!J46</f>
        <v>2.85</v>
      </c>
      <c r="K9" s="9">
        <f>'Data Sheet'!K46</f>
        <v>2.68</v>
      </c>
    </row>
    <row r="10" spans="1:11" x14ac:dyDescent="0.25">
      <c r="A10" s="6" t="s">
        <v>12</v>
      </c>
      <c r="B10" s="9">
        <f>'Data Sheet'!B47</f>
        <v>24.24</v>
      </c>
      <c r="C10" s="9">
        <f>'Data Sheet'!C47</f>
        <v>19.329999999999998</v>
      </c>
      <c r="D10" s="9">
        <f>'Data Sheet'!D47</f>
        <v>21.71</v>
      </c>
      <c r="E10" s="9">
        <f>'Data Sheet'!E47</f>
        <v>18.47</v>
      </c>
      <c r="F10" s="9">
        <f>'Data Sheet'!F47</f>
        <v>30.64</v>
      </c>
      <c r="G10" s="9">
        <f>'Data Sheet'!G47</f>
        <v>18.739999999999998</v>
      </c>
      <c r="H10" s="9">
        <f>'Data Sheet'!H47</f>
        <v>11.05</v>
      </c>
      <c r="I10" s="9">
        <f>'Data Sheet'!I47</f>
        <v>-44.19</v>
      </c>
      <c r="J10" s="9">
        <f>'Data Sheet'!J47</f>
        <v>-47.73</v>
      </c>
      <c r="K10" s="9">
        <f>'Data Sheet'!K47</f>
        <v>-47.64</v>
      </c>
    </row>
    <row r="11" spans="1:11" x14ac:dyDescent="0.25">
      <c r="A11" s="6" t="s">
        <v>13</v>
      </c>
      <c r="B11" s="9">
        <f>'Data Sheet'!B48</f>
        <v>8.18</v>
      </c>
      <c r="C11" s="9">
        <f>'Data Sheet'!C48</f>
        <v>6.74</v>
      </c>
      <c r="D11" s="9">
        <f>'Data Sheet'!D48</f>
        <v>6.59</v>
      </c>
      <c r="E11" s="9">
        <f>'Data Sheet'!E48</f>
        <v>1.35</v>
      </c>
      <c r="F11" s="9">
        <f>'Data Sheet'!F48</f>
        <v>12.62</v>
      </c>
      <c r="G11" s="9">
        <f>'Data Sheet'!G48</f>
        <v>6</v>
      </c>
      <c r="H11" s="9">
        <f>'Data Sheet'!H48</f>
        <v>4.93</v>
      </c>
      <c r="I11" s="9">
        <f>'Data Sheet'!I48</f>
        <v>-14.09</v>
      </c>
      <c r="J11" s="9">
        <f>'Data Sheet'!J48</f>
        <v>-2.25</v>
      </c>
      <c r="K11" s="9">
        <f>'Data Sheet'!K48</f>
        <v>0</v>
      </c>
    </row>
    <row r="12" spans="1:11" s="8" customFormat="1" x14ac:dyDescent="0.25">
      <c r="A12" s="8" t="s">
        <v>14</v>
      </c>
      <c r="B12" s="1">
        <f>'Data Sheet'!B49</f>
        <v>16.059999999999999</v>
      </c>
      <c r="C12" s="1">
        <f>'Data Sheet'!C49</f>
        <v>12.59</v>
      </c>
      <c r="D12" s="1">
        <f>'Data Sheet'!D49</f>
        <v>15.12</v>
      </c>
      <c r="E12" s="1">
        <f>'Data Sheet'!E49</f>
        <v>17.12</v>
      </c>
      <c r="F12" s="1">
        <f>'Data Sheet'!F49</f>
        <v>18.02</v>
      </c>
      <c r="G12" s="1">
        <f>'Data Sheet'!G49</f>
        <v>12.74</v>
      </c>
      <c r="H12" s="1">
        <f>'Data Sheet'!H49</f>
        <v>6.12</v>
      </c>
      <c r="I12" s="1">
        <f>'Data Sheet'!I49</f>
        <v>-30.1</v>
      </c>
      <c r="J12" s="1">
        <f>'Data Sheet'!J49</f>
        <v>-45.48</v>
      </c>
      <c r="K12" s="1">
        <f>'Data Sheet'!K49</f>
        <v>-47.64</v>
      </c>
    </row>
    <row r="14" spans="1:11" s="8" customFormat="1" x14ac:dyDescent="0.25">
      <c r="A14" s="2" t="s">
        <v>18</v>
      </c>
      <c r="B14" s="14">
        <f>IF(B4&gt;0,B6/B4,"")</f>
        <v>0.61732517158226685</v>
      </c>
      <c r="C14" s="14">
        <f t="shared" ref="C14:K14" si="0">IF(C4&gt;0,C6/C4,"")</f>
        <v>0.59666398713826374</v>
      </c>
      <c r="D14" s="14">
        <f t="shared" si="0"/>
        <v>0.6055356806627753</v>
      </c>
      <c r="E14" s="14">
        <f t="shared" si="0"/>
        <v>0.46546961325966851</v>
      </c>
      <c r="F14" s="14">
        <f t="shared" si="0"/>
        <v>0.59365493263798341</v>
      </c>
      <c r="G14" s="14">
        <f t="shared" si="0"/>
        <v>0.52663755458515282</v>
      </c>
      <c r="H14" s="14">
        <f t="shared" si="0"/>
        <v>0.44998207242739335</v>
      </c>
      <c r="I14" s="14">
        <f t="shared" si="0"/>
        <v>-1.2112211221122113</v>
      </c>
      <c r="J14" s="14">
        <f t="shared" si="0"/>
        <v>-1.5239980207817911</v>
      </c>
      <c r="K14" s="14">
        <f t="shared" si="0"/>
        <v>-1.8482490272373542</v>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F12" sqref="F12"/>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1" s="8" customFormat="1" x14ac:dyDescent="0.25">
      <c r="A1" s="8" t="str">
        <f>'Profit &amp; Loss'!A1</f>
        <v>TREE HOUSE EDUCATION &amp; ACCESSORIES LTD</v>
      </c>
      <c r="E1" t="str">
        <f>UPDATE</f>
        <v/>
      </c>
      <c r="G1"/>
      <c r="J1" s="4" t="s">
        <v>1</v>
      </c>
      <c r="K1" s="4"/>
    </row>
    <row r="2" spans="1:11" x14ac:dyDescent="0.25">
      <c r="G2" s="8"/>
      <c r="H2" s="8"/>
    </row>
    <row r="3" spans="1:11" s="18" customFormat="1" x14ac:dyDescent="0.25">
      <c r="A3" s="15" t="s">
        <v>2</v>
      </c>
      <c r="B3" s="16">
        <f>'Data Sheet'!B56</f>
        <v>39172</v>
      </c>
      <c r="C3" s="16">
        <f>'Data Sheet'!C56</f>
        <v>39538</v>
      </c>
      <c r="D3" s="16">
        <f>'Data Sheet'!D56</f>
        <v>39903</v>
      </c>
      <c r="E3" s="16">
        <f>'Data Sheet'!E56</f>
        <v>40268</v>
      </c>
      <c r="F3" s="16">
        <f>'Data Sheet'!F56</f>
        <v>40633</v>
      </c>
      <c r="G3" s="16">
        <f>'Data Sheet'!G56</f>
        <v>40999</v>
      </c>
      <c r="H3" s="16">
        <f>'Data Sheet'!H56</f>
        <v>41364</v>
      </c>
      <c r="I3" s="16">
        <f>'Data Sheet'!I56</f>
        <v>41729</v>
      </c>
      <c r="J3" s="16">
        <f>'Data Sheet'!J56</f>
        <v>42094</v>
      </c>
      <c r="K3" s="16">
        <f>'Data Sheet'!K56</f>
        <v>42460</v>
      </c>
    </row>
    <row r="4" spans="1:11" x14ac:dyDescent="0.25">
      <c r="A4" s="6" t="s">
        <v>24</v>
      </c>
      <c r="B4" s="19">
        <f>'Data Sheet'!B57</f>
        <v>0.01</v>
      </c>
      <c r="C4" s="19">
        <f>'Data Sheet'!C57</f>
        <v>8.81</v>
      </c>
      <c r="D4" s="19">
        <f>'Data Sheet'!D57</f>
        <v>15.04</v>
      </c>
      <c r="E4" s="19">
        <f>'Data Sheet'!E57</f>
        <v>17.420000000000002</v>
      </c>
      <c r="F4" s="19">
        <f>'Data Sheet'!F57</f>
        <v>24.02</v>
      </c>
      <c r="G4" s="19">
        <f>'Data Sheet'!G57</f>
        <v>33.72</v>
      </c>
      <c r="H4" s="19">
        <f>'Data Sheet'!H57</f>
        <v>35.97</v>
      </c>
      <c r="I4" s="19">
        <f>'Data Sheet'!I57</f>
        <v>37.17</v>
      </c>
      <c r="J4" s="19">
        <f>'Data Sheet'!J57</f>
        <v>42.31</v>
      </c>
      <c r="K4" s="19">
        <f>'Data Sheet'!K57</f>
        <v>42.31</v>
      </c>
    </row>
    <row r="5" spans="1:11" s="6" customFormat="1" x14ac:dyDescent="0.25">
      <c r="A5" s="6" t="s">
        <v>25</v>
      </c>
      <c r="B5" s="19">
        <f>'Data Sheet'!B58</f>
        <v>-0.49</v>
      </c>
      <c r="C5" s="19">
        <f>'Data Sheet'!C58</f>
        <v>-0.68</v>
      </c>
      <c r="D5" s="19">
        <f>'Data Sheet'!D58</f>
        <v>28.97</v>
      </c>
      <c r="E5" s="19">
        <f>'Data Sheet'!E58</f>
        <v>44.1</v>
      </c>
      <c r="F5" s="19">
        <f>'Data Sheet'!F58</f>
        <v>98.63</v>
      </c>
      <c r="G5" s="19">
        <f>'Data Sheet'!G58</f>
        <v>222.67</v>
      </c>
      <c r="H5" s="19">
        <f>'Data Sheet'!H58</f>
        <v>297.39</v>
      </c>
      <c r="I5" s="19">
        <f>'Data Sheet'!I58</f>
        <v>360.39</v>
      </c>
      <c r="J5" s="19">
        <f>'Data Sheet'!J58</f>
        <v>602.41</v>
      </c>
      <c r="K5" s="19">
        <f>'Data Sheet'!K58</f>
        <v>612.39</v>
      </c>
    </row>
    <row r="6" spans="1:11" x14ac:dyDescent="0.25">
      <c r="A6" s="11" t="s">
        <v>72</v>
      </c>
      <c r="B6" s="19">
        <f>'Data Sheet'!B59</f>
        <v>0.36</v>
      </c>
      <c r="C6" s="19">
        <f>'Data Sheet'!C59</f>
        <v>0.15</v>
      </c>
      <c r="D6" s="19">
        <f>'Data Sheet'!D59</f>
        <v>0.04</v>
      </c>
      <c r="E6" s="19">
        <f>'Data Sheet'!E59</f>
        <v>12.01</v>
      </c>
      <c r="F6" s="19">
        <f>'Data Sheet'!F59</f>
        <v>47.62</v>
      </c>
      <c r="G6" s="19">
        <f>'Data Sheet'!G59</f>
        <v>51.4</v>
      </c>
      <c r="H6" s="19">
        <f>'Data Sheet'!H59</f>
        <v>66.72</v>
      </c>
      <c r="I6" s="19">
        <f>'Data Sheet'!I59</f>
        <v>82.63</v>
      </c>
      <c r="J6" s="19">
        <f>'Data Sheet'!J59</f>
        <v>105.82</v>
      </c>
      <c r="K6" s="19">
        <f>'Data Sheet'!K59</f>
        <v>98.91</v>
      </c>
    </row>
    <row r="7" spans="1:11" s="6" customFormat="1" x14ac:dyDescent="0.25">
      <c r="A7" s="11" t="s">
        <v>73</v>
      </c>
      <c r="B7" s="19">
        <f>'Data Sheet'!B60</f>
        <v>1.18</v>
      </c>
      <c r="C7" s="19">
        <f>'Data Sheet'!C60</f>
        <v>1.69</v>
      </c>
      <c r="D7" s="19">
        <f>'Data Sheet'!D60</f>
        <v>3.09</v>
      </c>
      <c r="E7" s="19">
        <f>'Data Sheet'!E60</f>
        <v>14.1</v>
      </c>
      <c r="F7" s="19">
        <f>'Data Sheet'!F60</f>
        <v>15.62</v>
      </c>
      <c r="G7" s="19">
        <f>'Data Sheet'!G60</f>
        <v>28.84</v>
      </c>
      <c r="H7" s="19">
        <f>'Data Sheet'!H60</f>
        <v>44.52</v>
      </c>
      <c r="I7" s="19">
        <f>'Data Sheet'!I60</f>
        <v>46.72</v>
      </c>
      <c r="J7" s="19">
        <f>'Data Sheet'!J60</f>
        <v>53.69</v>
      </c>
      <c r="K7" s="19">
        <f>'Data Sheet'!K60</f>
        <v>41.12</v>
      </c>
    </row>
    <row r="8" spans="1:11" s="8" customFormat="1" x14ac:dyDescent="0.25">
      <c r="A8" s="8" t="s">
        <v>26</v>
      </c>
      <c r="B8" s="20">
        <f>'Data Sheet'!B61</f>
        <v>1.06</v>
      </c>
      <c r="C8" s="20">
        <f>'Data Sheet'!C61</f>
        <v>9.9700000000000006</v>
      </c>
      <c r="D8" s="20">
        <f>'Data Sheet'!D61</f>
        <v>47.14</v>
      </c>
      <c r="E8" s="20">
        <f>'Data Sheet'!E61</f>
        <v>87.63</v>
      </c>
      <c r="F8" s="20">
        <f>'Data Sheet'!F61</f>
        <v>185.89</v>
      </c>
      <c r="G8" s="20">
        <f>'Data Sheet'!G61</f>
        <v>336.63</v>
      </c>
      <c r="H8" s="20">
        <f>'Data Sheet'!H61</f>
        <v>444.6</v>
      </c>
      <c r="I8" s="20">
        <f>'Data Sheet'!I61</f>
        <v>526.91</v>
      </c>
      <c r="J8" s="20">
        <f>'Data Sheet'!J61</f>
        <v>804.23</v>
      </c>
      <c r="K8" s="20">
        <f>'Data Sheet'!K61</f>
        <v>794.73</v>
      </c>
    </row>
    <row r="9" spans="1:11" s="8" customFormat="1" x14ac:dyDescent="0.25">
      <c r="B9" s="20"/>
      <c r="C9" s="20"/>
      <c r="D9" s="20"/>
      <c r="E9" s="20"/>
      <c r="F9" s="20"/>
      <c r="G9" s="20"/>
      <c r="H9" s="20"/>
      <c r="I9" s="20"/>
      <c r="J9" s="20"/>
      <c r="K9" s="20"/>
    </row>
    <row r="10" spans="1:11" x14ac:dyDescent="0.25">
      <c r="A10" s="6" t="s">
        <v>27</v>
      </c>
      <c r="B10" s="19">
        <f>'Data Sheet'!B62</f>
        <v>0.34</v>
      </c>
      <c r="C10" s="19">
        <f>'Data Sheet'!C62</f>
        <v>8.19</v>
      </c>
      <c r="D10" s="19">
        <f>'Data Sheet'!D62</f>
        <v>23.52</v>
      </c>
      <c r="E10" s="19">
        <f>'Data Sheet'!E62</f>
        <v>33.020000000000003</v>
      </c>
      <c r="F10" s="19">
        <f>'Data Sheet'!F62</f>
        <v>62.34</v>
      </c>
      <c r="G10" s="19">
        <f>'Data Sheet'!G62</f>
        <v>137.07</v>
      </c>
      <c r="H10" s="19">
        <f>'Data Sheet'!H62</f>
        <v>155.01</v>
      </c>
      <c r="I10" s="19">
        <f>'Data Sheet'!I62</f>
        <v>246.84</v>
      </c>
      <c r="J10" s="19">
        <f>'Data Sheet'!J62</f>
        <v>320.99</v>
      </c>
      <c r="K10" s="19">
        <f>'Data Sheet'!K62</f>
        <v>464.36</v>
      </c>
    </row>
    <row r="11" spans="1:11" x14ac:dyDescent="0.25">
      <c r="A11" s="6" t="s">
        <v>28</v>
      </c>
      <c r="B11" s="19">
        <f>'Data Sheet'!B63</f>
        <v>0</v>
      </c>
      <c r="C11" s="19">
        <f>'Data Sheet'!C63</f>
        <v>0.35</v>
      </c>
      <c r="D11" s="19">
        <f>'Data Sheet'!D63</f>
        <v>15.5</v>
      </c>
      <c r="E11" s="19">
        <f>'Data Sheet'!E63</f>
        <v>30.5</v>
      </c>
      <c r="F11" s="19">
        <f>'Data Sheet'!F63</f>
        <v>51.81</v>
      </c>
      <c r="G11" s="19">
        <f>'Data Sheet'!G63</f>
        <v>19.54</v>
      </c>
      <c r="H11" s="19">
        <f>'Data Sheet'!H63</f>
        <v>39.770000000000003</v>
      </c>
      <c r="I11" s="19">
        <f>'Data Sheet'!I63</f>
        <v>28.49</v>
      </c>
      <c r="J11" s="19">
        <f>'Data Sheet'!J63</f>
        <v>24.81</v>
      </c>
      <c r="K11" s="19">
        <f>'Data Sheet'!K63</f>
        <v>4.67</v>
      </c>
    </row>
    <row r="12" spans="1:11" x14ac:dyDescent="0.25">
      <c r="A12" s="6" t="s">
        <v>29</v>
      </c>
      <c r="B12" s="19">
        <f>'Data Sheet'!B64</f>
        <v>0</v>
      </c>
      <c r="C12" s="19">
        <f>'Data Sheet'!C64</f>
        <v>0</v>
      </c>
      <c r="D12" s="19">
        <f>'Data Sheet'!D64</f>
        <v>0</v>
      </c>
      <c r="E12" s="19">
        <f>'Data Sheet'!E64</f>
        <v>1.02</v>
      </c>
      <c r="F12" s="19">
        <f>'Data Sheet'!F64</f>
        <v>2.65</v>
      </c>
      <c r="G12" s="19">
        <f>'Data Sheet'!G64</f>
        <v>31.17</v>
      </c>
      <c r="H12" s="19">
        <f>'Data Sheet'!H64</f>
        <v>9.98</v>
      </c>
      <c r="I12" s="19">
        <f>'Data Sheet'!I64</f>
        <v>11.48</v>
      </c>
      <c r="J12" s="19">
        <f>'Data Sheet'!J64</f>
        <v>11.24</v>
      </c>
      <c r="K12" s="19">
        <f>'Data Sheet'!K64</f>
        <v>10.98</v>
      </c>
    </row>
    <row r="13" spans="1:11" x14ac:dyDescent="0.25">
      <c r="A13" s="11" t="s">
        <v>74</v>
      </c>
      <c r="B13" s="19">
        <f>'Data Sheet'!B65</f>
        <v>0.72</v>
      </c>
      <c r="C13" s="19">
        <f>'Data Sheet'!C65</f>
        <v>1.43</v>
      </c>
      <c r="D13" s="19">
        <f>'Data Sheet'!D65</f>
        <v>8.1199999999999992</v>
      </c>
      <c r="E13" s="19">
        <f>'Data Sheet'!E65</f>
        <v>23.09</v>
      </c>
      <c r="F13" s="19">
        <f>'Data Sheet'!F65</f>
        <v>69.09</v>
      </c>
      <c r="G13" s="19">
        <f>'Data Sheet'!G65</f>
        <v>148.85</v>
      </c>
      <c r="H13" s="19">
        <f>'Data Sheet'!H65</f>
        <v>239.84</v>
      </c>
      <c r="I13" s="19">
        <f>'Data Sheet'!I65</f>
        <v>240.1</v>
      </c>
      <c r="J13" s="19">
        <f>'Data Sheet'!J65</f>
        <v>447.19</v>
      </c>
      <c r="K13" s="19">
        <f>'Data Sheet'!K65</f>
        <v>314.72000000000003</v>
      </c>
    </row>
    <row r="14" spans="1:11" s="8" customFormat="1" x14ac:dyDescent="0.25">
      <c r="A14" s="8" t="s">
        <v>26</v>
      </c>
      <c r="B14" s="19">
        <f>'Data Sheet'!B66</f>
        <v>1.06</v>
      </c>
      <c r="C14" s="19">
        <f>'Data Sheet'!C66</f>
        <v>9.9700000000000006</v>
      </c>
      <c r="D14" s="19">
        <f>'Data Sheet'!D66</f>
        <v>47.14</v>
      </c>
      <c r="E14" s="19">
        <f>'Data Sheet'!E66</f>
        <v>87.63</v>
      </c>
      <c r="F14" s="19">
        <f>'Data Sheet'!F66</f>
        <v>185.89</v>
      </c>
      <c r="G14" s="19">
        <f>'Data Sheet'!G66</f>
        <v>336.63</v>
      </c>
      <c r="H14" s="19">
        <f>'Data Sheet'!H66</f>
        <v>444.6</v>
      </c>
      <c r="I14" s="19">
        <f>'Data Sheet'!I66</f>
        <v>526.91</v>
      </c>
      <c r="J14" s="19">
        <f>'Data Sheet'!J66</f>
        <v>804.23</v>
      </c>
      <c r="K14" s="19">
        <f>'Data Sheet'!K66</f>
        <v>794.73</v>
      </c>
    </row>
    <row r="15" spans="1:11" x14ac:dyDescent="0.25">
      <c r="A15" s="6"/>
      <c r="B15" s="21"/>
      <c r="C15" s="21"/>
      <c r="D15" s="21"/>
      <c r="E15" s="21"/>
      <c r="F15" s="21"/>
      <c r="G15" s="21"/>
      <c r="H15" s="21"/>
      <c r="I15" s="21"/>
      <c r="J15" s="21"/>
      <c r="K15" s="21"/>
    </row>
    <row r="16" spans="1:11" x14ac:dyDescent="0.25">
      <c r="A16" s="29" t="s">
        <v>30</v>
      </c>
      <c r="B16" s="21">
        <f>B13-B7</f>
        <v>-0.45999999999999996</v>
      </c>
      <c r="C16" s="21">
        <f t="shared" ref="C16:K16" si="0">C13-C7</f>
        <v>-0.26</v>
      </c>
      <c r="D16" s="21">
        <f t="shared" si="0"/>
        <v>5.0299999999999994</v>
      </c>
      <c r="E16" s="21">
        <f t="shared" si="0"/>
        <v>8.99</v>
      </c>
      <c r="F16" s="21">
        <f t="shared" si="0"/>
        <v>53.470000000000006</v>
      </c>
      <c r="G16" s="21">
        <f t="shared" si="0"/>
        <v>120.00999999999999</v>
      </c>
      <c r="H16" s="21">
        <f t="shared" si="0"/>
        <v>195.32</v>
      </c>
      <c r="I16" s="21">
        <f t="shared" si="0"/>
        <v>193.38</v>
      </c>
      <c r="J16" s="21">
        <f t="shared" si="0"/>
        <v>393.5</v>
      </c>
      <c r="K16" s="21">
        <f t="shared" si="0"/>
        <v>273.60000000000002</v>
      </c>
    </row>
    <row r="17" spans="1:11" x14ac:dyDescent="0.25">
      <c r="A17" s="11" t="s">
        <v>44</v>
      </c>
      <c r="B17" s="21">
        <f>'Data Sheet'!B67</f>
        <v>0</v>
      </c>
      <c r="C17" s="21">
        <f>'Data Sheet'!C67</f>
        <v>0.01</v>
      </c>
      <c r="D17" s="21">
        <f>'Data Sheet'!D67</f>
        <v>0.42</v>
      </c>
      <c r="E17" s="21">
        <f>'Data Sheet'!E67</f>
        <v>6.95</v>
      </c>
      <c r="F17" s="21">
        <f>'Data Sheet'!F67</f>
        <v>1.77</v>
      </c>
      <c r="G17" s="21">
        <f>'Data Sheet'!G67</f>
        <v>5.81</v>
      </c>
      <c r="H17" s="21">
        <f>'Data Sheet'!H67</f>
        <v>6.87</v>
      </c>
      <c r="I17" s="21">
        <f>'Data Sheet'!I67</f>
        <v>29</v>
      </c>
      <c r="J17" s="21">
        <f>'Data Sheet'!J67</f>
        <v>41.5</v>
      </c>
      <c r="K17" s="21">
        <f>'Data Sheet'!K67</f>
        <v>57.11</v>
      </c>
    </row>
    <row r="18" spans="1:11" x14ac:dyDescent="0.25">
      <c r="A18" s="11" t="s">
        <v>45</v>
      </c>
      <c r="B18" s="21">
        <f>'Data Sheet'!B68</f>
        <v>0</v>
      </c>
      <c r="C18" s="21">
        <f>'Data Sheet'!C68</f>
        <v>0.05</v>
      </c>
      <c r="D18" s="21">
        <f>'Data Sheet'!D68</f>
        <v>0.16</v>
      </c>
      <c r="E18" s="21">
        <f>'Data Sheet'!E68</f>
        <v>0.3</v>
      </c>
      <c r="F18" s="21">
        <f>'Data Sheet'!F68</f>
        <v>1.47</v>
      </c>
      <c r="G18" s="21">
        <f>'Data Sheet'!G68</f>
        <v>3.65</v>
      </c>
      <c r="H18" s="21">
        <f>'Data Sheet'!H68</f>
        <v>4.5999999999999996</v>
      </c>
      <c r="I18" s="21">
        <f>'Data Sheet'!I68</f>
        <v>5.62</v>
      </c>
      <c r="J18" s="21">
        <f>'Data Sheet'!J68</f>
        <v>5.21</v>
      </c>
      <c r="K18" s="21">
        <f>'Data Sheet'!K68</f>
        <v>4.33</v>
      </c>
    </row>
    <row r="20" spans="1:11" x14ac:dyDescent="0.25">
      <c r="A20" s="11" t="s">
        <v>46</v>
      </c>
      <c r="B20" s="5">
        <f>IF('Profit &amp; Loss'!B4&gt;0,'Balance Sheet'!B17/('Profit &amp; Loss'!B4/365),0)</f>
        <v>0</v>
      </c>
      <c r="C20" s="5">
        <f>IF('Profit &amp; Loss'!C4&gt;0,'Balance Sheet'!C17/('Profit &amp; Loss'!C4/365),0)</f>
        <v>0.67343173431734316</v>
      </c>
      <c r="D20" s="5">
        <f>IF('Profit &amp; Loss'!D4&gt;0,'Balance Sheet'!D17/('Profit &amp; Loss'!D4/365),0)</f>
        <v>14.9269717624148</v>
      </c>
      <c r="E20" s="5">
        <f>IF('Profit &amp; Loss'!E4&gt;0,'Balance Sheet'!E17/('Profit &amp; Loss'!E4/365),0)</f>
        <v>118.65060804490179</v>
      </c>
      <c r="F20" s="5">
        <f>IF('Profit &amp; Loss'!F4&gt;0,'Balance Sheet'!F17/('Profit &amp; Loss'!F4/365),0)</f>
        <v>16.464067278287462</v>
      </c>
      <c r="G20" s="5">
        <f>IF('Profit &amp; Loss'!G4&gt;0,'Balance Sheet'!G17/('Profit &amp; Loss'!G4/365),0)</f>
        <v>27.466001813236627</v>
      </c>
      <c r="H20" s="5">
        <f>IF('Profit &amp; Loss'!H4&gt;0,'Balance Sheet'!H17/('Profit &amp; Loss'!H4/365),0)</f>
        <v>21.942159607980397</v>
      </c>
      <c r="I20" s="5">
        <f>IF('Profit &amp; Loss'!I4&gt;0,'Balance Sheet'!I17/('Profit &amp; Loss'!I4/365),0)</f>
        <v>67.146663283430613</v>
      </c>
      <c r="J20" s="5">
        <f>IF('Profit &amp; Loss'!J4&gt;0,'Balance Sheet'!J17/('Profit &amp; Loss'!J4/365),0)</f>
        <v>73.017594601108698</v>
      </c>
      <c r="K20" s="5">
        <f>IF('Profit &amp; Loss'!K4&gt;0,'Balance Sheet'!K17/('Profit &amp; Loss'!K4/365),0)</f>
        <v>99.580327712224701</v>
      </c>
    </row>
    <row r="21" spans="1:11" x14ac:dyDescent="0.25">
      <c r="A21" s="11" t="s">
        <v>47</v>
      </c>
      <c r="B21" s="5">
        <f>IF('Balance Sheet'!B18&gt;0,'Profit &amp; Loss'!B4/'Balance Sheet'!B18,0)</f>
        <v>0</v>
      </c>
      <c r="C21" s="5">
        <f>IF('Balance Sheet'!C18&gt;0,'Profit &amp; Loss'!C4/'Balance Sheet'!C18,0)</f>
        <v>108.39999999999999</v>
      </c>
      <c r="D21" s="5">
        <f>IF('Balance Sheet'!D18&gt;0,'Profit &amp; Loss'!D4/'Balance Sheet'!D18,0)</f>
        <v>64.1875</v>
      </c>
      <c r="E21" s="5">
        <f>IF('Balance Sheet'!E18&gt;0,'Profit &amp; Loss'!E4/'Balance Sheet'!E18,0)</f>
        <v>71.266666666666666</v>
      </c>
      <c r="F21" s="5">
        <f>IF('Balance Sheet'!F18&gt;0,'Profit &amp; Loss'!F4/'Balance Sheet'!F18,0)</f>
        <v>26.69387755102041</v>
      </c>
      <c r="G21" s="5">
        <f>IF('Balance Sheet'!G18&gt;0,'Profit &amp; Loss'!G4/'Balance Sheet'!G18,0)</f>
        <v>21.153424657534245</v>
      </c>
      <c r="H21" s="5">
        <f>IF('Balance Sheet'!H18&gt;0,'Profit &amp; Loss'!H4/'Balance Sheet'!H18,0)</f>
        <v>24.843478260869567</v>
      </c>
      <c r="I21" s="5">
        <f>IF('Balance Sheet'!I18&gt;0,'Profit &amp; Loss'!I4/'Balance Sheet'!I18,0)</f>
        <v>28.049822064056936</v>
      </c>
      <c r="J21" s="5">
        <f>IF('Balance Sheet'!J18&gt;0,'Profit &amp; Loss'!J4/'Balance Sheet'!J18,0)</f>
        <v>39.817658349328212</v>
      </c>
      <c r="K21" s="5">
        <f>IF('Balance Sheet'!K18&gt;0,'Profit &amp; Loss'!K4/'Balance Sheet'!K18,0)</f>
        <v>48.344110854503469</v>
      </c>
    </row>
    <row r="23" spans="1:11" s="8" customFormat="1" x14ac:dyDescent="0.25">
      <c r="A23" s="8" t="s">
        <v>60</v>
      </c>
      <c r="B23" s="14" t="str">
        <f>IF(SUM('Balance Sheet'!B4:B5)&gt;0,'Profit &amp; Loss'!B12/SUM('Balance Sheet'!B4:B5),"")</f>
        <v/>
      </c>
      <c r="C23" s="14">
        <f>IF(SUM('Balance Sheet'!C4:C5)&gt;0,'Profit &amp; Loss'!C12/SUM('Balance Sheet'!C4:C5),"")</f>
        <v>-2.3370233702337023E-2</v>
      </c>
      <c r="D23" s="14">
        <f>IF(SUM('Balance Sheet'!D4:D5)&gt;0,'Profit &amp; Loss'!D12/SUM('Balance Sheet'!D4:D5),"")</f>
        <v>1.1588275391956374E-2</v>
      </c>
      <c r="E23" s="14">
        <f>IF(SUM('Balance Sheet'!E4:E5)&gt;0,'Profit &amp; Loss'!E12/SUM('Balance Sheet'!E4:E5),"")</f>
        <v>4.2262678803641089E-2</v>
      </c>
      <c r="F23" s="14">
        <f>IF(SUM('Balance Sheet'!F4:F5)&gt;0,'Profit &amp; Loss'!F12/SUM('Balance Sheet'!F4:F5),"")</f>
        <v>7.5010191602119858E-2</v>
      </c>
      <c r="G23" s="14">
        <f>IF(SUM('Balance Sheet'!G4:G5)&gt;0,'Profit &amp; Loss'!G12/SUM('Balance Sheet'!G4:G5),"")</f>
        <v>8.4480673973243894E-2</v>
      </c>
      <c r="H23" s="14">
        <f>IF(SUM('Balance Sheet'!H4:H5)&gt;0,'Profit &amp; Loss'!H12/SUM('Balance Sheet'!H4:H5),"")</f>
        <v>0.10001199904007679</v>
      </c>
      <c r="I23" s="14">
        <f>IF(SUM('Balance Sheet'!I4:I5)&gt;0,'Profit &amp; Loss'!I12/SUM('Balance Sheet'!I4:I5),"")</f>
        <v>0.11047389073347419</v>
      </c>
      <c r="J23" s="14">
        <f>IF(SUM('Balance Sheet'!J4:J5)&gt;0,'Profit &amp; Loss'!J12/SUM('Balance Sheet'!J4:J5),"")</f>
        <v>9.4413078545725268E-2</v>
      </c>
      <c r="K23" s="14">
        <f>IF(SUM('Balance Sheet'!K4:K5)&gt;0,'Profit &amp; Loss'!K12/SUM('Balance Sheet'!K4:K5),"")</f>
        <v>1.0340614021689322E-2</v>
      </c>
    </row>
    <row r="24" spans="1:11" s="8" customFormat="1" x14ac:dyDescent="0.25">
      <c r="A24" s="8" t="s">
        <v>61</v>
      </c>
      <c r="B24" s="14" t="str">
        <f>IF(('Balance Sheet'!B10+'Balance Sheet'!B16)&gt;0,('Profit &amp; Loss'!B6-'Profit &amp; Loss'!B8-'Profit &amp; Loss'!B11)/('Balance Sheet'!B10+'Balance Sheet'!B16),"")</f>
        <v/>
      </c>
      <c r="C24" s="14">
        <f>IF(('Balance Sheet'!C10+'Balance Sheet'!C16)&gt;0,('Profit &amp; Loss'!C6-'Profit &amp; Loss'!C8-'Profit &amp; Loss'!C11)/('Balance Sheet'!C10+'Balance Sheet'!C16),"")</f>
        <v>-2.5220680958385942E-2</v>
      </c>
      <c r="D24" s="14">
        <f>IF(('Balance Sheet'!D10+'Balance Sheet'!D16)&gt;0,('Profit &amp; Loss'!D6-'Profit &amp; Loss'!D8-'Profit &amp; Loss'!D11)/('Balance Sheet'!D10+'Balance Sheet'!D16),"")</f>
        <v>5.954465849386993E-3</v>
      </c>
      <c r="E24" s="14">
        <f>IF(('Balance Sheet'!E10+'Balance Sheet'!E16)&gt;0,('Profit &amp; Loss'!E6-'Profit &amp; Loss'!E8-'Profit &amp; Loss'!E11)/('Balance Sheet'!E10+'Balance Sheet'!E16),"")</f>
        <v>6.403237324446559E-2</v>
      </c>
      <c r="F24" s="14">
        <f>IF(('Balance Sheet'!F10+'Balance Sheet'!F16)&gt;0,('Profit &amp; Loss'!F6-'Profit &amp; Loss'!F8-'Profit &amp; Loss'!F11)/('Balance Sheet'!F10+'Balance Sheet'!F16),"")</f>
        <v>7.3741473102495486E-2</v>
      </c>
      <c r="G24" s="14">
        <f>IF(('Balance Sheet'!G10+'Balance Sheet'!G16)&gt;0,('Profit &amp; Loss'!G6-'Profit &amp; Loss'!G8-'Profit &amp; Loss'!G11)/('Balance Sheet'!G10+'Balance Sheet'!G16),"")</f>
        <v>9.4445308853275234E-2</v>
      </c>
      <c r="H24" s="14">
        <f>IF(('Balance Sheet'!H10+'Balance Sheet'!H16)&gt;0,('Profit &amp; Loss'!H6-'Profit &amp; Loss'!H8-'Profit &amp; Loss'!H11)/('Balance Sheet'!H10+'Balance Sheet'!H16),"")</f>
        <v>9.3882910398766867E-2</v>
      </c>
      <c r="I24" s="14">
        <f>IF(('Balance Sheet'!I10+'Balance Sheet'!I16)&gt;0,('Profit &amp; Loss'!I6-'Profit &amp; Loss'!I8-'Profit &amp; Loss'!I11)/('Balance Sheet'!I10+'Balance Sheet'!I16),"")</f>
        <v>0.11394302848575709</v>
      </c>
      <c r="J24" s="14">
        <f>IF(('Balance Sheet'!J10+'Balance Sheet'!J16)&gt;0,('Profit &amp; Loss'!J6-'Profit &amp; Loss'!J8-'Profit &amp; Loss'!J11)/('Balance Sheet'!J10+'Balance Sheet'!J16),"")</f>
        <v>9.5074808604738992E-2</v>
      </c>
      <c r="K24" s="14">
        <f>IF(('Balance Sheet'!K10+'Balance Sheet'!K16)&gt;0,('Profit &amp; Loss'!K6-'Profit &amp; Loss'!K8-'Profit &amp; Loss'!K11)/('Balance Sheet'!K10+'Balance Sheet'!K16),"")</f>
        <v>1.2073825139573972E-2</v>
      </c>
    </row>
    <row r="25" spans="1:11" s="18"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RowHeight="15" x14ac:dyDescent="0.25"/>
  <cols>
    <col min="1" max="1" width="26.85546875" style="6" bestFit="1" customWidth="1"/>
    <col min="2" max="6" width="13.5703125" style="6" customWidth="1"/>
    <col min="7" max="11" width="13.5703125" style="6" bestFit="1" customWidth="1"/>
    <col min="12" max="16384" width="9.140625" style="6"/>
  </cols>
  <sheetData>
    <row r="1" spans="1:11" s="8" customFormat="1" x14ac:dyDescent="0.25">
      <c r="A1" s="8" t="str">
        <f>'Balance Sheet'!A1</f>
        <v>TREE HOUSE EDUCATION &amp; ACCESSORIES LTD</v>
      </c>
      <c r="E1" t="str">
        <f>UPDATE</f>
        <v/>
      </c>
      <c r="F1"/>
      <c r="J1" s="4" t="s">
        <v>1</v>
      </c>
      <c r="K1" s="4"/>
    </row>
    <row r="3" spans="1:11" s="2" customFormat="1" x14ac:dyDescent="0.25">
      <c r="A3" s="15" t="s">
        <v>2</v>
      </c>
      <c r="B3" s="16">
        <f>'Data Sheet'!B81</f>
        <v>39172</v>
      </c>
      <c r="C3" s="16">
        <f>'Data Sheet'!C81</f>
        <v>39538</v>
      </c>
      <c r="D3" s="16">
        <f>'Data Sheet'!D81</f>
        <v>39903</v>
      </c>
      <c r="E3" s="16">
        <f>'Data Sheet'!E81</f>
        <v>40268</v>
      </c>
      <c r="F3" s="16">
        <f>'Data Sheet'!F81</f>
        <v>40633</v>
      </c>
      <c r="G3" s="16">
        <f>'Data Sheet'!G81</f>
        <v>40999</v>
      </c>
      <c r="H3" s="16">
        <f>'Data Sheet'!H81</f>
        <v>41364</v>
      </c>
      <c r="I3" s="16">
        <f>'Data Sheet'!I81</f>
        <v>41729</v>
      </c>
      <c r="J3" s="16">
        <f>'Data Sheet'!J81</f>
        <v>42094</v>
      </c>
      <c r="K3" s="16">
        <f>'Data Sheet'!K81</f>
        <v>42460</v>
      </c>
    </row>
    <row r="4" spans="1:11" s="8" customFormat="1" x14ac:dyDescent="0.25">
      <c r="A4" s="8" t="s">
        <v>32</v>
      </c>
      <c r="B4" s="1">
        <f>'Data Sheet'!B82</f>
        <v>-0.57999999999999996</v>
      </c>
      <c r="C4" s="1">
        <f>'Data Sheet'!C82</f>
        <v>1.23</v>
      </c>
      <c r="D4" s="1">
        <f>'Data Sheet'!D82</f>
        <v>-1.1200000000000001</v>
      </c>
      <c r="E4" s="1">
        <f>'Data Sheet'!E82</f>
        <v>2.31</v>
      </c>
      <c r="F4" s="1">
        <f>'Data Sheet'!F82</f>
        <v>10.66</v>
      </c>
      <c r="G4" s="1">
        <f>'Data Sheet'!G82</f>
        <v>6.4</v>
      </c>
      <c r="H4" s="1">
        <f>'Data Sheet'!H82</f>
        <v>-13.86</v>
      </c>
      <c r="I4" s="1">
        <f>'Data Sheet'!I82</f>
        <v>35.24</v>
      </c>
      <c r="J4" s="1">
        <f>'Data Sheet'!J82</f>
        <v>59.02</v>
      </c>
      <c r="K4" s="1">
        <f>'Data Sheet'!K82</f>
        <v>-12.58</v>
      </c>
    </row>
    <row r="5" spans="1:11" x14ac:dyDescent="0.25">
      <c r="A5" s="6" t="s">
        <v>33</v>
      </c>
      <c r="B5" s="9">
        <f>'Data Sheet'!B83</f>
        <v>-0.34</v>
      </c>
      <c r="C5" s="9">
        <f>'Data Sheet'!C83</f>
        <v>-9.14</v>
      </c>
      <c r="D5" s="9">
        <f>'Data Sheet'!D83</f>
        <v>-32.08</v>
      </c>
      <c r="E5" s="9">
        <f>'Data Sheet'!E83</f>
        <v>-28.66</v>
      </c>
      <c r="F5" s="9">
        <f>'Data Sheet'!F83</f>
        <v>-70.16</v>
      </c>
      <c r="G5" s="9">
        <f>'Data Sheet'!G83</f>
        <v>-101.08</v>
      </c>
      <c r="H5" s="9">
        <f>'Data Sheet'!H83</f>
        <v>-49.42</v>
      </c>
      <c r="I5" s="9">
        <f>'Data Sheet'!I83</f>
        <v>-97.38</v>
      </c>
      <c r="J5" s="9">
        <f>'Data Sheet'!J83</f>
        <v>-108.35</v>
      </c>
      <c r="K5" s="9">
        <f>'Data Sheet'!K83</f>
        <v>-94.58</v>
      </c>
    </row>
    <row r="6" spans="1:11" x14ac:dyDescent="0.25">
      <c r="A6" s="6" t="s">
        <v>34</v>
      </c>
      <c r="B6" s="9">
        <f>'Data Sheet'!B84</f>
        <v>1.2</v>
      </c>
      <c r="C6" s="9">
        <f>'Data Sheet'!C84</f>
        <v>7.81</v>
      </c>
      <c r="D6" s="9">
        <f>'Data Sheet'!D84</f>
        <v>35.159999999999997</v>
      </c>
      <c r="E6" s="9">
        <f>'Data Sheet'!E84</f>
        <v>34.549999999999997</v>
      </c>
      <c r="F6" s="9">
        <f>'Data Sheet'!F84</f>
        <v>78.03</v>
      </c>
      <c r="G6" s="9">
        <f>'Data Sheet'!G84</f>
        <v>113.5</v>
      </c>
      <c r="H6" s="9">
        <f>'Data Sheet'!H84</f>
        <v>64.31</v>
      </c>
      <c r="I6" s="9">
        <f>'Data Sheet'!I84</f>
        <v>24.23</v>
      </c>
      <c r="J6" s="9">
        <f>'Data Sheet'!J84</f>
        <v>199.9</v>
      </c>
      <c r="K6" s="9">
        <f>'Data Sheet'!K84</f>
        <v>-32.090000000000003</v>
      </c>
    </row>
    <row r="7" spans="1:11" s="8" customFormat="1" x14ac:dyDescent="0.25">
      <c r="A7" s="8" t="s">
        <v>35</v>
      </c>
      <c r="B7" s="1">
        <f>'Data Sheet'!B85</f>
        <v>0.28000000000000003</v>
      </c>
      <c r="C7" s="1">
        <f>'Data Sheet'!C85</f>
        <v>-0.1</v>
      </c>
      <c r="D7" s="1">
        <f>'Data Sheet'!D85</f>
        <v>1.96</v>
      </c>
      <c r="E7" s="1">
        <f>'Data Sheet'!E85</f>
        <v>8.1999999999999993</v>
      </c>
      <c r="F7" s="1">
        <f>'Data Sheet'!F85</f>
        <v>18.53</v>
      </c>
      <c r="G7" s="1">
        <f>'Data Sheet'!G85</f>
        <v>18.82</v>
      </c>
      <c r="H7" s="1">
        <f>'Data Sheet'!H85</f>
        <v>1.03</v>
      </c>
      <c r="I7" s="1">
        <f>'Data Sheet'!I85</f>
        <v>-37.909999999999997</v>
      </c>
      <c r="J7" s="1">
        <f>'Data Sheet'!J85</f>
        <v>150.56</v>
      </c>
      <c r="K7" s="1">
        <f>'Data Sheet'!K85</f>
        <v>-139.25</v>
      </c>
    </row>
    <row r="8" spans="1:11"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57</v>
      </c>
    </row>
    <row r="3" spans="1:7" x14ac:dyDescent="0.25">
      <c r="A3" s="8" t="s">
        <v>48</v>
      </c>
    </row>
    <row r="4" spans="1:7" x14ac:dyDescent="0.25">
      <c r="B4" s="11" t="s">
        <v>91</v>
      </c>
    </row>
    <row r="5" spans="1:7" x14ac:dyDescent="0.25">
      <c r="B5" s="11" t="s">
        <v>49</v>
      </c>
    </row>
    <row r="7" spans="1:7" x14ac:dyDescent="0.25">
      <c r="A7" s="8" t="s">
        <v>50</v>
      </c>
    </row>
    <row r="8" spans="1:7" x14ac:dyDescent="0.25">
      <c r="B8" s="11" t="s">
        <v>51</v>
      </c>
      <c r="C8" s="27" t="s">
        <v>92</v>
      </c>
    </row>
    <row r="10" spans="1:7" x14ac:dyDescent="0.25">
      <c r="A10" s="8" t="s">
        <v>52</v>
      </c>
    </row>
    <row r="11" spans="1:7" x14ac:dyDescent="0.25">
      <c r="B11" s="11" t="s">
        <v>53</v>
      </c>
    </row>
    <row r="14" spans="1:7" x14ac:dyDescent="0.25">
      <c r="A14" s="8" t="s">
        <v>54</v>
      </c>
    </row>
    <row r="15" spans="1:7" x14ac:dyDescent="0.25">
      <c r="B15" s="11" t="s">
        <v>55</v>
      </c>
    </row>
    <row r="16" spans="1:7" x14ac:dyDescent="0.25">
      <c r="B16" s="11" t="s">
        <v>56</v>
      </c>
      <c r="G16" s="28" t="s">
        <v>93</v>
      </c>
    </row>
  </sheetData>
  <hyperlinks>
    <hyperlink ref="C8" r:id="rId1" display=" http://www.screener.in/exce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7"/>
  <sheetViews>
    <sheetView workbookViewId="0">
      <selection activeCell="A25" sqref="A25"/>
    </sheetView>
  </sheetViews>
  <sheetFormatPr defaultRowHeight="15" x14ac:dyDescent="0.25"/>
  <cols>
    <col min="1" max="1" width="35.7109375" style="110" customWidth="1"/>
    <col min="2" max="2" width="17.85546875" style="92"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75" t="s">
        <v>158</v>
      </c>
      <c r="B1" s="76" t="s">
        <v>159</v>
      </c>
      <c r="C1" s="77">
        <f>'Profit &amp; Loss'!C3</f>
        <v>39538</v>
      </c>
      <c r="D1" s="77">
        <f>'Profit &amp; Loss'!D3</f>
        <v>39903</v>
      </c>
      <c r="E1" s="77">
        <f>'Profit &amp; Loss'!E3</f>
        <v>40268</v>
      </c>
      <c r="F1" s="77">
        <f>'Profit &amp; Loss'!F3</f>
        <v>40633</v>
      </c>
      <c r="G1" s="77">
        <f>'Profit &amp; Loss'!G3</f>
        <v>40999</v>
      </c>
      <c r="H1" s="77">
        <f>'Profit &amp; Loss'!H3</f>
        <v>41364</v>
      </c>
      <c r="I1" s="77">
        <f>'Profit &amp; Loss'!I3</f>
        <v>41729</v>
      </c>
      <c r="J1" s="77">
        <f>'Profit &amp; Loss'!J3</f>
        <v>42094</v>
      </c>
      <c r="K1" s="77">
        <f>'Profit &amp; Loss'!K3</f>
        <v>42460</v>
      </c>
      <c r="L1" s="77" t="str">
        <f>'Profit &amp; Loss'!L3</f>
        <v>Trailing</v>
      </c>
      <c r="M1" s="77"/>
      <c r="N1" s="78" t="s">
        <v>160</v>
      </c>
      <c r="O1" s="78" t="s">
        <v>161</v>
      </c>
      <c r="P1" s="78" t="s">
        <v>162</v>
      </c>
      <c r="Q1" s="79" t="s">
        <v>163</v>
      </c>
      <c r="R1" s="79" t="s">
        <v>164</v>
      </c>
    </row>
    <row r="2" spans="1:18" ht="17.25" x14ac:dyDescent="0.25">
      <c r="A2" s="80" t="s">
        <v>165</v>
      </c>
      <c r="B2" s="76"/>
      <c r="C2" s="77"/>
      <c r="D2" s="77"/>
      <c r="E2" s="77"/>
      <c r="F2" s="77"/>
      <c r="G2" s="77"/>
      <c r="H2" s="77"/>
      <c r="I2" s="77"/>
      <c r="J2" s="77"/>
      <c r="K2" s="77"/>
      <c r="L2" s="77"/>
      <c r="M2" s="77"/>
      <c r="N2" s="78"/>
      <c r="O2" s="78"/>
      <c r="P2" s="78"/>
      <c r="Q2" s="79"/>
      <c r="R2" s="79"/>
    </row>
    <row r="3" spans="1:18" x14ac:dyDescent="0.25">
      <c r="A3" s="81" t="s">
        <v>166</v>
      </c>
      <c r="B3" s="82" t="s">
        <v>167</v>
      </c>
      <c r="C3" s="83">
        <f>IFERROR(('Profit &amp; Loss'!C4-'Profit &amp; Loss'!B4)/'Profit &amp; Loss'!B4,"NA")</f>
        <v>53.2</v>
      </c>
      <c r="D3" s="83">
        <f>IFERROR(('Profit &amp; Loss'!D4-'Profit &amp; Loss'!C4)/'Profit &amp; Loss'!C4,"NA")</f>
        <v>0.89483394833948338</v>
      </c>
      <c r="E3" s="83">
        <f>IFERROR(('Profit &amp; Loss'!E4-'Profit &amp; Loss'!D4)/'Profit &amp; Loss'!D4,"NA")</f>
        <v>1.0817916260954235</v>
      </c>
      <c r="F3" s="83">
        <f>IFERROR(('Profit &amp; Loss'!F4-'Profit &amp; Loss'!E4)/'Profit &amp; Loss'!E4,"NA")</f>
        <v>0.83536014967259142</v>
      </c>
      <c r="G3" s="83">
        <f>IFERROR(('Profit &amp; Loss'!G4-'Profit &amp; Loss'!F4)/'Profit &amp; Loss'!F4,"NA")</f>
        <v>0.96763506625891926</v>
      </c>
      <c r="H3" s="83">
        <f>IFERROR(('Profit &amp; Loss'!H4-'Profit &amp; Loss'!G4)/'Profit &amp; Loss'!G4,"NA")</f>
        <v>0.48011915554979939</v>
      </c>
      <c r="I3" s="83">
        <f>IFERROR(('Profit &amp; Loss'!I4-'Profit &amp; Loss'!H4)/'Profit &amp; Loss'!H4,"NA")</f>
        <v>0.37941897094854732</v>
      </c>
      <c r="J3" s="83">
        <f>IFERROR(('Profit &amp; Loss'!J4-'Profit &amp; Loss'!I4)/'Profit &amp; Loss'!I4,"NA")</f>
        <v>0.31597310327328093</v>
      </c>
      <c r="K3" s="83">
        <f>IFERROR(('Profit &amp; Loss'!K4-'Profit &amp; Loss'!J4)/'Profit &amp; Loss'!J4,"NA")</f>
        <v>9.0624246806460546E-3</v>
      </c>
      <c r="L3" s="83">
        <f>IFERROR(('Profit &amp; Loss'!L4-'Profit &amp; Loss'!K4)/'Profit &amp; Loss'!K4,"NA")</f>
        <v>-0.4207710313858502</v>
      </c>
      <c r="N3" s="83">
        <f>('Profit &amp; Loss'!K4/'Profit &amp; Loss'!B4)^(1/(9-1))-1</f>
        <v>1.6007819007836837</v>
      </c>
      <c r="O3" s="83">
        <f>('Profit &amp; Loss'!K4/'Profit &amp; Loss'!F4)^(1/(5-1))-1</f>
        <v>0.51976213100540969</v>
      </c>
      <c r="P3" s="83">
        <f>('Profit &amp; Loss'!K4/'Profit &amp; Loss'!H4)^(1/(3-1))-1</f>
        <v>0.35341386369961603</v>
      </c>
      <c r="Q3" t="str">
        <f>IF(N3&gt;0.15,"Excellent",IF(N3&lt;0.1,"Bad","Good"))</f>
        <v>Excellent</v>
      </c>
    </row>
    <row r="4" spans="1:18" x14ac:dyDescent="0.25">
      <c r="A4" s="81" t="s">
        <v>168</v>
      </c>
      <c r="B4" s="82" t="s">
        <v>167</v>
      </c>
      <c r="C4" s="83">
        <f>IFERROR(('Profit &amp; Loss'!C5-'Profit &amp; Loss'!B5)/'Profit &amp; Loss'!B5,"NA")</f>
        <v>6.7288135593220355</v>
      </c>
      <c r="D4" s="83">
        <f>IFERROR(('Profit &amp; Loss'!D5-'Profit &amp; Loss'!C5)/'Profit &amp; Loss'!C5,"NA")</f>
        <v>0.80043859649122806</v>
      </c>
      <c r="E4" s="83">
        <f>IFERROR(('Profit &amp; Loss'!E5-'Profit &amp; Loss'!D5)/'Profit &amp; Loss'!D5,"NA")</f>
        <v>0.74786845310596806</v>
      </c>
      <c r="F4" s="83">
        <f>IFERROR(('Profit &amp; Loss'!F5-'Profit &amp; Loss'!E5)/'Profit &amp; Loss'!E5,"NA")</f>
        <v>0.55470383275261315</v>
      </c>
      <c r="G4" s="83">
        <f>IFERROR(('Profit &amp; Loss'!G5-'Profit &amp; Loss'!F5)/'Profit &amp; Loss'!F5,"NA")</f>
        <v>0.57776781712236691</v>
      </c>
      <c r="H4" s="83">
        <f>IFERROR(('Profit &amp; Loss'!H5-'Profit &amp; Loss'!G5)/'Profit &amp; Loss'!G5,"NA")</f>
        <v>0.49062500000000003</v>
      </c>
      <c r="I4" s="83">
        <f>IFERROR(('Profit &amp; Loss'!I5-'Profit &amp; Loss'!H5)/'Profit &amp; Loss'!H5,"NA")</f>
        <v>0.30398322851153003</v>
      </c>
      <c r="J4" s="83">
        <f>IFERROR(('Profit &amp; Loss'!J5-'Profit &amp; Loss'!I5)/'Profit &amp; Loss'!I5,"NA")</f>
        <v>0.29845074539608352</v>
      </c>
      <c r="K4" s="83">
        <f>IFERROR(('Profit &amp; Loss'!K5-'Profit &amp; Loss'!J5)/'Profit &amp; Loss'!J5,"NA")</f>
        <v>0.64475461503827081</v>
      </c>
      <c r="L4" s="83">
        <f>IFERROR(('Profit &amp; Loss'!L5-'Profit &amp; Loss'!K5)/'Profit &amp; Loss'!K5,"NA")</f>
        <v>0.32240624144538726</v>
      </c>
      <c r="N4" s="83">
        <f>('Profit &amp; Loss'!K5/'Profit &amp; Loss'!B5)^(1/(9-1))-1</f>
        <v>0.99173798723994944</v>
      </c>
      <c r="O4" s="83">
        <f>('Profit &amp; Loss'!K5/'Profit &amp; Loss'!F5)^(1/(5-1))-1</f>
        <v>0.59975148990102456</v>
      </c>
      <c r="P4" s="83">
        <f>('Profit &amp; Loss'!K5/'Profit &amp; Loss'!H5)^(1/(3-1))-1</f>
        <v>0.66878082034126329</v>
      </c>
      <c r="Q4" t="str">
        <f>IF(N4&gt;N3+0.1,"Bad",IF(N4&lt;N3,"Excellent","Good"))</f>
        <v>Excellent</v>
      </c>
    </row>
    <row r="5" spans="1:18" x14ac:dyDescent="0.25">
      <c r="A5" s="81" t="s">
        <v>169</v>
      </c>
      <c r="B5" s="82" t="s">
        <v>167</v>
      </c>
      <c r="C5" s="83">
        <f>IFERROR(('Profit &amp; Loss'!C6-'Profit &amp; Loss'!B6)/'Profit &amp; Loss'!B6,"NA")</f>
        <v>-2.7551020408163254</v>
      </c>
      <c r="D5" s="83">
        <f>IFERROR(('Profit &amp; Loss'!D6-'Profit &amp; Loss'!C6)/'Profit &amp; Loss'!C6,"NA")</f>
        <v>1.3953488372093024</v>
      </c>
      <c r="E5" s="83">
        <f>IFERROR(('Profit &amp; Loss'!E6-'Profit &amp; Loss'!D6)/'Profit &amp; Loss'!D6,"NA")</f>
        <v>2.4126213592233028</v>
      </c>
      <c r="F5" s="83">
        <f>IFERROR(('Profit &amp; Loss'!F6-'Profit &amp; Loss'!E6)/'Profit &amp; Loss'!E6,"NA")</f>
        <v>1.4082503556187773</v>
      </c>
      <c r="G5" s="83">
        <f>IFERROR(('Profit &amp; Loss'!G6-'Profit &amp; Loss'!F6)/'Profit &amp; Loss'!F6,"NA")</f>
        <v>1.4813939751919658</v>
      </c>
      <c r="H5" s="83">
        <f>IFERROR(('Profit &amp; Loss'!H6-'Profit &amp; Loss'!G6)/'Profit &amp; Loss'!G6,"NA")</f>
        <v>0.47131635324922661</v>
      </c>
      <c r="I5" s="83">
        <f>IFERROR(('Profit &amp; Loss'!I6-'Profit &amp; Loss'!H6)/'Profit &amp; Loss'!H6,"NA")</f>
        <v>0.44345575149652167</v>
      </c>
      <c r="J5" s="83">
        <f>IFERROR(('Profit &amp; Loss'!J6-'Profit &amp; Loss'!I6)/'Profit &amp; Loss'!I6,"NA")</f>
        <v>0.32941044608832071</v>
      </c>
      <c r="K5" s="83">
        <f>IFERROR(('Profit &amp; Loss'!K6-'Profit &amp; Loss'!J6)/'Profit &amp; Loss'!J6,"NA")</f>
        <v>-0.4670769749599526</v>
      </c>
      <c r="L5" s="83">
        <f>IFERROR(('Profit &amp; Loss'!L6-'Profit &amp; Loss'!K6)/'Profit &amp; Loss'!K6,"NA")</f>
        <v>-2.1387438696408791</v>
      </c>
      <c r="N5" s="83" t="e">
        <f>('Profit &amp; Loss'!K6/'Profit &amp; Loss'!B6)^(1/(9-1))-1</f>
        <v>#NUM!</v>
      </c>
      <c r="O5" s="83">
        <f>('Profit &amp; Loss'!K6/'Profit &amp; Loss'!F6)^(1/(5-1))-1</f>
        <v>0.39005571640627612</v>
      </c>
      <c r="P5" s="83">
        <f>('Profit &amp; Loss'!K6/'Profit &amp; Loss'!H6)^(1/(3-1))-1</f>
        <v>1.1261616311596168E-2</v>
      </c>
      <c r="Q5" t="e">
        <f>IF(N5&gt;0.15,"Excellent",IF(N5&lt;0.1,"Bad","Good"))</f>
        <v>#NUM!</v>
      </c>
    </row>
    <row r="6" spans="1:18" x14ac:dyDescent="0.25">
      <c r="A6" s="81" t="s">
        <v>170</v>
      </c>
      <c r="B6" s="82" t="s">
        <v>167</v>
      </c>
      <c r="C6" s="83">
        <f>IFERROR(('Profit &amp; Loss'!C10-'Profit &amp; Loss'!B10)/'Profit &amp; Loss'!B10,"NA")</f>
        <v>-0.8571428571428571</v>
      </c>
      <c r="D6" s="83">
        <f>IFERROR(('Profit &amp; Loss'!D10-'Profit &amp; Loss'!C10)/'Profit &amp; Loss'!C10,"NA")</f>
        <v>-8.5714285714285712</v>
      </c>
      <c r="E6" s="83">
        <f>IFERROR(('Profit &amp; Loss'!E10-'Profit &amp; Loss'!D10)/'Profit &amp; Loss'!D10,"NA")</f>
        <v>6.5660377358490551</v>
      </c>
      <c r="F6" s="83">
        <f>IFERROR(('Profit &amp; Loss'!F10-'Profit &amp; Loss'!E10)/'Profit &amp; Loss'!E10,"NA")</f>
        <v>2.3990024937655865</v>
      </c>
      <c r="G6" s="83">
        <f>IFERROR(('Profit &amp; Loss'!G10-'Profit &amp; Loss'!F10)/'Profit &amp; Loss'!F10,"NA")</f>
        <v>1.3176815847395451</v>
      </c>
      <c r="H6" s="83">
        <f>IFERROR(('Profit &amp; Loss'!H10-'Profit &amp; Loss'!G10)/'Profit &amp; Loss'!G10,"NA")</f>
        <v>0.5473251028806585</v>
      </c>
      <c r="I6" s="83">
        <f>IFERROR(('Profit &amp; Loss'!I10-'Profit &amp; Loss'!H10)/'Profit &amp; Loss'!H10,"NA")</f>
        <v>0.35065466448445154</v>
      </c>
      <c r="J6" s="83">
        <f>IFERROR(('Profit &amp; Loss'!J10-'Profit &amp; Loss'!I10)/'Profit &amp; Loss'!I10,"NA")</f>
        <v>0.28339897000908831</v>
      </c>
      <c r="K6" s="83">
        <f>IFERROR(('Profit &amp; Loss'!K10-'Profit &amp; Loss'!J10)/'Profit &amp; Loss'!J10,"NA")</f>
        <v>-0.80845037176914902</v>
      </c>
      <c r="L6" s="83">
        <f>IFERROR(('Profit &amp; Loss'!L10-'Profit &amp; Loss'!K10)/'Profit &amp; Loss'!K10,"NA")</f>
        <v>-8.9180529882932831</v>
      </c>
      <c r="N6" s="83" t="e">
        <f>('Profit &amp; Loss'!K10/'Profit &amp; Loss'!B10)^(1/(9-1))-1</f>
        <v>#NUM!</v>
      </c>
      <c r="O6" s="83">
        <f>('Profit &amp; Loss'!K10/'Profit &amp; Loss'!F10)^(1/(5-1))-1</f>
        <v>4.4613576685957446E-2</v>
      </c>
      <c r="P6" s="83">
        <f>('Profit &amp; Loss'!K10/'Profit &amp; Loss'!H10)^(1/(3-1))-1</f>
        <v>-0.42377292391986998</v>
      </c>
      <c r="Q6" t="e">
        <f>IF(N6&gt;0.15,"Excellent",IF(N6&lt;0.1,"Bad","Good"))</f>
        <v>#NUM!</v>
      </c>
    </row>
    <row r="7" spans="1:18" x14ac:dyDescent="0.25">
      <c r="A7" s="81" t="s">
        <v>171</v>
      </c>
      <c r="B7" s="82" t="s">
        <v>167</v>
      </c>
      <c r="C7" s="83">
        <f>IFERROR(('Profit &amp; Loss'!C12-'Profit &amp; Loss'!B12)/'Profit &amp; Loss'!B12,"NA")</f>
        <v>-0.61224489795918369</v>
      </c>
      <c r="D7" s="83">
        <f>IFERROR(('Profit &amp; Loss'!D12-'Profit &amp; Loss'!C12)/'Profit &amp; Loss'!C12,"NA")</f>
        <v>-3.6842105263157894</v>
      </c>
      <c r="E7" s="83">
        <f>IFERROR(('Profit &amp; Loss'!E12-'Profit &amp; Loss'!D12)/'Profit &amp; Loss'!D12,"NA")</f>
        <v>4.0980392156862742</v>
      </c>
      <c r="F7" s="83">
        <f>IFERROR(('Profit &amp; Loss'!F12-'Profit &amp; Loss'!E12)/'Profit &amp; Loss'!E12,"NA")</f>
        <v>2.5384615384615383</v>
      </c>
      <c r="G7" s="83">
        <f>IFERROR(('Profit &amp; Loss'!G12-'Profit &amp; Loss'!F12)/'Profit &amp; Loss'!F12,"NA")</f>
        <v>1.3543478260869568</v>
      </c>
      <c r="H7" s="83">
        <f>IFERROR(('Profit &amp; Loss'!H12-'Profit &amp; Loss'!G12)/'Profit &amp; Loss'!G12,"NA")</f>
        <v>0.53924284395198541</v>
      </c>
      <c r="I7" s="83">
        <f>IFERROR(('Profit &amp; Loss'!I12-'Profit &amp; Loss'!H12)/'Profit &amp; Loss'!H12,"NA")</f>
        <v>0.31733653269346124</v>
      </c>
      <c r="J7" s="83">
        <f>IFERROR(('Profit &amp; Loss'!J12-'Profit &amp; Loss'!I12)/'Profit &amp; Loss'!I12,"NA")</f>
        <v>0.38592896174863378</v>
      </c>
      <c r="K7" s="83">
        <f>IFERROR(('Profit &amp; Loss'!K12-'Profit &amp; Loss'!J12)/'Profit &amp; Loss'!J12,"NA")</f>
        <v>-0.88877936586167239</v>
      </c>
      <c r="L7" s="83">
        <f>IFERROR(('Profit &amp; Loss'!L12-'Profit &amp; Loss'!K12)/'Profit &amp; Loss'!K12,"NA")</f>
        <v>-18.296898079763665</v>
      </c>
      <c r="N7" s="83" t="e">
        <f>('Profit &amp; Loss'!K12/'Profit &amp; Loss'!B12)^(1/(9-1))-1</f>
        <v>#NUM!</v>
      </c>
      <c r="O7" s="83">
        <f>('Profit &amp; Loss'!K12/'Profit &amp; Loss'!F12)^(1/(5-1))-1</f>
        <v>-7.3809738337196396E-2</v>
      </c>
      <c r="P7" s="83">
        <f>('Profit &amp; Loss'!K12/'Profit &amp; Loss'!H12)^(1/(3-1))-1</f>
        <v>-0.54937888628874099</v>
      </c>
      <c r="Q7" t="e">
        <f>IF(N7&gt;0.15,"Excellent",IF(N7&lt;0.1,"Bad","Good"))</f>
        <v>#NUM!</v>
      </c>
    </row>
    <row r="8" spans="1:18" x14ac:dyDescent="0.25">
      <c r="A8" s="81" t="s">
        <v>172</v>
      </c>
      <c r="B8" s="82" t="s">
        <v>167</v>
      </c>
      <c r="C8" s="83">
        <f>IFERROR(('Profit &amp; Loss'!C13-'Profit &amp; Loss'!B13)/'Profit &amp; Loss'!B13,"NA")</f>
        <v>-0.99955986935069141</v>
      </c>
      <c r="D8" s="83">
        <f>IFERROR(('Profit &amp; Loss'!D13-'Profit &amp; Loss'!C13)/'Profit &amp; Loss'!C13,"NA")</f>
        <v>-2.5721591720413772</v>
      </c>
      <c r="E8" s="83">
        <f>IFERROR(('Profit &amp; Loss'!E13-'Profit &amp; Loss'!D13)/'Profit &amp; Loss'!D13,"NA")</f>
        <v>3.4028520632158914</v>
      </c>
      <c r="F8" s="83">
        <f>IFERROR(('Profit &amp; Loss'!F13-'Profit &amp; Loss'!E13)/'Profit &amp; Loss'!E13,"NA")</f>
        <v>1.5658184609034493</v>
      </c>
      <c r="G8" s="83">
        <f>IFERROR(('Profit &amp; Loss'!G13-'Profit &amp; Loss'!F13)/'Profit &amp; Loss'!F13,"NA")</f>
        <v>0.67724916832614146</v>
      </c>
      <c r="H8" s="83">
        <f>IFERROR(('Profit &amp; Loss'!H13-'Profit &amp; Loss'!G13)/'Profit &amp; Loss'!G13,"NA")</f>
        <v>0.44294726772269616</v>
      </c>
      <c r="I8" s="83">
        <f>IFERROR(('Profit &amp; Loss'!I13-'Profit &amp; Loss'!H13)/'Profit &amp; Loss'!H13,"NA")</f>
        <v>0.27463747254670645</v>
      </c>
      <c r="J8" s="83">
        <f>IFERROR(('Profit &amp; Loss'!J13-'Profit &amp; Loss'!I13)/'Profit &amp; Loss'!I13,"NA")</f>
        <v>0.21754183462386606</v>
      </c>
      <c r="K8" s="83">
        <f>IFERROR(('Profit &amp; Loss'!K13-'Profit &amp; Loss'!J13)/'Profit &amp; Loss'!J13,"NA")</f>
        <v>-0.8887793658616725</v>
      </c>
      <c r="L8" s="83">
        <f>IFERROR(('Profit &amp; Loss'!L13-'Profit &amp; Loss'!K13)/'Profit &amp; Loss'!K13,"NA")</f>
        <v>-18.296242065448642</v>
      </c>
      <c r="N8" s="83" t="e">
        <f>('Profit &amp; Loss'!K13/'Profit &amp; Loss'!B13)^(1/(9-1))-1</f>
        <v>#NUM!</v>
      </c>
      <c r="O8" s="83">
        <f>('Profit &amp; Loss'!K13/'Profit &amp; Loss'!F13)^(1/(5-1))-1</f>
        <v>-0.1960556328150963</v>
      </c>
      <c r="P8" s="83">
        <f>('Profit &amp; Loss'!K13/'Profit &amp; Loss'!H13)^(1/(3-1))-1</f>
        <v>-0.58454119204377419</v>
      </c>
      <c r="Q8" t="e">
        <f>IF(N8&gt;0.15,"Excellent",IF(N8&lt;0.1,"Bad","Good"))</f>
        <v>#NUM!</v>
      </c>
    </row>
    <row r="9" spans="1:18" ht="17.25" x14ac:dyDescent="0.25">
      <c r="A9" s="80" t="s">
        <v>173</v>
      </c>
      <c r="B9" s="82"/>
      <c r="C9" s="83"/>
      <c r="D9" s="83"/>
      <c r="E9" s="83"/>
      <c r="F9" s="83"/>
      <c r="G9" s="83"/>
      <c r="H9" s="83"/>
      <c r="I9" s="83"/>
      <c r="J9" s="83"/>
      <c r="K9" s="83"/>
      <c r="L9" s="83"/>
      <c r="N9" s="83"/>
      <c r="O9" s="83"/>
      <c r="P9" s="83"/>
    </row>
    <row r="10" spans="1:18" x14ac:dyDescent="0.25">
      <c r="A10" s="84" t="s">
        <v>174</v>
      </c>
      <c r="B10" s="82" t="s">
        <v>167</v>
      </c>
      <c r="C10" s="83">
        <f>IFERROR(('Cash Flow'!C4-'Cash Flow'!B4)/'Cash Flow'!B4,"NA")</f>
        <v>-3.1206896551724141</v>
      </c>
      <c r="D10" s="83">
        <f>IFERROR(('Cash Flow'!D4-'Cash Flow'!C4)/'Cash Flow'!C4,"NA")</f>
        <v>-1.910569105691057</v>
      </c>
      <c r="E10" s="83">
        <f>IFERROR(('Cash Flow'!E4-'Cash Flow'!D4)/'Cash Flow'!D4,"NA")</f>
        <v>-3.0625</v>
      </c>
      <c r="F10" s="83">
        <f>IFERROR(('Cash Flow'!F4-'Cash Flow'!E4)/'Cash Flow'!E4,"NA")</f>
        <v>3.6147186147186146</v>
      </c>
      <c r="G10" s="83">
        <f>IFERROR(('Cash Flow'!G4-'Cash Flow'!F4)/'Cash Flow'!F4,"NA")</f>
        <v>-0.39962476547842402</v>
      </c>
      <c r="H10" s="83">
        <f>IFERROR(('Cash Flow'!H4-'Cash Flow'!G4)/'Cash Flow'!G4,"NA")</f>
        <v>-3.1656249999999995</v>
      </c>
      <c r="I10" s="83">
        <f>IFERROR(('Cash Flow'!I4-'Cash Flow'!H4)/'Cash Flow'!H4,"NA")</f>
        <v>-3.5425685425685427</v>
      </c>
      <c r="J10" s="83">
        <f>IFERROR(('Cash Flow'!J4-'Cash Flow'!I4)/'Cash Flow'!I4,"NA")</f>
        <v>0.67480136208853569</v>
      </c>
      <c r="K10" s="83">
        <f>IFERROR(('Cash Flow'!K4-'Cash Flow'!J4)/'Cash Flow'!J4,"NA")</f>
        <v>-1.2131480853947816</v>
      </c>
      <c r="L10" s="83">
        <f>IFERROR(('Cash Flow'!K4-'Cash Flow'!J4)/'Cash Flow'!J4,"NA")</f>
        <v>-1.2131480853947816</v>
      </c>
      <c r="N10" s="83"/>
      <c r="O10" s="83"/>
      <c r="P10" s="83"/>
    </row>
    <row r="11" spans="1:18" x14ac:dyDescent="0.25">
      <c r="A11" s="84" t="s">
        <v>175</v>
      </c>
      <c r="B11" s="82" t="s">
        <v>167</v>
      </c>
      <c r="C11" s="83">
        <f>IFERROR(('Cash Flow'!C5-'Cash Flow'!B5)/'Cash Flow'!B5,"NA")</f>
        <v>25.882352941176471</v>
      </c>
      <c r="D11" s="83">
        <f>IFERROR(('Cash Flow'!D5-'Cash Flow'!C5)/'Cash Flow'!C5,"NA")</f>
        <v>2.5098468271334786</v>
      </c>
      <c r="E11" s="83">
        <f>IFERROR(('Cash Flow'!E5-'Cash Flow'!D5)/'Cash Flow'!D5,"NA")</f>
        <v>-0.10660847880299247</v>
      </c>
      <c r="F11" s="83">
        <f>IFERROR(('Cash Flow'!F5-'Cash Flow'!E5)/'Cash Flow'!E5,"NA")</f>
        <v>1.4480111653872993</v>
      </c>
      <c r="G11" s="83">
        <f>IFERROR(('Cash Flow'!G5-'Cash Flow'!F5)/'Cash Flow'!F5,"NA")</f>
        <v>0.44070695553021672</v>
      </c>
      <c r="H11" s="83">
        <f>IFERROR(('Cash Flow'!H5-'Cash Flow'!G5)/'Cash Flow'!G5,"NA")</f>
        <v>-0.5110803324099723</v>
      </c>
      <c r="I11" s="83">
        <f>IFERROR(('Cash Flow'!I5-'Cash Flow'!H5)/'Cash Flow'!H5,"NA")</f>
        <v>0.97045730473492497</v>
      </c>
      <c r="J11" s="83">
        <f>IFERROR(('Cash Flow'!J5-'Cash Flow'!I5)/'Cash Flow'!I5,"NA")</f>
        <v>0.1126514684740193</v>
      </c>
      <c r="K11" s="83">
        <f>IFERROR(('Cash Flow'!K5-'Cash Flow'!J5)/'Cash Flow'!J5,"NA")</f>
        <v>-0.12708814028610979</v>
      </c>
      <c r="L11" s="83">
        <f>IFERROR(('Cash Flow'!K5-'Cash Flow'!J5)/'Cash Flow'!J5,"NA")</f>
        <v>-0.12708814028610979</v>
      </c>
      <c r="N11" s="83"/>
      <c r="O11" s="83"/>
      <c r="P11" s="83"/>
    </row>
    <row r="12" spans="1:18" ht="17.25" x14ac:dyDescent="0.25">
      <c r="A12" s="80" t="s">
        <v>176</v>
      </c>
      <c r="B12" s="82"/>
      <c r="C12" s="83"/>
      <c r="D12" s="83"/>
      <c r="E12" s="83"/>
      <c r="F12" s="83"/>
      <c r="G12" s="83"/>
      <c r="H12" s="83"/>
      <c r="I12" s="83"/>
      <c r="J12" s="83"/>
      <c r="K12" s="83"/>
      <c r="N12" s="83"/>
      <c r="O12" s="83"/>
      <c r="P12" s="83"/>
    </row>
    <row r="13" spans="1:18" x14ac:dyDescent="0.25">
      <c r="A13" s="81" t="s">
        <v>177</v>
      </c>
      <c r="B13" s="82" t="s">
        <v>167</v>
      </c>
      <c r="C13" s="83" t="str">
        <f>IFERROR(('Data Sheet'!C67-'Data Sheet'!B67)/'Data Sheet'!B67,"NA")</f>
        <v>NA</v>
      </c>
      <c r="D13" s="83">
        <f>IFERROR(('Data Sheet'!D67-'Data Sheet'!C67)/'Data Sheet'!C67,"NA")</f>
        <v>41</v>
      </c>
      <c r="E13" s="83">
        <f>IFERROR(('Data Sheet'!E67-'Data Sheet'!D67)/'Data Sheet'!D67,"NA")</f>
        <v>15.547619047619049</v>
      </c>
      <c r="F13" s="83">
        <f>IFERROR(('Data Sheet'!F67-'Data Sheet'!E67)/'Data Sheet'!E67,"NA")</f>
        <v>-0.74532374100719423</v>
      </c>
      <c r="G13" s="83">
        <f>IFERROR(('Data Sheet'!G67-'Data Sheet'!F67)/'Data Sheet'!F67,"NA")</f>
        <v>2.2824858757062141</v>
      </c>
      <c r="H13" s="83">
        <f>IFERROR(('Data Sheet'!H67-'Data Sheet'!G67)/'Data Sheet'!G67,"NA")</f>
        <v>0.18244406196213436</v>
      </c>
      <c r="I13" s="83">
        <f>IFERROR(('Data Sheet'!I67-'Data Sheet'!H67)/'Data Sheet'!H67,"NA")</f>
        <v>3.2212518195050945</v>
      </c>
      <c r="J13" s="83">
        <f>IFERROR(('Data Sheet'!J67-'Data Sheet'!I67)/'Data Sheet'!I67,"NA")</f>
        <v>0.43103448275862066</v>
      </c>
      <c r="K13" s="83">
        <f>IFERROR(('Data Sheet'!K67-'Data Sheet'!J67)/'Data Sheet'!J67,"NA")</f>
        <v>0.37614457831325299</v>
      </c>
      <c r="L13" s="83">
        <f>IFERROR(('Data Sheet'!K67-'Data Sheet'!J67)/'Data Sheet'!J67,"NA")</f>
        <v>0.37614457831325299</v>
      </c>
      <c r="N13" s="83" t="str">
        <f>IFERROR(('Data Sheet'!K67/'Data Sheet'!B67)^(1/(9-1))-1,"NA")</f>
        <v>NA</v>
      </c>
      <c r="O13" s="83">
        <f>IFERROR(('Data Sheet'!K57/'Data Sheet'!G67)^(1/(5-1))-1,"NA")</f>
        <v>0.64273202294497644</v>
      </c>
      <c r="P13" s="83">
        <f>IFERROR(('Data Sheet'!K67/'Data Sheet'!I67)^(1/(3-1))-1,"NA")</f>
        <v>0.40332118377354598</v>
      </c>
      <c r="Q13" t="str">
        <f>IF(N13&gt;$N$3+0.1,"Bad",IF(N13&lt;$N$3,"Excellent",IF(N13="NA","NA","Good")))</f>
        <v>Bad</v>
      </c>
    </row>
    <row r="14" spans="1:18" x14ac:dyDescent="0.25">
      <c r="A14" s="81" t="s">
        <v>178</v>
      </c>
      <c r="B14" s="82" t="s">
        <v>167</v>
      </c>
      <c r="C14" s="83" t="str">
        <f>IFERROR(('Data Sheet'!C68-'Data Sheet'!B68)/'Data Sheet'!B68,"NA")</f>
        <v>NA</v>
      </c>
      <c r="D14" s="83">
        <f>IFERROR(('Data Sheet'!D68-'Data Sheet'!C68)/'Data Sheet'!C68,"NA")</f>
        <v>2.1999999999999997</v>
      </c>
      <c r="E14" s="83">
        <f>IFERROR(('Data Sheet'!E68-'Data Sheet'!D68)/'Data Sheet'!D68,"NA")</f>
        <v>0.87499999999999989</v>
      </c>
      <c r="F14" s="83">
        <f>IFERROR(('Data Sheet'!F68-'Data Sheet'!E68)/'Data Sheet'!E68,"NA")</f>
        <v>3.9</v>
      </c>
      <c r="G14" s="83">
        <f>IFERROR(('Data Sheet'!G68-'Data Sheet'!F68)/'Data Sheet'!F68,"NA")</f>
        <v>1.4829931972789114</v>
      </c>
      <c r="H14" s="83">
        <f>IFERROR(('Data Sheet'!H68-'Data Sheet'!G68)/'Data Sheet'!G68,"NA")</f>
        <v>0.26027397260273966</v>
      </c>
      <c r="I14" s="83">
        <f>IFERROR(('Data Sheet'!I68-'Data Sheet'!H68)/'Data Sheet'!H68,"NA")</f>
        <v>0.22173913043478272</v>
      </c>
      <c r="J14" s="83">
        <f>IFERROR(('Data Sheet'!J68-'Data Sheet'!I68)/'Data Sheet'!I68,"NA")</f>
        <v>-7.2953736654804299E-2</v>
      </c>
      <c r="K14" s="83">
        <f>IFERROR(('Data Sheet'!K68-'Data Sheet'!J68)/'Data Sheet'!J68,"NA")</f>
        <v>-0.16890595009596926</v>
      </c>
      <c r="L14" s="83">
        <f>IFERROR(('Data Sheet'!K68-'Data Sheet'!J68)/'Data Sheet'!J68,"NA")</f>
        <v>-0.16890595009596926</v>
      </c>
      <c r="N14" s="83" t="str">
        <f>IFERROR(('Data Sheet'!K68/'Data Sheet'!B68)^(1/(9-1))-1,"NA")</f>
        <v>NA</v>
      </c>
      <c r="O14" s="83">
        <f>IFERROR(('Data Sheet'!K68/'Data Sheet'!G68)^(1/(5-1))-1,"NA")</f>
        <v>4.3635294443927997E-2</v>
      </c>
      <c r="P14" s="83">
        <f>IFERROR(('Data Sheet'!K68/'Data Sheet'!G68)^(1/(3-1))-1,"NA")</f>
        <v>8.9174627809064377E-2</v>
      </c>
      <c r="Q14" t="str">
        <f>IF(N14&gt;$N$3+0.1,"Bad",IF(N14&lt;$N$3,"Excellent",IF(N14="NA","NA","Good")))</f>
        <v>Bad</v>
      </c>
    </row>
    <row r="15" spans="1:18" x14ac:dyDescent="0.25">
      <c r="A15" s="81" t="s">
        <v>179</v>
      </c>
      <c r="B15" s="82"/>
      <c r="C15" s="83">
        <f>IFERROR(('Data Sheet'!C57-'Data Sheet'!B57)/'Data Sheet'!B57,"NA")</f>
        <v>880</v>
      </c>
      <c r="D15" s="83">
        <f>IFERROR(('Data Sheet'!D57-'Data Sheet'!C57)/'Data Sheet'!C57,"NA")</f>
        <v>0.70715096481271267</v>
      </c>
      <c r="E15" s="83">
        <f>IFERROR(('Data Sheet'!E57-'Data Sheet'!D57)/'Data Sheet'!D57,"NA")</f>
        <v>0.158244680851064</v>
      </c>
      <c r="F15" s="83">
        <f>IFERROR(('Data Sheet'!F57-'Data Sheet'!E57)/'Data Sheet'!E57,"NA")</f>
        <v>0.37887485648679664</v>
      </c>
      <c r="G15" s="83">
        <f>IFERROR(('Data Sheet'!G57-'Data Sheet'!F57)/'Data Sheet'!F57,"NA")</f>
        <v>0.40383014154870939</v>
      </c>
      <c r="H15" s="83">
        <f>IFERROR(('Data Sheet'!H57-'Data Sheet'!G57)/'Data Sheet'!G57,"NA")</f>
        <v>6.672597864768684E-2</v>
      </c>
      <c r="I15" s="83">
        <f>IFERROR(('Data Sheet'!I57-'Data Sheet'!H57)/'Data Sheet'!H57,"NA")</f>
        <v>3.3361134278565553E-2</v>
      </c>
      <c r="J15" s="83">
        <f>IFERROR(('Data Sheet'!J57-'Data Sheet'!I57)/'Data Sheet'!I57,"NA")</f>
        <v>0.13828356201237557</v>
      </c>
      <c r="K15" s="83">
        <f>IFERROR(('Data Sheet'!K57-'Data Sheet'!J57)/'Data Sheet'!J57,"NA")</f>
        <v>0</v>
      </c>
      <c r="L15" s="83">
        <f>IFERROR(('Data Sheet'!K57-'Data Sheet'!J57)/'Data Sheet'!J57,"NA")</f>
        <v>0</v>
      </c>
      <c r="N15" s="83">
        <f>IFERROR(('Data Sheet'!K57/'Data Sheet'!B57)^(1/(9-1))-1,"NA")</f>
        <v>1.8399152390988642</v>
      </c>
      <c r="O15" s="83">
        <f>IFERROR(('Data Sheet'!K57/'Data Sheet'!G57)^(1/(5-1))-1,"NA")</f>
        <v>5.8373274764720096E-2</v>
      </c>
      <c r="P15" s="83">
        <f>IFERROR(('Data Sheet'!K57/'Data Sheet'!I57)^(1/(3-1))-1,"NA")</f>
        <v>6.6903726684078846E-2</v>
      </c>
    </row>
    <row r="16" spans="1:18" x14ac:dyDescent="0.25">
      <c r="A16" s="81" t="s">
        <v>180</v>
      </c>
      <c r="B16" s="82"/>
      <c r="C16" s="83">
        <f>IFERROR(('Data Sheet'!C58-'Data Sheet'!B58)/'Data Sheet'!B58,"NA")</f>
        <v>0.38775510204081642</v>
      </c>
      <c r="D16" s="83">
        <f>IFERROR(('Data Sheet'!D58-'Data Sheet'!C58)/'Data Sheet'!C58,"NA")</f>
        <v>-43.60294117647058</v>
      </c>
      <c r="E16" s="83">
        <f>IFERROR(('Data Sheet'!E58-'Data Sheet'!D58)/'Data Sheet'!D58,"NA")</f>
        <v>0.52226441146013125</v>
      </c>
      <c r="F16" s="83">
        <f>IFERROR(('Data Sheet'!F58-'Data Sheet'!E58)/'Data Sheet'!E58,"NA")</f>
        <v>1.2365079365079363</v>
      </c>
      <c r="G16" s="83">
        <f>IFERROR(('Data Sheet'!G58-'Data Sheet'!F58)/'Data Sheet'!F58,"NA")</f>
        <v>1.2576295244854507</v>
      </c>
      <c r="H16" s="83">
        <f>IFERROR(('Data Sheet'!H58-'Data Sheet'!G58)/'Data Sheet'!G58,"NA")</f>
        <v>0.33556383886468766</v>
      </c>
      <c r="I16" s="83">
        <f>IFERROR(('Data Sheet'!I58-'Data Sheet'!H58)/'Data Sheet'!H58,"NA")</f>
        <v>0.21184303439927368</v>
      </c>
      <c r="J16" s="83">
        <f>IFERROR(('Data Sheet'!J58-'Data Sheet'!I58)/'Data Sheet'!I58,"NA")</f>
        <v>0.67155026499070447</v>
      </c>
      <c r="K16" s="83">
        <f>IFERROR(('Data Sheet'!K58-'Data Sheet'!J58)/'Data Sheet'!J58,"NA")</f>
        <v>1.6566790059925996E-2</v>
      </c>
      <c r="L16" s="83">
        <f>IFERROR(('Data Sheet'!K58-'Data Sheet'!J58)/'Data Sheet'!J58,"NA")</f>
        <v>1.6566790059925996E-2</v>
      </c>
      <c r="N16" s="83" t="str">
        <f>IFERROR(('Data Sheet'!K58/'Data Sheet'!B58)^(1/(9-1))-1,"NA")</f>
        <v>NA</v>
      </c>
      <c r="O16" s="83">
        <f>IFERROR(('Data Sheet'!K58/'Data Sheet'!G58)^(1/(5-1))-1,"NA")</f>
        <v>0.28777976082040801</v>
      </c>
      <c r="P16" s="83">
        <f>IFERROR(('Data Sheet'!K58/'Data Sheet'!I58)^(1/(3-1))-1,"NA")</f>
        <v>0.30354995581505007</v>
      </c>
    </row>
    <row r="17" spans="1:17" x14ac:dyDescent="0.25">
      <c r="A17" s="81" t="s">
        <v>181</v>
      </c>
      <c r="B17" s="82"/>
      <c r="C17" s="83">
        <f>IFERROR(('Data Sheet'!C57+'Data Sheet'!C58-'Data Sheet'!B57-'Data Sheet'!B58)/('Data Sheet'!B57+'Data Sheet'!B58),"NA")</f>
        <v>-17.937500000000004</v>
      </c>
      <c r="D17" s="83">
        <f>IFERROR(('Data Sheet'!D57+'Data Sheet'!D58-'Data Sheet'!C57-'Data Sheet'!C58)/('Data Sheet'!C57+'Data Sheet'!C58),"NA")</f>
        <v>4.4132841328413273</v>
      </c>
      <c r="E17" s="83">
        <f>IFERROR(('Data Sheet'!E57+'Data Sheet'!E58-'Data Sheet'!D57-'Data Sheet'!D58)/('Data Sheet'!D57+'Data Sheet'!D58),"NA")</f>
        <v>0.39786412179050229</v>
      </c>
      <c r="F17" s="83">
        <f>IFERROR(('Data Sheet'!F57+'Data Sheet'!F58-'Data Sheet'!E57-'Data Sheet'!E58)/('Data Sheet'!E57+'Data Sheet'!E58),"NA")</f>
        <v>0.99366059817945362</v>
      </c>
      <c r="G17" s="83">
        <f>IFERROR(('Data Sheet'!G57+'Data Sheet'!G58-'Data Sheet'!F57-'Data Sheet'!F58)/('Data Sheet'!F57+'Data Sheet'!F58),"NA")</f>
        <v>1.090419894007338</v>
      </c>
      <c r="H17" s="83">
        <f>IFERROR(('Data Sheet'!H57+'Data Sheet'!H58-'Data Sheet'!G57-'Data Sheet'!G58)/('Data Sheet'!G57+'Data Sheet'!G58),"NA")</f>
        <v>0.30020671633059015</v>
      </c>
      <c r="I17" s="83">
        <f>IFERROR(('Data Sheet'!I57+'Data Sheet'!I58-'Data Sheet'!H57-'Data Sheet'!H58)/('Data Sheet'!H57+'Data Sheet'!H58),"NA")</f>
        <v>0.19258459323254151</v>
      </c>
      <c r="J17" s="83">
        <f>IFERROR(('Data Sheet'!J57+'Data Sheet'!J58-'Data Sheet'!I57-'Data Sheet'!I58)/('Data Sheet'!I57+'Data Sheet'!I58),"NA")</f>
        <v>0.62169232317134537</v>
      </c>
      <c r="K17" s="83">
        <f>IFERROR(('Data Sheet'!K57+'Data Sheet'!K58-'Data Sheet'!J57-'Data Sheet'!J58)/('Data Sheet'!J57+'Data Sheet'!J58),"NA")</f>
        <v>1.5479588038218346E-2</v>
      </c>
      <c r="L17" s="83">
        <f>IFERROR(('Data Sheet'!K57+'Data Sheet'!K58-'Data Sheet'!J57-'Data Sheet'!J58)/('Data Sheet'!J57+'Data Sheet'!J58),"NA")</f>
        <v>1.5479588038218346E-2</v>
      </c>
      <c r="N17" s="83" t="str">
        <f>IFERROR((('Data Sheet'!K57+'Data Sheet'!K58)/('Data Sheet'!B57+'Data Sheet'!B58))^(1/(9-1))-1,"NA")</f>
        <v>NA</v>
      </c>
      <c r="O17" s="83">
        <f>IFERROR((('Data Sheet'!K57+'Data Sheet'!K58)/('Data Sheet'!G57+'Data Sheet'!G58))^(1/(5-1))-1,"NA")</f>
        <v>0.26411130320410181</v>
      </c>
      <c r="P17" s="83">
        <f>IFERROR((('Data Sheet'!K57+'Data Sheet'!K58)/('Data Sheet'!I57+'Data Sheet'!I58))^(1/(3-1))-1,"NA")</f>
        <v>0.28327528311690742</v>
      </c>
    </row>
    <row r="18" spans="1:17" x14ac:dyDescent="0.25">
      <c r="A18" s="81" t="s">
        <v>182</v>
      </c>
      <c r="B18" s="82"/>
      <c r="C18" s="83">
        <f>IFERROR(('Data Sheet'!C66-'Data Sheet'!B66)/'Data Sheet'!B66,"NA")</f>
        <v>8.4056603773584904</v>
      </c>
      <c r="D18" s="83">
        <f>IFERROR(('Data Sheet'!D66-'Data Sheet'!C66)/'Data Sheet'!C66,"NA")</f>
        <v>3.728184553660983</v>
      </c>
      <c r="E18" s="83">
        <f>IFERROR(('Data Sheet'!E66-'Data Sheet'!D66)/'Data Sheet'!D66,"NA")</f>
        <v>0.85893084429359345</v>
      </c>
      <c r="F18" s="83">
        <f>IFERROR(('Data Sheet'!F66-'Data Sheet'!E66)/'Data Sheet'!E66,"NA")</f>
        <v>1.1213054889877896</v>
      </c>
      <c r="G18" s="83">
        <f>IFERROR(('Data Sheet'!G66-'Data Sheet'!F66)/'Data Sheet'!F66,"NA")</f>
        <v>0.81090967776642109</v>
      </c>
      <c r="H18" s="83">
        <f>IFERROR(('Data Sheet'!H66-'Data Sheet'!G66)/'Data Sheet'!G66,"NA")</f>
        <v>0.32073790214775877</v>
      </c>
      <c r="I18" s="83">
        <f>IFERROR(('Data Sheet'!I66-'Data Sheet'!H66)/'Data Sheet'!H66,"NA")</f>
        <v>0.18513270355375605</v>
      </c>
      <c r="J18" s="83">
        <f>IFERROR(('Data Sheet'!J66-'Data Sheet'!I66)/'Data Sheet'!I66,"NA")</f>
        <v>0.52631379172913795</v>
      </c>
      <c r="K18" s="83">
        <f>IFERROR(('Data Sheet'!K66-'Data Sheet'!J66)/'Data Sheet'!J66,"NA")</f>
        <v>-1.1812541188465985E-2</v>
      </c>
      <c r="L18" s="83">
        <f>IFERROR(('Data Sheet'!K66-'Data Sheet'!J66)/'Data Sheet'!J66,"NA")</f>
        <v>-1.1812541188465985E-2</v>
      </c>
      <c r="N18" s="83">
        <f>IFERROR(('Data Sheet'!K66/'Data Sheet'!B66)^(1/(9-1))-1,"NA")</f>
        <v>1.2875164073995564</v>
      </c>
      <c r="O18" s="83">
        <f>IFERROR(('Data Sheet'!K66/'Data Sheet'!G66)^(1/(5-1))-1,"NA")</f>
        <v>0.23955755752213936</v>
      </c>
      <c r="P18" s="83">
        <f>IFERROR(('Data Sheet'!K66/'Data Sheet'!I66)^(1/(3-1))-1,"NA")</f>
        <v>0.228122203690583</v>
      </c>
    </row>
    <row r="19" spans="1:17" x14ac:dyDescent="0.25">
      <c r="A19" s="81" t="s">
        <v>183</v>
      </c>
      <c r="B19" s="82"/>
      <c r="C19" s="83">
        <f>IFERROR(('Data Sheet'!C62-'Data Sheet'!B62)/'Data Sheet'!B62,"NA")</f>
        <v>23.088235294117645</v>
      </c>
      <c r="D19" s="83">
        <f>IFERROR(('Data Sheet'!D62-'Data Sheet'!C62)/'Data Sheet'!C62,"NA")</f>
        <v>1.8717948717948718</v>
      </c>
      <c r="E19" s="83">
        <f>IFERROR(('Data Sheet'!E62-'Data Sheet'!D62)/'Data Sheet'!D62,"NA")</f>
        <v>0.40391156462585048</v>
      </c>
      <c r="F19" s="83">
        <f>IFERROR(('Data Sheet'!F62-'Data Sheet'!E62)/'Data Sheet'!E62,"NA")</f>
        <v>0.88794669897032097</v>
      </c>
      <c r="G19" s="83">
        <f>IFERROR(('Data Sheet'!G62-'Data Sheet'!F62)/'Data Sheet'!F62,"NA")</f>
        <v>1.1987487969201152</v>
      </c>
      <c r="H19" s="83">
        <f>IFERROR(('Data Sheet'!H62-'Data Sheet'!G62)/'Data Sheet'!G62,"NA")</f>
        <v>0.13088203107901072</v>
      </c>
      <c r="I19" s="83">
        <f>IFERROR(('Data Sheet'!I62-'Data Sheet'!H62)/'Data Sheet'!H62,"NA")</f>
        <v>0.59241339268434301</v>
      </c>
      <c r="J19" s="83">
        <f>IFERROR(('Data Sheet'!J62-'Data Sheet'!I62)/'Data Sheet'!I62,"NA")</f>
        <v>0.30039701831145682</v>
      </c>
      <c r="K19" s="83">
        <f>IFERROR(('Data Sheet'!K62-'Data Sheet'!J62)/'Data Sheet'!J62,"NA")</f>
        <v>0.44664942833110066</v>
      </c>
      <c r="L19" s="83">
        <f>IFERROR(('Data Sheet'!K62-'Data Sheet'!J62)/'Data Sheet'!J62,"NA")</f>
        <v>0.44664942833110066</v>
      </c>
      <c r="N19" s="83">
        <f>IFERROR(('Data Sheet'!K62/'Data Sheet'!B62)^(1/(9-1))-1,"NA")</f>
        <v>1.4655963910336673</v>
      </c>
      <c r="O19" s="83">
        <f>IFERROR(('Data Sheet'!K62/'Data Sheet'!G62)^(1/(5-1))-1,"NA")</f>
        <v>0.35668210768366637</v>
      </c>
      <c r="P19" s="83">
        <f>IFERROR(('Data Sheet'!K62/'Data Sheet'!I62)^(1/(3-1))-1,"NA")</f>
        <v>0.37157522693570733</v>
      </c>
    </row>
    <row r="20" spans="1:17" x14ac:dyDescent="0.25">
      <c r="A20" s="81" t="s">
        <v>184</v>
      </c>
      <c r="B20" s="82"/>
      <c r="C20" s="83">
        <f>IFERROR(('Data Sheet'!C65-'Data Sheet'!B65)/'Data Sheet'!B65,"NA")</f>
        <v>0.98611111111111105</v>
      </c>
      <c r="D20" s="83">
        <f>IFERROR(('Data Sheet'!D65-'Data Sheet'!C65)/'Data Sheet'!C65,"NA")</f>
        <v>4.6783216783216783</v>
      </c>
      <c r="E20" s="83">
        <f>IFERROR(('Data Sheet'!E65-'Data Sheet'!D65)/'Data Sheet'!D65,"NA")</f>
        <v>1.8435960591133007</v>
      </c>
      <c r="F20" s="83">
        <f>IFERROR(('Data Sheet'!F65-'Data Sheet'!E65)/'Data Sheet'!E65,"NA")</f>
        <v>1.9922044174967519</v>
      </c>
      <c r="G20" s="83">
        <f>IFERROR(('Data Sheet'!G65-'Data Sheet'!F65)/'Data Sheet'!F65,"NA")</f>
        <v>1.1544362425821391</v>
      </c>
      <c r="H20" s="83">
        <f>IFERROR(('Data Sheet'!H65-'Data Sheet'!G65)/'Data Sheet'!G65,"NA")</f>
        <v>0.61128653006382272</v>
      </c>
      <c r="I20" s="83">
        <f>IFERROR(('Data Sheet'!I65-'Data Sheet'!H65)/'Data Sheet'!H65,"NA")</f>
        <v>1.0840560373582009E-3</v>
      </c>
      <c r="J20" s="83">
        <f>IFERROR(('Data Sheet'!J65-'Data Sheet'!I65)/'Data Sheet'!I65,"NA")</f>
        <v>0.86251561849229497</v>
      </c>
      <c r="K20" s="83">
        <f>IFERROR(('Data Sheet'!K65-'Data Sheet'!J65)/'Data Sheet'!J65,"NA")</f>
        <v>-0.29622755428341413</v>
      </c>
      <c r="L20" s="83">
        <f>IFERROR(('Data Sheet'!K65-'Data Sheet'!J65)/'Data Sheet'!J65,"NA")</f>
        <v>-0.29622755428341413</v>
      </c>
      <c r="N20" s="83">
        <f>IFERROR(('Data Sheet'!K65/'Data Sheet'!B65)^(1/(9-1))-1,"NA")</f>
        <v>1.1383263159808554</v>
      </c>
      <c r="O20" s="83">
        <f>IFERROR(('Data Sheet'!K65/'Data Sheet'!G65)^(1/(5-1))-1,"NA")</f>
        <v>0.20585163312572252</v>
      </c>
      <c r="P20" s="83">
        <f>IFERROR(('Data Sheet'!K65/'Data Sheet'!I65)^(1/(3-1))-1,"NA")</f>
        <v>0.14489614027284681</v>
      </c>
    </row>
    <row r="21" spans="1:17" x14ac:dyDescent="0.25">
      <c r="A21" s="81" t="s">
        <v>185</v>
      </c>
      <c r="B21" s="82"/>
      <c r="C21" s="83">
        <f>IFERROR(('Data Sheet'!C59+'Data Sheet'!C60-'Data Sheet'!B59-'Data Sheet'!B60)/('Data Sheet'!B59+'Data Sheet'!B60),"NA")</f>
        <v>0.19480519480519484</v>
      </c>
      <c r="D21" s="83">
        <f>IFERROR(('Data Sheet'!D59+'Data Sheet'!D60-'Data Sheet'!C59-'Data Sheet'!C60)/('Data Sheet'!C59+'Data Sheet'!C60),"NA")</f>
        <v>0.70108695652173925</v>
      </c>
      <c r="E21" s="83">
        <f>IFERROR(('Data Sheet'!E59+'Data Sheet'!E60-'Data Sheet'!D59-'Data Sheet'!D60)/('Data Sheet'!D59+'Data Sheet'!D60),"NA")</f>
        <v>7.3418530351437701</v>
      </c>
      <c r="F21" s="83">
        <f>IFERROR(('Data Sheet'!F59+'Data Sheet'!F60-'Data Sheet'!E59-'Data Sheet'!E60)/('Data Sheet'!E59+'Data Sheet'!E60),"NA")</f>
        <v>1.4220605132133282</v>
      </c>
      <c r="G21" s="83">
        <f>IFERROR(('Data Sheet'!G59+'Data Sheet'!G60-'Data Sheet'!F59-'Data Sheet'!F60)/('Data Sheet'!F59+'Data Sheet'!F60),"NA")</f>
        <v>0.26881720430107531</v>
      </c>
      <c r="H21" s="83">
        <f>IFERROR(('Data Sheet'!H59+'Data Sheet'!H60-'Data Sheet'!G59-'Data Sheet'!G60)/('Data Sheet'!G59+'Data Sheet'!G60),"NA")</f>
        <v>0.38634097706879378</v>
      </c>
      <c r="I21" s="83">
        <f>IFERROR(('Data Sheet'!I59+'Data Sheet'!I60-'Data Sheet'!H59-'Data Sheet'!H60)/('Data Sheet'!H59+'Data Sheet'!H60),"NA")</f>
        <v>0.16280115066522824</v>
      </c>
      <c r="J21" s="83">
        <f>IFERROR(('Data Sheet'!J59+'Data Sheet'!J60-'Data Sheet'!I59-'Data Sheet'!I60)/('Data Sheet'!I59+'Data Sheet'!I60),"NA")</f>
        <v>0.23316582914572861</v>
      </c>
      <c r="K21" s="83">
        <f>IFERROR(('Data Sheet'!K59+'Data Sheet'!K60-'Data Sheet'!J59-'Data Sheet'!J60)/('Data Sheet'!J59+'Data Sheet'!J60),"NA")</f>
        <v>-0.12212400476459151</v>
      </c>
      <c r="L21" s="83">
        <f>IFERROR(('Data Sheet'!K59+'Data Sheet'!K60-'Data Sheet'!J59-'Data Sheet'!J60)/('Data Sheet'!J59+'Data Sheet'!J60),"NA")</f>
        <v>-0.12212400476459151</v>
      </c>
      <c r="N21" s="83">
        <f>IFERROR((('Data Sheet'!K59+'Data Sheet'!K60)/('Data Sheet'!B59+'Data Sheet'!B60))^(1/(9-1))-1,"NA")</f>
        <v>0.75726616070106334</v>
      </c>
      <c r="O21" s="83">
        <f>IFERROR((('Data Sheet'!K59+'Data Sheet'!K60)/('Data Sheet'!G59+'Data Sheet'!G60))^(1/(5-1))-1,"NA")</f>
        <v>0.1493638730143132</v>
      </c>
      <c r="P21" s="83">
        <f>IFERROR((('Data Sheet'!K59+'Data Sheet'!K60)/('Data Sheet'!I59+'Data Sheet'!I60))^(1/(3-1))-1,"NA")</f>
        <v>4.0464645988322001E-2</v>
      </c>
    </row>
    <row r="22" spans="1:17" x14ac:dyDescent="0.25">
      <c r="A22" s="81" t="s">
        <v>186</v>
      </c>
      <c r="B22" s="82"/>
      <c r="C22" s="83">
        <f>IFERROR(('Data Sheet'!C59-'Data Sheet'!B59)/'Data Sheet'!B59,"NA")</f>
        <v>-0.58333333333333337</v>
      </c>
      <c r="D22" s="83">
        <f>IFERROR(('Data Sheet'!D59-'Data Sheet'!C59)/'Data Sheet'!C59,"NA")</f>
        <v>-0.73333333333333328</v>
      </c>
      <c r="E22" s="83">
        <f>IFERROR(('Data Sheet'!E59-'Data Sheet'!D59)/'Data Sheet'!D59,"NA")</f>
        <v>299.25</v>
      </c>
      <c r="F22" s="83">
        <f>IFERROR(('Data Sheet'!F59-'Data Sheet'!E59)/'Data Sheet'!E59,"NA")</f>
        <v>2.9650291423813488</v>
      </c>
      <c r="G22" s="83">
        <f>IFERROR(('Data Sheet'!G59-'Data Sheet'!F59)/'Data Sheet'!F59,"NA")</f>
        <v>7.9378412431751394E-2</v>
      </c>
      <c r="H22" s="83">
        <f>IFERROR(('Data Sheet'!H59-'Data Sheet'!G59)/'Data Sheet'!G59,"NA")</f>
        <v>0.2980544747081712</v>
      </c>
      <c r="I22" s="83">
        <f>IFERROR(('Data Sheet'!I59-'Data Sheet'!H59)/'Data Sheet'!H59,"NA")</f>
        <v>0.23845923261390883</v>
      </c>
      <c r="J22" s="83">
        <f>IFERROR(('Data Sheet'!J59-'Data Sheet'!I59)/'Data Sheet'!I59,"NA")</f>
        <v>0.28064867481544231</v>
      </c>
      <c r="K22" s="83">
        <f>IFERROR(('Data Sheet'!K59-'Data Sheet'!J59)/'Data Sheet'!J59,"NA")</f>
        <v>-6.5299565299565265E-2</v>
      </c>
      <c r="L22" s="83">
        <f>IFERROR(('Data Sheet'!K59-'Data Sheet'!J59)/'Data Sheet'!J59,"NA")</f>
        <v>-6.5299565299565265E-2</v>
      </c>
      <c r="N22" s="83">
        <f>IFERROR(('Data Sheet'!K59/'Data Sheet'!B59)^(1/(9-1))-1,"NA")</f>
        <v>1.017749334017755</v>
      </c>
      <c r="O22" s="83">
        <f>IFERROR(('Data Sheet'!K59/'Data Sheet'!G59)^(1/(5-1))-1,"NA")</f>
        <v>0.17779381867957533</v>
      </c>
      <c r="P22" s="83">
        <f>IFERROR(('Data Sheet'!K59/'Data Sheet'!I59)^(1/(3-1))-1,"NA")</f>
        <v>9.4085404823832652E-2</v>
      </c>
    </row>
    <row r="23" spans="1:17" x14ac:dyDescent="0.25">
      <c r="A23" s="81" t="s">
        <v>187</v>
      </c>
      <c r="B23" s="82"/>
      <c r="C23" s="83">
        <f>IFERROR(('Data Sheet'!C60-'Data Sheet'!B60)/'Data Sheet'!B60,"NA")</f>
        <v>0.43220338983050849</v>
      </c>
      <c r="D23" s="83">
        <f>IFERROR(('Data Sheet'!D60-'Data Sheet'!C60)/'Data Sheet'!C60,"NA")</f>
        <v>0.82840236686390534</v>
      </c>
      <c r="E23" s="83">
        <f>IFERROR(('Data Sheet'!E60-'Data Sheet'!D60)/'Data Sheet'!D60,"NA")</f>
        <v>3.563106796116505</v>
      </c>
      <c r="F23" s="83">
        <f>IFERROR(('Data Sheet'!F60-'Data Sheet'!E60)/'Data Sheet'!E60,"NA")</f>
        <v>0.10780141843971629</v>
      </c>
      <c r="G23" s="83">
        <f>IFERROR(('Data Sheet'!G60-'Data Sheet'!F60)/'Data Sheet'!F60,"NA")</f>
        <v>0.84635083226632535</v>
      </c>
      <c r="H23" s="83">
        <f>IFERROR(('Data Sheet'!H60-'Data Sheet'!G60)/'Data Sheet'!G60,"NA")</f>
        <v>0.54368932038834961</v>
      </c>
      <c r="I23" s="83">
        <f>IFERROR(('Data Sheet'!I60-'Data Sheet'!H60)/'Data Sheet'!H60,"NA")</f>
        <v>4.9415992812219131E-2</v>
      </c>
      <c r="J23" s="83">
        <f>IFERROR(('Data Sheet'!J60-'Data Sheet'!I60)/'Data Sheet'!I60,"NA")</f>
        <v>0.14918664383561642</v>
      </c>
      <c r="K23" s="83">
        <f>IFERROR(('Data Sheet'!K60-'Data Sheet'!J60)/'Data Sheet'!J60,"NA")</f>
        <v>-0.23412181039299684</v>
      </c>
      <c r="L23" s="83">
        <f>IFERROR(('Data Sheet'!K60-'Data Sheet'!J60)/'Data Sheet'!J60,"NA")</f>
        <v>-0.23412181039299684</v>
      </c>
      <c r="N23" s="83">
        <f>IFERROR(('Data Sheet'!K60/'Data Sheet'!B60)^(1/(9-1))-1,"NA")</f>
        <v>0.55873177024720366</v>
      </c>
      <c r="O23" s="83">
        <f>IFERROR(('Data Sheet'!K60/'Data Sheet'!G60)^(1/(5-1))-1,"NA")</f>
        <v>9.2734015830229888E-2</v>
      </c>
      <c r="P23" s="83">
        <f>IFERROR(('Data Sheet'!K60/'Data Sheet'!I60)^(1/(3-1))-1,"NA")</f>
        <v>-6.1843836932587326E-2</v>
      </c>
    </row>
    <row r="24" spans="1:17" x14ac:dyDescent="0.25">
      <c r="A24" s="81" t="s">
        <v>188</v>
      </c>
      <c r="B24" s="82"/>
      <c r="C24" s="83">
        <f>'Data Sheet'!C26/Other_input_data!C49</f>
        <v>0.11477411477411477</v>
      </c>
      <c r="D24" s="83">
        <f>'Data Sheet'!D26/Other_input_data!D49</f>
        <v>7.950680272108844E-2</v>
      </c>
      <c r="E24" s="83">
        <f>'Data Sheet'!E26/Other_input_data!E49</f>
        <v>8.8734100545124164E-2</v>
      </c>
      <c r="F24" s="83">
        <f>'Data Sheet'!F26/Other_input_data!F49</f>
        <v>6.3522617901828671E-2</v>
      </c>
      <c r="G24" s="83">
        <f>'Data Sheet'!G26/Other_input_data!G49</f>
        <v>5.6905230903917706E-2</v>
      </c>
      <c r="H24" s="83">
        <f>'Data Sheet'!H26/Other_input_data!H49</f>
        <v>8.6317011805689972E-2</v>
      </c>
      <c r="I24" s="83">
        <f>'Data Sheet'!I26/Other_input_data!I49</f>
        <v>6.8708475125587434E-2</v>
      </c>
      <c r="J24" s="83">
        <f>'Data Sheet'!J26/Other_input_data!J49</f>
        <v>8.3554004797657247E-2</v>
      </c>
      <c r="K24" s="83">
        <f>'Data Sheet'!K26/Other_input_data!K49</f>
        <v>9.6541476440692553E-2</v>
      </c>
      <c r="L24" s="83">
        <f>'Data Sheet'!K26/Other_input_data!K49</f>
        <v>9.6541476440692553E-2</v>
      </c>
      <c r="N24" s="83"/>
      <c r="O24" s="83"/>
      <c r="P24" s="83"/>
    </row>
    <row r="25" spans="1:17" x14ac:dyDescent="0.25">
      <c r="A25" s="81"/>
      <c r="B25" s="82"/>
      <c r="C25" s="83"/>
      <c r="D25" s="83"/>
      <c r="E25" s="83"/>
      <c r="F25" s="83"/>
      <c r="G25" s="83"/>
      <c r="H25" s="83"/>
      <c r="I25" s="83"/>
      <c r="J25" s="83"/>
      <c r="K25" s="83"/>
      <c r="L25" s="83"/>
      <c r="N25" s="83"/>
      <c r="O25" s="83"/>
      <c r="P25" s="83"/>
    </row>
    <row r="26" spans="1:17" ht="18.75" x14ac:dyDescent="0.25">
      <c r="A26" s="75" t="s">
        <v>189</v>
      </c>
      <c r="B26" s="82"/>
      <c r="C26" s="85">
        <f>C1</f>
        <v>39538</v>
      </c>
      <c r="D26" s="85">
        <f t="shared" ref="D26:L26" si="0">D1</f>
        <v>39903</v>
      </c>
      <c r="E26" s="85">
        <f t="shared" si="0"/>
        <v>40268</v>
      </c>
      <c r="F26" s="85">
        <f t="shared" si="0"/>
        <v>40633</v>
      </c>
      <c r="G26" s="85">
        <f t="shared" si="0"/>
        <v>40999</v>
      </c>
      <c r="H26" s="85">
        <f t="shared" si="0"/>
        <v>41364</v>
      </c>
      <c r="I26" s="85">
        <f t="shared" si="0"/>
        <v>41729</v>
      </c>
      <c r="J26" s="85">
        <f t="shared" si="0"/>
        <v>42094</v>
      </c>
      <c r="K26" s="85">
        <f t="shared" si="0"/>
        <v>42460</v>
      </c>
      <c r="L26" s="85" t="str">
        <f t="shared" si="0"/>
        <v>Trailing</v>
      </c>
      <c r="N26" s="79" t="s">
        <v>190</v>
      </c>
      <c r="O26" s="79" t="s">
        <v>191</v>
      </c>
      <c r="P26" s="79" t="s">
        <v>192</v>
      </c>
      <c r="Q26" s="79" t="s">
        <v>193</v>
      </c>
    </row>
    <row r="27" spans="1:17" ht="23.25" x14ac:dyDescent="0.25">
      <c r="A27" s="81" t="s">
        <v>194</v>
      </c>
      <c r="B27" s="82" t="s">
        <v>195</v>
      </c>
      <c r="C27" s="83">
        <f>IFERROR('Profit &amp; Loss'!C5/'Profit &amp; Loss'!C4,"NA")</f>
        <v>0.84132841328413299</v>
      </c>
      <c r="D27" s="83">
        <f>IFERROR('Profit &amp; Loss'!D5/'Profit &amp; Loss'!D4,"NA")</f>
        <v>0.79941577409931852</v>
      </c>
      <c r="E27" s="83">
        <f>IFERROR('Profit &amp; Loss'!E5/'Profit &amp; Loss'!E4,"NA")</f>
        <v>0.67118802619270346</v>
      </c>
      <c r="F27" s="83">
        <f>IFERROR('Profit &amp; Loss'!F5/'Profit &amp; Loss'!F4,"NA")</f>
        <v>0.56855249745157999</v>
      </c>
      <c r="G27" s="83">
        <f>IFERROR('Profit &amp; Loss'!G5/'Profit &amp; Loss'!G4,"NA")</f>
        <v>0.45589949488408243</v>
      </c>
      <c r="H27" s="83">
        <f>IFERROR('Profit &amp; Loss'!H5/'Profit &amp; Loss'!H4,"NA")</f>
        <v>0.45913545677283868</v>
      </c>
      <c r="I27" s="83">
        <f>IFERROR('Profit &amp; Loss'!I5/'Profit &amp; Loss'!I4,"NA")</f>
        <v>0.43402689672671907</v>
      </c>
      <c r="J27" s="83">
        <f>IFERROR('Profit &amp; Loss'!J5/'Profit &amp; Loss'!J4,"NA")</f>
        <v>0.42824777054711988</v>
      </c>
      <c r="K27" s="83">
        <f>IFERROR('Profit &amp; Loss'!K5/'Profit &amp; Loss'!K4,"NA")</f>
        <v>0.69803659293937803</v>
      </c>
      <c r="L27" s="83">
        <f>IFERROR('Profit &amp; Loss'!L5/'Profit &amp; Loss'!L4,"NA")</f>
        <v>1.5936494845360827</v>
      </c>
      <c r="N27" s="83">
        <f>(L27/C27)^(1/(9-1))-1</f>
        <v>8.312456667328072E-2</v>
      </c>
      <c r="O27" s="83">
        <f>MIN(C27:L27)</f>
        <v>0.42824777054711988</v>
      </c>
      <c r="P27" s="83">
        <f>MAX(C27:L27)</f>
        <v>1.5936494845360827</v>
      </c>
      <c r="Q27" s="86">
        <f>AVERAGE(C27:L27)</f>
        <v>0.69494804074339556</v>
      </c>
    </row>
    <row r="28" spans="1:17" ht="34.5" x14ac:dyDescent="0.25">
      <c r="A28" s="81" t="s">
        <v>196</v>
      </c>
      <c r="B28" s="82" t="s">
        <v>197</v>
      </c>
      <c r="C28" s="86">
        <f>IFERROR((1-C27),"NA")</f>
        <v>0.15867158671586701</v>
      </c>
      <c r="D28" s="86">
        <f t="shared" ref="D28:L28" si="1">IFERROR((1-D27),"NA")</f>
        <v>0.20058422590068148</v>
      </c>
      <c r="E28" s="86">
        <f t="shared" si="1"/>
        <v>0.32881197380729654</v>
      </c>
      <c r="F28" s="86">
        <f t="shared" si="1"/>
        <v>0.43144750254842001</v>
      </c>
      <c r="G28" s="86">
        <f t="shared" si="1"/>
        <v>0.54410050511591757</v>
      </c>
      <c r="H28" s="86">
        <f t="shared" si="1"/>
        <v>0.54086454322716127</v>
      </c>
      <c r="I28" s="86">
        <f t="shared" si="1"/>
        <v>0.56597310327328088</v>
      </c>
      <c r="J28" s="86">
        <f t="shared" si="1"/>
        <v>0.57175222945288007</v>
      </c>
      <c r="K28" s="86">
        <f t="shared" si="1"/>
        <v>0.30196340706062197</v>
      </c>
      <c r="L28" s="86">
        <f t="shared" si="1"/>
        <v>-0.59364948453608268</v>
      </c>
      <c r="N28" s="83" t="e">
        <f>(L28/C28)^(1/(9-1))-1</f>
        <v>#NUM!</v>
      </c>
      <c r="O28" s="83">
        <f>MIN(C28:L28)</f>
        <v>-0.59364948453608268</v>
      </c>
      <c r="P28" s="83">
        <f>MAX(C28:L28)</f>
        <v>0.57175222945288007</v>
      </c>
      <c r="Q28" s="86">
        <f>AVERAGE(C28:L28)</f>
        <v>0.30505195925660439</v>
      </c>
    </row>
    <row r="29" spans="1:17" ht="23.25" x14ac:dyDescent="0.25">
      <c r="A29" s="81" t="s">
        <v>198</v>
      </c>
      <c r="B29" s="82" t="s">
        <v>199</v>
      </c>
      <c r="C29" s="83">
        <f>IFERROR('Profit &amp; Loss'!C9/'Profit &amp; Loss'!C4,"NA")</f>
        <v>0</v>
      </c>
      <c r="D29" s="83">
        <f>IFERROR('Profit &amp; Loss'!D9/'Profit &amp; Loss'!D4,"NA")</f>
        <v>3.8948393378773127E-3</v>
      </c>
      <c r="E29" s="83">
        <f>IFERROR('Profit &amp; Loss'!E9/'Profit &amp; Loss'!E4,"NA")</f>
        <v>2.7128157156220765E-2</v>
      </c>
      <c r="F29" s="83">
        <f>IFERROR('Profit &amp; Loss'!F9/'Profit &amp; Loss'!F4,"NA")</f>
        <v>3.1855249745158E-2</v>
      </c>
      <c r="G29" s="83">
        <f>IFERROR('Profit &amp; Loss'!G9/'Profit &amp; Loss'!G4,"NA")</f>
        <v>8.4185986271208393E-2</v>
      </c>
      <c r="H29" s="83">
        <f>IFERROR('Profit &amp; Loss'!H9/'Profit &amp; Loss'!H4,"NA")</f>
        <v>5.7927896394819739E-2</v>
      </c>
      <c r="I29" s="83">
        <f>IFERROR('Profit &amp; Loss'!I9/'Profit &amp; Loss'!I4,"NA")</f>
        <v>4.8147678254250197E-2</v>
      </c>
      <c r="J29" s="83">
        <f>IFERROR('Profit &amp; Loss'!J9/'Profit &amp; Loss'!J4,"NA")</f>
        <v>6.8498433357435537E-2</v>
      </c>
      <c r="K29" s="83">
        <f>IFERROR('Profit &amp; Loss'!K9/'Profit &amp; Loss'!K4,"NA")</f>
        <v>7.9873883342091431E-2</v>
      </c>
      <c r="L29" s="83">
        <f>IFERROR('Profit &amp; Loss'!L9/'Profit &amp; Loss'!L4,"NA")</f>
        <v>0.11579381443298969</v>
      </c>
      <c r="N29" s="83" t="e">
        <f>(L29/C29)^(1/(9-1))-1</f>
        <v>#DIV/0!</v>
      </c>
      <c r="O29" s="83">
        <f>MIN(C29:L29)</f>
        <v>0</v>
      </c>
      <c r="P29" s="83">
        <f>MAX(C29:L29)</f>
        <v>0.11579381443298969</v>
      </c>
      <c r="Q29" s="86">
        <f>AVERAGE(C29:L29)</f>
        <v>5.1730593829205106E-2</v>
      </c>
    </row>
    <row r="30" spans="1:17" ht="23.25" x14ac:dyDescent="0.25">
      <c r="A30" s="81" t="s">
        <v>200</v>
      </c>
      <c r="B30" s="82" t="s">
        <v>201</v>
      </c>
      <c r="C30" s="83">
        <f>IFERROR('Profit &amp; Loss'!C10/'Profit &amp; Loss'!C4,"NA")</f>
        <v>-1.2915129151291515E-2</v>
      </c>
      <c r="D30" s="83">
        <f>IFERROR('Profit &amp; Loss'!D10/'Profit &amp; Loss'!D4,"NA")</f>
        <v>5.16066212268744E-2</v>
      </c>
      <c r="E30" s="83">
        <f>IFERROR('Profit &amp; Loss'!E10/'Profit &amp; Loss'!E4,"NA")</f>
        <v>0.18755846585594013</v>
      </c>
      <c r="F30" s="83">
        <f>IFERROR('Profit &amp; Loss'!F10/'Profit &amp; Loss'!F4,"NA")</f>
        <v>0.34734964322120288</v>
      </c>
      <c r="G30" s="83">
        <f>IFERROR('Profit &amp; Loss'!G10/'Profit &amp; Loss'!G4,"NA")</f>
        <v>0.40914389327807282</v>
      </c>
      <c r="H30" s="83">
        <f>IFERROR('Profit &amp; Loss'!H10/'Profit &amp; Loss'!H4,"NA")</f>
        <v>0.42772138606930349</v>
      </c>
      <c r="I30" s="83">
        <f>IFERROR('Profit &amp; Loss'!I10/'Profit &amp; Loss'!I4,"NA")</f>
        <v>0.41880233443288506</v>
      </c>
      <c r="J30" s="83">
        <f>IFERROR('Profit &amp; Loss'!J10/'Profit &amp; Loss'!J4,"NA")</f>
        <v>0.40843576765485662</v>
      </c>
      <c r="K30" s="83">
        <f>IFERROR('Profit &amp; Loss'!K10/'Profit &amp; Loss'!K4,"NA")</f>
        <v>7.7533081736970336E-2</v>
      </c>
      <c r="L30" s="83">
        <f>IFERROR('Profit &amp; Loss'!L10/'Profit &amp; Loss'!L4,"NA")</f>
        <v>-1.0598762886597939</v>
      </c>
      <c r="N30" s="83">
        <f>(L30/C30)^(1/(9-1))-1</f>
        <v>0.73488044910668981</v>
      </c>
      <c r="O30" s="83">
        <f>MIN(C30:L30)</f>
        <v>-1.0598762886597939</v>
      </c>
      <c r="P30" s="83">
        <f>MAX(C30:L30)</f>
        <v>0.42772138606930349</v>
      </c>
      <c r="Q30" s="86">
        <f>AVERAGE(C30:L30)</f>
        <v>0.12553597756650201</v>
      </c>
    </row>
    <row r="31" spans="1:17" ht="23.25" x14ac:dyDescent="0.25">
      <c r="A31" s="81" t="s">
        <v>202</v>
      </c>
      <c r="B31" s="82" t="s">
        <v>203</v>
      </c>
      <c r="C31" s="83">
        <f>IFERROR('Profit &amp; Loss'!C12/'Profit &amp; Loss'!C4,"NA")</f>
        <v>-3.5055350553505539E-2</v>
      </c>
      <c r="D31" s="83">
        <f>IFERROR('Profit &amp; Loss'!D12/'Profit &amp; Loss'!D4,"NA")</f>
        <v>4.9659201557935739E-2</v>
      </c>
      <c r="E31" s="83">
        <f>IFERROR('Profit &amp; Loss'!E12/'Profit &amp; Loss'!E4,"NA")</f>
        <v>0.12160898035547242</v>
      </c>
      <c r="F31" s="83">
        <f>IFERROR('Profit &amp; Loss'!F12/'Profit &amp; Loss'!F4,"NA")</f>
        <v>0.23445463812436287</v>
      </c>
      <c r="G31" s="83">
        <f>IFERROR('Profit &amp; Loss'!G12/'Profit &amp; Loss'!G4,"NA")</f>
        <v>0.28053360963605756</v>
      </c>
      <c r="H31" s="83">
        <f>IFERROR('Profit &amp; Loss'!H12/'Profit &amp; Loss'!H4,"NA")</f>
        <v>0.29173958697934899</v>
      </c>
      <c r="I31" s="83">
        <f>IFERROR('Profit &amp; Loss'!I12/'Profit &amp; Loss'!I4,"NA")</f>
        <v>0.27860948997716317</v>
      </c>
      <c r="J31" s="83">
        <f>IFERROR('Profit &amp; Loss'!J12/'Profit &amp; Loss'!J4,"NA")</f>
        <v>0.29342010122921186</v>
      </c>
      <c r="K31" s="83">
        <f>IFERROR('Profit &amp; Loss'!K12/'Profit &amp; Loss'!K4,"NA")</f>
        <v>3.2341279319734385E-2</v>
      </c>
      <c r="L31" s="83">
        <f>IFERROR('Profit &amp; Loss'!L12/'Profit &amp; Loss'!L4,"NA")</f>
        <v>-0.96577319587628874</v>
      </c>
      <c r="M31" s="87">
        <f>AVERAGE(J31:L31)</f>
        <v>-0.2133372717757808</v>
      </c>
      <c r="N31" s="83">
        <f>(L31/C31)^(1/(9-1))-1</f>
        <v>0.51361388895863391</v>
      </c>
      <c r="O31" s="83">
        <f>MIN(C31:L31)</f>
        <v>-0.96577319587628874</v>
      </c>
      <c r="P31" s="83">
        <f>MAX(C31:L31)</f>
        <v>0.29342010122921186</v>
      </c>
      <c r="Q31" s="86">
        <f>AVERAGE(C31:L31)</f>
        <v>5.815383407494927E-2</v>
      </c>
    </row>
    <row r="32" spans="1:17" x14ac:dyDescent="0.25">
      <c r="A32" s="81" t="s">
        <v>135</v>
      </c>
      <c r="B32" s="82"/>
      <c r="C32" s="83">
        <f>'Data Sheet'!C29/'Data Sheet'!C28</f>
        <v>-1.714285714285714</v>
      </c>
      <c r="D32" s="83">
        <f>'Data Sheet'!D29/'Data Sheet'!D28</f>
        <v>3.7735849056603772E-2</v>
      </c>
      <c r="E32" s="83">
        <f>'Data Sheet'!E29/'Data Sheet'!E28</f>
        <v>0.35162094763092266</v>
      </c>
      <c r="F32" s="83">
        <f>'Data Sheet'!F29/'Data Sheet'!F28</f>
        <v>0.32501834189288331</v>
      </c>
      <c r="G32" s="83">
        <f>'Data Sheet'!G29/'Data Sheet'!G28</f>
        <v>0.31433998100664767</v>
      </c>
      <c r="H32" s="83">
        <f>'Data Sheet'!H29/'Data Sheet'!H28</f>
        <v>0.31792144026186575</v>
      </c>
      <c r="I32" s="83">
        <f>'Data Sheet'!I29/'Data Sheet'!I28</f>
        <v>0.33474704634959107</v>
      </c>
      <c r="J32" s="83">
        <f>'Data Sheet'!J29/'Data Sheet'!J28</f>
        <v>0.28160037767024665</v>
      </c>
      <c r="K32" s="83">
        <f>'Data Sheet'!K29/'Data Sheet'!K28</f>
        <v>0.58348736906962417</v>
      </c>
      <c r="L32" s="83">
        <f>'Data Sheet'!K29/'Data Sheet'!K28</f>
        <v>0.58348736906962417</v>
      </c>
      <c r="N32" s="83"/>
      <c r="O32" s="83"/>
      <c r="P32" s="83"/>
      <c r="Q32" s="86"/>
    </row>
    <row r="33" spans="1:17" x14ac:dyDescent="0.25">
      <c r="A33" s="81" t="s">
        <v>204</v>
      </c>
      <c r="B33" s="82"/>
      <c r="C33" s="83">
        <f>'Data Sheet'!C67/'Data Sheet'!C17</f>
        <v>1.845018450184502E-3</v>
      </c>
      <c r="D33" s="83">
        <f>'Data Sheet'!D67/'Data Sheet'!D17</f>
        <v>4.0895813047711782E-2</v>
      </c>
      <c r="E33" s="83">
        <f>'Data Sheet'!E67/'Data Sheet'!E17</f>
        <v>0.32507015902712816</v>
      </c>
      <c r="F33" s="83">
        <f>'Data Sheet'!F67/'Data Sheet'!F17</f>
        <v>4.5107033639143729E-2</v>
      </c>
      <c r="G33" s="83">
        <f>'Data Sheet'!G67/'Data Sheet'!G17</f>
        <v>7.5249320036264736E-2</v>
      </c>
      <c r="H33" s="83">
        <f>'Data Sheet'!H67/'Data Sheet'!H17</f>
        <v>6.0115505775288763E-2</v>
      </c>
      <c r="I33" s="83">
        <f>'Data Sheet'!I67/'Data Sheet'!I17</f>
        <v>0.18396346105049483</v>
      </c>
      <c r="J33" s="83">
        <f>'Data Sheet'!J67/'Data Sheet'!J17</f>
        <v>0.2000482043865992</v>
      </c>
      <c r="K33" s="83">
        <f>'Data Sheet'!K67/'Data Sheet'!K17</f>
        <v>0.27282281564993072</v>
      </c>
      <c r="L33" s="83">
        <f>'Data Sheet'!K67/'Data Sheet'!K17</f>
        <v>0.27282281564993072</v>
      </c>
      <c r="N33" s="83"/>
      <c r="O33" s="83"/>
      <c r="P33" s="83"/>
      <c r="Q33" s="86">
        <f>AVERAGE(H33:L33)</f>
        <v>0.19795456050244883</v>
      </c>
    </row>
    <row r="34" spans="1:17" x14ac:dyDescent="0.25">
      <c r="A34" s="81" t="s">
        <v>205</v>
      </c>
      <c r="B34" s="82"/>
      <c r="C34" s="113">
        <f>'Data Sheet'!C68/'Data Sheet'!C17</f>
        <v>9.2250922509225092E-3</v>
      </c>
      <c r="D34" s="113">
        <f>'Data Sheet'!D68/'Data Sheet'!D17</f>
        <v>1.5579357351509251E-2</v>
      </c>
      <c r="E34" s="113">
        <f>'Data Sheet'!E68/'Data Sheet'!E17</f>
        <v>1.4031805425631431E-2</v>
      </c>
      <c r="F34" s="113">
        <f>'Data Sheet'!F68/'Data Sheet'!F17</f>
        <v>3.746177370030581E-2</v>
      </c>
      <c r="G34" s="113">
        <f>'Data Sheet'!G68/'Data Sheet'!G17</f>
        <v>4.7273669213832407E-2</v>
      </c>
      <c r="H34" s="113">
        <f>'Data Sheet'!H68/'Data Sheet'!H17</f>
        <v>4.0252012600630029E-2</v>
      </c>
      <c r="I34" s="113">
        <f>'Data Sheet'!I68/'Data Sheet'!I17</f>
        <v>3.5650850038061413E-2</v>
      </c>
      <c r="J34" s="113">
        <f>'Data Sheet'!J68/'Data Sheet'!J17</f>
        <v>2.5114485418173054E-2</v>
      </c>
      <c r="K34" s="113">
        <f>'Data Sheet'!K68/'Data Sheet'!K17</f>
        <v>2.0685042755457888E-2</v>
      </c>
      <c r="L34" s="107">
        <f>'Data Sheet'!K68/'Data Sheet'!K17</f>
        <v>2.0685042755457888E-2</v>
      </c>
      <c r="N34" s="83"/>
      <c r="O34" s="83"/>
      <c r="P34" s="83"/>
      <c r="Q34" s="86">
        <f>AVERAGE(H34:L34)</f>
        <v>2.8477486713556054E-2</v>
      </c>
    </row>
    <row r="35" spans="1:17" x14ac:dyDescent="0.25">
      <c r="A35" s="81" t="s">
        <v>206</v>
      </c>
      <c r="B35" s="82"/>
      <c r="C35" s="83">
        <f>C48/'Data Sheet'!C17</f>
        <v>-4.797047970479705E-2</v>
      </c>
      <c r="D35" s="83">
        <f>D48/'Data Sheet'!D17</f>
        <v>0.48977604673807201</v>
      </c>
      <c r="E35" s="83">
        <f>E48/'Data Sheet'!E17</f>
        <v>0.42048643592142193</v>
      </c>
      <c r="F35" s="83">
        <f>F48/'Data Sheet'!F17</f>
        <v>1.3626401630988787</v>
      </c>
      <c r="G35" s="83">
        <f>G48/'Data Sheet'!G17</f>
        <v>1.5543323403704183</v>
      </c>
      <c r="H35" s="83">
        <f>H48/'Data Sheet'!H17</f>
        <v>1.7091354567728385</v>
      </c>
      <c r="I35" s="83">
        <f>I48/'Data Sheet'!I17</f>
        <v>1.2267191068256789</v>
      </c>
      <c r="J35" s="83">
        <f>J48/'Data Sheet'!J17</f>
        <v>1.8968426126777538</v>
      </c>
      <c r="K35" s="83">
        <f>K48/'Data Sheet'!K17</f>
        <v>1.3070271819614963</v>
      </c>
      <c r="L35" s="120">
        <f>K48/'Data Sheet'!K17</f>
        <v>1.3070271819614963</v>
      </c>
      <c r="N35" s="83">
        <f>IFERROR((L35/G35)^(1/(5-1))-1,-0.1)</f>
        <v>-4.2397692115902053E-2</v>
      </c>
      <c r="O35" s="83"/>
      <c r="P35" s="83"/>
      <c r="Q35" s="86"/>
    </row>
    <row r="36" spans="1:17" ht="18.75" x14ac:dyDescent="0.25">
      <c r="A36" s="75" t="s">
        <v>207</v>
      </c>
      <c r="B36" s="82"/>
      <c r="C36" s="88">
        <f>C1</f>
        <v>39538</v>
      </c>
      <c r="D36" s="88">
        <f t="shared" ref="D36:L36" si="2">D1</f>
        <v>39903</v>
      </c>
      <c r="E36" s="88">
        <f t="shared" si="2"/>
        <v>40268</v>
      </c>
      <c r="F36" s="88">
        <f t="shared" si="2"/>
        <v>40633</v>
      </c>
      <c r="G36" s="88">
        <f t="shared" si="2"/>
        <v>40999</v>
      </c>
      <c r="H36" s="88">
        <f t="shared" si="2"/>
        <v>41364</v>
      </c>
      <c r="I36" s="88">
        <f t="shared" si="2"/>
        <v>41729</v>
      </c>
      <c r="J36" s="88">
        <f t="shared" si="2"/>
        <v>42094</v>
      </c>
      <c r="K36" s="88">
        <f t="shared" si="2"/>
        <v>42460</v>
      </c>
      <c r="L36" s="88" t="str">
        <f t="shared" si="2"/>
        <v>Trailing</v>
      </c>
      <c r="N36" s="83"/>
      <c r="O36" s="83"/>
      <c r="P36" s="83"/>
    </row>
    <row r="37" spans="1:17" x14ac:dyDescent="0.25">
      <c r="A37" s="81" t="s">
        <v>208</v>
      </c>
      <c r="B37" s="82"/>
      <c r="C37" s="89"/>
      <c r="D37" s="89"/>
      <c r="E37" s="89"/>
      <c r="F37" s="89"/>
      <c r="G37" s="90"/>
      <c r="H37" s="90"/>
      <c r="I37" s="90"/>
      <c r="J37" s="90"/>
      <c r="K37" s="90"/>
      <c r="L37" s="90"/>
      <c r="N37" s="83"/>
      <c r="O37" s="83"/>
      <c r="P37" s="83"/>
    </row>
    <row r="38" spans="1:17" x14ac:dyDescent="0.25">
      <c r="A38" s="81" t="s">
        <v>209</v>
      </c>
      <c r="B38" s="82"/>
      <c r="C38" s="89"/>
      <c r="D38" s="89"/>
      <c r="E38" s="89"/>
      <c r="F38" s="89"/>
      <c r="G38" s="90"/>
      <c r="H38" s="90"/>
      <c r="I38" s="90"/>
      <c r="J38" s="90"/>
      <c r="K38" s="90"/>
      <c r="L38" s="90"/>
      <c r="N38" s="83"/>
      <c r="O38" s="83"/>
      <c r="P38" s="83"/>
    </row>
    <row r="39" spans="1:17" x14ac:dyDescent="0.25">
      <c r="A39" s="81" t="s">
        <v>210</v>
      </c>
      <c r="B39" s="82" t="s">
        <v>211</v>
      </c>
      <c r="C39" s="88"/>
      <c r="D39" s="88"/>
      <c r="E39" s="88"/>
      <c r="F39" s="88"/>
      <c r="G39" s="88"/>
      <c r="H39" s="88"/>
      <c r="I39" s="88"/>
      <c r="J39" s="88"/>
      <c r="K39" s="88"/>
      <c r="L39" s="88"/>
      <c r="N39" s="83"/>
      <c r="O39" s="83"/>
      <c r="P39" s="83"/>
    </row>
    <row r="40" spans="1:17" ht="23.25" x14ac:dyDescent="0.25">
      <c r="A40" s="81" t="s">
        <v>212</v>
      </c>
      <c r="B40" s="82" t="s">
        <v>213</v>
      </c>
      <c r="C40" s="91">
        <f>'Data Sheet'!C90</f>
        <v>0</v>
      </c>
      <c r="D40" s="91">
        <f>'Data Sheet'!D90</f>
        <v>0</v>
      </c>
      <c r="E40" s="91">
        <f>'Data Sheet'!E90</f>
        <v>0</v>
      </c>
      <c r="F40" s="91">
        <f>'Data Sheet'!F90</f>
        <v>0</v>
      </c>
      <c r="G40" s="91">
        <f>'Data Sheet'!G90</f>
        <v>211.33</v>
      </c>
      <c r="H40" s="91">
        <f>'Data Sheet'!H90</f>
        <v>257.06</v>
      </c>
      <c r="I40" s="91">
        <f>'Data Sheet'!I90</f>
        <v>295.23</v>
      </c>
      <c r="J40" s="91">
        <f>'Data Sheet'!J90</f>
        <v>401.44</v>
      </c>
      <c r="K40" s="91">
        <f>'Data Sheet'!K90</f>
        <v>78.59</v>
      </c>
      <c r="L40" s="114">
        <f>'Data Sheet'!K90</f>
        <v>78.59</v>
      </c>
      <c r="N40" s="83">
        <f>(L40/I40)^(1/(3-1))-1</f>
        <v>-0.48405500826625003</v>
      </c>
      <c r="O40" s="83"/>
      <c r="P40" s="83"/>
    </row>
    <row r="41" spans="1:17" x14ac:dyDescent="0.25">
      <c r="A41" s="81" t="s">
        <v>214</v>
      </c>
      <c r="B41" s="92" t="s">
        <v>215</v>
      </c>
      <c r="C41" s="93">
        <f>'Data Sheet'!C70/10000000</f>
        <v>0.88100000000000001</v>
      </c>
      <c r="D41" s="93">
        <f>'Data Sheet'!D70/10000000</f>
        <v>1.5041667000000001</v>
      </c>
      <c r="E41" s="93">
        <f>'Data Sheet'!E70/10000000</f>
        <v>1.7416666999999999</v>
      </c>
      <c r="F41" s="93">
        <f>'Data Sheet'!F70/10000000</f>
        <v>2.4018926999999999</v>
      </c>
      <c r="G41" s="93">
        <f>'Data Sheet'!G70/10000000</f>
        <v>3.3715269999999999</v>
      </c>
      <c r="H41" s="93">
        <f>'Data Sheet'!H70/10000000</f>
        <v>3.596527</v>
      </c>
      <c r="I41" s="93">
        <f>'Data Sheet'!I70/10000000</f>
        <v>3.7170070000000002</v>
      </c>
      <c r="J41" s="93">
        <f>'Data Sheet'!J70/10000000</f>
        <v>4.2310724000000004</v>
      </c>
      <c r="K41" s="93">
        <f>'Data Sheet'!K70/10000000</f>
        <v>4.2310724000000004</v>
      </c>
      <c r="L41" s="115">
        <f>'Data Sheet'!K70/10000000</f>
        <v>4.2310724000000004</v>
      </c>
      <c r="N41" s="83">
        <f>(L41/C41)^(1/(9-1))-1</f>
        <v>0.21670227065955938</v>
      </c>
      <c r="O41" s="83"/>
      <c r="P41" s="83"/>
    </row>
    <row r="42" spans="1:17" ht="23.25" x14ac:dyDescent="0.25">
      <c r="A42" s="81" t="s">
        <v>118</v>
      </c>
      <c r="B42" s="82" t="s">
        <v>216</v>
      </c>
      <c r="C42" s="94">
        <f>'Data Sheet'!C70*'Financial Analysis'!C40/10000000</f>
        <v>0</v>
      </c>
      <c r="D42" s="94">
        <f>'Data Sheet'!D70*'Financial Analysis'!D40/10000000</f>
        <v>0</v>
      </c>
      <c r="E42" s="94">
        <f>'Data Sheet'!E70*'Financial Analysis'!E40/10000000</f>
        <v>0</v>
      </c>
      <c r="F42" s="94">
        <f>'Data Sheet'!F70*'Financial Analysis'!F40/10000000</f>
        <v>0</v>
      </c>
      <c r="G42" s="94">
        <f>'Data Sheet'!G70*'Financial Analysis'!G40/10000000</f>
        <v>712.50480091000009</v>
      </c>
      <c r="H42" s="94">
        <f>'Data Sheet'!H70*'Financial Analysis'!H40/10000000</f>
        <v>924.52323062000005</v>
      </c>
      <c r="I42" s="94">
        <f>'Data Sheet'!I70*'Financial Analysis'!I40/10000000</f>
        <v>1097.37197661</v>
      </c>
      <c r="J42" s="94">
        <f>'Data Sheet'!J70*'Financial Analysis'!J40/10000000</f>
        <v>1698.521704256</v>
      </c>
      <c r="K42" s="94">
        <f>'Data Sheet'!K70*'Financial Analysis'!K40/10000000</f>
        <v>332.51997991600001</v>
      </c>
      <c r="L42" s="94">
        <f>'Data Sheet'!K70*'Financial Analysis'!L40/10000000</f>
        <v>332.51997991600001</v>
      </c>
      <c r="N42" s="83">
        <f>(L42/I42)^(1/(3-1))-1</f>
        <v>-0.44953217419633407</v>
      </c>
      <c r="O42" s="83" t="s">
        <v>217</v>
      </c>
      <c r="P42" s="83" t="s">
        <v>218</v>
      </c>
      <c r="Q42" s="95" t="s">
        <v>219</v>
      </c>
    </row>
    <row r="43" spans="1:17" x14ac:dyDescent="0.25">
      <c r="A43" s="81" t="s">
        <v>220</v>
      </c>
      <c r="B43" s="82" t="s">
        <v>215</v>
      </c>
      <c r="C43" s="96">
        <f>'Data Sheet'!C31</f>
        <v>0</v>
      </c>
      <c r="D43" s="96">
        <f>'Data Sheet'!D31</f>
        <v>0</v>
      </c>
      <c r="E43" s="96">
        <f>'Data Sheet'!E31</f>
        <v>0</v>
      </c>
      <c r="F43" s="96">
        <f>'Data Sheet'!F31</f>
        <v>0</v>
      </c>
      <c r="G43" s="96">
        <f>'Data Sheet'!G31</f>
        <v>3.37</v>
      </c>
      <c r="H43" s="96">
        <f>'Data Sheet'!H31</f>
        <v>4.5</v>
      </c>
      <c r="I43" s="96">
        <f>'Data Sheet'!I31</f>
        <v>5.58</v>
      </c>
      <c r="J43" s="96">
        <f>'Data Sheet'!J31</f>
        <v>8.4600000000000009</v>
      </c>
      <c r="K43" s="96">
        <f>'Data Sheet'!K31</f>
        <v>0</v>
      </c>
      <c r="L43" s="96">
        <f>'Data Sheet'!K31</f>
        <v>0</v>
      </c>
      <c r="N43" s="83" t="e">
        <f>(L43/C43)^(1/(9-1))-1</f>
        <v>#DIV/0!</v>
      </c>
      <c r="O43" s="97">
        <f t="shared" ref="O43:O55" si="3">SUM(D43:L43)</f>
        <v>21.91</v>
      </c>
      <c r="P43" s="97">
        <f t="shared" ref="P43:P55" si="4">SUM(H43:L43)</f>
        <v>18.54</v>
      </c>
      <c r="Q43" s="98">
        <f t="shared" ref="Q43:Q55" si="5">SUM(J43:L43)</f>
        <v>8.4600000000000009</v>
      </c>
    </row>
    <row r="44" spans="1:17" x14ac:dyDescent="0.25">
      <c r="A44" s="81" t="s">
        <v>221</v>
      </c>
      <c r="B44" s="82" t="s">
        <v>215</v>
      </c>
      <c r="C44" s="97">
        <f>'Cash Flow'!C4</f>
        <v>1.23</v>
      </c>
      <c r="D44" s="97">
        <f>'Cash Flow'!D4</f>
        <v>-1.1200000000000001</v>
      </c>
      <c r="E44" s="97">
        <f>'Cash Flow'!E4</f>
        <v>2.31</v>
      </c>
      <c r="F44" s="97">
        <f>'Cash Flow'!F4</f>
        <v>10.66</v>
      </c>
      <c r="G44" s="97">
        <f>'Cash Flow'!G4</f>
        <v>6.4</v>
      </c>
      <c r="H44" s="97">
        <f>'Cash Flow'!H4</f>
        <v>-13.86</v>
      </c>
      <c r="I44" s="97">
        <f>'Cash Flow'!I4</f>
        <v>35.24</v>
      </c>
      <c r="J44" s="97">
        <f>'Cash Flow'!J4</f>
        <v>59.02</v>
      </c>
      <c r="K44" s="97">
        <f>'Cash Flow'!K4</f>
        <v>-12.58</v>
      </c>
      <c r="L44" s="97">
        <f>'Cash Flow'!K4</f>
        <v>-12.58</v>
      </c>
      <c r="N44" s="83" t="e">
        <f>(L44/C44)^(1/(9-1))-1</f>
        <v>#NUM!</v>
      </c>
      <c r="O44" s="97">
        <f t="shared" si="3"/>
        <v>73.490000000000009</v>
      </c>
      <c r="P44" s="97">
        <f t="shared" si="4"/>
        <v>55.240000000000009</v>
      </c>
      <c r="Q44" s="98">
        <f t="shared" si="5"/>
        <v>33.860000000000007</v>
      </c>
    </row>
    <row r="45" spans="1:17" ht="34.5" x14ac:dyDescent="0.25">
      <c r="A45" s="81" t="s">
        <v>222</v>
      </c>
      <c r="B45" s="82" t="s">
        <v>223</v>
      </c>
      <c r="C45" s="97">
        <f>('Data Sheet'!C62-'Data Sheet'!B62)+('Data Sheet'!C63-'Data Sheet'!B63)+'Data Sheet'!C26</f>
        <v>9.1399999999999988</v>
      </c>
      <c r="D45" s="97">
        <f>('Data Sheet'!D62-'Data Sheet'!C62)+('Data Sheet'!D63-'Data Sheet'!C63)+'Data Sheet'!D26</f>
        <v>32.35</v>
      </c>
      <c r="E45" s="97">
        <f>('Data Sheet'!E62-'Data Sheet'!D62)+('Data Sheet'!E63-'Data Sheet'!D63)+'Data Sheet'!E26</f>
        <v>27.430000000000003</v>
      </c>
      <c r="F45" s="97">
        <f>('Data Sheet'!F62-'Data Sheet'!E62)+('Data Sheet'!F63-'Data Sheet'!E63)+'Data Sheet'!F26</f>
        <v>54.59</v>
      </c>
      <c r="G45" s="97">
        <f>('Data Sheet'!G62-'Data Sheet'!F62)+('Data Sheet'!G63-'Data Sheet'!F63)+'Data Sheet'!G26</f>
        <v>50.259999999999984</v>
      </c>
      <c r="H45" s="97">
        <f>('Data Sheet'!H62-'Data Sheet'!G62)+('Data Sheet'!H63-'Data Sheet'!G63)+'Data Sheet'!H26</f>
        <v>51.550000000000004</v>
      </c>
      <c r="I45" s="97">
        <f>('Data Sheet'!I62-'Data Sheet'!H62)+('Data Sheet'!I63-'Data Sheet'!H63)+'Data Sheet'!I26</f>
        <v>97.510000000000019</v>
      </c>
      <c r="J45" s="97">
        <f>('Data Sheet'!J62-'Data Sheet'!I62)+('Data Sheet'!J63-'Data Sheet'!I63)+'Data Sheet'!J26</f>
        <v>97.289999999999992</v>
      </c>
      <c r="K45" s="97">
        <f>('Data Sheet'!K62-'Data Sheet'!J62)+('Data Sheet'!K63-'Data Sheet'!J63)+'Data Sheet'!K26</f>
        <v>168.06</v>
      </c>
      <c r="L45" s="97">
        <f>('Data Sheet'!K62-'Data Sheet'!J62)+('Data Sheet'!K63-'Data Sheet'!J63)+'Data Sheet'!K26</f>
        <v>168.06</v>
      </c>
      <c r="N45" s="99">
        <f>SUM(D45:L45)/COUNT(D45:L45)</f>
        <v>83.011111111111106</v>
      </c>
      <c r="O45" s="97">
        <f t="shared" si="3"/>
        <v>747.09999999999991</v>
      </c>
      <c r="P45" s="97">
        <f t="shared" si="4"/>
        <v>582.47</v>
      </c>
      <c r="Q45" s="98">
        <f t="shared" si="5"/>
        <v>433.41</v>
      </c>
    </row>
    <row r="46" spans="1:17" ht="23.25" x14ac:dyDescent="0.25">
      <c r="A46" s="81" t="s">
        <v>224</v>
      </c>
      <c r="B46" s="82" t="s">
        <v>225</v>
      </c>
      <c r="C46" s="97">
        <f>'Data Sheet'!C82-'Financial Analysis'!C45</f>
        <v>-7.9099999999999984</v>
      </c>
      <c r="D46" s="97">
        <f>'Data Sheet'!D82-'Financial Analysis'!D45</f>
        <v>-33.47</v>
      </c>
      <c r="E46" s="97">
        <f>'Data Sheet'!E82-'Financial Analysis'!E45</f>
        <v>-25.120000000000005</v>
      </c>
      <c r="F46" s="97">
        <f>'Data Sheet'!F82-'Financial Analysis'!F45</f>
        <v>-43.930000000000007</v>
      </c>
      <c r="G46" s="97">
        <f>'Data Sheet'!G82-'Financial Analysis'!G45</f>
        <v>-43.859999999999985</v>
      </c>
      <c r="H46" s="97">
        <f>'Data Sheet'!H82-'Financial Analysis'!H45</f>
        <v>-65.41</v>
      </c>
      <c r="I46" s="97">
        <f>'Data Sheet'!I82-'Financial Analysis'!I45</f>
        <v>-62.270000000000017</v>
      </c>
      <c r="J46" s="97">
        <f>'Data Sheet'!J82-'Financial Analysis'!J45</f>
        <v>-38.269999999999989</v>
      </c>
      <c r="K46" s="97">
        <f>'Data Sheet'!K82-'Financial Analysis'!K45</f>
        <v>-180.64000000000001</v>
      </c>
      <c r="L46" s="97">
        <f>'Data Sheet'!K82-'Financial Analysis'!K45</f>
        <v>-180.64000000000001</v>
      </c>
      <c r="N46" s="83">
        <f>(AVERAGE(I46:L46)/AVERAGE(E46:H46))^(1/(5-1))-1</f>
        <v>0.26858090607276952</v>
      </c>
      <c r="O46" s="97">
        <f t="shared" si="3"/>
        <v>-673.61</v>
      </c>
      <c r="P46" s="97">
        <f t="shared" si="4"/>
        <v>-527.23</v>
      </c>
      <c r="Q46" s="98">
        <f t="shared" si="5"/>
        <v>-399.55</v>
      </c>
    </row>
    <row r="47" spans="1:17" ht="34.5" x14ac:dyDescent="0.25">
      <c r="A47" s="81" t="s">
        <v>134</v>
      </c>
      <c r="B47" s="82" t="s">
        <v>226</v>
      </c>
      <c r="C47" s="97">
        <f>'Data Sheet'!C82-'Financial Analysis'!C45-'Data Sheet'!C31</f>
        <v>-7.9099999999999984</v>
      </c>
      <c r="D47" s="97">
        <f>'Data Sheet'!D82-'Financial Analysis'!D45-'Data Sheet'!D31</f>
        <v>-33.47</v>
      </c>
      <c r="E47" s="97">
        <f>'Data Sheet'!E82-'Financial Analysis'!E45-'Data Sheet'!E31</f>
        <v>-25.120000000000005</v>
      </c>
      <c r="F47" s="97">
        <f>'Data Sheet'!F82-'Financial Analysis'!F45-'Data Sheet'!F31</f>
        <v>-43.930000000000007</v>
      </c>
      <c r="G47" s="97">
        <f>'Data Sheet'!G82-'Financial Analysis'!G45-'Data Sheet'!G31</f>
        <v>-47.229999999999983</v>
      </c>
      <c r="H47" s="97">
        <f>'Data Sheet'!H82-'Financial Analysis'!H45-'Data Sheet'!H31</f>
        <v>-69.91</v>
      </c>
      <c r="I47" s="97">
        <f>'Data Sheet'!I82-'Financial Analysis'!I45-'Data Sheet'!I31</f>
        <v>-67.850000000000023</v>
      </c>
      <c r="J47" s="97">
        <f>'Data Sheet'!J82-'Financial Analysis'!J45-'Data Sheet'!J31</f>
        <v>-46.72999999999999</v>
      </c>
      <c r="K47" s="97">
        <f>'Data Sheet'!K82-'Financial Analysis'!K45-'Data Sheet'!K31</f>
        <v>-180.64000000000001</v>
      </c>
      <c r="L47" s="97">
        <f>'Data Sheet'!K82-'Financial Analysis'!K45-'Data Sheet'!K31</f>
        <v>-180.64000000000001</v>
      </c>
      <c r="N47" s="83">
        <f>(AVERAGE(I47:L47)/AVERAGE(E47:H47))^(1/(5-1))-1</f>
        <v>0.26438900930704023</v>
      </c>
      <c r="O47" s="97">
        <f t="shared" si="3"/>
        <v>-695.52</v>
      </c>
      <c r="P47" s="97">
        <f t="shared" si="4"/>
        <v>-545.77</v>
      </c>
      <c r="Q47" s="98">
        <f t="shared" si="5"/>
        <v>-408.01</v>
      </c>
    </row>
    <row r="48" spans="1:17" ht="23.25" x14ac:dyDescent="0.25">
      <c r="A48" s="81" t="s">
        <v>227</v>
      </c>
      <c r="B48" s="82" t="s">
        <v>228</v>
      </c>
      <c r="C48" s="97">
        <f>'Balance Sheet'!C16</f>
        <v>-0.26</v>
      </c>
      <c r="D48" s="97">
        <f>'Balance Sheet'!D16</f>
        <v>5.0299999999999994</v>
      </c>
      <c r="E48" s="97">
        <f>'Balance Sheet'!E16</f>
        <v>8.99</v>
      </c>
      <c r="F48" s="97">
        <f>'Balance Sheet'!F16</f>
        <v>53.470000000000006</v>
      </c>
      <c r="G48" s="97">
        <f>'Balance Sheet'!G16</f>
        <v>120.00999999999999</v>
      </c>
      <c r="H48" s="97">
        <f>'Balance Sheet'!H16</f>
        <v>195.32</v>
      </c>
      <c r="I48" s="97">
        <f>'Balance Sheet'!I16</f>
        <v>193.38</v>
      </c>
      <c r="J48" s="97">
        <f>'Balance Sheet'!J16</f>
        <v>393.5</v>
      </c>
      <c r="K48" s="97">
        <f>'Balance Sheet'!K16</f>
        <v>273.60000000000002</v>
      </c>
      <c r="L48" s="97">
        <f>'Balance Sheet'!K16</f>
        <v>273.60000000000002</v>
      </c>
      <c r="N48" s="83" t="e">
        <f t="shared" ref="N48:N55" si="6">(L48/C48)^(1/(9-1))-1</f>
        <v>#NUM!</v>
      </c>
      <c r="O48" s="97">
        <f t="shared" si="3"/>
        <v>1516.9</v>
      </c>
      <c r="P48" s="97">
        <f t="shared" si="4"/>
        <v>1329.4</v>
      </c>
      <c r="Q48" s="98">
        <f t="shared" si="5"/>
        <v>940.7</v>
      </c>
    </row>
    <row r="49" spans="1:17" ht="34.5" x14ac:dyDescent="0.25">
      <c r="A49" s="81" t="s">
        <v>229</v>
      </c>
      <c r="B49" s="82" t="s">
        <v>230</v>
      </c>
      <c r="C49" s="97">
        <f>C48-'Data Sheet'!C69</f>
        <v>-0.44</v>
      </c>
      <c r="D49" s="97">
        <f>D48-'Data Sheet'!D69</f>
        <v>2.8799999999999994</v>
      </c>
      <c r="E49" s="97">
        <f>E48-'Data Sheet'!E69</f>
        <v>-1.3499999999999996</v>
      </c>
      <c r="F49" s="97">
        <f>F48-'Data Sheet'!F69</f>
        <v>24.590000000000007</v>
      </c>
      <c r="G49" s="97">
        <f>G48-'Data Sheet'!G69</f>
        <v>72.319999999999993</v>
      </c>
      <c r="H49" s="97">
        <f>H48-'Data Sheet'!H69</f>
        <v>146.6</v>
      </c>
      <c r="I49" s="97">
        <f>I48-'Data Sheet'!I69</f>
        <v>182.57</v>
      </c>
      <c r="J49" s="97">
        <f>J48-'Data Sheet'!J69</f>
        <v>232.12</v>
      </c>
      <c r="K49" s="97">
        <f>K48-'Data Sheet'!K69</f>
        <v>251.48000000000002</v>
      </c>
      <c r="L49" s="97">
        <f>L48-'Data Sheet'!K69</f>
        <v>251.48000000000002</v>
      </c>
      <c r="N49" s="83" t="e">
        <f t="shared" si="6"/>
        <v>#NUM!</v>
      </c>
      <c r="O49" s="97">
        <f t="shared" si="3"/>
        <v>1162.69</v>
      </c>
      <c r="P49" s="97">
        <f t="shared" si="4"/>
        <v>1064.25</v>
      </c>
      <c r="Q49" s="98">
        <f t="shared" si="5"/>
        <v>735.08</v>
      </c>
    </row>
    <row r="50" spans="1:17" x14ac:dyDescent="0.25">
      <c r="A50" s="81" t="s">
        <v>231</v>
      </c>
      <c r="B50" s="82"/>
      <c r="C50" s="96">
        <f>SUM('Data Sheet'!C57:C59)</f>
        <v>8.2800000000000011</v>
      </c>
      <c r="D50" s="96">
        <f>SUM('Data Sheet'!D57:D59)</f>
        <v>44.05</v>
      </c>
      <c r="E50" s="96">
        <f>SUM('Data Sheet'!E57:E59)</f>
        <v>73.53</v>
      </c>
      <c r="F50" s="96">
        <f>SUM('Data Sheet'!F57:F59)</f>
        <v>170.26999999999998</v>
      </c>
      <c r="G50" s="96">
        <f>SUM('Data Sheet'!G57:G59)</f>
        <v>307.78999999999996</v>
      </c>
      <c r="H50" s="96">
        <f>SUM('Data Sheet'!H57:H59)</f>
        <v>400.08000000000004</v>
      </c>
      <c r="I50" s="96">
        <f>SUM('Data Sheet'!I57:I59)</f>
        <v>480.19</v>
      </c>
      <c r="J50" s="96">
        <f>SUM('Data Sheet'!J57:J59)</f>
        <v>750.54</v>
      </c>
      <c r="K50" s="96">
        <f>SUM('Data Sheet'!K57:K59)</f>
        <v>753.61</v>
      </c>
      <c r="L50" s="96">
        <f>SUM('Data Sheet'!K57:K59)</f>
        <v>753.61</v>
      </c>
      <c r="N50" s="83">
        <f t="shared" si="6"/>
        <v>0.75747655220534349</v>
      </c>
      <c r="O50" s="97">
        <f t="shared" si="3"/>
        <v>3733.67</v>
      </c>
      <c r="P50" s="97">
        <f t="shared" si="4"/>
        <v>3138.03</v>
      </c>
      <c r="Q50" s="98">
        <f t="shared" si="5"/>
        <v>2257.7600000000002</v>
      </c>
    </row>
    <row r="51" spans="1:17" x14ac:dyDescent="0.25">
      <c r="A51" s="81" t="s">
        <v>232</v>
      </c>
      <c r="B51" s="82"/>
      <c r="C51" s="96">
        <f>C50-'Data Sheet'!C69</f>
        <v>8.1000000000000014</v>
      </c>
      <c r="D51" s="96">
        <f>D50-'Data Sheet'!D69</f>
        <v>41.9</v>
      </c>
      <c r="E51" s="96">
        <f>E50-'Data Sheet'!E69</f>
        <v>63.19</v>
      </c>
      <c r="F51" s="96">
        <f>F50-'Data Sheet'!F69</f>
        <v>141.38999999999999</v>
      </c>
      <c r="G51" s="96">
        <f>G50-'Data Sheet'!G69</f>
        <v>260.09999999999997</v>
      </c>
      <c r="H51" s="96">
        <f>H50-'Data Sheet'!H69</f>
        <v>351.36</v>
      </c>
      <c r="I51" s="96">
        <f>I50-'Data Sheet'!I69</f>
        <v>469.38</v>
      </c>
      <c r="J51" s="96">
        <f>J50-'Data Sheet'!J69</f>
        <v>589.16</v>
      </c>
      <c r="K51" s="96">
        <f>K50-'Data Sheet'!K69</f>
        <v>731.49</v>
      </c>
      <c r="L51" s="96">
        <f>K50-'Data Sheet'!K69</f>
        <v>731.49</v>
      </c>
      <c r="N51" s="83">
        <f t="shared" si="6"/>
        <v>0.75576109630755872</v>
      </c>
      <c r="O51" s="97">
        <f t="shared" si="3"/>
        <v>3379.46</v>
      </c>
      <c r="P51" s="97">
        <f t="shared" si="4"/>
        <v>2872.88</v>
      </c>
      <c r="Q51" s="98">
        <f t="shared" si="5"/>
        <v>2052.1400000000003</v>
      </c>
    </row>
    <row r="52" spans="1:17" x14ac:dyDescent="0.25">
      <c r="A52" s="81" t="s">
        <v>233</v>
      </c>
      <c r="B52" s="82"/>
      <c r="C52" s="96">
        <f>'Data Sheet'!C62+'Data Sheet'!C63+'Financial Analysis'!C49</f>
        <v>8.1</v>
      </c>
      <c r="D52" s="96">
        <f>'Data Sheet'!D62+'Data Sheet'!D63+'Financial Analysis'!D49</f>
        <v>41.9</v>
      </c>
      <c r="E52" s="96">
        <f>'Data Sheet'!E62+'Data Sheet'!E63+'Financial Analysis'!E49</f>
        <v>62.17</v>
      </c>
      <c r="F52" s="96">
        <f>'Data Sheet'!F62+'Data Sheet'!F63+'Financial Analysis'!F49</f>
        <v>138.74</v>
      </c>
      <c r="G52" s="96">
        <f>'Data Sheet'!G62+'Data Sheet'!G63+'Financial Analysis'!G49</f>
        <v>228.92999999999998</v>
      </c>
      <c r="H52" s="96">
        <f>'Data Sheet'!H62+'Data Sheet'!H63+'Financial Analysis'!H49</f>
        <v>341.38</v>
      </c>
      <c r="I52" s="96">
        <f>'Data Sheet'!I62+'Data Sheet'!I63+'Financial Analysis'!I49</f>
        <v>457.9</v>
      </c>
      <c r="J52" s="96">
        <f>'Data Sheet'!J62+'Data Sheet'!J63+'Financial Analysis'!J49</f>
        <v>577.92000000000007</v>
      </c>
      <c r="K52" s="96">
        <f>'Data Sheet'!K62+'Data Sheet'!K63+'Financial Analysis'!K49</f>
        <v>720.51</v>
      </c>
      <c r="L52" s="96">
        <f>'Data Sheet'!K62+'Data Sheet'!K63+'Financial Analysis'!K49</f>
        <v>720.51</v>
      </c>
      <c r="N52" s="83">
        <f t="shared" si="6"/>
        <v>0.75244490960505672</v>
      </c>
      <c r="O52" s="97">
        <f t="shared" si="3"/>
        <v>3289.96</v>
      </c>
      <c r="P52" s="97">
        <f t="shared" si="4"/>
        <v>2818.2200000000003</v>
      </c>
      <c r="Q52" s="98">
        <f t="shared" si="5"/>
        <v>2018.94</v>
      </c>
    </row>
    <row r="53" spans="1:17" x14ac:dyDescent="0.25">
      <c r="A53" s="81" t="s">
        <v>234</v>
      </c>
      <c r="B53" s="82"/>
      <c r="C53" s="96">
        <f>'Data Sheet'!C62+'Financial Analysis'!C49</f>
        <v>7.7499999999999991</v>
      </c>
      <c r="D53" s="96">
        <f>'Data Sheet'!D62+'Financial Analysis'!D49</f>
        <v>26.4</v>
      </c>
      <c r="E53" s="96">
        <f>'Data Sheet'!E62+'Financial Analysis'!E49</f>
        <v>31.67</v>
      </c>
      <c r="F53" s="96">
        <f>'Data Sheet'!F62+'Financial Analysis'!F49</f>
        <v>86.93</v>
      </c>
      <c r="G53" s="96">
        <f>'Data Sheet'!G62+'Financial Analysis'!G49</f>
        <v>209.39</v>
      </c>
      <c r="H53" s="96">
        <f>'Data Sheet'!H62+'Financial Analysis'!H49</f>
        <v>301.61</v>
      </c>
      <c r="I53" s="96">
        <f>'Data Sheet'!I62+'Financial Analysis'!I49</f>
        <v>429.40999999999997</v>
      </c>
      <c r="J53" s="96">
        <f>'Data Sheet'!J62+'Financial Analysis'!J49</f>
        <v>553.11</v>
      </c>
      <c r="K53" s="96">
        <f>'Data Sheet'!K62+'Financial Analysis'!K49</f>
        <v>715.84</v>
      </c>
      <c r="L53" s="96">
        <f>'Data Sheet'!K62+'Financial Analysis'!K49</f>
        <v>715.84</v>
      </c>
      <c r="N53" s="83">
        <f t="shared" si="6"/>
        <v>0.76071588531271295</v>
      </c>
      <c r="O53" s="97">
        <f t="shared" si="3"/>
        <v>3070.2000000000003</v>
      </c>
      <c r="P53" s="97">
        <f t="shared" si="4"/>
        <v>2715.8100000000004</v>
      </c>
      <c r="Q53" s="98">
        <f t="shared" si="5"/>
        <v>1984.79</v>
      </c>
    </row>
    <row r="54" spans="1:17" x14ac:dyDescent="0.25">
      <c r="A54" s="81" t="s">
        <v>114</v>
      </c>
      <c r="B54" s="82"/>
      <c r="C54" s="96">
        <f>'Data Sheet'!C27+'Data Sheet'!C28</f>
        <v>-7.0000000000000007E-2</v>
      </c>
      <c r="D54" s="96">
        <f>'Data Sheet'!D27+'Data Sheet'!D28</f>
        <v>0.57000000000000006</v>
      </c>
      <c r="E54" s="96">
        <f>'Data Sheet'!E27+'Data Sheet'!E28</f>
        <v>4.59</v>
      </c>
      <c r="F54" s="96">
        <f>'Data Sheet'!F27+'Data Sheet'!F28</f>
        <v>14.88</v>
      </c>
      <c r="G54" s="96">
        <f>'Data Sheet'!G27+'Data Sheet'!G28</f>
        <v>38.090000000000003</v>
      </c>
      <c r="H54" s="96">
        <f>'Data Sheet'!H27+'Data Sheet'!H28</f>
        <v>55.5</v>
      </c>
      <c r="I54" s="96">
        <f>'Data Sheet'!I27+'Data Sheet'!I28</f>
        <v>73.61</v>
      </c>
      <c r="J54" s="96">
        <f>'Data Sheet'!J27+'Data Sheet'!J28</f>
        <v>98.94</v>
      </c>
      <c r="K54" s="96">
        <f>'Data Sheet'!K27+'Data Sheet'!K28</f>
        <v>32.950000000000003</v>
      </c>
      <c r="L54" s="96">
        <f>'Data Sheet'!K27+'Data Sheet'!K28</f>
        <v>32.950000000000003</v>
      </c>
      <c r="N54" s="83" t="e">
        <f t="shared" si="6"/>
        <v>#NUM!</v>
      </c>
      <c r="O54" s="97">
        <f t="shared" si="3"/>
        <v>352.08</v>
      </c>
      <c r="P54" s="97">
        <f t="shared" si="4"/>
        <v>293.95</v>
      </c>
      <c r="Q54" s="98">
        <f t="shared" si="5"/>
        <v>164.83999999999997</v>
      </c>
    </row>
    <row r="55" spans="1:17" ht="45.75" x14ac:dyDescent="0.25">
      <c r="A55" s="81" t="s">
        <v>131</v>
      </c>
      <c r="B55" s="82" t="s">
        <v>235</v>
      </c>
      <c r="C55" s="96">
        <f>'Data Sheet'!C57+'Data Sheet'!C58+'Data Sheet'!C59</f>
        <v>8.2800000000000011</v>
      </c>
      <c r="D55" s="96">
        <f>'Data Sheet'!D57+'Data Sheet'!D58+'Data Sheet'!D59</f>
        <v>44.05</v>
      </c>
      <c r="E55" s="96">
        <f>'Data Sheet'!E57+'Data Sheet'!E58+'Data Sheet'!E59</f>
        <v>73.53</v>
      </c>
      <c r="F55" s="96">
        <f>'Data Sheet'!F57+'Data Sheet'!F58+'Data Sheet'!F59</f>
        <v>170.26999999999998</v>
      </c>
      <c r="G55" s="96">
        <f>'Data Sheet'!G57+'Data Sheet'!G58+'Data Sheet'!G59</f>
        <v>307.78999999999996</v>
      </c>
      <c r="H55" s="96">
        <f>'Data Sheet'!H57+'Data Sheet'!H58+'Data Sheet'!H59</f>
        <v>400.08000000000004</v>
      </c>
      <c r="I55" s="96">
        <f>'Data Sheet'!I57+'Data Sheet'!I58+'Data Sheet'!I59</f>
        <v>480.19</v>
      </c>
      <c r="J55" s="96">
        <f>'Data Sheet'!J57+'Data Sheet'!J58+'Data Sheet'!J59</f>
        <v>750.54</v>
      </c>
      <c r="K55" s="96">
        <f>'Data Sheet'!K57+'Data Sheet'!K58+'Data Sheet'!K59</f>
        <v>753.61</v>
      </c>
      <c r="L55" s="96">
        <f>'Data Sheet'!K57+'Data Sheet'!K58+'Data Sheet'!K59</f>
        <v>753.61</v>
      </c>
      <c r="N55" s="83">
        <f t="shared" si="6"/>
        <v>0.75747655220534349</v>
      </c>
      <c r="O55" s="97">
        <f t="shared" si="3"/>
        <v>3733.67</v>
      </c>
      <c r="P55" s="97">
        <f t="shared" si="4"/>
        <v>3138.03</v>
      </c>
      <c r="Q55" s="98">
        <f t="shared" si="5"/>
        <v>2257.7600000000002</v>
      </c>
    </row>
    <row r="56" spans="1:17" x14ac:dyDescent="0.25">
      <c r="A56" s="81" t="s">
        <v>236</v>
      </c>
      <c r="B56" s="82"/>
      <c r="C56" s="96"/>
      <c r="D56" s="96"/>
      <c r="E56" s="96"/>
      <c r="F56" s="96"/>
      <c r="G56" s="96"/>
      <c r="H56" s="96"/>
      <c r="I56" s="96"/>
      <c r="J56" s="96"/>
      <c r="K56" s="96"/>
      <c r="L56" s="96"/>
      <c r="N56" s="83"/>
      <c r="O56" s="97"/>
      <c r="P56" s="97"/>
      <c r="Q56" s="98"/>
    </row>
    <row r="57" spans="1:17" x14ac:dyDescent="0.25">
      <c r="A57" s="81" t="s">
        <v>10</v>
      </c>
      <c r="B57" s="82"/>
      <c r="C57" s="96">
        <f>'Data Sheet'!C26</f>
        <v>0.94</v>
      </c>
      <c r="D57" s="96">
        <f>'Data Sheet'!D26</f>
        <v>1.87</v>
      </c>
      <c r="E57" s="96">
        <f>'Data Sheet'!E26</f>
        <v>2.93</v>
      </c>
      <c r="F57" s="96">
        <f>'Data Sheet'!F26</f>
        <v>3.96</v>
      </c>
      <c r="G57" s="96">
        <f>'Data Sheet'!G26</f>
        <v>7.8</v>
      </c>
      <c r="H57" s="96">
        <f>'Data Sheet'!H26</f>
        <v>13.38</v>
      </c>
      <c r="I57" s="96">
        <f>'Data Sheet'!I26</f>
        <v>16.96</v>
      </c>
      <c r="J57" s="96">
        <f>'Data Sheet'!J26</f>
        <v>26.82</v>
      </c>
      <c r="K57" s="96">
        <f>'Data Sheet'!K26</f>
        <v>44.83</v>
      </c>
      <c r="L57" s="96">
        <f>'Data Sheet'!K26</f>
        <v>44.83</v>
      </c>
      <c r="M57" s="99">
        <f>AVERAGE(H57:L57)</f>
        <v>29.363999999999997</v>
      </c>
      <c r="O57" s="97">
        <f>SUM(D57:L57)</f>
        <v>163.38</v>
      </c>
      <c r="P57" s="97">
        <f>SUM(H57:L57)</f>
        <v>146.82</v>
      </c>
      <c r="Q57" s="98">
        <f>SUM(J57:L57)</f>
        <v>116.48</v>
      </c>
    </row>
    <row r="58" spans="1:17" x14ac:dyDescent="0.25">
      <c r="A58" s="81" t="s">
        <v>237</v>
      </c>
      <c r="B58" s="82"/>
      <c r="C58" s="96">
        <f>'Data Sheet'!C62</f>
        <v>8.19</v>
      </c>
      <c r="D58" s="96">
        <f>'Data Sheet'!D62</f>
        <v>23.52</v>
      </c>
      <c r="E58" s="96">
        <f>'Data Sheet'!E62</f>
        <v>33.020000000000003</v>
      </c>
      <c r="F58" s="96">
        <f>'Data Sheet'!F62</f>
        <v>62.34</v>
      </c>
      <c r="G58" s="96">
        <f>'Data Sheet'!G62</f>
        <v>137.07</v>
      </c>
      <c r="H58" s="96">
        <f>'Data Sheet'!H62</f>
        <v>155.01</v>
      </c>
      <c r="I58" s="96">
        <f>'Data Sheet'!I62</f>
        <v>246.84</v>
      </c>
      <c r="J58" s="96">
        <f>'Data Sheet'!J62</f>
        <v>320.99</v>
      </c>
      <c r="K58" s="96">
        <f>'Data Sheet'!K62</f>
        <v>464.36</v>
      </c>
      <c r="L58" s="96">
        <f>'Data Sheet'!K62</f>
        <v>464.36</v>
      </c>
      <c r="M58" s="99">
        <f>AVERAGE(H58:L58)</f>
        <v>330.31200000000001</v>
      </c>
      <c r="O58" s="97">
        <f>SUM(D58:L58)</f>
        <v>1907.5100000000002</v>
      </c>
      <c r="P58" s="97">
        <f>SUM(H58:L58)</f>
        <v>1651.56</v>
      </c>
      <c r="Q58" s="98">
        <f>SUM(J58:L58)</f>
        <v>1249.71</v>
      </c>
    </row>
    <row r="59" spans="1:17" x14ac:dyDescent="0.25">
      <c r="A59" s="81" t="s">
        <v>238</v>
      </c>
      <c r="B59" s="82"/>
      <c r="C59" s="100">
        <f>C57/C58</f>
        <v>0.11477411477411477</v>
      </c>
      <c r="D59" s="100">
        <f t="shared" ref="D59:K59" si="7">D57/D58</f>
        <v>7.950680272108844E-2</v>
      </c>
      <c r="E59" s="100">
        <f t="shared" si="7"/>
        <v>8.8734100545124164E-2</v>
      </c>
      <c r="F59" s="100">
        <f t="shared" si="7"/>
        <v>6.3522617901828671E-2</v>
      </c>
      <c r="G59" s="100">
        <f t="shared" si="7"/>
        <v>5.6905230903917706E-2</v>
      </c>
      <c r="H59" s="100">
        <f t="shared" si="7"/>
        <v>8.6317011805689972E-2</v>
      </c>
      <c r="I59" s="100">
        <f t="shared" si="7"/>
        <v>6.8708475125587434E-2</v>
      </c>
      <c r="J59" s="100">
        <f t="shared" si="7"/>
        <v>8.3554004797657247E-2</v>
      </c>
      <c r="K59" s="100">
        <f t="shared" si="7"/>
        <v>9.6541476440692553E-2</v>
      </c>
      <c r="L59" s="100">
        <f>L57/L58</f>
        <v>9.6541476440692553E-2</v>
      </c>
      <c r="M59" s="83">
        <f>AVERAGE(H59:L59)</f>
        <v>8.6332488922063952E-2</v>
      </c>
      <c r="O59" s="97"/>
      <c r="P59" s="97"/>
      <c r="Q59" s="98"/>
    </row>
    <row r="60" spans="1:17" x14ac:dyDescent="0.25">
      <c r="A60" s="81" t="s">
        <v>239</v>
      </c>
      <c r="B60" s="82"/>
      <c r="C60" s="101" t="e">
        <f>'Data Sheet'!C17/B58</f>
        <v>#DIV/0!</v>
      </c>
      <c r="D60" s="101">
        <f>'Data Sheet'!D17/C58</f>
        <v>1.253968253968254</v>
      </c>
      <c r="E60" s="101">
        <f>'Data Sheet'!E17/D58</f>
        <v>0.9090136054421768</v>
      </c>
      <c r="F60" s="101">
        <f>'Data Sheet'!F17/E58</f>
        <v>1.1883706844336765</v>
      </c>
      <c r="G60" s="101">
        <f>'Data Sheet'!G17/F58</f>
        <v>1.2385306384343919</v>
      </c>
      <c r="H60" s="101">
        <f>'Data Sheet'!H17/G58</f>
        <v>0.83373458816663026</v>
      </c>
      <c r="I60" s="101">
        <f>'Data Sheet'!I17/H58</f>
        <v>1.0169666473130765</v>
      </c>
      <c r="J60" s="101">
        <f>'Data Sheet'!J17/I58</f>
        <v>0.84042294603791923</v>
      </c>
      <c r="K60" s="101">
        <f>'Data Sheet'!K17/J58</f>
        <v>0.65213869590952989</v>
      </c>
      <c r="L60" s="101">
        <f>'Data Sheet'!K17/J58</f>
        <v>0.65213869590952989</v>
      </c>
      <c r="M60" s="97">
        <f>AVERAGE(H60:L60)</f>
        <v>0.7990803146673372</v>
      </c>
      <c r="O60" s="97">
        <f>SUM(D60:L60)</f>
        <v>8.5852847556151843</v>
      </c>
      <c r="P60" s="97">
        <f>SUM(H60:L60)</f>
        <v>3.9954015733366859</v>
      </c>
      <c r="Q60" s="98">
        <f>SUM(J60:L60)</f>
        <v>2.1447003378569791</v>
      </c>
    </row>
    <row r="61" spans="1:17" x14ac:dyDescent="0.25">
      <c r="A61" s="81" t="s">
        <v>240</v>
      </c>
      <c r="B61" s="82"/>
      <c r="C61" s="96"/>
      <c r="D61" s="100">
        <f>((1-D59)+(D60*D31*(1-D78)))-1</f>
        <v>-1.7235740450026182E-2</v>
      </c>
      <c r="E61" s="100">
        <f t="shared" ref="E61:M61" si="8">((1-E59)+(E60*E31*(1-E78)))-1</f>
        <v>2.1810117141950691E-2</v>
      </c>
      <c r="F61" s="100">
        <f t="shared" si="8"/>
        <v>0.2150964008746703</v>
      </c>
      <c r="G61" s="100">
        <f t="shared" si="8"/>
        <v>0.23648585026387181</v>
      </c>
      <c r="H61" s="100">
        <f t="shared" si="8"/>
        <v>0.12408643169033406</v>
      </c>
      <c r="I61" s="100">
        <f t="shared" si="8"/>
        <v>0.17863040623690529</v>
      </c>
      <c r="J61" s="100">
        <f t="shared" si="8"/>
        <v>0.12876976768654291</v>
      </c>
      <c r="K61" s="100">
        <f t="shared" si="8"/>
        <v>-7.5450476721075077E-2</v>
      </c>
      <c r="L61" s="100">
        <f>((1-L59)+(L60*L31*(1-L78)))-1</f>
        <v>-0.72635954894383448</v>
      </c>
      <c r="M61" s="100">
        <f t="shared" si="8"/>
        <v>-0.24313388381793644</v>
      </c>
      <c r="N61" s="83"/>
      <c r="O61" s="83"/>
      <c r="P61" s="83"/>
    </row>
    <row r="62" spans="1:17" x14ac:dyDescent="0.25">
      <c r="A62" s="81"/>
      <c r="B62" s="82"/>
      <c r="C62" s="96"/>
      <c r="D62" s="96"/>
      <c r="E62" s="96"/>
      <c r="F62" s="96"/>
      <c r="G62" s="96"/>
      <c r="H62" s="96"/>
      <c r="I62" s="96"/>
      <c r="J62" s="96"/>
      <c r="K62" s="96"/>
      <c r="L62" s="96"/>
      <c r="N62" s="83"/>
      <c r="O62" s="83"/>
      <c r="P62" s="83"/>
    </row>
    <row r="63" spans="1:17" ht="18.75" x14ac:dyDescent="0.25">
      <c r="A63" s="75" t="s">
        <v>241</v>
      </c>
      <c r="B63" s="82"/>
      <c r="C63" s="88">
        <f>C36</f>
        <v>39538</v>
      </c>
      <c r="D63" s="88">
        <f t="shared" ref="D63:L63" si="9">D36</f>
        <v>39903</v>
      </c>
      <c r="E63" s="88">
        <f t="shared" si="9"/>
        <v>40268</v>
      </c>
      <c r="F63" s="88">
        <f t="shared" si="9"/>
        <v>40633</v>
      </c>
      <c r="G63" s="88">
        <f t="shared" si="9"/>
        <v>40999</v>
      </c>
      <c r="H63" s="88">
        <f t="shared" si="9"/>
        <v>41364</v>
      </c>
      <c r="I63" s="88">
        <f t="shared" si="9"/>
        <v>41729</v>
      </c>
      <c r="J63" s="88">
        <f t="shared" si="9"/>
        <v>42094</v>
      </c>
      <c r="K63" s="88">
        <f t="shared" si="9"/>
        <v>42460</v>
      </c>
      <c r="L63" s="88" t="str">
        <f t="shared" si="9"/>
        <v>Trailing</v>
      </c>
      <c r="N63" s="83"/>
      <c r="O63" s="102" t="str">
        <f>O26</f>
        <v>Min</v>
      </c>
      <c r="P63" s="102" t="str">
        <f t="shared" ref="P63:Q63" si="10">P26</f>
        <v>Max</v>
      </c>
      <c r="Q63" s="102" t="str">
        <f t="shared" si="10"/>
        <v>Avg.</v>
      </c>
    </row>
    <row r="64" spans="1:17" x14ac:dyDescent="0.25">
      <c r="A64" s="81" t="s">
        <v>242</v>
      </c>
      <c r="C64" s="103">
        <f>(C54/C50)*(1-('Data Sheet'!C29/'Data Sheet'!C28))</f>
        <v>-2.2946859903381637E-2</v>
      </c>
      <c r="D64" s="103">
        <f>(D54/D50)*(1-('Data Sheet'!D29/'Data Sheet'!D28))</f>
        <v>1.2451545199494573E-2</v>
      </c>
      <c r="E64" s="103">
        <f>(E54/E50)*(1-('Data Sheet'!E29/'Data Sheet'!E28))</f>
        <v>4.0474090172365904E-2</v>
      </c>
      <c r="F64" s="103">
        <f>(F54/F50)*(1-('Data Sheet'!F29/'Data Sheet'!F28))</f>
        <v>5.8987062152075512E-2</v>
      </c>
      <c r="G64" s="103">
        <f>(G54/G50)*(1-('Data Sheet'!G29/'Data Sheet'!G28))</f>
        <v>8.4852627192101099E-2</v>
      </c>
      <c r="H64" s="103">
        <f>(H54/H50)*(1-('Data Sheet'!H29/'Data Sheet'!H28))</f>
        <v>9.4619476268412425E-2</v>
      </c>
      <c r="I64" s="103">
        <f>(I54/I50)*(1-('Data Sheet'!I29/'Data Sheet'!I28))</f>
        <v>0.10197894566360524</v>
      </c>
      <c r="J64" s="103">
        <f>(J54/J50)*(1-('Data Sheet'!J29/'Data Sheet'!J28))</f>
        <v>9.470309195153595E-2</v>
      </c>
      <c r="K64" s="103">
        <f>(K54/K50)*(1-('Data Sheet'!K29/'Data Sheet'!K28))</f>
        <v>1.8211132003497679E-2</v>
      </c>
      <c r="L64" s="103">
        <f>(L54/L50)*(1-('Data Sheet'!K29/'Data Sheet'!K28))</f>
        <v>1.8211132003497679E-2</v>
      </c>
      <c r="N64" s="83" t="e">
        <f>(L64/C64)^(1/(9-1))-1</f>
        <v>#NUM!</v>
      </c>
      <c r="O64" s="83">
        <f>MIN(C64:L64)</f>
        <v>-2.2946859903381637E-2</v>
      </c>
      <c r="P64" s="83">
        <f>MAX(C64:L64)</f>
        <v>0.10197894566360524</v>
      </c>
      <c r="Q64" s="86">
        <f>AVERAGE(C64:L64)</f>
        <v>5.0154224270320437E-2</v>
      </c>
    </row>
    <row r="65" spans="1:17" x14ac:dyDescent="0.25">
      <c r="A65" s="81" t="s">
        <v>243</v>
      </c>
      <c r="C65" s="103">
        <f>(C54/C51)*(1-('Data Sheet'!C29/'Data Sheet'!C28))</f>
        <v>-2.3456790123456785E-2</v>
      </c>
      <c r="D65" s="103">
        <f>(D54/D51)*(1-('Data Sheet'!D29/'Data Sheet'!D28))</f>
        <v>1.3090466969874365E-2</v>
      </c>
      <c r="E65" s="103">
        <f>(E54/E51)*(1-('Data Sheet'!E29/'Data Sheet'!E28))</f>
        <v>4.709700665254099E-2</v>
      </c>
      <c r="F65" s="103">
        <f>(F54/F51)*(1-('Data Sheet'!F29/'Data Sheet'!F28))</f>
        <v>7.1035625381101183E-2</v>
      </c>
      <c r="G65" s="103">
        <f>(G54/G51)*(1-('Data Sheet'!G29/'Data Sheet'!G28))</f>
        <v>0.1004105733312449</v>
      </c>
      <c r="H65" s="103">
        <f>(H54/H51)*(1-('Data Sheet'!H29/'Data Sheet'!H28))</f>
        <v>0.10773952659798056</v>
      </c>
      <c r="I65" s="103">
        <f>(I54/I51)*(1-('Data Sheet'!I29/'Data Sheet'!I28))</f>
        <v>0.1043275595854246</v>
      </c>
      <c r="J65" s="103">
        <f>(J54/J51)*(1-('Data Sheet'!J29/'Data Sheet'!J28))</f>
        <v>0.1206437277366179</v>
      </c>
      <c r="K65" s="103">
        <f>(K54/K51)*(1-('Data Sheet'!K29/'Data Sheet'!K28))</f>
        <v>1.8761830222089004E-2</v>
      </c>
      <c r="L65" s="103">
        <f>(L54/L51)*(1-('Data Sheet'!K29/'Data Sheet'!K28))</f>
        <v>1.8761830222089004E-2</v>
      </c>
      <c r="N65" s="83" t="e">
        <f>(L65/C65)^(1/(9-1))-1</f>
        <v>#NUM!</v>
      </c>
      <c r="O65" s="83">
        <f>MIN(C65:L65)</f>
        <v>-2.3456790123456785E-2</v>
      </c>
      <c r="P65" s="83">
        <f>MAX(C65:L65)</f>
        <v>0.1206437277366179</v>
      </c>
      <c r="Q65" s="86">
        <f>AVERAGE(C65:L65)</f>
        <v>5.7841135657550571E-2</v>
      </c>
    </row>
    <row r="66" spans="1:17" x14ac:dyDescent="0.25">
      <c r="A66" s="81" t="s">
        <v>244</v>
      </c>
      <c r="C66" s="103">
        <f>(C54/C52)*(1-('Data Sheet'!C29/'Data Sheet'!C28))</f>
        <v>-2.3456790123456788E-2</v>
      </c>
      <c r="D66" s="103">
        <f>(D54/D52)*(1-('Data Sheet'!D29/'Data Sheet'!D28))</f>
        <v>1.3090466969874365E-2</v>
      </c>
      <c r="E66" s="103">
        <f>(E54/E52)*(1-('Data Sheet'!E29/'Data Sheet'!E28))</f>
        <v>4.7869709673058786E-2</v>
      </c>
      <c r="F66" s="103">
        <f>(F54/F52)*(1-('Data Sheet'!F29/'Data Sheet'!F28))</f>
        <v>7.23924396182348E-2</v>
      </c>
      <c r="G66" s="103">
        <f>(G54/G52)*(1-('Data Sheet'!G29/'Data Sheet'!G28))</f>
        <v>0.11408199066726421</v>
      </c>
      <c r="H66" s="103">
        <f>(H54/H52)*(1-('Data Sheet'!H29/'Data Sheet'!H28))</f>
        <v>0.11088921455699353</v>
      </c>
      <c r="I66" s="103">
        <f>(I54/I52)*(1-('Data Sheet'!I29/'Data Sheet'!I28))</f>
        <v>0.10694315334834376</v>
      </c>
      <c r="J66" s="103">
        <f>(J54/J52)*(1-('Data Sheet'!J29/'Data Sheet'!J28))</f>
        <v>0.12299013467833919</v>
      </c>
      <c r="K66" s="103">
        <f>(K54/K52)*(1-('Data Sheet'!K29/'Data Sheet'!K28))</f>
        <v>1.9047745609576391E-2</v>
      </c>
      <c r="L66" s="103">
        <f>(L54/L52)*(1-('Data Sheet'!K29/'Data Sheet'!K28))</f>
        <v>1.9047745609576391E-2</v>
      </c>
      <c r="N66" s="83" t="e">
        <f>(L66/C66)^(1/(9-1))-1</f>
        <v>#NUM!</v>
      </c>
      <c r="O66" s="83">
        <f>MIN(C66:L66)</f>
        <v>-2.3456790123456788E-2</v>
      </c>
      <c r="P66" s="83">
        <f>MAX(C66:L66)</f>
        <v>0.12299013467833919</v>
      </c>
      <c r="Q66" s="86">
        <f>AVERAGE(C66:L66)</f>
        <v>6.0289581060780452E-2</v>
      </c>
    </row>
    <row r="67" spans="1:17" x14ac:dyDescent="0.25">
      <c r="A67" s="81" t="s">
        <v>245</v>
      </c>
      <c r="C67" s="103">
        <f>(C54/C53)*(1-('Data Sheet'!C29/'Data Sheet'!C28))</f>
        <v>-2.4516129032258069E-2</v>
      </c>
      <c r="D67" s="103">
        <f>(D54/D53)*(1-('Data Sheet'!D29/'Data Sheet'!D28))</f>
        <v>2.0776157804459697E-2</v>
      </c>
      <c r="E67" s="103">
        <f>(E54/E53)*(1-('Data Sheet'!E29/'Data Sheet'!E28))</f>
        <v>9.3970945701738709E-2</v>
      </c>
      <c r="F67" s="103">
        <f>(F54/F53)*(1-('Data Sheet'!F29/'Data Sheet'!F28))</f>
        <v>0.11553810045592885</v>
      </c>
      <c r="G67" s="103">
        <f>(G54/G53)*(1-('Data Sheet'!G29/'Data Sheet'!G28))</f>
        <v>0.12472797231700079</v>
      </c>
      <c r="H67" s="103">
        <f>(H54/H53)*(1-('Data Sheet'!H29/'Data Sheet'!H28))</f>
        <v>0.12551095807654405</v>
      </c>
      <c r="I67" s="103">
        <f>(I54/I53)*(1-('Data Sheet'!I29/'Data Sheet'!I28))</f>
        <v>0.11403849448826671</v>
      </c>
      <c r="J67" s="103">
        <f>(J54/J53)*(1-('Data Sheet'!J29/'Data Sheet'!J28))</f>
        <v>0.12850691297084807</v>
      </c>
      <c r="K67" s="103">
        <f>(K54/K53)*(1-('Data Sheet'!K29/'Data Sheet'!K28))</f>
        <v>1.9172009372423846E-2</v>
      </c>
      <c r="L67" s="103">
        <f>(L54/L53)*(1-('Data Sheet'!K29/'Data Sheet'!K28))</f>
        <v>1.9172009372423846E-2</v>
      </c>
      <c r="N67" s="83" t="e">
        <f>(L67/C67)^(1/(9-1))-1</f>
        <v>#NUM!</v>
      </c>
      <c r="O67" s="83">
        <f>MIN(C67:L67)</f>
        <v>-2.4516129032258069E-2</v>
      </c>
      <c r="P67" s="83">
        <f>MAX(C67:L67)</f>
        <v>0.12850691297084807</v>
      </c>
      <c r="Q67" s="86">
        <f>AVERAGE(C67:L67)</f>
        <v>7.3689743152737644E-2</v>
      </c>
    </row>
    <row r="68" spans="1:17" x14ac:dyDescent="0.25">
      <c r="A68" s="81" t="s">
        <v>246</v>
      </c>
      <c r="B68" s="82" t="s">
        <v>247</v>
      </c>
      <c r="C68" s="103">
        <f>'Data Sheet'!C30/'Data Sheet'!C66</f>
        <v>-1.9057171514543631E-2</v>
      </c>
      <c r="D68" s="103">
        <f>'Data Sheet'!D30/'Data Sheet'!D66</f>
        <v>1.0818837505303353E-2</v>
      </c>
      <c r="E68" s="103">
        <f>'Data Sheet'!E30/'Data Sheet'!E66</f>
        <v>2.9670204267944769E-2</v>
      </c>
      <c r="F68" s="103">
        <f>'Data Sheet'!F30/'Data Sheet'!F66</f>
        <v>4.9491634837807302E-2</v>
      </c>
      <c r="G68" s="103">
        <f>'Data Sheet'!G30/'Data Sheet'!G66</f>
        <v>6.4343641386685677E-2</v>
      </c>
      <c r="H68" s="103">
        <f>'Data Sheet'!H30/'Data Sheet'!H66</f>
        <v>7.4988753936122365E-2</v>
      </c>
      <c r="I68" s="103">
        <f>'Data Sheet'!I30/'Data Sheet'!I66</f>
        <v>8.3353893454290118E-2</v>
      </c>
      <c r="J68" s="103">
        <f>'Data Sheet'!J30/'Data Sheet'!J66</f>
        <v>7.568730338336048E-2</v>
      </c>
      <c r="K68" s="103">
        <f>'Data Sheet'!K30/'Data Sheet'!K66</f>
        <v>8.5186163854390796E-3</v>
      </c>
      <c r="L68" s="103">
        <f>'Data Sheet'!K30/'Data Sheet'!K66</f>
        <v>8.5186163854390796E-3</v>
      </c>
      <c r="N68" s="83" t="e">
        <f>(L68/C68)^(1/(9-1))-1</f>
        <v>#NUM!</v>
      </c>
      <c r="O68" s="83">
        <f>MIN(C68:L68)</f>
        <v>-1.9057171514543631E-2</v>
      </c>
      <c r="P68" s="83">
        <f>MAX(C68:L68)</f>
        <v>8.3353893454290118E-2</v>
      </c>
      <c r="Q68" s="86">
        <f>AVERAGE(C68:L68)</f>
        <v>3.8633433002784864E-2</v>
      </c>
    </row>
    <row r="69" spans="1:17" x14ac:dyDescent="0.25">
      <c r="A69" s="81" t="s">
        <v>248</v>
      </c>
      <c r="B69" s="82"/>
      <c r="C69" s="103"/>
      <c r="D69" s="103"/>
      <c r="E69" s="103"/>
      <c r="F69" s="103"/>
      <c r="G69" s="103"/>
      <c r="H69" s="103"/>
      <c r="I69" s="103"/>
      <c r="J69" s="103"/>
      <c r="K69" s="103"/>
      <c r="L69" s="103"/>
      <c r="N69" s="83"/>
      <c r="O69" s="83"/>
      <c r="P69" s="83"/>
      <c r="Q69" s="86"/>
    </row>
    <row r="70" spans="1:17" x14ac:dyDescent="0.25">
      <c r="A70" s="81" t="s">
        <v>249</v>
      </c>
      <c r="B70" s="82" t="s">
        <v>250</v>
      </c>
      <c r="C70" s="103">
        <f>C54/C55</f>
        <v>-8.4541062801932361E-3</v>
      </c>
      <c r="D70" s="103">
        <f t="shared" ref="D70:L70" si="11">D54/D55</f>
        <v>1.293984108967083E-2</v>
      </c>
      <c r="E70" s="103">
        <f t="shared" si="11"/>
        <v>6.24235006119951E-2</v>
      </c>
      <c r="F70" s="103">
        <f t="shared" si="11"/>
        <v>8.7390614905737962E-2</v>
      </c>
      <c r="G70" s="103">
        <f t="shared" si="11"/>
        <v>0.12375320835634689</v>
      </c>
      <c r="H70" s="103">
        <f t="shared" si="11"/>
        <v>0.1387222555488902</v>
      </c>
      <c r="I70" s="103">
        <f t="shared" si="11"/>
        <v>0.15329348799433556</v>
      </c>
      <c r="J70" s="103">
        <f t="shared" si="11"/>
        <v>0.13182508593812456</v>
      </c>
      <c r="K70" s="103">
        <f t="shared" si="11"/>
        <v>4.3722880535024752E-2</v>
      </c>
      <c r="L70" s="103">
        <f t="shared" si="11"/>
        <v>4.3722880535024752E-2</v>
      </c>
      <c r="N70" s="83" t="e">
        <f>(L70/C70)^(1/(9-1))-1</f>
        <v>#NUM!</v>
      </c>
      <c r="O70" s="83">
        <f>MIN(C70:L70)</f>
        <v>-8.4541062801932361E-3</v>
      </c>
      <c r="P70" s="83">
        <f>MAX(C70:L70)</f>
        <v>0.15329348799433556</v>
      </c>
      <c r="Q70" s="86">
        <f>AVERAGE(C70:L70)</f>
        <v>7.893396492349572E-2</v>
      </c>
    </row>
    <row r="71" spans="1:17" x14ac:dyDescent="0.25">
      <c r="A71" s="81" t="s">
        <v>251</v>
      </c>
      <c r="B71" s="104"/>
      <c r="C71" s="95"/>
      <c r="D71" s="95"/>
      <c r="E71" s="95"/>
      <c r="F71" s="95"/>
      <c r="G71" s="95"/>
      <c r="H71" s="95"/>
      <c r="I71" s="95"/>
      <c r="J71" s="95"/>
      <c r="K71" s="95"/>
      <c r="L71" s="95"/>
      <c r="N71" s="83"/>
      <c r="O71" s="83"/>
      <c r="P71" s="83"/>
      <c r="Q71" s="86"/>
    </row>
    <row r="72" spans="1:17" x14ac:dyDescent="0.25">
      <c r="A72" s="81" t="s">
        <v>60</v>
      </c>
      <c r="B72" s="82" t="s">
        <v>252</v>
      </c>
      <c r="C72" s="103">
        <f>'Data Sheet'!C30/('Data Sheet'!C57+'Data Sheet'!C58)</f>
        <v>-2.3370233702337023E-2</v>
      </c>
      <c r="D72" s="103">
        <f>'Data Sheet'!D30/('Data Sheet'!D57+'Data Sheet'!D58)</f>
        <v>1.1588275391956374E-2</v>
      </c>
      <c r="E72" s="103">
        <f>'Data Sheet'!E30/('Data Sheet'!E57+'Data Sheet'!E58)</f>
        <v>4.2262678803641089E-2</v>
      </c>
      <c r="F72" s="103">
        <f>'Data Sheet'!F30/('Data Sheet'!F57+'Data Sheet'!F58)</f>
        <v>7.5010191602119858E-2</v>
      </c>
      <c r="G72" s="103">
        <f>'Data Sheet'!G30/('Data Sheet'!G57+'Data Sheet'!G58)</f>
        <v>8.4480673973243894E-2</v>
      </c>
      <c r="H72" s="103">
        <f>'Data Sheet'!H30/('Data Sheet'!H57+'Data Sheet'!H58)</f>
        <v>0.10001199904007679</v>
      </c>
      <c r="I72" s="103">
        <f>'Data Sheet'!I30/('Data Sheet'!I57+'Data Sheet'!I58)</f>
        <v>0.11047389073347419</v>
      </c>
      <c r="J72" s="103">
        <f>'Data Sheet'!J30/('Data Sheet'!J57+'Data Sheet'!J58)</f>
        <v>9.4413078545725268E-2</v>
      </c>
      <c r="K72" s="103">
        <f>'Data Sheet'!K30/('Data Sheet'!K57+'Data Sheet'!K58)</f>
        <v>1.0340614021689322E-2</v>
      </c>
      <c r="L72" s="103">
        <f>'Data Sheet'!K30/('Data Sheet'!K57+'Data Sheet'!K58)</f>
        <v>1.0340614021689322E-2</v>
      </c>
      <c r="N72" s="83" t="e">
        <f>(L72/C72)^(1/(9-1))-1</f>
        <v>#NUM!</v>
      </c>
      <c r="O72" s="83">
        <f t="shared" ref="O72:O78" si="12">MIN(C72:L72)</f>
        <v>-2.3370233702337023E-2</v>
      </c>
      <c r="P72" s="83">
        <f t="shared" ref="P72:P78" si="13">MAX(C72:L72)</f>
        <v>0.11047389073347419</v>
      </c>
      <c r="Q72" s="86">
        <f t="shared" ref="Q72:Q78" si="14">AVERAGE(C72:L72)</f>
        <v>5.1555178243127907E-2</v>
      </c>
    </row>
    <row r="73" spans="1:17" x14ac:dyDescent="0.25">
      <c r="A73" s="81" t="s">
        <v>253</v>
      </c>
      <c r="B73" s="82" t="s">
        <v>254</v>
      </c>
      <c r="C73" s="86">
        <f t="shared" ref="C73:L73" si="15">C31</f>
        <v>-3.5055350553505539E-2</v>
      </c>
      <c r="D73" s="86">
        <f t="shared" si="15"/>
        <v>4.9659201557935739E-2</v>
      </c>
      <c r="E73" s="86">
        <f t="shared" si="15"/>
        <v>0.12160898035547242</v>
      </c>
      <c r="F73" s="86">
        <f t="shared" si="15"/>
        <v>0.23445463812436287</v>
      </c>
      <c r="G73" s="86">
        <f t="shared" si="15"/>
        <v>0.28053360963605756</v>
      </c>
      <c r="H73" s="86">
        <f t="shared" si="15"/>
        <v>0.29173958697934899</v>
      </c>
      <c r="I73" s="86">
        <f t="shared" si="15"/>
        <v>0.27860948997716317</v>
      </c>
      <c r="J73" s="86">
        <f t="shared" si="15"/>
        <v>0.29342010122921186</v>
      </c>
      <c r="K73" s="86">
        <f t="shared" si="15"/>
        <v>3.2341279319734385E-2</v>
      </c>
      <c r="L73" s="86">
        <f t="shared" si="15"/>
        <v>-0.96577319587628874</v>
      </c>
      <c r="N73" s="83">
        <f>(L73/C73)^(1/(9-1))-1</f>
        <v>0.51361388895863391</v>
      </c>
      <c r="O73" s="83">
        <f t="shared" si="12"/>
        <v>-0.96577319587628874</v>
      </c>
      <c r="P73" s="83">
        <f t="shared" si="13"/>
        <v>0.29342010122921186</v>
      </c>
      <c r="Q73" s="86">
        <f t="shared" si="14"/>
        <v>5.815383407494927E-2</v>
      </c>
    </row>
    <row r="74" spans="1:17" x14ac:dyDescent="0.25">
      <c r="A74" s="81" t="s">
        <v>255</v>
      </c>
      <c r="B74" s="82" t="s">
        <v>256</v>
      </c>
      <c r="C74" s="105">
        <f>'Data Sheet'!C17/'Data Sheet'!C66</f>
        <v>0.54363089267803411</v>
      </c>
      <c r="D74" s="105">
        <f>'Data Sheet'!D17/'Data Sheet'!D66</f>
        <v>0.2178616885871871</v>
      </c>
      <c r="E74" s="105">
        <f>'Data Sheet'!E17/'Data Sheet'!E66</f>
        <v>0.24398037201871506</v>
      </c>
      <c r="F74" s="105">
        <f>'Data Sheet'!F17/'Data Sheet'!F66</f>
        <v>0.21109258163429989</v>
      </c>
      <c r="G74" s="105">
        <f>'Data Sheet'!G17/'Data Sheet'!G66</f>
        <v>0.22936161364108962</v>
      </c>
      <c r="H74" s="105">
        <f>'Data Sheet'!H17/'Data Sheet'!H66</f>
        <v>0.25704003598740438</v>
      </c>
      <c r="I74" s="105">
        <f>'Data Sheet'!I17/'Data Sheet'!I66</f>
        <v>0.29917822778083542</v>
      </c>
      <c r="J74" s="105">
        <f>'Data Sheet'!J17/'Data Sheet'!J66</f>
        <v>0.25794859679444931</v>
      </c>
      <c r="K74" s="105">
        <f>'Data Sheet'!K17/'Data Sheet'!K66</f>
        <v>0.2633976319001422</v>
      </c>
      <c r="L74" s="105">
        <f>'Data Sheet'!K17/'Data Sheet'!K66</f>
        <v>0.2633976319001422</v>
      </c>
      <c r="M74" s="106">
        <f>(L74/G74)^(1/(5-1))-1</f>
        <v>3.5196470684318859E-2</v>
      </c>
      <c r="N74" s="83">
        <f>(L74/C74)^(1/(9-1))-1</f>
        <v>-8.659482624220971E-2</v>
      </c>
      <c r="O74" s="107">
        <f t="shared" si="12"/>
        <v>0.21109258163429989</v>
      </c>
      <c r="P74" s="107">
        <f t="shared" si="13"/>
        <v>0.54363089267803411</v>
      </c>
      <c r="Q74" s="105">
        <f t="shared" si="14"/>
        <v>0.27868892729222994</v>
      </c>
    </row>
    <row r="75" spans="1:17" ht="23.25" x14ac:dyDescent="0.25">
      <c r="A75" s="81" t="s">
        <v>257</v>
      </c>
      <c r="B75" s="82" t="s">
        <v>258</v>
      </c>
      <c r="C75" s="108">
        <f>'Data Sheet'!C66/('Data Sheet'!C57+'Data Sheet'!C58)</f>
        <v>1.2263222632226323</v>
      </c>
      <c r="D75" s="108">
        <f>'Data Sheet'!D66/('Data Sheet'!D57+'Data Sheet'!D58)</f>
        <v>1.0711201999545559</v>
      </c>
      <c r="E75" s="108">
        <f>'Data Sheet'!E66/('Data Sheet'!E57+'Data Sheet'!E58)</f>
        <v>1.424414824447334</v>
      </c>
      <c r="F75" s="108">
        <f>'Data Sheet'!F66/('Data Sheet'!F57+'Data Sheet'!F58)</f>
        <v>1.5156135344476152</v>
      </c>
      <c r="G75" s="108">
        <f>'Data Sheet'!G66/('Data Sheet'!G57+'Data Sheet'!G58)</f>
        <v>1.3129607238971879</v>
      </c>
      <c r="H75" s="108">
        <f>'Data Sheet'!H66/('Data Sheet'!H57+'Data Sheet'!H58)</f>
        <v>1.3336933045356372</v>
      </c>
      <c r="I75" s="108">
        <f>'Data Sheet'!I66/('Data Sheet'!I57+'Data Sheet'!I58)</f>
        <v>1.3253596941342187</v>
      </c>
      <c r="J75" s="108">
        <f>'Data Sheet'!J66/('Data Sheet'!J57+'Data Sheet'!J58)</f>
        <v>1.2474097282541259</v>
      </c>
      <c r="K75" s="108">
        <f>'Data Sheet'!K66/('Data Sheet'!K57+'Data Sheet'!K58)</f>
        <v>1.2138842217809682</v>
      </c>
      <c r="L75" s="105">
        <f>'Data Sheet'!K66/('Data Sheet'!K57+'Data Sheet'!K58)</f>
        <v>1.2138842217809682</v>
      </c>
      <c r="N75" s="83">
        <f>(L75/C75)^(1/(9-1))-1</f>
        <v>-1.2734811254641043E-3</v>
      </c>
      <c r="O75" s="107">
        <f t="shared" si="12"/>
        <v>1.0711201999545559</v>
      </c>
      <c r="P75" s="107">
        <f t="shared" si="13"/>
        <v>1.5156135344476152</v>
      </c>
      <c r="Q75" s="105">
        <f t="shared" si="14"/>
        <v>1.2884662716455246</v>
      </c>
    </row>
    <row r="76" spans="1:17" ht="34.5" x14ac:dyDescent="0.25">
      <c r="A76" s="81" t="s">
        <v>259</v>
      </c>
      <c r="B76" s="82" t="s">
        <v>260</v>
      </c>
      <c r="C76" s="103">
        <f>C73*C74*C75</f>
        <v>-2.3370233702337029E-2</v>
      </c>
      <c r="D76" s="103">
        <f t="shared" ref="D76:L76" si="16">D73*D74*D75</f>
        <v>1.1588275391956376E-2</v>
      </c>
      <c r="E76" s="103">
        <f t="shared" si="16"/>
        <v>4.2262678803641096E-2</v>
      </c>
      <c r="F76" s="103">
        <f t="shared" si="16"/>
        <v>7.5010191602119858E-2</v>
      </c>
      <c r="G76" s="103">
        <f t="shared" si="16"/>
        <v>8.4480673973243908E-2</v>
      </c>
      <c r="H76" s="103">
        <f t="shared" si="16"/>
        <v>0.10001199904007679</v>
      </c>
      <c r="I76" s="103">
        <f t="shared" si="16"/>
        <v>0.11047389073347419</v>
      </c>
      <c r="J76" s="103">
        <f t="shared" si="16"/>
        <v>9.4413078545725268E-2</v>
      </c>
      <c r="K76" s="103">
        <f t="shared" si="16"/>
        <v>1.0340614021689322E-2</v>
      </c>
      <c r="L76" s="103">
        <f t="shared" si="16"/>
        <v>-0.30879074857611655</v>
      </c>
      <c r="N76" s="83">
        <f>(L76/C76)^(1/(9-1))-1</f>
        <v>0.38078211513996529</v>
      </c>
      <c r="O76" s="83">
        <f t="shared" si="12"/>
        <v>-0.30879074857611655</v>
      </c>
      <c r="P76" s="83">
        <f t="shared" si="13"/>
        <v>0.11047389073347419</v>
      </c>
      <c r="Q76" s="86">
        <f t="shared" si="14"/>
        <v>1.9642041983347326E-2</v>
      </c>
    </row>
    <row r="77" spans="1:17" ht="23.25" x14ac:dyDescent="0.25">
      <c r="A77" s="81" t="s">
        <v>146</v>
      </c>
      <c r="B77" s="82" t="s">
        <v>261</v>
      </c>
      <c r="C77" s="103" t="str">
        <f>IFERROR((C43/C41)/C40,"NA")</f>
        <v>NA</v>
      </c>
      <c r="D77" s="103" t="str">
        <f t="shared" ref="D77:L77" si="17">IFERROR((D43/D41)/D40,"NA")</f>
        <v>NA</v>
      </c>
      <c r="E77" s="103" t="str">
        <f t="shared" si="17"/>
        <v>NA</v>
      </c>
      <c r="F77" s="103" t="str">
        <f t="shared" si="17"/>
        <v>NA</v>
      </c>
      <c r="G77" s="103">
        <f t="shared" si="17"/>
        <v>4.7297926914960974E-3</v>
      </c>
      <c r="H77" s="103">
        <f t="shared" si="17"/>
        <v>4.8673736375258294E-3</v>
      </c>
      <c r="I77" s="103">
        <f t="shared" si="17"/>
        <v>5.0848756109461877E-3</v>
      </c>
      <c r="J77" s="103">
        <f t="shared" si="17"/>
        <v>4.9808018224328293E-3</v>
      </c>
      <c r="K77" s="103">
        <f t="shared" si="17"/>
        <v>0</v>
      </c>
      <c r="L77" s="103">
        <f t="shared" si="17"/>
        <v>0</v>
      </c>
      <c r="N77" s="83"/>
      <c r="O77" s="83">
        <f t="shared" si="12"/>
        <v>0</v>
      </c>
      <c r="P77" s="83">
        <f t="shared" si="13"/>
        <v>5.0848756109461877E-3</v>
      </c>
      <c r="Q77" s="86">
        <f t="shared" si="14"/>
        <v>3.2771406270668238E-3</v>
      </c>
    </row>
    <row r="78" spans="1:17" ht="34.5" x14ac:dyDescent="0.25">
      <c r="A78" s="81" t="s">
        <v>262</v>
      </c>
      <c r="B78" s="82" t="s">
        <v>263</v>
      </c>
      <c r="C78" s="113">
        <f>'Data Sheet'!C31/'Data Sheet'!C30</f>
        <v>0</v>
      </c>
      <c r="D78" s="113">
        <f>'Data Sheet'!D31/'Data Sheet'!D30</f>
        <v>0</v>
      </c>
      <c r="E78" s="113">
        <f>'Data Sheet'!E31/'Data Sheet'!E30</f>
        <v>0</v>
      </c>
      <c r="F78" s="113">
        <f>'Data Sheet'!F31/'Data Sheet'!F30</f>
        <v>0</v>
      </c>
      <c r="G78" s="113">
        <f>'Data Sheet'!G31/'Data Sheet'!G30</f>
        <v>0.15558633425669438</v>
      </c>
      <c r="H78" s="113">
        <f>'Data Sheet'!H31/'Data Sheet'!H30</f>
        <v>0.13497300539892021</v>
      </c>
      <c r="I78" s="113">
        <f>'Data Sheet'!I31/'Data Sheet'!I30</f>
        <v>0.12704918032786885</v>
      </c>
      <c r="J78" s="120">
        <f>'Data Sheet'!J31/'Data Sheet'!J30</f>
        <v>0.13898472153770333</v>
      </c>
      <c r="K78" s="120">
        <f>'Data Sheet'!K31/'Data Sheet'!K30</f>
        <v>0</v>
      </c>
      <c r="L78" s="83">
        <f>'Data Sheet'!K31/'Data Sheet'!K30</f>
        <v>0</v>
      </c>
      <c r="M78" s="87">
        <f>AVERAGE(H78:L78)</f>
        <v>8.0201381452898485E-2</v>
      </c>
      <c r="N78" s="83"/>
      <c r="O78" s="83">
        <f t="shared" si="12"/>
        <v>0</v>
      </c>
      <c r="P78" s="83">
        <f t="shared" si="13"/>
        <v>0.15558633425669438</v>
      </c>
      <c r="Q78" s="86">
        <f t="shared" si="14"/>
        <v>5.5659324152118682E-2</v>
      </c>
    </row>
    <row r="79" spans="1:17" x14ac:dyDescent="0.25">
      <c r="A79" s="81"/>
      <c r="B79" s="82"/>
      <c r="C79" s="83"/>
      <c r="D79" s="83"/>
      <c r="E79" s="83"/>
      <c r="F79" s="83"/>
      <c r="G79" s="83"/>
      <c r="H79" s="83"/>
      <c r="I79" s="83"/>
      <c r="J79" s="83"/>
      <c r="K79" s="83"/>
      <c r="L79" s="83"/>
      <c r="N79" s="83"/>
      <c r="O79" s="83"/>
      <c r="P79" s="83"/>
      <c r="Q79" s="86"/>
    </row>
    <row r="80" spans="1:17" ht="18.75" x14ac:dyDescent="0.25">
      <c r="A80" s="75" t="s">
        <v>264</v>
      </c>
      <c r="C80" s="85">
        <f>C63</f>
        <v>39538</v>
      </c>
      <c r="D80" s="85">
        <f t="shared" ref="D80:L80" si="18">D63</f>
        <v>39903</v>
      </c>
      <c r="E80" s="85">
        <f t="shared" si="18"/>
        <v>40268</v>
      </c>
      <c r="F80" s="85">
        <f t="shared" si="18"/>
        <v>40633</v>
      </c>
      <c r="G80" s="85">
        <f t="shared" si="18"/>
        <v>40999</v>
      </c>
      <c r="H80" s="85">
        <f t="shared" si="18"/>
        <v>41364</v>
      </c>
      <c r="I80" s="85">
        <f t="shared" si="18"/>
        <v>41729</v>
      </c>
      <c r="J80" s="85">
        <f t="shared" si="18"/>
        <v>42094</v>
      </c>
      <c r="K80" s="85">
        <f t="shared" si="18"/>
        <v>42460</v>
      </c>
      <c r="L80" s="85" t="str">
        <f t="shared" si="18"/>
        <v>Trailing</v>
      </c>
      <c r="N80" s="83"/>
      <c r="O80" s="102" t="str">
        <f>O63</f>
        <v>Min</v>
      </c>
      <c r="P80" s="102" t="str">
        <f t="shared" ref="P80:Q80" si="19">P63</f>
        <v>Max</v>
      </c>
      <c r="Q80" s="102" t="str">
        <f t="shared" si="19"/>
        <v>Avg.</v>
      </c>
    </row>
    <row r="81" spans="1:17" ht="23.25" x14ac:dyDescent="0.25">
      <c r="A81" s="81" t="s">
        <v>265</v>
      </c>
      <c r="B81" s="82" t="s">
        <v>266</v>
      </c>
      <c r="C81" s="109">
        <f>'Data Sheet'!C67/'Data Sheet'!C17</f>
        <v>1.845018450184502E-3</v>
      </c>
      <c r="D81" s="109">
        <f>'Data Sheet'!D67/'Data Sheet'!D17</f>
        <v>4.0895813047711782E-2</v>
      </c>
      <c r="E81" s="109">
        <f>'Data Sheet'!E67/'Data Sheet'!E17</f>
        <v>0.32507015902712816</v>
      </c>
      <c r="F81" s="109">
        <f>'Data Sheet'!F67/'Data Sheet'!F17</f>
        <v>4.5107033639143729E-2</v>
      </c>
      <c r="G81" s="109">
        <f>'Data Sheet'!G67/'Data Sheet'!G17</f>
        <v>7.5249320036264736E-2</v>
      </c>
      <c r="H81" s="109">
        <f>'Data Sheet'!H67/'Data Sheet'!H17</f>
        <v>6.0115505775288763E-2</v>
      </c>
      <c r="I81" s="109">
        <f>'Data Sheet'!I67/'Data Sheet'!I17</f>
        <v>0.18396346105049483</v>
      </c>
      <c r="J81" s="109">
        <f>'Data Sheet'!J67/'Data Sheet'!J17</f>
        <v>0.2000482043865992</v>
      </c>
      <c r="K81" s="109">
        <f>'Data Sheet'!K67/'Data Sheet'!K17</f>
        <v>0.27282281564993072</v>
      </c>
      <c r="L81" s="109">
        <f>'Data Sheet'!K67/'Data Sheet'!K17</f>
        <v>0.27282281564993072</v>
      </c>
      <c r="N81" s="83">
        <f>AVERAGE(C81:L81)</f>
        <v>0.14779401467126774</v>
      </c>
      <c r="O81" s="83">
        <f>MIN(C81:L81)</f>
        <v>1.845018450184502E-3</v>
      </c>
      <c r="P81" s="83">
        <f>MAX(C81:L81)</f>
        <v>0.32507015902712816</v>
      </c>
      <c r="Q81" s="86">
        <f>AVERAGE(C81:L81)</f>
        <v>0.14779401467126774</v>
      </c>
    </row>
    <row r="82" spans="1:17" x14ac:dyDescent="0.25">
      <c r="A82" s="81" t="s">
        <v>267</v>
      </c>
      <c r="B82" s="82" t="s">
        <v>268</v>
      </c>
      <c r="C82" s="116">
        <f>'Data Sheet'!C68/'Data Sheet'!C17</f>
        <v>9.2250922509225092E-3</v>
      </c>
      <c r="D82" s="116">
        <f>'Data Sheet'!D68/'Data Sheet'!D17</f>
        <v>1.5579357351509251E-2</v>
      </c>
      <c r="E82" s="116">
        <f>'Data Sheet'!E68/'Data Sheet'!E17</f>
        <v>1.4031805425631431E-2</v>
      </c>
      <c r="F82" s="116">
        <f>'Data Sheet'!F68/'Data Sheet'!F17</f>
        <v>3.746177370030581E-2</v>
      </c>
      <c r="G82" s="116">
        <f>'Data Sheet'!G68/'Data Sheet'!G17</f>
        <v>4.7273669213832407E-2</v>
      </c>
      <c r="H82" s="116">
        <f>'Data Sheet'!H68/'Data Sheet'!H17</f>
        <v>4.0252012600630029E-2</v>
      </c>
      <c r="I82" s="116">
        <f>'Data Sheet'!I68/'Data Sheet'!I17</f>
        <v>3.5650850038061413E-2</v>
      </c>
      <c r="J82" s="116">
        <f>'Data Sheet'!J68/'Data Sheet'!J17</f>
        <v>2.5114485418173054E-2</v>
      </c>
      <c r="K82" s="116">
        <f>'Data Sheet'!K68/'Data Sheet'!K17</f>
        <v>2.0685042755457888E-2</v>
      </c>
      <c r="L82" s="119">
        <f>'Data Sheet'!K68/'Data Sheet'!K17</f>
        <v>2.0685042755457888E-2</v>
      </c>
      <c r="N82" s="83">
        <f t="shared" ref="N82:N85" si="20">AVERAGE(C82:L82)</f>
        <v>2.6595913150998168E-2</v>
      </c>
      <c r="O82" s="83">
        <f t="shared" ref="O82:O129" si="21">MIN(C82:L82)</f>
        <v>9.2250922509225092E-3</v>
      </c>
      <c r="P82" s="83">
        <f t="shared" ref="P82:P129" si="22">MAX(C82:L82)</f>
        <v>4.7273669213832407E-2</v>
      </c>
      <c r="Q82" s="86">
        <f t="shared" ref="Q82:Q129" si="23">AVERAGE(C82:L82)</f>
        <v>2.6595913150998168E-2</v>
      </c>
    </row>
    <row r="83" spans="1:17" x14ac:dyDescent="0.25">
      <c r="A83" s="81" t="s">
        <v>269</v>
      </c>
      <c r="B83" s="82" t="s">
        <v>270</v>
      </c>
      <c r="C83" s="109">
        <f>'Data Sheet'!C69/'Data Sheet'!C59</f>
        <v>1.2</v>
      </c>
      <c r="D83" s="109">
        <f>'Data Sheet'!D69/'Data Sheet'!D59</f>
        <v>53.75</v>
      </c>
      <c r="E83" s="109">
        <f>'Data Sheet'!E69/'Data Sheet'!E59</f>
        <v>0.86094920899250627</v>
      </c>
      <c r="F83" s="109">
        <f>'Data Sheet'!F69/'Data Sheet'!F59</f>
        <v>0.60646787064258711</v>
      </c>
      <c r="G83" s="109">
        <f>'Data Sheet'!G69/'Data Sheet'!G59</f>
        <v>0.92782101167315179</v>
      </c>
      <c r="H83" s="109">
        <f>'Data Sheet'!H69/'Data Sheet'!H59</f>
        <v>0.73021582733812951</v>
      </c>
      <c r="I83" s="109">
        <f>'Data Sheet'!I69/'Data Sheet'!I59</f>
        <v>0.13082415587558999</v>
      </c>
      <c r="J83" s="118">
        <f>'Data Sheet'!J69/'Data Sheet'!J59</f>
        <v>1.525042525042525</v>
      </c>
      <c r="K83" s="118">
        <f>'Data Sheet'!K69/'Data Sheet'!K59</f>
        <v>0.22363765038924277</v>
      </c>
      <c r="L83" s="109">
        <f>'Data Sheet'!K69/'Data Sheet'!K59</f>
        <v>0.22363765038924277</v>
      </c>
      <c r="N83" s="83"/>
      <c r="O83" s="83">
        <f t="shared" si="21"/>
        <v>0.13082415587558999</v>
      </c>
      <c r="P83" s="83">
        <f t="shared" si="22"/>
        <v>53.75</v>
      </c>
      <c r="Q83" s="86">
        <f t="shared" si="23"/>
        <v>6.0178595900342975</v>
      </c>
    </row>
    <row r="84" spans="1:17" x14ac:dyDescent="0.25">
      <c r="A84" s="81" t="s">
        <v>271</v>
      </c>
      <c r="B84" s="82"/>
      <c r="C84" s="109">
        <f>'Data Sheet'!C27/'Data Sheet'!C59</f>
        <v>0</v>
      </c>
      <c r="D84" s="109">
        <f>'Data Sheet'!D27/'Data Sheet'!D59</f>
        <v>1</v>
      </c>
      <c r="E84" s="109">
        <f>'Data Sheet'!E27/'Data Sheet'!E59</f>
        <v>4.8293089092422976E-2</v>
      </c>
      <c r="F84" s="109">
        <f>'Data Sheet'!F27/'Data Sheet'!F59</f>
        <v>2.624947501049979E-2</v>
      </c>
      <c r="G84" s="109">
        <f>'Data Sheet'!G27/'Data Sheet'!G59</f>
        <v>0.12645914396887159</v>
      </c>
      <c r="H84" s="109">
        <f>'Data Sheet'!H27/'Data Sheet'!H59</f>
        <v>9.9220623501199048E-2</v>
      </c>
      <c r="I84" s="109">
        <f>'Data Sheet'!I27/'Data Sheet'!I59</f>
        <v>9.1855258380733398E-2</v>
      </c>
      <c r="J84" s="118">
        <f>'Data Sheet'!J27/'Data Sheet'!J59</f>
        <v>0.1342846342846343</v>
      </c>
      <c r="K84" s="118">
        <f>'Data Sheet'!K27/'Data Sheet'!K59</f>
        <v>0.16904256394702255</v>
      </c>
      <c r="L84" s="109">
        <f>'Data Sheet'!K27/'Data Sheet'!K59</f>
        <v>0.16904256394702255</v>
      </c>
      <c r="N84" s="83"/>
      <c r="O84" s="83">
        <f t="shared" si="21"/>
        <v>0</v>
      </c>
      <c r="P84" s="83">
        <f t="shared" si="22"/>
        <v>1</v>
      </c>
      <c r="Q84" s="86">
        <f t="shared" si="23"/>
        <v>0.18644473521324062</v>
      </c>
    </row>
    <row r="85" spans="1:17" ht="23.25" x14ac:dyDescent="0.25">
      <c r="A85" s="81" t="s">
        <v>272</v>
      </c>
      <c r="B85" s="82" t="s">
        <v>273</v>
      </c>
      <c r="C85" s="109">
        <f>('Data Sheet'!C67+'Data Sheet'!C68)/'Data Sheet'!C17</f>
        <v>1.1070110701107012E-2</v>
      </c>
      <c r="D85" s="109">
        <f>('Data Sheet'!D67+'Data Sheet'!D68)/'Data Sheet'!D17</f>
        <v>5.6475170399221029E-2</v>
      </c>
      <c r="E85" s="109">
        <f>('Data Sheet'!E67+'Data Sheet'!E68)/'Data Sheet'!E17</f>
        <v>0.33910196445275959</v>
      </c>
      <c r="F85" s="109">
        <f>('Data Sheet'!F67+'Data Sheet'!F68)/'Data Sheet'!F17</f>
        <v>8.2568807339449546E-2</v>
      </c>
      <c r="G85" s="109">
        <f>('Data Sheet'!G67+'Data Sheet'!G68)/'Data Sheet'!G17</f>
        <v>0.12252298925009714</v>
      </c>
      <c r="H85" s="109">
        <f>('Data Sheet'!H67+'Data Sheet'!H68)/'Data Sheet'!H17</f>
        <v>0.10036751837591879</v>
      </c>
      <c r="I85" s="109">
        <f>('Data Sheet'!I67+'Data Sheet'!I68)/'Data Sheet'!I17</f>
        <v>0.2196143110885562</v>
      </c>
      <c r="J85" s="109">
        <f>('Data Sheet'!J67+'Data Sheet'!J68)/'Data Sheet'!J17</f>
        <v>0.22516268980477225</v>
      </c>
      <c r="K85" s="109">
        <f>('Data Sheet'!K67+'Data Sheet'!K68)/'Data Sheet'!K17</f>
        <v>0.29350785840538857</v>
      </c>
      <c r="L85" s="118">
        <f>('Data Sheet'!K67+'Data Sheet'!K68)/'Data Sheet'!K17</f>
        <v>0.29350785840538857</v>
      </c>
      <c r="N85" s="83">
        <f t="shared" si="20"/>
        <v>0.17438992782226587</v>
      </c>
      <c r="O85" s="83">
        <f t="shared" si="21"/>
        <v>1.1070110701107012E-2</v>
      </c>
      <c r="P85" s="83">
        <f t="shared" si="22"/>
        <v>0.33910196445275959</v>
      </c>
      <c r="Q85" s="86">
        <f t="shared" si="23"/>
        <v>0.17438992782226587</v>
      </c>
    </row>
    <row r="86" spans="1:17" ht="23.25" x14ac:dyDescent="0.25">
      <c r="A86" s="81" t="s">
        <v>274</v>
      </c>
      <c r="B86" s="82" t="s">
        <v>275</v>
      </c>
      <c r="C86" s="97">
        <f>'Balance Sheet'!C13/'Balance Sheet'!C7</f>
        <v>0.84615384615384615</v>
      </c>
      <c r="D86" s="97">
        <f>'Balance Sheet'!D13/'Balance Sheet'!D7</f>
        <v>2.6278317152103559</v>
      </c>
      <c r="E86" s="97">
        <f>'Balance Sheet'!E13/'Balance Sheet'!E7</f>
        <v>1.6375886524822696</v>
      </c>
      <c r="F86" s="97">
        <f>'Balance Sheet'!F13/'Balance Sheet'!F7</f>
        <v>4.4231754161331631</v>
      </c>
      <c r="G86" s="97">
        <f>'Balance Sheet'!G13/'Balance Sheet'!G7</f>
        <v>5.1612343966712899</v>
      </c>
      <c r="H86" s="97">
        <f>'Balance Sheet'!H13/'Balance Sheet'!H7</f>
        <v>5.3872416891284809</v>
      </c>
      <c r="I86" s="97">
        <f>'Balance Sheet'!I13/'Balance Sheet'!I7</f>
        <v>5.1391267123287667</v>
      </c>
      <c r="J86" s="97">
        <f>'Balance Sheet'!J13/'Balance Sheet'!J7</f>
        <v>8.3291115663997015</v>
      </c>
      <c r="K86" s="97">
        <f>'Balance Sheet'!K13/'Balance Sheet'!K7</f>
        <v>7.6536964980544759</v>
      </c>
      <c r="L86" s="97">
        <f>'Balance Sheet'!K13/'Balance Sheet'!K7</f>
        <v>7.6536964980544759</v>
      </c>
      <c r="N86" s="83"/>
      <c r="O86" s="107">
        <f t="shared" si="21"/>
        <v>0.84615384615384615</v>
      </c>
      <c r="P86" s="107">
        <f t="shared" si="22"/>
        <v>8.3291115663997015</v>
      </c>
      <c r="Q86" s="105">
        <f t="shared" si="23"/>
        <v>4.8858856990616832</v>
      </c>
    </row>
    <row r="87" spans="1:17" x14ac:dyDescent="0.25">
      <c r="A87" s="81" t="s">
        <v>276</v>
      </c>
      <c r="B87" s="82" t="s">
        <v>277</v>
      </c>
      <c r="C87" s="113">
        <f>C48/'Profit &amp; Loss'!C4</f>
        <v>-4.797047970479705E-2</v>
      </c>
      <c r="D87" s="113">
        <f>D48/'Profit &amp; Loss'!D4</f>
        <v>0.48977604673807201</v>
      </c>
      <c r="E87" s="113">
        <f>E48/'Profit &amp; Loss'!E4</f>
        <v>0.42048643592142193</v>
      </c>
      <c r="F87" s="113">
        <f>F48/'Profit &amp; Loss'!F4</f>
        <v>1.3626401630988787</v>
      </c>
      <c r="G87" s="113">
        <f>G48/'Profit &amp; Loss'!G4</f>
        <v>1.5543323403704183</v>
      </c>
      <c r="H87" s="113">
        <f>H48/'Profit &amp; Loss'!H4</f>
        <v>1.7091354567728385</v>
      </c>
      <c r="I87" s="113">
        <f>I48/'Profit &amp; Loss'!I4</f>
        <v>1.2267191068256789</v>
      </c>
      <c r="J87" s="113">
        <f>J48/'Profit &amp; Loss'!J4</f>
        <v>1.8968426126777538</v>
      </c>
      <c r="K87" s="113">
        <f>K48/'Profit &amp; Loss'!K4</f>
        <v>1.3070271819614963</v>
      </c>
      <c r="L87" s="113">
        <f>L48/'Profit &amp; Loss'!L4</f>
        <v>2.2564948453608253</v>
      </c>
      <c r="N87" s="83"/>
      <c r="O87" s="83">
        <f t="shared" si="21"/>
        <v>-4.797047970479705E-2</v>
      </c>
      <c r="P87" s="83">
        <f t="shared" si="22"/>
        <v>2.2564948453608253</v>
      </c>
      <c r="Q87" s="86">
        <f t="shared" si="23"/>
        <v>1.2175483710022585</v>
      </c>
    </row>
    <row r="88" spans="1:17" x14ac:dyDescent="0.25">
      <c r="A88" s="81" t="s">
        <v>278</v>
      </c>
      <c r="B88" s="82" t="s">
        <v>279</v>
      </c>
      <c r="C88" s="113">
        <f>C55/'Profit &amp; Loss'!C4</f>
        <v>1.5276752767527677</v>
      </c>
      <c r="D88" s="113">
        <f>D55/'Profit &amp; Loss'!D4</f>
        <v>4.2891918208373907</v>
      </c>
      <c r="E88" s="113">
        <f>E55/'Profit &amp; Loss'!E4</f>
        <v>3.4391955098222642</v>
      </c>
      <c r="F88" s="113">
        <f>F55/'Profit &amp; Loss'!F4</f>
        <v>4.3391946992864421</v>
      </c>
      <c r="G88" s="113">
        <f>G55/'Profit &amp; Loss'!G4</f>
        <v>3.9864007252946507</v>
      </c>
      <c r="H88" s="113">
        <f>H55/'Profit &amp; Loss'!H4</f>
        <v>3.5008750437521878</v>
      </c>
      <c r="I88" s="113">
        <f>I55/'Profit &amp; Loss'!I4</f>
        <v>3.0461177366150727</v>
      </c>
      <c r="J88" s="113">
        <f>J55/'Profit &amp; Loss'!J4</f>
        <v>3.6179320318148953</v>
      </c>
      <c r="K88" s="113">
        <f>K55/'Profit &amp; Loss'!K4</f>
        <v>3.6001050972149238</v>
      </c>
      <c r="L88" s="113">
        <f>L55/'Profit &amp; Loss'!L4</f>
        <v>6.2153402061855676</v>
      </c>
      <c r="N88" s="83"/>
      <c r="O88" s="83">
        <f t="shared" si="21"/>
        <v>1.5276752767527677</v>
      </c>
      <c r="P88" s="83">
        <f t="shared" si="22"/>
        <v>6.2153402061855676</v>
      </c>
      <c r="Q88" s="86">
        <f t="shared" si="23"/>
        <v>3.7562028147576165</v>
      </c>
    </row>
    <row r="89" spans="1:17" x14ac:dyDescent="0.25">
      <c r="A89" s="81" t="s">
        <v>280</v>
      </c>
      <c r="B89" s="82" t="s">
        <v>281</v>
      </c>
      <c r="C89" s="113">
        <f>C48/'Profit &amp; Loss'!C12</f>
        <v>1.368421052631579</v>
      </c>
      <c r="D89" s="113">
        <f>D48/'Profit &amp; Loss'!D12</f>
        <v>9.8627450980392144</v>
      </c>
      <c r="E89" s="113">
        <f>E48/'Profit &amp; Loss'!E12</f>
        <v>3.4576923076923078</v>
      </c>
      <c r="F89" s="113">
        <f>F48/'Profit &amp; Loss'!F12</f>
        <v>5.8119565217391314</v>
      </c>
      <c r="G89" s="113">
        <f>G48/'Profit &amp; Loss'!G12</f>
        <v>5.5406278855032314</v>
      </c>
      <c r="H89" s="113">
        <f>H48/'Profit &amp; Loss'!H12</f>
        <v>5.8584283143371314</v>
      </c>
      <c r="I89" s="113">
        <f>I48/'Profit &amp; Loss'!I12</f>
        <v>4.4030054644808736</v>
      </c>
      <c r="J89" s="113">
        <f>J48/'Profit &amp; Loss'!J12</f>
        <v>6.4645966814522753</v>
      </c>
      <c r="K89" s="113">
        <f>K48/'Profit &amp; Loss'!K12</f>
        <v>40.41358936484491</v>
      </c>
      <c r="L89" s="113">
        <f>L48/'Profit &amp; Loss'!L12</f>
        <v>-2.3364645602049534</v>
      </c>
      <c r="N89" s="83"/>
      <c r="O89" s="83">
        <f t="shared" si="21"/>
        <v>-2.3364645602049534</v>
      </c>
      <c r="P89" s="83">
        <f t="shared" si="22"/>
        <v>40.41358936484491</v>
      </c>
      <c r="Q89" s="86">
        <f t="shared" si="23"/>
        <v>8.0844598130515699</v>
      </c>
    </row>
    <row r="90" spans="1:17" x14ac:dyDescent="0.25">
      <c r="A90" s="81" t="s">
        <v>282</v>
      </c>
      <c r="B90" s="82" t="s">
        <v>283</v>
      </c>
      <c r="C90" s="107">
        <f>'Profit &amp; Loss'!C12/'Financial Analysis'!C55</f>
        <v>-2.294685990338164E-2</v>
      </c>
      <c r="D90" s="107">
        <f>'Profit &amp; Loss'!D12/'Financial Analysis'!D55</f>
        <v>1.1577752553916005E-2</v>
      </c>
      <c r="E90" s="107">
        <f>'Profit &amp; Loss'!E12/'Financial Analysis'!E55</f>
        <v>3.5359717122263025E-2</v>
      </c>
      <c r="F90" s="107">
        <f>'Profit &amp; Loss'!F12/'Financial Analysis'!F55</f>
        <v>5.4031831796558412E-2</v>
      </c>
      <c r="G90" s="107">
        <f>'Profit &amp; Loss'!G12/'Financial Analysis'!G55</f>
        <v>7.0372656681503637E-2</v>
      </c>
      <c r="H90" s="107">
        <f>'Profit &amp; Loss'!H12/'Financial Analysis'!H55</f>
        <v>8.3333333333333329E-2</v>
      </c>
      <c r="I90" s="107">
        <f>'Profit &amp; Loss'!I12/'Financial Analysis'!I55</f>
        <v>9.1463795580915885E-2</v>
      </c>
      <c r="J90" s="107">
        <f>'Profit &amp; Loss'!J12/'Financial Analysis'!J55</f>
        <v>8.1101606843072993E-2</v>
      </c>
      <c r="K90" s="107">
        <f>'Profit &amp; Loss'!K12/'Financial Analysis'!K55</f>
        <v>8.9834264407319432E-3</v>
      </c>
      <c r="L90" s="107">
        <f>'Profit &amp; Loss'!L12/'Financial Analysis'!L55</f>
        <v>-0.15538541155239446</v>
      </c>
      <c r="N90" s="83"/>
      <c r="O90" s="83">
        <f t="shared" si="21"/>
        <v>-0.15538541155239446</v>
      </c>
      <c r="P90" s="83">
        <f t="shared" si="22"/>
        <v>9.1463795580915885E-2</v>
      </c>
      <c r="Q90" s="86">
        <f t="shared" si="23"/>
        <v>2.5789184889651918E-2</v>
      </c>
    </row>
    <row r="91" spans="1:17" x14ac:dyDescent="0.25">
      <c r="A91" s="81" t="s">
        <v>284</v>
      </c>
      <c r="B91" s="82" t="s">
        <v>285</v>
      </c>
      <c r="C91" s="83"/>
      <c r="D91" s="83"/>
      <c r="E91" s="83"/>
      <c r="F91" s="83"/>
      <c r="G91" s="83"/>
      <c r="H91" s="83"/>
      <c r="I91" s="83"/>
      <c r="J91" s="83"/>
      <c r="K91" s="83"/>
      <c r="L91" s="83"/>
      <c r="N91" s="83"/>
      <c r="O91" s="83">
        <f t="shared" si="21"/>
        <v>0</v>
      </c>
      <c r="P91" s="83">
        <f t="shared" si="22"/>
        <v>0</v>
      </c>
      <c r="Q91" s="86" t="e">
        <f t="shared" si="23"/>
        <v>#DIV/0!</v>
      </c>
    </row>
    <row r="92" spans="1:17" x14ac:dyDescent="0.25">
      <c r="A92" s="81" t="s">
        <v>286</v>
      </c>
      <c r="B92" s="82" t="s">
        <v>287</v>
      </c>
      <c r="C92" s="83"/>
      <c r="D92" s="83"/>
      <c r="E92" s="83"/>
      <c r="F92" s="83"/>
      <c r="G92" s="83"/>
      <c r="H92" s="83"/>
      <c r="I92" s="83"/>
      <c r="J92" s="83"/>
      <c r="K92" s="83"/>
      <c r="L92" s="83"/>
      <c r="N92" s="83"/>
      <c r="O92" s="83">
        <f t="shared" si="21"/>
        <v>0</v>
      </c>
      <c r="P92" s="83">
        <f t="shared" si="22"/>
        <v>0</v>
      </c>
      <c r="Q92" s="86" t="e">
        <f t="shared" si="23"/>
        <v>#DIV/0!</v>
      </c>
    </row>
    <row r="93" spans="1:17" x14ac:dyDescent="0.25">
      <c r="A93" s="81" t="s">
        <v>288</v>
      </c>
      <c r="B93" s="82" t="s">
        <v>167</v>
      </c>
      <c r="C93" s="83"/>
      <c r="D93" s="83"/>
      <c r="E93" s="83"/>
      <c r="F93" s="83"/>
      <c r="G93" s="83"/>
      <c r="H93" s="83"/>
      <c r="I93" s="83"/>
      <c r="J93" s="83"/>
      <c r="K93" s="83"/>
      <c r="L93" s="83"/>
      <c r="N93" s="83"/>
      <c r="O93" s="83">
        <f t="shared" si="21"/>
        <v>0</v>
      </c>
      <c r="P93" s="83">
        <f t="shared" si="22"/>
        <v>0</v>
      </c>
      <c r="Q93" s="86" t="e">
        <f t="shared" si="23"/>
        <v>#DIV/0!</v>
      </c>
    </row>
    <row r="94" spans="1:17" x14ac:dyDescent="0.25">
      <c r="A94" s="81" t="s">
        <v>289</v>
      </c>
      <c r="B94" s="82" t="s">
        <v>167</v>
      </c>
      <c r="C94" s="83"/>
      <c r="D94" s="83"/>
      <c r="E94" s="83"/>
      <c r="F94" s="83"/>
      <c r="G94" s="83"/>
      <c r="H94" s="83"/>
      <c r="I94" s="83"/>
      <c r="J94" s="83"/>
      <c r="K94" s="83"/>
      <c r="L94" s="83"/>
      <c r="N94" s="83"/>
      <c r="O94" s="83">
        <f t="shared" si="21"/>
        <v>0</v>
      </c>
      <c r="P94" s="83">
        <f t="shared" si="22"/>
        <v>0</v>
      </c>
      <c r="Q94" s="86" t="e">
        <f t="shared" si="23"/>
        <v>#DIV/0!</v>
      </c>
    </row>
    <row r="95" spans="1:17" x14ac:dyDescent="0.25">
      <c r="A95" s="81" t="s">
        <v>47</v>
      </c>
      <c r="B95" s="82" t="s">
        <v>290</v>
      </c>
      <c r="C95" s="108">
        <f>IFERROR('Data Sheet'!C17/'Data Sheet'!C68,"NA")</f>
        <v>108.39999999999999</v>
      </c>
      <c r="D95" s="108">
        <f>IFERROR('Data Sheet'!D17/'Data Sheet'!D68,"NA")</f>
        <v>64.1875</v>
      </c>
      <c r="E95" s="108">
        <f>IFERROR('Data Sheet'!E17/'Data Sheet'!E68,"NA")</f>
        <v>71.266666666666666</v>
      </c>
      <c r="F95" s="108">
        <f>IFERROR('Data Sheet'!F17/'Data Sheet'!F68,"NA")</f>
        <v>26.69387755102041</v>
      </c>
      <c r="G95" s="108">
        <f>IFERROR('Data Sheet'!G17/'Data Sheet'!G68,"NA")</f>
        <v>21.153424657534245</v>
      </c>
      <c r="H95" s="108">
        <f>IFERROR('Data Sheet'!H17/'Data Sheet'!H68,"NA")</f>
        <v>24.843478260869567</v>
      </c>
      <c r="I95" s="108">
        <f>IFERROR('Data Sheet'!I17/'Data Sheet'!I68,"NA")</f>
        <v>28.049822064056936</v>
      </c>
      <c r="J95" s="108">
        <f>IFERROR('Data Sheet'!J17/'Data Sheet'!J68,"NA")</f>
        <v>39.817658349328212</v>
      </c>
      <c r="K95" s="108">
        <f>IFERROR('Data Sheet'!K17/'Data Sheet'!K68,"NA")</f>
        <v>48.344110854503469</v>
      </c>
      <c r="L95" s="108">
        <f>IFERROR('Data Sheet'!K17/'Data Sheet'!K68,"NA")</f>
        <v>48.344110854503469</v>
      </c>
      <c r="N95" s="83"/>
      <c r="O95" s="107">
        <f t="shared" si="21"/>
        <v>21.153424657534245</v>
      </c>
      <c r="P95" s="107">
        <f t="shared" si="22"/>
        <v>108.39999999999999</v>
      </c>
      <c r="Q95" s="105">
        <f t="shared" si="23"/>
        <v>48.110064925848292</v>
      </c>
    </row>
    <row r="96" spans="1:17" x14ac:dyDescent="0.25">
      <c r="A96" s="81" t="s">
        <v>291</v>
      </c>
      <c r="B96" s="82" t="s">
        <v>292</v>
      </c>
      <c r="C96" s="108">
        <f>'Data Sheet'!C17/'Data Sheet'!C62</f>
        <v>0.66178266178266176</v>
      </c>
      <c r="D96" s="108">
        <f>'Data Sheet'!D17/'Data Sheet'!D62</f>
        <v>0.43664965986394555</v>
      </c>
      <c r="E96" s="108">
        <f>'Data Sheet'!E17/'Data Sheet'!E62</f>
        <v>0.64748637189582059</v>
      </c>
      <c r="F96" s="108">
        <f>'Data Sheet'!F17/'Data Sheet'!F62</f>
        <v>0.62945139557266605</v>
      </c>
      <c r="G96" s="108">
        <f>'Data Sheet'!G17/'Data Sheet'!G62</f>
        <v>0.56328883052454948</v>
      </c>
      <c r="H96" s="108">
        <f>'Data Sheet'!H17/'Data Sheet'!H62</f>
        <v>0.73724275853170773</v>
      </c>
      <c r="I96" s="108">
        <f>'Data Sheet'!I17/'Data Sheet'!I62</f>
        <v>0.63863231242910379</v>
      </c>
      <c r="J96" s="108">
        <f>'Data Sheet'!J17/'Data Sheet'!J62</f>
        <v>0.64628181563288567</v>
      </c>
      <c r="K96" s="108">
        <f>'Data Sheet'!K17/'Data Sheet'!K62</f>
        <v>0.45079248858644155</v>
      </c>
      <c r="L96" s="108">
        <f>'Data Sheet'!K17/'Data Sheet'!K62</f>
        <v>0.45079248858644155</v>
      </c>
      <c r="N96" s="83"/>
      <c r="O96" s="107">
        <f t="shared" si="21"/>
        <v>0.43664965986394555</v>
      </c>
      <c r="P96" s="107">
        <f t="shared" si="22"/>
        <v>0.73724275853170773</v>
      </c>
      <c r="Q96" s="105">
        <f t="shared" si="23"/>
        <v>0.58624007834062242</v>
      </c>
    </row>
    <row r="97" spans="1:17" x14ac:dyDescent="0.25">
      <c r="A97" s="81" t="s">
        <v>293</v>
      </c>
      <c r="B97" s="82" t="s">
        <v>294</v>
      </c>
      <c r="N97" s="83"/>
      <c r="O97" s="83"/>
      <c r="P97" s="83"/>
      <c r="Q97" s="86"/>
    </row>
    <row r="98" spans="1:17" x14ac:dyDescent="0.25">
      <c r="A98" s="81" t="s">
        <v>295</v>
      </c>
      <c r="B98" s="82" t="s">
        <v>296</v>
      </c>
      <c r="C98" s="108">
        <f>IFERROR(('Data Sheet'!C68/'Data Sheet'!C17)*365,"NA")</f>
        <v>3.3671586715867159</v>
      </c>
      <c r="D98" s="108">
        <f>IFERROR(('Data Sheet'!D68/'Data Sheet'!D17)*365,"NA")</f>
        <v>5.6864654333008762</v>
      </c>
      <c r="E98" s="108">
        <f>IFERROR(('Data Sheet'!E68/'Data Sheet'!E17)*365,"NA")</f>
        <v>5.1216089803554725</v>
      </c>
      <c r="F98" s="108">
        <f>IFERROR(('Data Sheet'!F68/'Data Sheet'!F17)*365,"NA")</f>
        <v>13.673547400611621</v>
      </c>
      <c r="G98" s="108">
        <f>IFERROR(('Data Sheet'!G68/'Data Sheet'!G17)*365,"NA")</f>
        <v>17.254889263048828</v>
      </c>
      <c r="H98" s="108">
        <f>IFERROR(('Data Sheet'!H68/'Data Sheet'!H17)*365,"NA")</f>
        <v>14.69198459922996</v>
      </c>
      <c r="I98" s="108">
        <f>IFERROR(('Data Sheet'!I68/'Data Sheet'!I17)*365,"NA")</f>
        <v>13.012560263892416</v>
      </c>
      <c r="J98" s="108">
        <f>IFERROR(('Data Sheet'!J68/'Data Sheet'!J17)*365,"NA")</f>
        <v>9.1667871776331644</v>
      </c>
      <c r="K98" s="108">
        <f>IFERROR(('Data Sheet'!K68/'Data Sheet'!K17)*365,"NA")</f>
        <v>7.5500406057421294</v>
      </c>
      <c r="L98" s="108">
        <f>IFERROR(('Data Sheet'!K68/'Data Sheet'!K17)*365,"NA")</f>
        <v>7.5500406057421294</v>
      </c>
      <c r="N98" s="83"/>
      <c r="O98" s="97">
        <f t="shared" si="21"/>
        <v>3.3671586715867159</v>
      </c>
      <c r="P98" s="97">
        <f t="shared" si="22"/>
        <v>17.254889263048828</v>
      </c>
      <c r="Q98" s="108">
        <f t="shared" si="23"/>
        <v>9.7075083001143305</v>
      </c>
    </row>
    <row r="99" spans="1:17" ht="34.5" x14ac:dyDescent="0.25">
      <c r="A99" s="81" t="s">
        <v>297</v>
      </c>
      <c r="B99" s="82" t="s">
        <v>298</v>
      </c>
      <c r="C99" s="108">
        <f>IFERROR(('Data Sheet'!C67/'Data Sheet'!C17)*365,"NA")</f>
        <v>0.67343173431734327</v>
      </c>
      <c r="D99" s="108">
        <f>IFERROR(('Data Sheet'!D67/'Data Sheet'!D17)*365,"NA")</f>
        <v>14.9269717624148</v>
      </c>
      <c r="E99" s="108">
        <f>IFERROR(('Data Sheet'!E67/'Data Sheet'!E17)*365,"NA")</f>
        <v>118.65060804490177</v>
      </c>
      <c r="F99" s="108">
        <f>IFERROR(('Data Sheet'!F67/'Data Sheet'!F17)*365,"NA")</f>
        <v>16.464067278287462</v>
      </c>
      <c r="G99" s="108">
        <f>IFERROR(('Data Sheet'!G67/'Data Sheet'!G17)*365,"NA")</f>
        <v>27.466001813236627</v>
      </c>
      <c r="H99" s="108">
        <f>IFERROR(('Data Sheet'!H67/'Data Sheet'!H17)*365,"NA")</f>
        <v>21.942159607980397</v>
      </c>
      <c r="I99" s="108">
        <f>IFERROR(('Data Sheet'!I67/'Data Sheet'!I17)*365,"NA")</f>
        <v>67.146663283430613</v>
      </c>
      <c r="J99" s="108">
        <f>IFERROR(('Data Sheet'!J67/'Data Sheet'!J17)*365,"NA")</f>
        <v>73.017594601108712</v>
      </c>
      <c r="K99" s="108">
        <f>IFERROR(('Data Sheet'!K67/'Data Sheet'!K17)*365,"NA")</f>
        <v>99.580327712224715</v>
      </c>
      <c r="L99" s="108">
        <f>IFERROR(('Data Sheet'!K67/'Data Sheet'!K17)*365,"NA")</f>
        <v>99.580327712224715</v>
      </c>
      <c r="N99" s="83"/>
      <c r="O99" s="97">
        <f t="shared" si="21"/>
        <v>0.67343173431734327</v>
      </c>
      <c r="P99" s="97">
        <f t="shared" si="22"/>
        <v>118.65060804490177</v>
      </c>
      <c r="Q99" s="108">
        <f t="shared" si="23"/>
        <v>53.944815355012722</v>
      </c>
    </row>
    <row r="100" spans="1:17" ht="23.25" x14ac:dyDescent="0.25">
      <c r="A100" s="81" t="s">
        <v>299</v>
      </c>
      <c r="B100" s="82" t="s">
        <v>300</v>
      </c>
      <c r="C100" s="95"/>
      <c r="D100" s="95"/>
      <c r="E100" s="95"/>
      <c r="F100" s="95"/>
      <c r="G100" s="95"/>
      <c r="H100" s="95"/>
      <c r="I100" s="95"/>
      <c r="J100" s="95"/>
      <c r="K100" s="95"/>
      <c r="N100" s="83"/>
      <c r="O100" s="83"/>
      <c r="P100" s="83"/>
      <c r="Q100" s="86"/>
    </row>
    <row r="101" spans="1:17" x14ac:dyDescent="0.25">
      <c r="A101" s="81" t="s">
        <v>301</v>
      </c>
      <c r="B101" s="82" t="s">
        <v>302</v>
      </c>
      <c r="C101" s="95"/>
      <c r="D101" s="95"/>
      <c r="E101" s="95"/>
      <c r="F101" s="95"/>
      <c r="G101" s="95"/>
      <c r="H101" s="95"/>
      <c r="I101" s="95"/>
      <c r="J101" s="95"/>
      <c r="K101" s="95"/>
      <c r="N101" s="83"/>
      <c r="O101" s="83"/>
      <c r="P101" s="83"/>
      <c r="Q101" s="86"/>
    </row>
    <row r="102" spans="1:17" x14ac:dyDescent="0.25">
      <c r="A102" s="81" t="s">
        <v>303</v>
      </c>
      <c r="B102" s="82" t="s">
        <v>302</v>
      </c>
      <c r="N102" s="83"/>
      <c r="O102" s="83"/>
      <c r="P102" s="83"/>
      <c r="Q102" s="86"/>
    </row>
    <row r="103" spans="1:17" x14ac:dyDescent="0.25">
      <c r="A103" s="81" t="s">
        <v>116</v>
      </c>
      <c r="B103" s="82"/>
      <c r="D103">
        <f>'Data Sheet'!D30</f>
        <v>0.51</v>
      </c>
      <c r="E103">
        <f>'Data Sheet'!E30</f>
        <v>2.6</v>
      </c>
      <c r="F103">
        <f>'Data Sheet'!F30</f>
        <v>9.1999999999999993</v>
      </c>
      <c r="G103">
        <f>'Data Sheet'!G30</f>
        <v>21.66</v>
      </c>
      <c r="H103">
        <f>'Data Sheet'!H30</f>
        <v>33.340000000000003</v>
      </c>
      <c r="I103">
        <f>'Data Sheet'!I30</f>
        <v>43.92</v>
      </c>
      <c r="J103">
        <f>'Data Sheet'!J30</f>
        <v>60.87</v>
      </c>
      <c r="K103">
        <f>'Data Sheet'!K30</f>
        <v>6.77</v>
      </c>
      <c r="L103" s="117">
        <f>'Data Sheet'!K30</f>
        <v>6.77</v>
      </c>
      <c r="N103" s="99">
        <f>SUM(D103:L103)</f>
        <v>185.64000000000001</v>
      </c>
      <c r="O103" s="83"/>
      <c r="P103" s="83"/>
      <c r="Q103" s="86"/>
    </row>
    <row r="104" spans="1:17" x14ac:dyDescent="0.25">
      <c r="A104" s="81" t="s">
        <v>304</v>
      </c>
      <c r="B104" s="82"/>
      <c r="D104">
        <f>'Data Sheet'!D82</f>
        <v>-1.1200000000000001</v>
      </c>
      <c r="E104">
        <f>'Data Sheet'!E82</f>
        <v>2.31</v>
      </c>
      <c r="F104">
        <f>'Data Sheet'!F82</f>
        <v>10.66</v>
      </c>
      <c r="G104">
        <f>'Data Sheet'!G82</f>
        <v>6.4</v>
      </c>
      <c r="H104">
        <f>'Data Sheet'!H82</f>
        <v>-13.86</v>
      </c>
      <c r="I104">
        <f>'Data Sheet'!I82</f>
        <v>35.24</v>
      </c>
      <c r="J104">
        <f>'Data Sheet'!J82</f>
        <v>59.02</v>
      </c>
      <c r="K104">
        <f>'Data Sheet'!K82</f>
        <v>-12.58</v>
      </c>
      <c r="L104" s="117">
        <f>'Data Sheet'!K82</f>
        <v>-12.58</v>
      </c>
      <c r="N104" s="99">
        <f t="shared" ref="N104:N105" si="24">SUM(D104:L104)</f>
        <v>73.490000000000009</v>
      </c>
      <c r="O104" s="83"/>
      <c r="P104" s="83"/>
      <c r="Q104" s="86"/>
    </row>
    <row r="105" spans="1:17" x14ac:dyDescent="0.25">
      <c r="A105" s="81" t="s">
        <v>305</v>
      </c>
      <c r="B105" s="82" t="s">
        <v>306</v>
      </c>
      <c r="D105" s="98">
        <f>'Data Sheet'!D82-'Financial Analysis'!D45</f>
        <v>-33.47</v>
      </c>
      <c r="E105" s="98">
        <f>'Data Sheet'!E82-'Financial Analysis'!E45</f>
        <v>-25.120000000000005</v>
      </c>
      <c r="F105" s="98">
        <f>'Data Sheet'!F82-'Financial Analysis'!F45</f>
        <v>-43.930000000000007</v>
      </c>
      <c r="G105" s="98">
        <f>'Data Sheet'!G82-'Financial Analysis'!G45</f>
        <v>-43.859999999999985</v>
      </c>
      <c r="H105" s="98">
        <f>'Data Sheet'!H82-'Financial Analysis'!H45</f>
        <v>-65.41</v>
      </c>
      <c r="I105" s="98">
        <f>'Data Sheet'!I82-'Financial Analysis'!I45</f>
        <v>-62.270000000000017</v>
      </c>
      <c r="J105" s="98">
        <f>'Data Sheet'!J82-'Financial Analysis'!J45</f>
        <v>-38.269999999999989</v>
      </c>
      <c r="K105" s="98">
        <f>'Data Sheet'!K82-'Financial Analysis'!K45</f>
        <v>-180.64000000000001</v>
      </c>
      <c r="L105" s="98">
        <f>'Data Sheet'!K82-'Financial Analysis'!K45</f>
        <v>-180.64000000000001</v>
      </c>
      <c r="N105" s="99">
        <f t="shared" si="24"/>
        <v>-673.61</v>
      </c>
      <c r="O105" s="83"/>
      <c r="P105" s="83"/>
      <c r="Q105" s="86"/>
    </row>
    <row r="106" spans="1:17" x14ac:dyDescent="0.25">
      <c r="A106" s="81"/>
      <c r="B106" s="82"/>
      <c r="D106" s="98"/>
      <c r="N106" s="83"/>
      <c r="O106" s="83"/>
      <c r="P106" s="83"/>
      <c r="Q106" s="86"/>
    </row>
    <row r="107" spans="1:17" x14ac:dyDescent="0.25">
      <c r="A107" s="81" t="s">
        <v>571</v>
      </c>
      <c r="B107" s="82"/>
      <c r="C107" s="98"/>
      <c r="D107" s="311">
        <f>D42/D104</f>
        <v>0</v>
      </c>
      <c r="E107" s="311">
        <f t="shared" ref="E107:L107" si="25">E42/E104</f>
        <v>0</v>
      </c>
      <c r="F107" s="311">
        <f t="shared" si="25"/>
        <v>0</v>
      </c>
      <c r="G107" s="311">
        <f t="shared" si="25"/>
        <v>111.32887514218751</v>
      </c>
      <c r="H107" s="311">
        <f t="shared" si="25"/>
        <v>-66.704417793650805</v>
      </c>
      <c r="I107" s="311">
        <f t="shared" si="25"/>
        <v>31.139953933314416</v>
      </c>
      <c r="J107" s="311">
        <f t="shared" si="25"/>
        <v>28.778747954185022</v>
      </c>
      <c r="K107" s="311">
        <f t="shared" si="25"/>
        <v>-26.432430835930049</v>
      </c>
      <c r="L107" s="311">
        <f t="shared" si="25"/>
        <v>-26.432430835930049</v>
      </c>
      <c r="N107" s="83"/>
      <c r="O107" s="83"/>
      <c r="P107" s="83"/>
      <c r="Q107" s="86"/>
    </row>
    <row r="108" spans="1:17" ht="18.75" x14ac:dyDescent="0.25">
      <c r="A108" s="75" t="s">
        <v>307</v>
      </c>
      <c r="B108" s="82"/>
      <c r="C108" s="85">
        <f>C80</f>
        <v>39538</v>
      </c>
      <c r="D108" s="85">
        <f t="shared" ref="D108:L108" si="26">D80</f>
        <v>39903</v>
      </c>
      <c r="E108" s="85">
        <f t="shared" si="26"/>
        <v>40268</v>
      </c>
      <c r="F108" s="85">
        <f t="shared" si="26"/>
        <v>40633</v>
      </c>
      <c r="G108" s="85">
        <f t="shared" si="26"/>
        <v>40999</v>
      </c>
      <c r="H108" s="85">
        <f t="shared" si="26"/>
        <v>41364</v>
      </c>
      <c r="I108" s="85">
        <f t="shared" si="26"/>
        <v>41729</v>
      </c>
      <c r="J108" s="85">
        <f t="shared" si="26"/>
        <v>42094</v>
      </c>
      <c r="K108" s="85">
        <f t="shared" si="26"/>
        <v>42460</v>
      </c>
      <c r="L108" s="85" t="str">
        <f t="shared" si="26"/>
        <v>Trailing</v>
      </c>
      <c r="O108" s="83">
        <f t="shared" si="21"/>
        <v>39538</v>
      </c>
      <c r="P108" s="83">
        <f t="shared" si="22"/>
        <v>42460</v>
      </c>
      <c r="Q108" s="86">
        <f t="shared" si="23"/>
        <v>40998.666666666664</v>
      </c>
    </row>
    <row r="109" spans="1:17" x14ac:dyDescent="0.25">
      <c r="A109" s="81" t="s">
        <v>308</v>
      </c>
      <c r="B109" s="82" t="s">
        <v>309</v>
      </c>
      <c r="C109" s="105">
        <f>('Data Sheet'!C59)/('Data Sheet'!C57+'Data Sheet'!C58)</f>
        <v>1.8450184501845015E-2</v>
      </c>
      <c r="D109" s="105">
        <f>('Data Sheet'!D59)/('Data Sheet'!D57+'Data Sheet'!D58)</f>
        <v>9.0888434446716659E-4</v>
      </c>
      <c r="E109" s="105">
        <f>('Data Sheet'!E59)/('Data Sheet'!E57+'Data Sheet'!E58)</f>
        <v>0.19522106631989594</v>
      </c>
      <c r="F109" s="105">
        <f>('Data Sheet'!F59)/('Data Sheet'!F57+'Data Sheet'!F58)</f>
        <v>0.38825927435792906</v>
      </c>
      <c r="G109" s="105">
        <f>('Data Sheet'!G59)/('Data Sheet'!G57+'Data Sheet'!G58)</f>
        <v>0.20047583759116971</v>
      </c>
      <c r="H109" s="105">
        <f>('Data Sheet'!H59)/('Data Sheet'!H57+'Data Sheet'!H58)</f>
        <v>0.20014398848092152</v>
      </c>
      <c r="I109" s="105">
        <f>('Data Sheet'!I59)/('Data Sheet'!I57+'Data Sheet'!I58)</f>
        <v>0.20784284133212597</v>
      </c>
      <c r="J109" s="105">
        <f>('Data Sheet'!J59)/('Data Sheet'!J57+'Data Sheet'!J58)</f>
        <v>0.16413326715473381</v>
      </c>
      <c r="K109" s="105">
        <f>('Data Sheet'!K59)/('Data Sheet'!K57+'Data Sheet'!K58)</f>
        <v>0.15107682908202227</v>
      </c>
      <c r="L109" s="105">
        <f>('Data Sheet'!K59)/('Data Sheet'!K57+'Data Sheet'!K58)</f>
        <v>0.15107682908202227</v>
      </c>
      <c r="N109" s="83">
        <f t="shared" ref="N109:N118" si="27">(L109/C109)^(1/(9-1))-1</f>
        <v>0.30061765042043587</v>
      </c>
      <c r="O109" s="83">
        <f t="shared" si="21"/>
        <v>9.0888434446716659E-4</v>
      </c>
      <c r="P109" s="83">
        <f t="shared" si="22"/>
        <v>0.38825927435792906</v>
      </c>
      <c r="Q109" s="86">
        <f t="shared" si="23"/>
        <v>0.16775890022471329</v>
      </c>
    </row>
    <row r="110" spans="1:17" x14ac:dyDescent="0.25">
      <c r="A110" s="81" t="s">
        <v>310</v>
      </c>
      <c r="B110" s="82" t="s">
        <v>311</v>
      </c>
      <c r="C110" s="108" t="e">
        <f>C54/'Profit &amp; Loss'!C9</f>
        <v>#DIV/0!</v>
      </c>
      <c r="D110" s="108">
        <f>D54/'Profit &amp; Loss'!D9</f>
        <v>14.250000000000002</v>
      </c>
      <c r="E110" s="108">
        <f>E54/'Profit &amp; Loss'!E9</f>
        <v>7.9137931034482758</v>
      </c>
      <c r="F110" s="108">
        <f>F54/'Profit &amp; Loss'!F9</f>
        <v>11.904</v>
      </c>
      <c r="G110" s="108">
        <f>G54/'Profit &amp; Loss'!G9</f>
        <v>5.86</v>
      </c>
      <c r="H110" s="108">
        <f>H54/'Profit &amp; Loss'!H9</f>
        <v>8.3836858006042299</v>
      </c>
      <c r="I110" s="108">
        <f>I54/'Profit &amp; Loss'!I9</f>
        <v>9.6982872200263497</v>
      </c>
      <c r="J110" s="108">
        <f>J54/'Profit &amp; Loss'!J9</f>
        <v>6.9627023223082327</v>
      </c>
      <c r="K110" s="108">
        <f>K54/'Profit &amp; Loss'!K9</f>
        <v>1.9706937799043065</v>
      </c>
      <c r="L110" s="108">
        <f>L54/'Profit &amp; Loss'!L9</f>
        <v>2.3468660968660973</v>
      </c>
      <c r="N110" s="83" t="e">
        <f t="shared" si="27"/>
        <v>#DIV/0!</v>
      </c>
      <c r="O110" s="83" t="e">
        <f t="shared" si="21"/>
        <v>#DIV/0!</v>
      </c>
      <c r="P110" s="83" t="e">
        <f t="shared" si="22"/>
        <v>#DIV/0!</v>
      </c>
      <c r="Q110" s="86" t="e">
        <f t="shared" si="23"/>
        <v>#DIV/0!</v>
      </c>
    </row>
    <row r="111" spans="1:17" ht="23.25" x14ac:dyDescent="0.25">
      <c r="A111" s="81" t="s">
        <v>312</v>
      </c>
      <c r="B111" s="82" t="s">
        <v>313</v>
      </c>
      <c r="C111" s="108">
        <f>'Data Sheet'!C82/('Data Sheet'!C59+'Data Sheet'!C60)</f>
        <v>0.6684782608695653</v>
      </c>
      <c r="D111" s="108">
        <f>'Data Sheet'!D82/('Data Sheet'!D59+'Data Sheet'!D60)</f>
        <v>-0.3578274760383387</v>
      </c>
      <c r="E111" s="108">
        <f>'Data Sheet'!E82/('Data Sheet'!E59+'Data Sheet'!E60)</f>
        <v>8.8471849865951746E-2</v>
      </c>
      <c r="F111" s="108">
        <f>'Data Sheet'!F82/('Data Sheet'!F59+'Data Sheet'!F60)</f>
        <v>0.1685641998734978</v>
      </c>
      <c r="G111" s="108">
        <f>'Data Sheet'!G82/('Data Sheet'!G59+'Data Sheet'!G60)</f>
        <v>7.9760717846460633E-2</v>
      </c>
      <c r="H111" s="108">
        <f>'Data Sheet'!H82/('Data Sheet'!H59+'Data Sheet'!H60)</f>
        <v>-0.12459546925566342</v>
      </c>
      <c r="I111" s="108">
        <f>'Data Sheet'!I82/('Data Sheet'!I59+'Data Sheet'!I60)</f>
        <v>0.27243911867027448</v>
      </c>
      <c r="J111" s="108">
        <f>'Data Sheet'!J82/('Data Sheet'!J59+'Data Sheet'!J60)</f>
        <v>0.37000814995925024</v>
      </c>
      <c r="K111" s="108">
        <f>'Data Sheet'!K82/('Data Sheet'!K59+'Data Sheet'!K60)</f>
        <v>-8.9837891880311369E-2</v>
      </c>
      <c r="L111" s="108">
        <f>'Data Sheet'!K82/('Data Sheet'!K59+'Data Sheet'!K60)</f>
        <v>-8.9837891880311369E-2</v>
      </c>
      <c r="N111" s="83" t="e">
        <f t="shared" si="27"/>
        <v>#NUM!</v>
      </c>
      <c r="O111" s="107">
        <f t="shared" si="21"/>
        <v>-0.3578274760383387</v>
      </c>
      <c r="P111" s="107">
        <f t="shared" si="22"/>
        <v>0.6684782608695653</v>
      </c>
      <c r="Q111" s="105">
        <f t="shared" si="23"/>
        <v>9.8562356803037557E-2</v>
      </c>
    </row>
    <row r="112" spans="1:17" ht="23.25" x14ac:dyDescent="0.25">
      <c r="A112" s="81" t="s">
        <v>314</v>
      </c>
      <c r="B112" s="82" t="s">
        <v>275</v>
      </c>
      <c r="C112" s="108">
        <f>C86</f>
        <v>0.84615384615384615</v>
      </c>
      <c r="D112" s="108">
        <f t="shared" ref="D112:L112" si="28">D86</f>
        <v>2.6278317152103559</v>
      </c>
      <c r="E112" s="108">
        <f t="shared" si="28"/>
        <v>1.6375886524822696</v>
      </c>
      <c r="F112" s="108">
        <f t="shared" si="28"/>
        <v>4.4231754161331631</v>
      </c>
      <c r="G112" s="108">
        <f t="shared" si="28"/>
        <v>5.1612343966712899</v>
      </c>
      <c r="H112" s="108">
        <f t="shared" si="28"/>
        <v>5.3872416891284809</v>
      </c>
      <c r="I112" s="108">
        <f t="shared" si="28"/>
        <v>5.1391267123287667</v>
      </c>
      <c r="J112" s="108">
        <f t="shared" si="28"/>
        <v>8.3291115663997015</v>
      </c>
      <c r="K112" s="108">
        <f t="shared" si="28"/>
        <v>7.6536964980544759</v>
      </c>
      <c r="L112" s="108">
        <f t="shared" si="28"/>
        <v>7.6536964980544759</v>
      </c>
      <c r="N112" s="83">
        <f t="shared" si="27"/>
        <v>0.31689981897312869</v>
      </c>
      <c r="O112" s="107">
        <f t="shared" si="21"/>
        <v>0.84615384615384615</v>
      </c>
      <c r="P112" s="107">
        <f t="shared" si="22"/>
        <v>8.3291115663997015</v>
      </c>
      <c r="Q112" s="105">
        <f t="shared" si="23"/>
        <v>4.8858856990616832</v>
      </c>
    </row>
    <row r="113" spans="1:17" ht="34.5" x14ac:dyDescent="0.25">
      <c r="A113" s="81" t="s">
        <v>315</v>
      </c>
      <c r="B113" s="82" t="s">
        <v>316</v>
      </c>
      <c r="C113" s="108">
        <f>('Data Sheet'!C65-'Data Sheet'!C68)/'Data Sheet'!C60</f>
        <v>0.81656804733727806</v>
      </c>
      <c r="D113" s="108">
        <f>('Data Sheet'!D65-'Data Sheet'!D68)/'Data Sheet'!D60</f>
        <v>2.5760517799352751</v>
      </c>
      <c r="E113" s="108">
        <f>('Data Sheet'!E65-'Data Sheet'!E68)/'Data Sheet'!E60</f>
        <v>1.6163120567375886</v>
      </c>
      <c r="F113" s="108">
        <f>('Data Sheet'!F65-'Data Sheet'!F68)/'Data Sheet'!F60</f>
        <v>4.3290653008962874</v>
      </c>
      <c r="G113" s="108">
        <f>('Data Sheet'!G65-'Data Sheet'!G68)/'Data Sheet'!G60</f>
        <v>5.0346740638002769</v>
      </c>
      <c r="H113" s="108">
        <f>('Data Sheet'!H65-'Data Sheet'!H68)/'Data Sheet'!H60</f>
        <v>5.2839173405211142</v>
      </c>
      <c r="I113" s="108">
        <f>('Data Sheet'!I65-'Data Sheet'!I68)/'Data Sheet'!I60</f>
        <v>5.0188356164383556</v>
      </c>
      <c r="J113" s="108">
        <f>('Data Sheet'!J65-'Data Sheet'!J68)/'Data Sheet'!J60</f>
        <v>8.2320730117340286</v>
      </c>
      <c r="K113" s="108">
        <f>('Data Sheet'!K65-'Data Sheet'!K68)/'Data Sheet'!K60</f>
        <v>7.5483949416342426</v>
      </c>
      <c r="L113" s="108">
        <f>('Data Sheet'!K65-'Data Sheet'!K68)/'Data Sheet'!K60</f>
        <v>7.5483949416342426</v>
      </c>
      <c r="N113" s="83">
        <f t="shared" si="27"/>
        <v>0.32048289268236196</v>
      </c>
      <c r="O113" s="107">
        <f t="shared" si="21"/>
        <v>0.81656804733727806</v>
      </c>
      <c r="P113" s="107">
        <f t="shared" si="22"/>
        <v>8.2320730117340286</v>
      </c>
      <c r="Q113" s="105">
        <f t="shared" si="23"/>
        <v>4.8004287100668694</v>
      </c>
    </row>
    <row r="114" spans="1:17" ht="34.5" x14ac:dyDescent="0.25">
      <c r="A114" s="81" t="s">
        <v>317</v>
      </c>
      <c r="B114" s="82" t="s">
        <v>318</v>
      </c>
      <c r="C114" s="108">
        <f>'Data Sheet'!C69/'Data Sheet'!C60</f>
        <v>0.10650887573964497</v>
      </c>
      <c r="D114" s="108">
        <f>'Data Sheet'!D69/'Data Sheet'!D60</f>
        <v>0.69579288025889963</v>
      </c>
      <c r="E114" s="108">
        <f>'Data Sheet'!E69/'Data Sheet'!E60</f>
        <v>0.73333333333333339</v>
      </c>
      <c r="F114" s="108">
        <f>'Data Sheet'!F69/'Data Sheet'!F60</f>
        <v>1.8489116517285531</v>
      </c>
      <c r="G114" s="108">
        <f>'Data Sheet'!G69/'Data Sheet'!G60</f>
        <v>1.6536061026352287</v>
      </c>
      <c r="H114" s="108">
        <f>'Data Sheet'!H69/'Data Sheet'!H60</f>
        <v>1.0943396226415094</v>
      </c>
      <c r="I114" s="108">
        <f>'Data Sheet'!I69/'Data Sheet'!I60</f>
        <v>0.23137842465753428</v>
      </c>
      <c r="J114" s="108">
        <f>'Data Sheet'!J69/'Data Sheet'!J60</f>
        <v>3.0057738871298194</v>
      </c>
      <c r="K114" s="108">
        <f>'Data Sheet'!K69/'Data Sheet'!K60</f>
        <v>0.53793774319066157</v>
      </c>
      <c r="L114" s="108">
        <f>'Data Sheet'!K69/'Data Sheet'!K60</f>
        <v>0.53793774319066157</v>
      </c>
      <c r="N114" s="83">
        <f t="shared" si="27"/>
        <v>0.22438577987360664</v>
      </c>
      <c r="O114" s="107">
        <f t="shared" si="21"/>
        <v>0.10650887573964497</v>
      </c>
      <c r="P114" s="107">
        <f t="shared" si="22"/>
        <v>3.0057738871298194</v>
      </c>
      <c r="Q114" s="105">
        <f t="shared" si="23"/>
        <v>1.0445520264505848</v>
      </c>
    </row>
    <row r="115" spans="1:17" ht="23.25" x14ac:dyDescent="0.25">
      <c r="A115" s="81" t="s">
        <v>319</v>
      </c>
      <c r="B115" s="82" t="s">
        <v>320</v>
      </c>
      <c r="C115" s="108">
        <f>'Data Sheet'!C82/'Data Sheet'!C60</f>
        <v>0.72781065088757402</v>
      </c>
      <c r="D115" s="108">
        <f>'Data Sheet'!D82/'Data Sheet'!D60</f>
        <v>-0.36245954692556637</v>
      </c>
      <c r="E115" s="108">
        <f>'Data Sheet'!E82/'Data Sheet'!E60</f>
        <v>0.16382978723404257</v>
      </c>
      <c r="F115" s="108">
        <f>'Data Sheet'!F82/'Data Sheet'!F60</f>
        <v>0.68245838668373882</v>
      </c>
      <c r="G115" s="108">
        <f>'Data Sheet'!G82/'Data Sheet'!G60</f>
        <v>0.22191400832177532</v>
      </c>
      <c r="H115" s="108">
        <f>'Data Sheet'!H82/'Data Sheet'!H60</f>
        <v>-0.31132075471698112</v>
      </c>
      <c r="I115" s="108">
        <f>'Data Sheet'!I82/'Data Sheet'!I60</f>
        <v>0.75428082191780832</v>
      </c>
      <c r="J115" s="108">
        <f>'Data Sheet'!J82/'Data Sheet'!J60</f>
        <v>1.0992736077481842</v>
      </c>
      <c r="K115" s="108">
        <f>'Data Sheet'!K82/'Data Sheet'!K60</f>
        <v>-0.30593385214007784</v>
      </c>
      <c r="L115" s="108">
        <f>'Data Sheet'!K82/'Data Sheet'!K60</f>
        <v>-0.30593385214007784</v>
      </c>
      <c r="N115" s="83" t="e">
        <f t="shared" si="27"/>
        <v>#NUM!</v>
      </c>
      <c r="O115" s="107">
        <f t="shared" si="21"/>
        <v>-0.36245954692556637</v>
      </c>
      <c r="P115" s="107">
        <f t="shared" si="22"/>
        <v>1.0992736077481842</v>
      </c>
      <c r="Q115" s="105">
        <f t="shared" si="23"/>
        <v>0.23639192568704201</v>
      </c>
    </row>
    <row r="116" spans="1:17" ht="23.25" x14ac:dyDescent="0.25">
      <c r="A116" s="81" t="s">
        <v>321</v>
      </c>
      <c r="B116" s="82" t="s">
        <v>322</v>
      </c>
      <c r="C116" s="107">
        <f>'Data Sheet'!C82/'Financial Analysis'!C45</f>
        <v>0.13457330415754926</v>
      </c>
      <c r="D116" s="107">
        <f>'Data Sheet'!D82/'Financial Analysis'!D45</f>
        <v>-3.4621329211746522E-2</v>
      </c>
      <c r="E116" s="107">
        <f>'Data Sheet'!E82/'Financial Analysis'!E45</f>
        <v>8.421436383521691E-2</v>
      </c>
      <c r="F116" s="107">
        <f>'Data Sheet'!F82/'Financial Analysis'!F45</f>
        <v>0.19527385968126029</v>
      </c>
      <c r="G116" s="107">
        <f>'Data Sheet'!G82/'Financial Analysis'!G45</f>
        <v>0.12733784321528058</v>
      </c>
      <c r="H116" s="107">
        <f>'Data Sheet'!H82/'Financial Analysis'!H45</f>
        <v>-0.26886517943743937</v>
      </c>
      <c r="I116" s="107">
        <f>'Data Sheet'!I82/'Financial Analysis'!I45</f>
        <v>0.36139883088913954</v>
      </c>
      <c r="J116" s="107">
        <f>'Data Sheet'!J82/'Financial Analysis'!J45</f>
        <v>0.60663994244012753</v>
      </c>
      <c r="K116" s="107">
        <f>'Data Sheet'!K82/'Financial Analysis'!K45</f>
        <v>-7.485421873140545E-2</v>
      </c>
      <c r="L116" s="107">
        <f>'Data Sheet'!K82/'Financial Analysis'!K45</f>
        <v>-7.485421873140545E-2</v>
      </c>
      <c r="N116" s="83">
        <f>(L116/D116)^(1/(8-1))-1</f>
        <v>0.11644911784039258</v>
      </c>
      <c r="O116" s="83">
        <f t="shared" si="21"/>
        <v>-0.26886517943743937</v>
      </c>
      <c r="P116" s="83">
        <f t="shared" si="22"/>
        <v>0.60663994244012753</v>
      </c>
      <c r="Q116" s="86">
        <f t="shared" si="23"/>
        <v>0.10562431981065772</v>
      </c>
    </row>
    <row r="117" spans="1:17" ht="23.25" x14ac:dyDescent="0.25">
      <c r="A117" s="81" t="s">
        <v>323</v>
      </c>
      <c r="B117" s="82" t="s">
        <v>324</v>
      </c>
      <c r="C117" s="83">
        <f>'Data Sheet'!C82/'Data Sheet'!C17</f>
        <v>0.22693726937269373</v>
      </c>
      <c r="D117" s="83">
        <f>'Data Sheet'!D82/'Data Sheet'!D17</f>
        <v>-0.10905550146056477</v>
      </c>
      <c r="E117" s="83">
        <f>'Data Sheet'!E82/'Data Sheet'!E17</f>
        <v>0.10804490177736203</v>
      </c>
      <c r="F117" s="83">
        <f>'Data Sheet'!F82/'Data Sheet'!F17</f>
        <v>0.27166156982670742</v>
      </c>
      <c r="G117" s="83">
        <f>'Data Sheet'!G82/'Data Sheet'!G17</f>
        <v>8.2890817251651358E-2</v>
      </c>
      <c r="H117" s="83">
        <f>'Data Sheet'!H82/'Data Sheet'!H17</f>
        <v>-0.12128106405320266</v>
      </c>
      <c r="I117" s="83">
        <f>'Data Sheet'!I82/'Data Sheet'!I17</f>
        <v>0.22354732301446337</v>
      </c>
      <c r="J117" s="83">
        <f>'Data Sheet'!J82/'Data Sheet'!J17</f>
        <v>0.2845022897083635</v>
      </c>
      <c r="K117" s="83">
        <f>'Data Sheet'!K82/'Data Sheet'!K17</f>
        <v>-6.0096498351884582E-2</v>
      </c>
      <c r="L117" s="83">
        <f>'Data Sheet'!K82/'Data Sheet'!K17</f>
        <v>-6.0096498351884582E-2</v>
      </c>
      <c r="N117" s="83" t="e">
        <f t="shared" si="27"/>
        <v>#NUM!</v>
      </c>
      <c r="O117" s="83">
        <f t="shared" si="21"/>
        <v>-0.12128106405320266</v>
      </c>
      <c r="P117" s="83">
        <f t="shared" si="22"/>
        <v>0.2845022897083635</v>
      </c>
      <c r="Q117" s="86">
        <f t="shared" si="23"/>
        <v>8.4705460873370469E-2</v>
      </c>
    </row>
    <row r="118" spans="1:17" x14ac:dyDescent="0.25">
      <c r="A118" s="81" t="s">
        <v>325</v>
      </c>
      <c r="B118" s="82" t="s">
        <v>326</v>
      </c>
      <c r="C118" s="83">
        <f>'Data Sheet'!C85/'Data Sheet'!C17</f>
        <v>-1.8450184501845018E-2</v>
      </c>
      <c r="D118" s="83">
        <f>'Data Sheet'!D85/'Data Sheet'!D17</f>
        <v>0.19084712755598832</v>
      </c>
      <c r="E118" s="83">
        <f>'Data Sheet'!E85/'Data Sheet'!E17</f>
        <v>0.38353601496725909</v>
      </c>
      <c r="F118" s="83">
        <f>'Data Sheet'!F85/'Data Sheet'!F17</f>
        <v>0.47222222222222221</v>
      </c>
      <c r="G118" s="83">
        <f>'Data Sheet'!G85/'Data Sheet'!G17</f>
        <v>0.24375080948063724</v>
      </c>
      <c r="H118" s="83">
        <f>'Data Sheet'!H85/'Data Sheet'!H17</f>
        <v>9.0129506475323772E-3</v>
      </c>
      <c r="I118" s="83">
        <f>'Data Sheet'!I85/'Data Sheet'!I17</f>
        <v>-0.24048464856635371</v>
      </c>
      <c r="J118" s="83">
        <f>'Data Sheet'!J85/'Data Sheet'!J17</f>
        <v>0.725765244637262</v>
      </c>
      <c r="K118" s="83">
        <f>'Data Sheet'!K85/'Data Sheet'!K17</f>
        <v>-0.66521759900635358</v>
      </c>
      <c r="L118" s="83">
        <f>'Data Sheet'!K85/'Data Sheet'!K17</f>
        <v>-0.66521759900635358</v>
      </c>
      <c r="N118" s="83">
        <f t="shared" si="27"/>
        <v>0.5653821494616158</v>
      </c>
      <c r="O118" s="83">
        <f t="shared" si="21"/>
        <v>-0.66521759900635358</v>
      </c>
      <c r="P118" s="83">
        <f t="shared" si="22"/>
        <v>0.725765244637262</v>
      </c>
      <c r="Q118" s="86">
        <f t="shared" si="23"/>
        <v>4.3576433842999543E-2</v>
      </c>
    </row>
    <row r="119" spans="1:17" x14ac:dyDescent="0.25">
      <c r="O119" s="83">
        <f t="shared" si="21"/>
        <v>0</v>
      </c>
      <c r="P119" s="83">
        <f t="shared" si="22"/>
        <v>0</v>
      </c>
      <c r="Q119" s="86" t="e">
        <f t="shared" si="23"/>
        <v>#DIV/0!</v>
      </c>
    </row>
    <row r="120" spans="1:17" ht="18.75" x14ac:dyDescent="0.25">
      <c r="A120" s="75" t="s">
        <v>327</v>
      </c>
      <c r="O120" s="83">
        <f t="shared" si="21"/>
        <v>0</v>
      </c>
      <c r="P120" s="83">
        <f t="shared" si="22"/>
        <v>0</v>
      </c>
      <c r="Q120" s="86" t="e">
        <f t="shared" si="23"/>
        <v>#DIV/0!</v>
      </c>
    </row>
    <row r="121" spans="1:17" ht="68.25" x14ac:dyDescent="0.25">
      <c r="A121" s="81" t="s">
        <v>147</v>
      </c>
      <c r="B121" s="82" t="s">
        <v>328</v>
      </c>
      <c r="C121" s="111"/>
      <c r="D121" s="111"/>
      <c r="E121" s="111"/>
      <c r="F121" s="111"/>
      <c r="G121" s="111"/>
      <c r="H121" s="111"/>
      <c r="I121" s="111"/>
      <c r="J121" s="111"/>
      <c r="K121" s="111"/>
      <c r="O121" s="83"/>
      <c r="P121" s="83"/>
      <c r="Q121" s="86"/>
    </row>
    <row r="122" spans="1:17" x14ac:dyDescent="0.25">
      <c r="A122" s="112" t="s">
        <v>329</v>
      </c>
      <c r="B122" s="104"/>
      <c r="C122" s="111"/>
      <c r="D122" s="111"/>
      <c r="E122" s="111"/>
      <c r="F122" s="111"/>
      <c r="G122" s="111"/>
      <c r="H122" s="111"/>
      <c r="I122" s="111"/>
      <c r="J122" s="111"/>
      <c r="K122" s="111"/>
      <c r="O122" s="83"/>
      <c r="P122" s="83"/>
      <c r="Q122" s="86"/>
    </row>
    <row r="123" spans="1:17" x14ac:dyDescent="0.25">
      <c r="A123" s="81" t="s">
        <v>330</v>
      </c>
      <c r="B123" s="82" t="s">
        <v>331</v>
      </c>
      <c r="C123" s="108">
        <f>Other_input_data!C69</f>
        <v>0</v>
      </c>
      <c r="D123" s="108">
        <f>Other_input_data!D69</f>
        <v>0</v>
      </c>
      <c r="E123" s="108">
        <f>Other_input_data!E69</f>
        <v>0</v>
      </c>
      <c r="F123" s="108">
        <f>Other_input_data!F69</f>
        <v>0</v>
      </c>
      <c r="G123" s="108">
        <f>Other_input_data!G69</f>
        <v>32.894958490766392</v>
      </c>
      <c r="H123" s="108">
        <f>Other_input_data!H69</f>
        <v>27.730150888422315</v>
      </c>
      <c r="I123" s="108">
        <f>Other_input_data!I69</f>
        <v>24.98570074248634</v>
      </c>
      <c r="J123" s="108">
        <f>Other_input_data!J69</f>
        <v>27.904085826449815</v>
      </c>
      <c r="K123" s="108">
        <f>Other_input_data!K69</f>
        <v>49.116688318463822</v>
      </c>
      <c r="L123" s="108">
        <f>Other_input_data!L69</f>
        <v>-0.65943637916310849</v>
      </c>
      <c r="O123" s="97">
        <f>MIN(D123:L123)</f>
        <v>-0.65943637916310849</v>
      </c>
      <c r="P123" s="97">
        <f>MAX(D123:L123)</f>
        <v>49.116688318463822</v>
      </c>
      <c r="Q123" s="108">
        <f>AVERAGE(D123:L123)</f>
        <v>17.996905320825064</v>
      </c>
    </row>
    <row r="124" spans="1:17" ht="23.25" x14ac:dyDescent="0.25">
      <c r="A124" s="112" t="s">
        <v>332</v>
      </c>
      <c r="B124" s="104" t="s">
        <v>333</v>
      </c>
      <c r="O124" s="97"/>
      <c r="P124" s="97"/>
      <c r="Q124" s="108"/>
    </row>
    <row r="125" spans="1:17" x14ac:dyDescent="0.25">
      <c r="A125" s="112" t="s">
        <v>145</v>
      </c>
      <c r="B125" s="104" t="s">
        <v>334</v>
      </c>
      <c r="O125" s="97"/>
      <c r="P125" s="97"/>
      <c r="Q125" s="108"/>
    </row>
    <row r="126" spans="1:17" x14ac:dyDescent="0.25">
      <c r="A126" s="81" t="s">
        <v>335</v>
      </c>
      <c r="B126" s="82" t="s">
        <v>336</v>
      </c>
      <c r="D126" s="105">
        <f t="shared" ref="D126:L126" si="29">(D123/D8)/100</f>
        <v>0</v>
      </c>
      <c r="E126" s="105">
        <f t="shared" si="29"/>
        <v>0</v>
      </c>
      <c r="F126" s="105">
        <f t="shared" si="29"/>
        <v>0</v>
      </c>
      <c r="G126" s="105">
        <f t="shared" si="29"/>
        <v>0.48571426927061556</v>
      </c>
      <c r="H126" s="105">
        <f t="shared" si="29"/>
        <v>0.6260372940325386</v>
      </c>
      <c r="I126" s="105">
        <f t="shared" si="29"/>
        <v>0.90977026954095364</v>
      </c>
      <c r="J126" s="105">
        <f t="shared" si="29"/>
        <v>1.2826997563340634</v>
      </c>
      <c r="K126" s="105">
        <f t="shared" si="29"/>
        <v>-0.55263083510996169</v>
      </c>
      <c r="L126" s="105">
        <f t="shared" si="29"/>
        <v>3.6042176136727807E-4</v>
      </c>
      <c r="O126" s="97">
        <f t="shared" si="21"/>
        <v>-0.55263083510996169</v>
      </c>
      <c r="P126" s="97">
        <f t="shared" si="22"/>
        <v>1.2826997563340634</v>
      </c>
      <c r="Q126" s="108">
        <f t="shared" si="23"/>
        <v>0.30577235286995297</v>
      </c>
    </row>
    <row r="127" spans="1:17" ht="45.75" x14ac:dyDescent="0.25">
      <c r="A127" s="81" t="s">
        <v>337</v>
      </c>
      <c r="B127" s="82" t="s">
        <v>338</v>
      </c>
      <c r="C127" s="105">
        <f>C42/'Data Sheet'!C17</f>
        <v>0</v>
      </c>
      <c r="D127" s="105">
        <f>D42/'Data Sheet'!D17</f>
        <v>0</v>
      </c>
      <c r="E127" s="105">
        <f>E42/'Data Sheet'!E17</f>
        <v>0</v>
      </c>
      <c r="F127" s="105">
        <f>F42/'Data Sheet'!F17</f>
        <v>0</v>
      </c>
      <c r="G127" s="105">
        <f>G42/'Data Sheet'!G17</f>
        <v>9.2281414442429757</v>
      </c>
      <c r="H127" s="105">
        <f>H42/'Data Sheet'!H17</f>
        <v>8.0899827670633542</v>
      </c>
      <c r="I127" s="105">
        <f>I42/'Data Sheet'!I17</f>
        <v>6.961253340586147</v>
      </c>
      <c r="J127" s="105">
        <f>J42/'Data Sheet'!J17</f>
        <v>8.1876196879055207</v>
      </c>
      <c r="K127" s="105">
        <f>K42/'Data Sheet'!K17</f>
        <v>1.5884965361677734</v>
      </c>
      <c r="L127" s="105">
        <f>L42/'Data Sheet'!K17</f>
        <v>1.5884965361677734</v>
      </c>
      <c r="O127" s="97">
        <f t="shared" si="21"/>
        <v>0</v>
      </c>
      <c r="P127" s="97">
        <f t="shared" si="22"/>
        <v>9.2281414442429757</v>
      </c>
      <c r="Q127" s="108">
        <f t="shared" si="23"/>
        <v>3.5643990312133544</v>
      </c>
    </row>
    <row r="128" spans="1:17" ht="45.75" x14ac:dyDescent="0.25">
      <c r="A128" s="112" t="s">
        <v>339</v>
      </c>
      <c r="B128" s="82" t="s">
        <v>340</v>
      </c>
      <c r="C128" s="108">
        <f>'Data Sheet'!C69/'Financial Analysis'!C41</f>
        <v>0.2043132803632236</v>
      </c>
      <c r="D128" s="108">
        <f>'Data Sheet'!D69/'Financial Analysis'!D41</f>
        <v>1.4293628492107955</v>
      </c>
      <c r="E128" s="108">
        <f>'Data Sheet'!E69/'Financial Analysis'!E41</f>
        <v>5.9368419916393878</v>
      </c>
      <c r="F128" s="108">
        <f>'Data Sheet'!F69/'Financial Analysis'!F41</f>
        <v>12.023851023819674</v>
      </c>
      <c r="G128" s="108">
        <f>'Data Sheet'!G69/'Financial Analysis'!G41</f>
        <v>14.144926023134325</v>
      </c>
      <c r="H128" s="108">
        <f>'Data Sheet'!H69/'Financial Analysis'!H41</f>
        <v>13.54640184822747</v>
      </c>
      <c r="I128" s="108">
        <f>'Data Sheet'!I69/'Financial Analysis'!I41</f>
        <v>2.9082538719997029</v>
      </c>
      <c r="J128" s="108">
        <f>'Data Sheet'!J69/'Financial Analysis'!J41</f>
        <v>38.141630476472109</v>
      </c>
      <c r="K128" s="108">
        <f>'Data Sheet'!K69/'Financial Analysis'!K41</f>
        <v>5.2279890081767446</v>
      </c>
      <c r="L128" s="108">
        <f>'Data Sheet'!K69/'Financial Analysis'!L41</f>
        <v>5.2279890081767446</v>
      </c>
      <c r="N128" s="83"/>
      <c r="O128" s="107">
        <f t="shared" si="21"/>
        <v>0.2043132803632236</v>
      </c>
      <c r="P128" s="107">
        <f t="shared" si="22"/>
        <v>38.141630476472109</v>
      </c>
      <c r="Q128" s="105">
        <f t="shared" si="23"/>
        <v>9.8791559381220182</v>
      </c>
    </row>
    <row r="129" spans="1:17" ht="23.25" x14ac:dyDescent="0.25">
      <c r="A129" s="112" t="s">
        <v>341</v>
      </c>
      <c r="B129" s="82" t="s">
        <v>342</v>
      </c>
      <c r="C129" s="83" t="e">
        <f>C128/C40</f>
        <v>#DIV/0!</v>
      </c>
      <c r="D129" s="83" t="e">
        <f t="shared" ref="D129:L129" si="30">D128/D40</f>
        <v>#DIV/0!</v>
      </c>
      <c r="E129" s="83" t="e">
        <f t="shared" si="30"/>
        <v>#DIV/0!</v>
      </c>
      <c r="F129" s="83" t="e">
        <f t="shared" si="30"/>
        <v>#DIV/0!</v>
      </c>
      <c r="G129" s="83">
        <f t="shared" si="30"/>
        <v>6.6932882331587201E-2</v>
      </c>
      <c r="H129" s="83">
        <f t="shared" si="30"/>
        <v>5.269743191561297E-2</v>
      </c>
      <c r="I129" s="83">
        <f t="shared" si="30"/>
        <v>9.8508074111699449E-3</v>
      </c>
      <c r="J129" s="83">
        <f t="shared" si="30"/>
        <v>9.5012032872838062E-2</v>
      </c>
      <c r="K129" s="83">
        <f t="shared" si="30"/>
        <v>6.6522318465157715E-2</v>
      </c>
      <c r="L129" s="83">
        <f t="shared" si="30"/>
        <v>6.6522318465157715E-2</v>
      </c>
      <c r="O129" s="83" t="e">
        <f t="shared" si="21"/>
        <v>#DIV/0!</v>
      </c>
      <c r="P129" s="83" t="e">
        <f t="shared" si="22"/>
        <v>#DIV/0!</v>
      </c>
      <c r="Q129" s="86" t="e">
        <f t="shared" si="23"/>
        <v>#DIV/0!</v>
      </c>
    </row>
    <row r="130" spans="1:17" x14ac:dyDescent="0.25">
      <c r="A130" s="112"/>
      <c r="B130" s="82"/>
    </row>
    <row r="131" spans="1:17" ht="18.75" x14ac:dyDescent="0.25">
      <c r="A131" s="75" t="s">
        <v>343</v>
      </c>
    </row>
    <row r="132" spans="1:17" ht="34.5" x14ac:dyDescent="0.25">
      <c r="A132" s="112" t="s">
        <v>344</v>
      </c>
      <c r="B132" s="104" t="s">
        <v>345</v>
      </c>
    </row>
    <row r="133" spans="1:17" x14ac:dyDescent="0.25">
      <c r="A133" s="112" t="s">
        <v>346</v>
      </c>
      <c r="B133" s="104" t="s">
        <v>347</v>
      </c>
    </row>
    <row r="134" spans="1:17" x14ac:dyDescent="0.25">
      <c r="A134" s="112" t="s">
        <v>348</v>
      </c>
      <c r="B134" s="104" t="s">
        <v>347</v>
      </c>
    </row>
    <row r="135" spans="1:17" x14ac:dyDescent="0.25">
      <c r="A135" s="112" t="s">
        <v>349</v>
      </c>
      <c r="B135" s="104" t="s">
        <v>347</v>
      </c>
    </row>
    <row r="136" spans="1:17" x14ac:dyDescent="0.25">
      <c r="A136" s="81"/>
      <c r="B136" s="82"/>
    </row>
    <row r="137" spans="1:17" ht="18.75" x14ac:dyDescent="0.25">
      <c r="A137" s="75" t="s">
        <v>350</v>
      </c>
      <c r="B137" s="82"/>
    </row>
    <row r="138" spans="1:17" x14ac:dyDescent="0.25">
      <c r="A138" s="112" t="s">
        <v>351</v>
      </c>
      <c r="B138" s="104" t="s">
        <v>352</v>
      </c>
    </row>
    <row r="139" spans="1:17" x14ac:dyDescent="0.25">
      <c r="A139" s="112" t="s">
        <v>353</v>
      </c>
      <c r="B139" s="104" t="s">
        <v>354</v>
      </c>
    </row>
    <row r="140" spans="1:17" x14ac:dyDescent="0.25">
      <c r="A140" s="112" t="s">
        <v>355</v>
      </c>
      <c r="B140" s="104" t="s">
        <v>356</v>
      </c>
    </row>
    <row r="141" spans="1:17" x14ac:dyDescent="0.25">
      <c r="A141" s="112" t="s">
        <v>357</v>
      </c>
      <c r="B141" s="104" t="s">
        <v>347</v>
      </c>
    </row>
    <row r="142" spans="1:17" x14ac:dyDescent="0.25">
      <c r="A142" s="112" t="s">
        <v>358</v>
      </c>
      <c r="B142" s="104" t="s">
        <v>347</v>
      </c>
    </row>
    <row r="143" spans="1:17" x14ac:dyDescent="0.25">
      <c r="A143" s="112" t="s">
        <v>359</v>
      </c>
      <c r="B143" s="104" t="s">
        <v>347</v>
      </c>
    </row>
    <row r="144" spans="1:17" x14ac:dyDescent="0.25">
      <c r="A144" s="112" t="s">
        <v>360</v>
      </c>
      <c r="B144" s="104" t="s">
        <v>347</v>
      </c>
    </row>
    <row r="145" spans="1:1" x14ac:dyDescent="0.25">
      <c r="A145" s="110" t="s">
        <v>361</v>
      </c>
    </row>
    <row r="147" spans="1:1" ht="18.75" x14ac:dyDescent="0.25">
      <c r="A147" s="75"/>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B65" sqref="B65"/>
    </sheetView>
  </sheetViews>
  <sheetFormatPr defaultRowHeight="15" x14ac:dyDescent="0.25"/>
  <cols>
    <col min="1" max="1" width="24.28515625" style="5" customWidth="1"/>
    <col min="2" max="9" width="13.5703125" style="5" bestFit="1" customWidth="1"/>
    <col min="10" max="10" width="13.5703125" style="5" customWidth="1"/>
    <col min="11" max="11" width="13.5703125" style="5" hidden="1" customWidth="1"/>
    <col min="12" max="16384" width="9.140625" style="5"/>
  </cols>
  <sheetData>
    <row r="1" spans="1:11" s="1" customFormat="1" hidden="1" x14ac:dyDescent="0.25">
      <c r="A1" s="1" t="s">
        <v>0</v>
      </c>
      <c r="B1" s="1" t="s">
        <v>64</v>
      </c>
      <c r="E1" s="361" t="str">
        <f>IF(B2&lt;&gt;B3, "A NEW VERSION OF THE WORKSHEET IS AVAILABLE", "")</f>
        <v/>
      </c>
      <c r="F1" s="361"/>
      <c r="G1" s="361"/>
      <c r="H1" s="361"/>
      <c r="I1" s="361"/>
      <c r="J1" s="361"/>
      <c r="K1" s="361"/>
    </row>
    <row r="2" spans="1:11" hidden="1" x14ac:dyDescent="0.25">
      <c r="A2" s="1" t="s">
        <v>62</v>
      </c>
      <c r="B2" s="5">
        <v>2.1</v>
      </c>
      <c r="E2" s="362" t="s">
        <v>36</v>
      </c>
      <c r="F2" s="362"/>
      <c r="G2" s="362"/>
      <c r="H2" s="362"/>
      <c r="I2" s="362"/>
      <c r="J2" s="362"/>
      <c r="K2" s="362"/>
    </row>
    <row r="3" spans="1:11" hidden="1" x14ac:dyDescent="0.25">
      <c r="A3" s="1" t="s">
        <v>63</v>
      </c>
      <c r="B3" s="5">
        <v>2.1</v>
      </c>
    </row>
    <row r="4" spans="1:11" hidden="1" x14ac:dyDescent="0.25">
      <c r="A4" s="1"/>
    </row>
    <row r="5" spans="1:11" hidden="1" x14ac:dyDescent="0.25">
      <c r="A5" s="1" t="s">
        <v>65</v>
      </c>
    </row>
    <row r="6" spans="1:11" hidden="1" x14ac:dyDescent="0.25">
      <c r="A6" s="5" t="s">
        <v>42</v>
      </c>
      <c r="B6" s="5">
        <f>IF(B9&gt;0, B9/B8, 0)</f>
        <v>4.2312328767123288</v>
      </c>
    </row>
    <row r="7" spans="1:11" hidden="1" x14ac:dyDescent="0.25">
      <c r="A7" s="5" t="s">
        <v>31</v>
      </c>
      <c r="B7">
        <v>10</v>
      </c>
    </row>
    <row r="8" spans="1:11" hidden="1" x14ac:dyDescent="0.25">
      <c r="A8" s="5" t="s">
        <v>43</v>
      </c>
      <c r="B8">
        <v>18.25</v>
      </c>
    </row>
    <row r="9" spans="1:11" hidden="1" x14ac:dyDescent="0.25">
      <c r="A9" s="5" t="s">
        <v>80</v>
      </c>
      <c r="B9">
        <v>77.22</v>
      </c>
    </row>
    <row r="10" spans="1:11" hidden="1" x14ac:dyDescent="0.25"/>
    <row r="15" spans="1:11" x14ac:dyDescent="0.25">
      <c r="A15" s="1" t="s">
        <v>37</v>
      </c>
    </row>
    <row r="16" spans="1:11" s="24" customFormat="1" x14ac:dyDescent="0.25">
      <c r="A16" s="23" t="s">
        <v>38</v>
      </c>
      <c r="B16" s="16">
        <v>39172</v>
      </c>
      <c r="C16" s="16">
        <v>39538</v>
      </c>
      <c r="D16" s="16">
        <v>39903</v>
      </c>
      <c r="E16" s="16">
        <v>40268</v>
      </c>
      <c r="F16" s="16">
        <v>40633</v>
      </c>
      <c r="G16" s="16">
        <v>40999</v>
      </c>
      <c r="H16" s="16">
        <v>41364</v>
      </c>
      <c r="I16" s="16">
        <v>41729</v>
      </c>
      <c r="J16" s="16">
        <v>42094</v>
      </c>
      <c r="K16" s="16">
        <v>42460</v>
      </c>
    </row>
    <row r="17" spans="1:11" s="9" customFormat="1" x14ac:dyDescent="0.25">
      <c r="A17" s="9" t="s">
        <v>6</v>
      </c>
      <c r="B17">
        <v>0.1</v>
      </c>
      <c r="C17">
        <v>5.42</v>
      </c>
      <c r="D17">
        <v>10.27</v>
      </c>
      <c r="E17">
        <v>21.38</v>
      </c>
      <c r="F17">
        <v>39.24</v>
      </c>
      <c r="G17">
        <v>77.209999999999994</v>
      </c>
      <c r="H17">
        <v>114.28</v>
      </c>
      <c r="I17">
        <v>157.63999999999999</v>
      </c>
      <c r="J17">
        <v>207.45</v>
      </c>
      <c r="K17">
        <v>209.33</v>
      </c>
    </row>
    <row r="18" spans="1:11" s="9" customFormat="1" x14ac:dyDescent="0.25">
      <c r="A18" s="5" t="s">
        <v>81</v>
      </c>
    </row>
    <row r="19" spans="1:11" s="9" customFormat="1" x14ac:dyDescent="0.25">
      <c r="A19" s="5" t="s">
        <v>82</v>
      </c>
    </row>
    <row r="20" spans="1:11" s="9" customFormat="1" x14ac:dyDescent="0.25">
      <c r="A20" s="5" t="s">
        <v>83</v>
      </c>
      <c r="C20">
        <v>0.11</v>
      </c>
      <c r="D20">
        <v>0.23</v>
      </c>
      <c r="E20">
        <v>0.35</v>
      </c>
      <c r="F20">
        <v>0.69</v>
      </c>
      <c r="G20">
        <v>1.44</v>
      </c>
      <c r="H20">
        <v>1.45</v>
      </c>
      <c r="I20">
        <v>1.91</v>
      </c>
      <c r="J20">
        <v>2.64</v>
      </c>
      <c r="K20">
        <v>4.41</v>
      </c>
    </row>
    <row r="21" spans="1:11" s="9" customFormat="1" x14ac:dyDescent="0.25">
      <c r="A21" s="5" t="s">
        <v>84</v>
      </c>
      <c r="B21">
        <v>0.15</v>
      </c>
      <c r="C21">
        <v>0.49</v>
      </c>
      <c r="D21">
        <v>0.88</v>
      </c>
      <c r="E21">
        <v>1.94</v>
      </c>
      <c r="F21">
        <v>3.94</v>
      </c>
      <c r="G21">
        <v>5.39</v>
      </c>
      <c r="H21">
        <v>6.27</v>
      </c>
      <c r="I21">
        <v>37.729999999999997</v>
      </c>
      <c r="J21">
        <v>44.61</v>
      </c>
      <c r="K21">
        <v>57.63</v>
      </c>
    </row>
    <row r="22" spans="1:11" s="9" customFormat="1" x14ac:dyDescent="0.25">
      <c r="A22" s="5" t="s">
        <v>85</v>
      </c>
      <c r="B22">
        <v>0.01</v>
      </c>
      <c r="C22">
        <v>0.78</v>
      </c>
      <c r="D22">
        <v>1.58</v>
      </c>
      <c r="E22">
        <v>2.64</v>
      </c>
      <c r="F22">
        <v>4.91</v>
      </c>
      <c r="G22">
        <v>9.6300000000000008</v>
      </c>
      <c r="H22">
        <v>13.31</v>
      </c>
      <c r="I22">
        <v>17.38</v>
      </c>
      <c r="J22">
        <v>23.9</v>
      </c>
      <c r="K22">
        <v>30.32</v>
      </c>
    </row>
    <row r="23" spans="1:11" s="9" customFormat="1" x14ac:dyDescent="0.25">
      <c r="A23" s="5" t="s">
        <v>86</v>
      </c>
      <c r="B23">
        <v>0.43</v>
      </c>
      <c r="C23">
        <v>3.18</v>
      </c>
      <c r="D23">
        <v>5.52</v>
      </c>
      <c r="E23">
        <v>9.42</v>
      </c>
      <c r="F23">
        <v>12.22</v>
      </c>
      <c r="G23">
        <v>18.22</v>
      </c>
      <c r="H23">
        <v>30.87</v>
      </c>
      <c r="I23">
        <v>10.46</v>
      </c>
      <c r="J23">
        <v>15.71</v>
      </c>
      <c r="K23">
        <v>24.06</v>
      </c>
    </row>
    <row r="24" spans="1:11" s="9" customFormat="1" x14ac:dyDescent="0.25">
      <c r="A24" s="5" t="s">
        <v>87</v>
      </c>
      <c r="F24">
        <v>0.55000000000000004</v>
      </c>
      <c r="G24">
        <v>0.52</v>
      </c>
      <c r="H24">
        <v>0.56999999999999995</v>
      </c>
      <c r="I24">
        <v>0.94</v>
      </c>
      <c r="J24">
        <v>1.98</v>
      </c>
      <c r="K24">
        <v>29.7</v>
      </c>
    </row>
    <row r="25" spans="1:11" s="9" customFormat="1" x14ac:dyDescent="0.25">
      <c r="A25" s="9" t="s">
        <v>9</v>
      </c>
      <c r="C25">
        <v>0.01</v>
      </c>
      <c r="D25">
        <v>0.38</v>
      </c>
      <c r="E25">
        <v>0.49</v>
      </c>
      <c r="F25">
        <v>1.91</v>
      </c>
      <c r="G25">
        <v>3.88</v>
      </c>
      <c r="H25">
        <v>7.06</v>
      </c>
      <c r="I25">
        <v>1.34</v>
      </c>
      <c r="J25">
        <v>7.15</v>
      </c>
      <c r="K25">
        <v>14.59</v>
      </c>
    </row>
    <row r="26" spans="1:11" s="9" customFormat="1" x14ac:dyDescent="0.25">
      <c r="A26" s="9" t="s">
        <v>10</v>
      </c>
      <c r="C26">
        <v>0.94</v>
      </c>
      <c r="D26">
        <v>1.87</v>
      </c>
      <c r="E26">
        <v>2.93</v>
      </c>
      <c r="F26">
        <v>3.96</v>
      </c>
      <c r="G26">
        <v>7.8</v>
      </c>
      <c r="H26">
        <v>13.38</v>
      </c>
      <c r="I26">
        <v>16.96</v>
      </c>
      <c r="J26">
        <v>26.82</v>
      </c>
      <c r="K26">
        <v>44.83</v>
      </c>
    </row>
    <row r="27" spans="1:11" s="9" customFormat="1" x14ac:dyDescent="0.25">
      <c r="A27" s="9" t="s">
        <v>11</v>
      </c>
      <c r="D27">
        <v>0.04</v>
      </c>
      <c r="E27">
        <v>0.57999999999999996</v>
      </c>
      <c r="F27">
        <v>1.25</v>
      </c>
      <c r="G27">
        <v>6.5</v>
      </c>
      <c r="H27">
        <v>6.62</v>
      </c>
      <c r="I27">
        <v>7.59</v>
      </c>
      <c r="J27">
        <v>14.21</v>
      </c>
      <c r="K27">
        <v>16.72</v>
      </c>
    </row>
    <row r="28" spans="1:11" s="9" customFormat="1" x14ac:dyDescent="0.25">
      <c r="A28" s="9" t="s">
        <v>12</v>
      </c>
      <c r="B28">
        <v>-0.49</v>
      </c>
      <c r="C28">
        <v>-7.0000000000000007E-2</v>
      </c>
      <c r="D28">
        <v>0.53</v>
      </c>
      <c r="E28">
        <v>4.01</v>
      </c>
      <c r="F28">
        <v>13.63</v>
      </c>
      <c r="G28">
        <v>31.59</v>
      </c>
      <c r="H28">
        <v>48.88</v>
      </c>
      <c r="I28">
        <v>66.02</v>
      </c>
      <c r="J28">
        <v>84.73</v>
      </c>
      <c r="K28">
        <v>16.23</v>
      </c>
    </row>
    <row r="29" spans="1:11" s="9" customFormat="1" x14ac:dyDescent="0.25">
      <c r="A29" s="9" t="s">
        <v>13</v>
      </c>
      <c r="C29">
        <v>0.12</v>
      </c>
      <c r="D29">
        <v>0.02</v>
      </c>
      <c r="E29">
        <v>1.41</v>
      </c>
      <c r="F29">
        <v>4.43</v>
      </c>
      <c r="G29">
        <v>9.93</v>
      </c>
      <c r="H29">
        <v>15.54</v>
      </c>
      <c r="I29">
        <v>22.1</v>
      </c>
      <c r="J29">
        <v>23.86</v>
      </c>
      <c r="K29">
        <v>9.4700000000000006</v>
      </c>
    </row>
    <row r="30" spans="1:11" s="9" customFormat="1" x14ac:dyDescent="0.25">
      <c r="A30" s="9" t="s">
        <v>14</v>
      </c>
      <c r="B30">
        <v>-0.49</v>
      </c>
      <c r="C30">
        <v>-0.19</v>
      </c>
      <c r="D30">
        <v>0.51</v>
      </c>
      <c r="E30">
        <v>2.6</v>
      </c>
      <c r="F30">
        <v>9.1999999999999993</v>
      </c>
      <c r="G30">
        <v>21.66</v>
      </c>
      <c r="H30">
        <v>33.340000000000003</v>
      </c>
      <c r="I30">
        <v>43.92</v>
      </c>
      <c r="J30">
        <v>60.87</v>
      </c>
      <c r="K30">
        <v>6.77</v>
      </c>
    </row>
    <row r="31" spans="1:11" s="9" customFormat="1" x14ac:dyDescent="0.25">
      <c r="A31" s="9" t="s">
        <v>71</v>
      </c>
      <c r="G31">
        <v>3.37</v>
      </c>
      <c r="H31">
        <v>4.5</v>
      </c>
      <c r="I31">
        <v>5.58</v>
      </c>
      <c r="J31">
        <v>8.4600000000000009</v>
      </c>
    </row>
    <row r="32" spans="1:11"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39</v>
      </c>
    </row>
    <row r="41" spans="1:11" s="24" customFormat="1" x14ac:dyDescent="0.25">
      <c r="A41" s="23" t="s">
        <v>38</v>
      </c>
      <c r="B41" s="16">
        <v>41820</v>
      </c>
      <c r="C41" s="16">
        <v>41912</v>
      </c>
      <c r="D41" s="16">
        <v>42004</v>
      </c>
      <c r="E41" s="16">
        <v>42094</v>
      </c>
      <c r="F41" s="16">
        <v>42185</v>
      </c>
      <c r="G41" s="16">
        <v>42277</v>
      </c>
      <c r="H41" s="16">
        <v>42369</v>
      </c>
      <c r="I41" s="16">
        <v>42460</v>
      </c>
      <c r="J41" s="16">
        <v>42551</v>
      </c>
      <c r="K41" s="16">
        <v>42643</v>
      </c>
    </row>
    <row r="42" spans="1:11" s="9" customFormat="1" x14ac:dyDescent="0.25">
      <c r="A42" s="9" t="s">
        <v>6</v>
      </c>
      <c r="B42">
        <v>53.91</v>
      </c>
      <c r="C42">
        <v>49.76</v>
      </c>
      <c r="D42">
        <v>53.11</v>
      </c>
      <c r="E42">
        <v>50.68</v>
      </c>
      <c r="F42">
        <v>69.03</v>
      </c>
      <c r="G42">
        <v>57.25</v>
      </c>
      <c r="H42">
        <v>55.78</v>
      </c>
      <c r="I42">
        <v>27.27</v>
      </c>
      <c r="J42">
        <v>20.21</v>
      </c>
      <c r="K42">
        <v>17.989999999999998</v>
      </c>
    </row>
    <row r="43" spans="1:11" s="9" customFormat="1" x14ac:dyDescent="0.25">
      <c r="A43" s="9" t="s">
        <v>7</v>
      </c>
      <c r="B43">
        <v>20.63</v>
      </c>
      <c r="C43">
        <v>20.07</v>
      </c>
      <c r="D43">
        <v>20.95</v>
      </c>
      <c r="E43">
        <v>27.09</v>
      </c>
      <c r="F43">
        <v>28.05</v>
      </c>
      <c r="G43">
        <v>27.1</v>
      </c>
      <c r="H43">
        <v>30.68</v>
      </c>
      <c r="I43">
        <v>60.3</v>
      </c>
      <c r="J43">
        <v>51.01</v>
      </c>
      <c r="K43">
        <v>51.24</v>
      </c>
    </row>
    <row r="44" spans="1:11" s="9" customFormat="1" x14ac:dyDescent="0.25">
      <c r="A44" s="9" t="s">
        <v>9</v>
      </c>
      <c r="B44">
        <v>0.15</v>
      </c>
      <c r="C44">
        <v>0.34</v>
      </c>
      <c r="D44">
        <v>0.5</v>
      </c>
      <c r="E44">
        <v>6.17</v>
      </c>
      <c r="F44">
        <v>3</v>
      </c>
      <c r="G44">
        <v>3.15</v>
      </c>
      <c r="H44">
        <v>2.71</v>
      </c>
      <c r="I44">
        <v>5.73</v>
      </c>
      <c r="J44">
        <v>0.31</v>
      </c>
      <c r="K44">
        <v>0.18</v>
      </c>
    </row>
    <row r="45" spans="1:11" s="9" customFormat="1" x14ac:dyDescent="0.25">
      <c r="A45" s="9" t="s">
        <v>10</v>
      </c>
      <c r="B45">
        <v>5.99</v>
      </c>
      <c r="C45">
        <v>6.34</v>
      </c>
      <c r="D45">
        <v>6.65</v>
      </c>
      <c r="E45">
        <v>7.84</v>
      </c>
      <c r="F45">
        <v>9.65</v>
      </c>
      <c r="G45">
        <v>10.039999999999999</v>
      </c>
      <c r="H45">
        <v>11.7</v>
      </c>
      <c r="I45">
        <v>13.44</v>
      </c>
      <c r="J45">
        <v>14.39</v>
      </c>
      <c r="K45">
        <v>11.89</v>
      </c>
    </row>
    <row r="46" spans="1:11" s="9" customFormat="1" x14ac:dyDescent="0.25">
      <c r="A46" s="9" t="s">
        <v>11</v>
      </c>
      <c r="B46">
        <v>3.2</v>
      </c>
      <c r="C46">
        <v>4.3600000000000003</v>
      </c>
      <c r="D46">
        <v>4.3</v>
      </c>
      <c r="E46">
        <v>3.45</v>
      </c>
      <c r="F46">
        <v>3.69</v>
      </c>
      <c r="G46">
        <v>4.5199999999999996</v>
      </c>
      <c r="H46">
        <v>5.0599999999999996</v>
      </c>
      <c r="I46">
        <v>3.45</v>
      </c>
      <c r="J46">
        <v>2.85</v>
      </c>
      <c r="K46">
        <v>2.68</v>
      </c>
    </row>
    <row r="47" spans="1:11" s="9" customFormat="1" x14ac:dyDescent="0.25">
      <c r="A47" s="9" t="s">
        <v>12</v>
      </c>
      <c r="B47">
        <v>24.24</v>
      </c>
      <c r="C47">
        <v>19.329999999999998</v>
      </c>
      <c r="D47">
        <v>21.71</v>
      </c>
      <c r="E47">
        <v>18.47</v>
      </c>
      <c r="F47">
        <v>30.64</v>
      </c>
      <c r="G47">
        <v>18.739999999999998</v>
      </c>
      <c r="H47">
        <v>11.05</v>
      </c>
      <c r="I47">
        <v>-44.19</v>
      </c>
      <c r="J47">
        <v>-47.73</v>
      </c>
      <c r="K47">
        <v>-47.64</v>
      </c>
    </row>
    <row r="48" spans="1:11" s="9" customFormat="1" x14ac:dyDescent="0.25">
      <c r="A48" s="9" t="s">
        <v>13</v>
      </c>
      <c r="B48">
        <v>8.18</v>
      </c>
      <c r="C48">
        <v>6.74</v>
      </c>
      <c r="D48">
        <v>6.59</v>
      </c>
      <c r="E48">
        <v>1.35</v>
      </c>
      <c r="F48">
        <v>12.62</v>
      </c>
      <c r="G48">
        <v>6</v>
      </c>
      <c r="H48">
        <v>4.93</v>
      </c>
      <c r="I48">
        <v>-14.09</v>
      </c>
      <c r="J48">
        <v>-2.25</v>
      </c>
    </row>
    <row r="49" spans="1:11" s="9" customFormat="1" x14ac:dyDescent="0.25">
      <c r="A49" s="9" t="s">
        <v>14</v>
      </c>
      <c r="B49">
        <v>16.059999999999999</v>
      </c>
      <c r="C49">
        <v>12.59</v>
      </c>
      <c r="D49">
        <v>15.12</v>
      </c>
      <c r="E49">
        <v>17.12</v>
      </c>
      <c r="F49">
        <v>18.02</v>
      </c>
      <c r="G49">
        <v>12.74</v>
      </c>
      <c r="H49">
        <v>6.12</v>
      </c>
      <c r="I49">
        <v>-30.1</v>
      </c>
      <c r="J49">
        <v>-45.48</v>
      </c>
      <c r="K49">
        <v>-47.64</v>
      </c>
    </row>
    <row r="50" spans="1:11" x14ac:dyDescent="0.25">
      <c r="A50" s="9" t="s">
        <v>8</v>
      </c>
      <c r="B50">
        <v>33.28</v>
      </c>
      <c r="C50">
        <v>29.69</v>
      </c>
      <c r="D50">
        <v>32.159999999999997</v>
      </c>
      <c r="E50">
        <v>23.59</v>
      </c>
      <c r="F50">
        <v>40.98</v>
      </c>
      <c r="G50">
        <v>30.15</v>
      </c>
      <c r="H50">
        <v>25.1</v>
      </c>
      <c r="I50">
        <v>-33.03</v>
      </c>
      <c r="J50">
        <v>-30.8</v>
      </c>
      <c r="K50">
        <v>-33.25</v>
      </c>
    </row>
    <row r="51" spans="1:11" x14ac:dyDescent="0.25">
      <c r="A51" s="9"/>
    </row>
    <row r="52" spans="1:11" x14ac:dyDescent="0.25">
      <c r="A52" s="9"/>
    </row>
    <row r="53" spans="1:11" x14ac:dyDescent="0.25">
      <c r="A53" s="9"/>
    </row>
    <row r="54" spans="1:11" x14ac:dyDescent="0.25">
      <c r="A54" s="9"/>
    </row>
    <row r="55" spans="1:11" x14ac:dyDescent="0.25">
      <c r="A55" s="1" t="s">
        <v>40</v>
      </c>
    </row>
    <row r="56" spans="1:11" s="24" customFormat="1" x14ac:dyDescent="0.25">
      <c r="A56" s="23" t="s">
        <v>38</v>
      </c>
      <c r="B56" s="16">
        <v>39172</v>
      </c>
      <c r="C56" s="16">
        <v>39538</v>
      </c>
      <c r="D56" s="16">
        <v>39903</v>
      </c>
      <c r="E56" s="16">
        <v>40268</v>
      </c>
      <c r="F56" s="16">
        <v>40633</v>
      </c>
      <c r="G56" s="16">
        <v>40999</v>
      </c>
      <c r="H56" s="16">
        <v>41364</v>
      </c>
      <c r="I56" s="16">
        <v>41729</v>
      </c>
      <c r="J56" s="16">
        <v>42094</v>
      </c>
      <c r="K56" s="16">
        <v>42460</v>
      </c>
    </row>
    <row r="57" spans="1:11" x14ac:dyDescent="0.25">
      <c r="A57" s="9" t="s">
        <v>24</v>
      </c>
      <c r="B57">
        <v>0.01</v>
      </c>
      <c r="C57">
        <v>8.81</v>
      </c>
      <c r="D57">
        <v>15.04</v>
      </c>
      <c r="E57">
        <v>17.420000000000002</v>
      </c>
      <c r="F57">
        <v>24.02</v>
      </c>
      <c r="G57">
        <v>33.72</v>
      </c>
      <c r="H57">
        <v>35.97</v>
      </c>
      <c r="I57">
        <v>37.17</v>
      </c>
      <c r="J57">
        <v>42.31</v>
      </c>
      <c r="K57">
        <v>42.31</v>
      </c>
    </row>
    <row r="58" spans="1:11" x14ac:dyDescent="0.25">
      <c r="A58" s="9" t="s">
        <v>25</v>
      </c>
      <c r="B58">
        <v>-0.49</v>
      </c>
      <c r="C58">
        <v>-0.68</v>
      </c>
      <c r="D58">
        <v>28.97</v>
      </c>
      <c r="E58">
        <v>44.1</v>
      </c>
      <c r="F58">
        <v>98.63</v>
      </c>
      <c r="G58">
        <v>222.67</v>
      </c>
      <c r="H58">
        <v>297.39</v>
      </c>
      <c r="I58">
        <v>360.39</v>
      </c>
      <c r="J58">
        <v>602.41</v>
      </c>
      <c r="K58">
        <v>612.39</v>
      </c>
    </row>
    <row r="59" spans="1:11" x14ac:dyDescent="0.25">
      <c r="A59" s="9" t="s">
        <v>72</v>
      </c>
      <c r="B59">
        <v>0.36</v>
      </c>
      <c r="C59">
        <v>0.15</v>
      </c>
      <c r="D59">
        <v>0.04</v>
      </c>
      <c r="E59">
        <v>12.01</v>
      </c>
      <c r="F59">
        <v>47.62</v>
      </c>
      <c r="G59">
        <v>51.4</v>
      </c>
      <c r="H59">
        <v>66.72</v>
      </c>
      <c r="I59">
        <v>82.63</v>
      </c>
      <c r="J59">
        <v>105.82</v>
      </c>
      <c r="K59">
        <v>98.91</v>
      </c>
    </row>
    <row r="60" spans="1:11" x14ac:dyDescent="0.25">
      <c r="A60" s="9" t="s">
        <v>73</v>
      </c>
      <c r="B60">
        <v>1.18</v>
      </c>
      <c r="C60">
        <v>1.69</v>
      </c>
      <c r="D60">
        <v>3.09</v>
      </c>
      <c r="E60">
        <v>14.1</v>
      </c>
      <c r="F60">
        <v>15.62</v>
      </c>
      <c r="G60">
        <v>28.84</v>
      </c>
      <c r="H60">
        <v>44.52</v>
      </c>
      <c r="I60">
        <v>46.72</v>
      </c>
      <c r="J60">
        <v>53.69</v>
      </c>
      <c r="K60">
        <v>41.12</v>
      </c>
    </row>
    <row r="61" spans="1:11" s="1" customFormat="1" x14ac:dyDescent="0.25">
      <c r="A61" s="1" t="s">
        <v>26</v>
      </c>
      <c r="B61">
        <v>1.06</v>
      </c>
      <c r="C61">
        <v>9.9700000000000006</v>
      </c>
      <c r="D61">
        <v>47.14</v>
      </c>
      <c r="E61">
        <v>87.63</v>
      </c>
      <c r="F61">
        <v>185.89</v>
      </c>
      <c r="G61">
        <v>336.63</v>
      </c>
      <c r="H61">
        <v>444.6</v>
      </c>
      <c r="I61">
        <v>526.91</v>
      </c>
      <c r="J61">
        <v>804.23</v>
      </c>
      <c r="K61">
        <v>794.73</v>
      </c>
    </row>
    <row r="62" spans="1:11" x14ac:dyDescent="0.25">
      <c r="A62" s="9" t="s">
        <v>27</v>
      </c>
      <c r="B62">
        <v>0.34</v>
      </c>
      <c r="C62">
        <v>8.19</v>
      </c>
      <c r="D62">
        <v>23.52</v>
      </c>
      <c r="E62">
        <v>33.020000000000003</v>
      </c>
      <c r="F62">
        <v>62.34</v>
      </c>
      <c r="G62">
        <v>137.07</v>
      </c>
      <c r="H62">
        <v>155.01</v>
      </c>
      <c r="I62">
        <v>246.84</v>
      </c>
      <c r="J62">
        <v>320.99</v>
      </c>
      <c r="K62">
        <v>464.36</v>
      </c>
    </row>
    <row r="63" spans="1:11" x14ac:dyDescent="0.25">
      <c r="A63" s="9" t="s">
        <v>28</v>
      </c>
      <c r="C63">
        <v>0.35</v>
      </c>
      <c r="D63">
        <v>15.5</v>
      </c>
      <c r="E63">
        <v>30.5</v>
      </c>
      <c r="F63">
        <v>51.81</v>
      </c>
      <c r="G63">
        <v>19.54</v>
      </c>
      <c r="H63">
        <v>39.770000000000003</v>
      </c>
      <c r="I63">
        <v>28.49</v>
      </c>
      <c r="J63">
        <v>24.81</v>
      </c>
      <c r="K63">
        <v>4.67</v>
      </c>
    </row>
    <row r="64" spans="1:11" x14ac:dyDescent="0.25">
      <c r="A64" s="9" t="s">
        <v>29</v>
      </c>
      <c r="E64">
        <v>1.02</v>
      </c>
      <c r="F64">
        <v>2.65</v>
      </c>
      <c r="G64">
        <v>31.17</v>
      </c>
      <c r="H64">
        <v>9.98</v>
      </c>
      <c r="I64">
        <v>11.48</v>
      </c>
      <c r="J64">
        <v>11.24</v>
      </c>
      <c r="K64">
        <v>10.98</v>
      </c>
    </row>
    <row r="65" spans="1:11" x14ac:dyDescent="0.25">
      <c r="A65" s="9" t="s">
        <v>74</v>
      </c>
      <c r="B65">
        <v>0.72</v>
      </c>
      <c r="C65">
        <v>1.43</v>
      </c>
      <c r="D65">
        <v>8.1199999999999992</v>
      </c>
      <c r="E65">
        <v>23.09</v>
      </c>
      <c r="F65">
        <v>69.09</v>
      </c>
      <c r="G65">
        <v>148.85</v>
      </c>
      <c r="H65">
        <v>239.84</v>
      </c>
      <c r="I65">
        <v>240.1</v>
      </c>
      <c r="J65">
        <v>447.19</v>
      </c>
      <c r="K65">
        <v>314.72000000000003</v>
      </c>
    </row>
    <row r="66" spans="1:11" s="1" customFormat="1" x14ac:dyDescent="0.25">
      <c r="A66" s="1" t="s">
        <v>26</v>
      </c>
      <c r="B66">
        <v>1.06</v>
      </c>
      <c r="C66">
        <v>9.9700000000000006</v>
      </c>
      <c r="D66">
        <v>47.14</v>
      </c>
      <c r="E66">
        <v>87.63</v>
      </c>
      <c r="F66">
        <v>185.89</v>
      </c>
      <c r="G66">
        <v>336.63</v>
      </c>
      <c r="H66">
        <v>444.6</v>
      </c>
      <c r="I66">
        <v>526.91</v>
      </c>
      <c r="J66">
        <v>804.23</v>
      </c>
      <c r="K66">
        <v>794.73</v>
      </c>
    </row>
    <row r="67" spans="1:11" s="9" customFormat="1" x14ac:dyDescent="0.25">
      <c r="A67" s="9" t="s">
        <v>79</v>
      </c>
      <c r="C67">
        <v>0.01</v>
      </c>
      <c r="D67">
        <v>0.42</v>
      </c>
      <c r="E67">
        <v>6.95</v>
      </c>
      <c r="F67">
        <v>1.77</v>
      </c>
      <c r="G67">
        <v>5.81</v>
      </c>
      <c r="H67">
        <v>6.87</v>
      </c>
      <c r="I67">
        <v>29</v>
      </c>
      <c r="J67">
        <v>41.5</v>
      </c>
      <c r="K67">
        <v>57.11</v>
      </c>
    </row>
    <row r="68" spans="1:11" x14ac:dyDescent="0.25">
      <c r="A68" s="9" t="s">
        <v>45</v>
      </c>
      <c r="C68">
        <v>0.05</v>
      </c>
      <c r="D68">
        <v>0.16</v>
      </c>
      <c r="E68">
        <v>0.3</v>
      </c>
      <c r="F68">
        <v>1.47</v>
      </c>
      <c r="G68">
        <v>3.65</v>
      </c>
      <c r="H68">
        <v>4.5999999999999996</v>
      </c>
      <c r="I68">
        <v>5.62</v>
      </c>
      <c r="J68">
        <v>5.21</v>
      </c>
      <c r="K68">
        <v>4.33</v>
      </c>
    </row>
    <row r="69" spans="1:11" x14ac:dyDescent="0.25">
      <c r="A69" s="5" t="s">
        <v>88</v>
      </c>
      <c r="B69">
        <v>0.28000000000000003</v>
      </c>
      <c r="C69">
        <v>0.18</v>
      </c>
      <c r="D69">
        <v>2.15</v>
      </c>
      <c r="E69">
        <v>10.34</v>
      </c>
      <c r="F69">
        <v>28.88</v>
      </c>
      <c r="G69">
        <v>47.69</v>
      </c>
      <c r="H69">
        <v>48.72</v>
      </c>
      <c r="I69">
        <v>10.81</v>
      </c>
      <c r="J69">
        <v>161.38</v>
      </c>
      <c r="K69">
        <v>22.12</v>
      </c>
    </row>
    <row r="70" spans="1:11" x14ac:dyDescent="0.25">
      <c r="A70" s="5" t="s">
        <v>75</v>
      </c>
      <c r="B70">
        <v>10000</v>
      </c>
      <c r="C70">
        <v>8810000</v>
      </c>
      <c r="D70">
        <v>15041667</v>
      </c>
      <c r="E70">
        <v>17416667</v>
      </c>
      <c r="F70">
        <v>24018927</v>
      </c>
      <c r="G70">
        <v>33715270</v>
      </c>
      <c r="H70">
        <v>35965270</v>
      </c>
      <c r="I70">
        <v>37170070</v>
      </c>
      <c r="J70">
        <v>42310724</v>
      </c>
      <c r="K70">
        <v>42310724</v>
      </c>
    </row>
    <row r="71" spans="1:11" x14ac:dyDescent="0.25">
      <c r="A71" s="5" t="s">
        <v>76</v>
      </c>
    </row>
    <row r="72" spans="1:11" x14ac:dyDescent="0.25">
      <c r="A72" s="5" t="s">
        <v>89</v>
      </c>
      <c r="B72">
        <v>10</v>
      </c>
      <c r="C72">
        <v>10</v>
      </c>
      <c r="D72">
        <v>10</v>
      </c>
      <c r="E72">
        <v>10</v>
      </c>
      <c r="F72">
        <v>10</v>
      </c>
      <c r="G72">
        <v>10</v>
      </c>
      <c r="H72">
        <v>10</v>
      </c>
      <c r="I72">
        <v>10</v>
      </c>
      <c r="J72">
        <v>10</v>
      </c>
      <c r="K72">
        <v>10</v>
      </c>
    </row>
    <row r="74" spans="1:11" x14ac:dyDescent="0.25">
      <c r="A74" s="9"/>
    </row>
    <row r="75" spans="1:11" x14ac:dyDescent="0.25">
      <c r="A75" s="9"/>
    </row>
    <row r="76" spans="1:11" x14ac:dyDescent="0.25">
      <c r="A76" s="9"/>
    </row>
    <row r="77" spans="1:11" x14ac:dyDescent="0.25">
      <c r="A77" s="9"/>
    </row>
    <row r="78" spans="1:11" x14ac:dyDescent="0.25">
      <c r="A78" s="9"/>
    </row>
    <row r="79" spans="1:11" x14ac:dyDescent="0.25">
      <c r="A79" s="9"/>
    </row>
    <row r="80" spans="1:11" x14ac:dyDescent="0.25">
      <c r="A80" s="1" t="s">
        <v>41</v>
      </c>
    </row>
    <row r="81" spans="1:11" s="24" customFormat="1" x14ac:dyDescent="0.25">
      <c r="A81" s="23" t="s">
        <v>38</v>
      </c>
      <c r="B81" s="16">
        <v>39172</v>
      </c>
      <c r="C81" s="16">
        <v>39538</v>
      </c>
      <c r="D81" s="16">
        <v>39903</v>
      </c>
      <c r="E81" s="16">
        <v>40268</v>
      </c>
      <c r="F81" s="16">
        <v>40633</v>
      </c>
      <c r="G81" s="16">
        <v>40999</v>
      </c>
      <c r="H81" s="16">
        <v>41364</v>
      </c>
      <c r="I81" s="16">
        <v>41729</v>
      </c>
      <c r="J81" s="16">
        <v>42094</v>
      </c>
      <c r="K81" s="16">
        <v>42460</v>
      </c>
    </row>
    <row r="82" spans="1:11" s="1" customFormat="1" x14ac:dyDescent="0.25">
      <c r="A82" s="9" t="s">
        <v>32</v>
      </c>
      <c r="B82">
        <v>-0.57999999999999996</v>
      </c>
      <c r="C82">
        <v>1.23</v>
      </c>
      <c r="D82">
        <v>-1.1200000000000001</v>
      </c>
      <c r="E82">
        <v>2.31</v>
      </c>
      <c r="F82">
        <v>10.66</v>
      </c>
      <c r="G82">
        <v>6.4</v>
      </c>
      <c r="H82">
        <v>-13.86</v>
      </c>
      <c r="I82">
        <v>35.24</v>
      </c>
      <c r="J82">
        <v>59.02</v>
      </c>
      <c r="K82">
        <v>-12.58</v>
      </c>
    </row>
    <row r="83" spans="1:11" s="9" customFormat="1" x14ac:dyDescent="0.25">
      <c r="A83" s="9" t="s">
        <v>33</v>
      </c>
      <c r="B83">
        <v>-0.34</v>
      </c>
      <c r="C83">
        <v>-9.14</v>
      </c>
      <c r="D83">
        <v>-32.08</v>
      </c>
      <c r="E83">
        <v>-28.66</v>
      </c>
      <c r="F83">
        <v>-70.16</v>
      </c>
      <c r="G83">
        <v>-101.08</v>
      </c>
      <c r="H83">
        <v>-49.42</v>
      </c>
      <c r="I83">
        <v>-97.38</v>
      </c>
      <c r="J83">
        <v>-108.35</v>
      </c>
      <c r="K83">
        <v>-94.58</v>
      </c>
    </row>
    <row r="84" spans="1:11" s="9" customFormat="1" x14ac:dyDescent="0.25">
      <c r="A84" s="9" t="s">
        <v>34</v>
      </c>
      <c r="B84">
        <v>1.2</v>
      </c>
      <c r="C84">
        <v>7.81</v>
      </c>
      <c r="D84">
        <v>35.159999999999997</v>
      </c>
      <c r="E84">
        <v>34.549999999999997</v>
      </c>
      <c r="F84">
        <v>78.03</v>
      </c>
      <c r="G84">
        <v>113.5</v>
      </c>
      <c r="H84">
        <v>64.31</v>
      </c>
      <c r="I84">
        <v>24.23</v>
      </c>
      <c r="J84">
        <v>199.9</v>
      </c>
      <c r="K84">
        <v>-32.090000000000003</v>
      </c>
    </row>
    <row r="85" spans="1:11" s="1" customFormat="1" x14ac:dyDescent="0.25">
      <c r="A85" s="9" t="s">
        <v>35</v>
      </c>
      <c r="B85">
        <v>0.28000000000000003</v>
      </c>
      <c r="C85">
        <v>-0.1</v>
      </c>
      <c r="D85">
        <v>1.96</v>
      </c>
      <c r="E85">
        <v>8.1999999999999993</v>
      </c>
      <c r="F85">
        <v>18.53</v>
      </c>
      <c r="G85">
        <v>18.82</v>
      </c>
      <c r="H85">
        <v>1.03</v>
      </c>
      <c r="I85">
        <v>-37.909999999999997</v>
      </c>
      <c r="J85">
        <v>150.56</v>
      </c>
      <c r="K85">
        <v>-139.25</v>
      </c>
    </row>
    <row r="86" spans="1:11" x14ac:dyDescent="0.25">
      <c r="A86" s="9"/>
    </row>
    <row r="87" spans="1:11" x14ac:dyDescent="0.25">
      <c r="A87" s="9"/>
    </row>
    <row r="88" spans="1:11" x14ac:dyDescent="0.25">
      <c r="A88" s="9"/>
    </row>
    <row r="89" spans="1:11" x14ac:dyDescent="0.25">
      <c r="A89" s="9"/>
    </row>
    <row r="90" spans="1:11" s="1" customFormat="1" x14ac:dyDescent="0.25">
      <c r="A90" s="1" t="s">
        <v>78</v>
      </c>
      <c r="G90">
        <v>211.33</v>
      </c>
      <c r="H90">
        <v>257.06</v>
      </c>
      <c r="I90">
        <v>295.23</v>
      </c>
      <c r="J90">
        <v>401.44</v>
      </c>
      <c r="K90">
        <v>78.59</v>
      </c>
    </row>
    <row r="92" spans="1:11" s="1" customFormat="1" x14ac:dyDescent="0.25">
      <c r="A92" s="1" t="s">
        <v>77</v>
      </c>
    </row>
    <row r="93" spans="1:11" x14ac:dyDescent="0.25">
      <c r="A93" s="5" t="s">
        <v>90</v>
      </c>
      <c r="B93" s="31">
        <f>IF($B7&gt;0,(B70*B72/$B7)+SUM(C71:$K71),0)/10000000</f>
        <v>1E-3</v>
      </c>
      <c r="C93" s="31">
        <f>IF($B7&gt;0,(C70*C72/$B7)+SUM(D71:$K71),0)/10000000</f>
        <v>0.88100000000000001</v>
      </c>
      <c r="D93" s="31">
        <f>IF($B7&gt;0,(D70*D72/$B7)+SUM(E71:$K71),0)/10000000</f>
        <v>1.5041667000000001</v>
      </c>
      <c r="E93" s="31">
        <f>IF($B7&gt;0,(E70*E72/$B7)+SUM(F71:$K71),0)/10000000</f>
        <v>1.7416666999999999</v>
      </c>
      <c r="F93" s="31">
        <f>IF($B7&gt;0,(F70*F72/$B7)+SUM(G71:$K71),0)/10000000</f>
        <v>2.4018926999999999</v>
      </c>
      <c r="G93" s="31">
        <f>IF($B7&gt;0,(G70*G72/$B7)+SUM(H71:$K71),0)/10000000</f>
        <v>3.3715269999999999</v>
      </c>
      <c r="H93" s="31">
        <f>IF($B7&gt;0,(H70*H72/$B7)+SUM(I71:$K71),0)/10000000</f>
        <v>3.596527</v>
      </c>
      <c r="I93" s="31">
        <f>IF($B7&gt;0,(I70*I72/$B7)+SUM(J71:$K71),0)/10000000</f>
        <v>3.7170070000000002</v>
      </c>
      <c r="J93" s="31">
        <f>IF($B7&gt;0,(J70*J72/$B7)+SUM(K71:$K71),0)/10000000</f>
        <v>4.2310724000000004</v>
      </c>
      <c r="K93" s="31">
        <f>IF($B7&gt;0,(K70*K72/$B7),0)/10000000</f>
        <v>4.2310724000000004</v>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A56" workbookViewId="0">
      <selection activeCell="L75" sqref="L75"/>
    </sheetView>
  </sheetViews>
  <sheetFormatPr defaultRowHeight="15" x14ac:dyDescent="0.25"/>
  <cols>
    <col min="1" max="1" width="30" bestFit="1" customWidth="1"/>
    <col min="12" max="12" width="12" bestFit="1" customWidth="1"/>
  </cols>
  <sheetData>
    <row r="1" spans="1:12" x14ac:dyDescent="0.25">
      <c r="A1" s="70" t="str">
        <f>'Data Sheet'!B1</f>
        <v>TREE HOUSE EDUCATION &amp; ACCESSORIES LTD</v>
      </c>
      <c r="B1" s="33"/>
      <c r="C1" s="33"/>
      <c r="D1" s="33"/>
      <c r="E1" s="33"/>
      <c r="F1" s="33"/>
      <c r="G1" s="33"/>
      <c r="H1" s="33"/>
      <c r="I1" s="33"/>
      <c r="J1" s="33"/>
      <c r="K1" s="33"/>
      <c r="L1" s="33"/>
    </row>
    <row r="2" spans="1:12" x14ac:dyDescent="0.25">
      <c r="A2" s="32"/>
      <c r="B2" s="33"/>
      <c r="C2" s="33"/>
      <c r="D2" s="33"/>
      <c r="E2" s="33"/>
      <c r="F2" s="33"/>
      <c r="G2" s="33"/>
      <c r="H2" s="33"/>
      <c r="I2" s="33"/>
      <c r="J2" s="33"/>
      <c r="K2" s="33"/>
      <c r="L2" s="33"/>
    </row>
    <row r="3" spans="1:12" x14ac:dyDescent="0.25">
      <c r="A3" s="365" t="s">
        <v>94</v>
      </c>
      <c r="B3" s="365"/>
      <c r="C3" s="365"/>
      <c r="D3" s="365"/>
      <c r="E3" s="365"/>
      <c r="F3" s="365"/>
      <c r="G3" s="365"/>
      <c r="H3" s="365"/>
      <c r="I3" s="365"/>
      <c r="J3" s="365"/>
      <c r="K3" s="34"/>
      <c r="L3" s="35"/>
    </row>
    <row r="4" spans="1:12" x14ac:dyDescent="0.25">
      <c r="A4" s="71" t="str">
        <f>'Data Sheet'!A1</f>
        <v>COMPANY NAME</v>
      </c>
      <c r="B4" s="36">
        <f>'Data Sheet'!B$16</f>
        <v>39172</v>
      </c>
      <c r="C4" s="36">
        <f>'Data Sheet'!C$16</f>
        <v>39538</v>
      </c>
      <c r="D4" s="36">
        <f>'Data Sheet'!D$16</f>
        <v>39903</v>
      </c>
      <c r="E4" s="36">
        <f>'Data Sheet'!E$16</f>
        <v>40268</v>
      </c>
      <c r="F4" s="36">
        <f>'Data Sheet'!F$16</f>
        <v>40633</v>
      </c>
      <c r="G4" s="36">
        <f>'Data Sheet'!G$16</f>
        <v>40999</v>
      </c>
      <c r="H4" s="36">
        <f>'Data Sheet'!H$16</f>
        <v>41364</v>
      </c>
      <c r="I4" s="36">
        <f>'Data Sheet'!I$16</f>
        <v>41729</v>
      </c>
      <c r="J4" s="36">
        <f>'Data Sheet'!J$16</f>
        <v>42094</v>
      </c>
      <c r="K4" s="36">
        <f>'Data Sheet'!K$16</f>
        <v>42460</v>
      </c>
      <c r="L4" s="36">
        <f>'Data Sheet'!K$16</f>
        <v>42460</v>
      </c>
    </row>
    <row r="5" spans="1:12" x14ac:dyDescent="0.25">
      <c r="A5" s="37" t="s">
        <v>95</v>
      </c>
      <c r="B5" s="38"/>
      <c r="C5" s="38"/>
      <c r="D5" s="38"/>
      <c r="E5" s="38"/>
      <c r="F5" s="38"/>
      <c r="G5" s="38"/>
      <c r="H5" s="38"/>
      <c r="I5" s="38"/>
      <c r="J5" s="38"/>
      <c r="K5" s="38"/>
      <c r="L5" s="35"/>
    </row>
    <row r="6" spans="1:12" x14ac:dyDescent="0.25">
      <c r="A6" s="39" t="s">
        <v>45</v>
      </c>
      <c r="B6" s="40">
        <f>Other_input_data!B53</f>
        <v>0</v>
      </c>
      <c r="C6" s="40">
        <f>Other_input_data!C53</f>
        <v>0.05</v>
      </c>
      <c r="D6" s="40">
        <f>Other_input_data!D53</f>
        <v>0.16</v>
      </c>
      <c r="E6" s="40">
        <f>Other_input_data!E53</f>
        <v>0.3</v>
      </c>
      <c r="F6" s="40">
        <f>Other_input_data!F53</f>
        <v>1.47</v>
      </c>
      <c r="G6" s="40">
        <f>Other_input_data!G53</f>
        <v>3.65</v>
      </c>
      <c r="H6" s="40">
        <f>Other_input_data!H53</f>
        <v>4.5999999999999996</v>
      </c>
      <c r="I6" s="40">
        <f>Other_input_data!I53</f>
        <v>5.62</v>
      </c>
      <c r="J6" s="40">
        <f>Other_input_data!J53</f>
        <v>5.21</v>
      </c>
      <c r="K6" s="40">
        <f>Other_input_data!K53</f>
        <v>4.33</v>
      </c>
      <c r="L6" s="40">
        <f>Other_input_data!L53</f>
        <v>4.33</v>
      </c>
    </row>
    <row r="7" spans="1:12" x14ac:dyDescent="0.25">
      <c r="A7" s="39" t="s">
        <v>44</v>
      </c>
      <c r="B7" s="40">
        <f>B52</f>
        <v>0</v>
      </c>
      <c r="C7" s="40">
        <f t="shared" ref="C7:L7" si="0">C52</f>
        <v>0.01</v>
      </c>
      <c r="D7" s="40">
        <f t="shared" si="0"/>
        <v>0.42</v>
      </c>
      <c r="E7" s="40">
        <f t="shared" si="0"/>
        <v>6.95</v>
      </c>
      <c r="F7" s="40">
        <f t="shared" si="0"/>
        <v>1.77</v>
      </c>
      <c r="G7" s="40">
        <f t="shared" si="0"/>
        <v>5.81</v>
      </c>
      <c r="H7" s="40">
        <f t="shared" si="0"/>
        <v>6.87</v>
      </c>
      <c r="I7" s="40">
        <f t="shared" si="0"/>
        <v>29</v>
      </c>
      <c r="J7" s="40">
        <f t="shared" si="0"/>
        <v>41.5</v>
      </c>
      <c r="K7" s="40">
        <f t="shared" si="0"/>
        <v>57.11</v>
      </c>
      <c r="L7" s="40">
        <f t="shared" si="0"/>
        <v>57.11</v>
      </c>
    </row>
    <row r="8" spans="1:12" x14ac:dyDescent="0.25">
      <c r="A8" s="39" t="s">
        <v>96</v>
      </c>
      <c r="B8" s="40">
        <f>B54</f>
        <v>0.28000000000000003</v>
      </c>
      <c r="C8" s="40">
        <f t="shared" ref="C8:L8" si="1">C54</f>
        <v>0.18</v>
      </c>
      <c r="D8" s="40">
        <f t="shared" si="1"/>
        <v>2.15</v>
      </c>
      <c r="E8" s="40">
        <f t="shared" si="1"/>
        <v>10.34</v>
      </c>
      <c r="F8" s="40">
        <f t="shared" si="1"/>
        <v>28.88</v>
      </c>
      <c r="G8" s="40">
        <f t="shared" si="1"/>
        <v>47.69</v>
      </c>
      <c r="H8" s="40">
        <f t="shared" si="1"/>
        <v>48.72</v>
      </c>
      <c r="I8" s="40">
        <f t="shared" si="1"/>
        <v>10.81</v>
      </c>
      <c r="J8" s="40">
        <f t="shared" si="1"/>
        <v>161.38</v>
      </c>
      <c r="K8" s="40">
        <f t="shared" si="1"/>
        <v>22.12</v>
      </c>
      <c r="L8" s="40">
        <f t="shared" si="1"/>
        <v>22.12</v>
      </c>
    </row>
    <row r="9" spans="1:12" x14ac:dyDescent="0.25">
      <c r="A9" s="39" t="s">
        <v>97</v>
      </c>
      <c r="B9" s="40">
        <f>B46</f>
        <v>0.72</v>
      </c>
      <c r="C9" s="40">
        <f t="shared" ref="C9:L10" si="2">C46</f>
        <v>1.43</v>
      </c>
      <c r="D9" s="40">
        <f t="shared" si="2"/>
        <v>8.1199999999999992</v>
      </c>
      <c r="E9" s="40">
        <f t="shared" si="2"/>
        <v>23.09</v>
      </c>
      <c r="F9" s="40">
        <f t="shared" si="2"/>
        <v>69.09</v>
      </c>
      <c r="G9" s="40">
        <f t="shared" si="2"/>
        <v>148.85</v>
      </c>
      <c r="H9" s="40">
        <f t="shared" si="2"/>
        <v>239.84</v>
      </c>
      <c r="I9" s="40">
        <f t="shared" si="2"/>
        <v>240.1</v>
      </c>
      <c r="J9" s="40">
        <f t="shared" si="2"/>
        <v>447.19</v>
      </c>
      <c r="K9" s="40">
        <f t="shared" si="2"/>
        <v>314.72000000000003</v>
      </c>
      <c r="L9" s="40">
        <f t="shared" si="2"/>
        <v>314.72000000000003</v>
      </c>
    </row>
    <row r="10" spans="1:12" x14ac:dyDescent="0.25">
      <c r="A10" s="39" t="s">
        <v>98</v>
      </c>
      <c r="B10" s="40">
        <f>B47</f>
        <v>1.18</v>
      </c>
      <c r="C10" s="40">
        <f t="shared" si="2"/>
        <v>1.69</v>
      </c>
      <c r="D10" s="40">
        <f t="shared" si="2"/>
        <v>3.09</v>
      </c>
      <c r="E10" s="40">
        <f t="shared" si="2"/>
        <v>14.1</v>
      </c>
      <c r="F10" s="40">
        <f t="shared" si="2"/>
        <v>15.62</v>
      </c>
      <c r="G10" s="40">
        <f t="shared" si="2"/>
        <v>28.84</v>
      </c>
      <c r="H10" s="40">
        <f t="shared" si="2"/>
        <v>44.52</v>
      </c>
      <c r="I10" s="40">
        <f t="shared" si="2"/>
        <v>46.72</v>
      </c>
      <c r="J10" s="40">
        <f t="shared" si="2"/>
        <v>53.69</v>
      </c>
      <c r="K10" s="40">
        <f t="shared" si="2"/>
        <v>41.12</v>
      </c>
      <c r="L10" s="40">
        <f t="shared" si="2"/>
        <v>41.12</v>
      </c>
    </row>
    <row r="11" spans="1:12" x14ac:dyDescent="0.25">
      <c r="A11" s="39" t="s">
        <v>99</v>
      </c>
      <c r="B11" s="40">
        <f>B9-B10</f>
        <v>-0.45999999999999996</v>
      </c>
      <c r="C11" s="40">
        <f t="shared" ref="C11:L11" si="3">C9-C10</f>
        <v>-0.26</v>
      </c>
      <c r="D11" s="40">
        <f t="shared" si="3"/>
        <v>5.0299999999999994</v>
      </c>
      <c r="E11" s="40">
        <f t="shared" si="3"/>
        <v>8.99</v>
      </c>
      <c r="F11" s="40">
        <f t="shared" si="3"/>
        <v>53.470000000000006</v>
      </c>
      <c r="G11" s="40">
        <f t="shared" si="3"/>
        <v>120.00999999999999</v>
      </c>
      <c r="H11" s="40">
        <f t="shared" si="3"/>
        <v>195.32</v>
      </c>
      <c r="I11" s="40">
        <f t="shared" si="3"/>
        <v>193.38</v>
      </c>
      <c r="J11" s="40">
        <f t="shared" si="3"/>
        <v>393.5</v>
      </c>
      <c r="K11" s="40">
        <f t="shared" si="3"/>
        <v>273.60000000000002</v>
      </c>
      <c r="L11" s="40">
        <f t="shared" si="3"/>
        <v>273.60000000000002</v>
      </c>
    </row>
    <row r="12" spans="1:12" x14ac:dyDescent="0.25">
      <c r="A12" s="366"/>
      <c r="B12" s="366"/>
      <c r="C12" s="366"/>
      <c r="D12" s="366"/>
      <c r="E12" s="366"/>
      <c r="F12" s="366"/>
      <c r="G12" s="366"/>
      <c r="H12" s="366"/>
      <c r="I12" s="366"/>
      <c r="J12" s="366"/>
      <c r="K12" s="366"/>
      <c r="L12" s="35"/>
    </row>
    <row r="13" spans="1:12" x14ac:dyDescent="0.25">
      <c r="A13" s="365" t="s">
        <v>100</v>
      </c>
      <c r="B13" s="365"/>
      <c r="C13" s="365"/>
      <c r="D13" s="365"/>
      <c r="E13" s="365"/>
      <c r="F13" s="365"/>
      <c r="G13" s="365"/>
      <c r="H13" s="365"/>
      <c r="I13" s="365"/>
      <c r="J13" s="365"/>
      <c r="K13" s="41"/>
      <c r="L13" s="35"/>
    </row>
    <row r="14" spans="1:12" x14ac:dyDescent="0.25">
      <c r="A14" s="42" t="s">
        <v>101</v>
      </c>
      <c r="B14" s="43">
        <f>B4</f>
        <v>39172</v>
      </c>
      <c r="C14" s="43">
        <f t="shared" ref="C14:L14" si="4">C4</f>
        <v>39538</v>
      </c>
      <c r="D14" s="43">
        <f t="shared" si="4"/>
        <v>39903</v>
      </c>
      <c r="E14" s="43">
        <f t="shared" si="4"/>
        <v>40268</v>
      </c>
      <c r="F14" s="43">
        <f t="shared" si="4"/>
        <v>40633</v>
      </c>
      <c r="G14" s="43">
        <f t="shared" si="4"/>
        <v>40999</v>
      </c>
      <c r="H14" s="43">
        <f t="shared" si="4"/>
        <v>41364</v>
      </c>
      <c r="I14" s="43">
        <f t="shared" si="4"/>
        <v>41729</v>
      </c>
      <c r="J14" s="43">
        <f t="shared" si="4"/>
        <v>42094</v>
      </c>
      <c r="K14" s="43">
        <f t="shared" si="4"/>
        <v>42460</v>
      </c>
      <c r="L14" s="43">
        <f t="shared" si="4"/>
        <v>42460</v>
      </c>
    </row>
    <row r="15" spans="1:12" x14ac:dyDescent="0.25">
      <c r="A15" s="44" t="s">
        <v>102</v>
      </c>
      <c r="B15" s="45">
        <f>'Data Sheet'!B18</f>
        <v>0</v>
      </c>
      <c r="C15" s="45">
        <f>'Data Sheet'!C18</f>
        <v>0</v>
      </c>
      <c r="D15" s="45">
        <f>'Data Sheet'!D18</f>
        <v>0</v>
      </c>
      <c r="E15" s="45">
        <f>'Data Sheet'!E18</f>
        <v>0</v>
      </c>
      <c r="F15" s="45">
        <f>'Data Sheet'!F18</f>
        <v>0</v>
      </c>
      <c r="G15" s="45">
        <f>'Data Sheet'!G18</f>
        <v>0</v>
      </c>
      <c r="H15" s="45">
        <f>'Data Sheet'!H18</f>
        <v>0</v>
      </c>
      <c r="I15" s="45">
        <f>'Data Sheet'!I18</f>
        <v>0</v>
      </c>
      <c r="J15" s="45">
        <f>'Data Sheet'!J18</f>
        <v>0</v>
      </c>
      <c r="K15" s="45">
        <f>'Data Sheet'!K18</f>
        <v>0</v>
      </c>
      <c r="L15" s="45">
        <f>'Data Sheet'!K18</f>
        <v>0</v>
      </c>
    </row>
    <row r="16" spans="1:12" x14ac:dyDescent="0.25">
      <c r="A16" s="44" t="s">
        <v>103</v>
      </c>
      <c r="B16" s="45">
        <f>'Data Sheet'!B22</f>
        <v>0.01</v>
      </c>
      <c r="C16" s="45">
        <f>'Data Sheet'!C22</f>
        <v>0.78</v>
      </c>
      <c r="D16" s="45">
        <f>'Data Sheet'!D22</f>
        <v>1.58</v>
      </c>
      <c r="E16" s="45">
        <f>'Data Sheet'!E22</f>
        <v>2.64</v>
      </c>
      <c r="F16" s="45">
        <f>'Data Sheet'!F22</f>
        <v>4.91</v>
      </c>
      <c r="G16" s="45">
        <f>'Data Sheet'!G22</f>
        <v>9.6300000000000008</v>
      </c>
      <c r="H16" s="45">
        <f>'Data Sheet'!H22</f>
        <v>13.31</v>
      </c>
      <c r="I16" s="45">
        <f>'Data Sheet'!I22</f>
        <v>17.38</v>
      </c>
      <c r="J16" s="45">
        <f>'Data Sheet'!J22</f>
        <v>23.9</v>
      </c>
      <c r="K16" s="45">
        <f>'Data Sheet'!K22</f>
        <v>30.32</v>
      </c>
      <c r="L16" s="45">
        <f>'Data Sheet'!K22</f>
        <v>30.32</v>
      </c>
    </row>
    <row r="17" spans="1:12" x14ac:dyDescent="0.25">
      <c r="A17" s="44" t="s">
        <v>104</v>
      </c>
      <c r="B17" s="45">
        <f>'Data Sheet'!B23</f>
        <v>0.43</v>
      </c>
      <c r="C17" s="45">
        <f>'Data Sheet'!C23</f>
        <v>3.18</v>
      </c>
      <c r="D17" s="45">
        <f>'Data Sheet'!D23</f>
        <v>5.52</v>
      </c>
      <c r="E17" s="45">
        <f>'Data Sheet'!E23</f>
        <v>9.42</v>
      </c>
      <c r="F17" s="45">
        <f>'Data Sheet'!F23</f>
        <v>12.22</v>
      </c>
      <c r="G17" s="45">
        <f>'Data Sheet'!G23</f>
        <v>18.22</v>
      </c>
      <c r="H17" s="45">
        <f>'Data Sheet'!H23</f>
        <v>30.87</v>
      </c>
      <c r="I17" s="45">
        <f>'Data Sheet'!I23</f>
        <v>10.46</v>
      </c>
      <c r="J17" s="45">
        <f>'Data Sheet'!J23</f>
        <v>15.71</v>
      </c>
      <c r="K17" s="45">
        <f>'Data Sheet'!K23</f>
        <v>24.06</v>
      </c>
      <c r="L17" s="45">
        <f>'Data Sheet'!K23</f>
        <v>24.06</v>
      </c>
    </row>
    <row r="18" spans="1:12" x14ac:dyDescent="0.25">
      <c r="A18" s="44" t="s">
        <v>105</v>
      </c>
      <c r="B18" s="45"/>
      <c r="C18" s="45"/>
      <c r="D18" s="45"/>
      <c r="E18" s="45"/>
      <c r="F18" s="45"/>
      <c r="G18" s="45"/>
      <c r="H18" s="45"/>
      <c r="I18" s="45"/>
      <c r="J18" s="45"/>
      <c r="K18" s="45"/>
      <c r="L18" s="45"/>
    </row>
    <row r="19" spans="1:12" x14ac:dyDescent="0.25">
      <c r="A19" s="44" t="s">
        <v>106</v>
      </c>
      <c r="B19" s="45"/>
      <c r="C19" s="45"/>
      <c r="D19" s="45"/>
      <c r="E19" s="45"/>
      <c r="F19" s="45"/>
      <c r="G19" s="45"/>
      <c r="H19" s="45"/>
      <c r="I19" s="45"/>
      <c r="J19" s="45"/>
      <c r="K19" s="45"/>
      <c r="L19" s="45"/>
    </row>
    <row r="20" spans="1:12" x14ac:dyDescent="0.25">
      <c r="A20" s="44" t="s">
        <v>107</v>
      </c>
      <c r="B20" s="45">
        <f>'Data Sheet'!B20</f>
        <v>0</v>
      </c>
      <c r="C20" s="45">
        <f>'Data Sheet'!C20</f>
        <v>0.11</v>
      </c>
      <c r="D20" s="45">
        <f>'Data Sheet'!D20</f>
        <v>0.23</v>
      </c>
      <c r="E20" s="45">
        <f>'Data Sheet'!E20</f>
        <v>0.35</v>
      </c>
      <c r="F20" s="45">
        <f>'Data Sheet'!F20</f>
        <v>0.69</v>
      </c>
      <c r="G20" s="45">
        <f>'Data Sheet'!G20</f>
        <v>1.44</v>
      </c>
      <c r="H20" s="45">
        <f>'Data Sheet'!H20</f>
        <v>1.45</v>
      </c>
      <c r="I20" s="45">
        <f>'Data Sheet'!I20</f>
        <v>1.91</v>
      </c>
      <c r="J20" s="45">
        <f>'Data Sheet'!J20</f>
        <v>2.64</v>
      </c>
      <c r="K20" s="45">
        <f>'Data Sheet'!K20</f>
        <v>4.41</v>
      </c>
      <c r="L20" s="45">
        <f>'Data Sheet'!K20</f>
        <v>4.41</v>
      </c>
    </row>
    <row r="21" spans="1:12" x14ac:dyDescent="0.25">
      <c r="A21" s="44" t="s">
        <v>108</v>
      </c>
      <c r="B21" s="45">
        <f>'Data Sheet'!B24</f>
        <v>0</v>
      </c>
      <c r="C21" s="45">
        <f>'Data Sheet'!C24</f>
        <v>0</v>
      </c>
      <c r="D21" s="45">
        <f>'Data Sheet'!D24</f>
        <v>0</v>
      </c>
      <c r="E21" s="45">
        <f>'Data Sheet'!E24</f>
        <v>0</v>
      </c>
      <c r="F21" s="45">
        <f>'Data Sheet'!F24</f>
        <v>0.55000000000000004</v>
      </c>
      <c r="G21" s="45">
        <f>'Data Sheet'!G24</f>
        <v>0.52</v>
      </c>
      <c r="H21" s="45">
        <f>'Data Sheet'!H24</f>
        <v>0.56999999999999995</v>
      </c>
      <c r="I21" s="45">
        <f>'Data Sheet'!I24</f>
        <v>0.94</v>
      </c>
      <c r="J21" s="45">
        <f>'Data Sheet'!J24</f>
        <v>1.98</v>
      </c>
      <c r="K21" s="45">
        <f>'Data Sheet'!K24</f>
        <v>29.7</v>
      </c>
      <c r="L21" s="45">
        <f>'Data Sheet'!K24</f>
        <v>29.7</v>
      </c>
    </row>
    <row r="22" spans="1:12" x14ac:dyDescent="0.25">
      <c r="A22" s="44" t="s">
        <v>109</v>
      </c>
      <c r="B22" s="45"/>
      <c r="C22" s="45"/>
      <c r="D22" s="45"/>
      <c r="E22" s="45"/>
      <c r="F22" s="45"/>
      <c r="G22" s="46"/>
      <c r="H22" s="46"/>
      <c r="I22" s="46"/>
      <c r="J22" s="46"/>
      <c r="K22" s="44"/>
      <c r="L22" s="47"/>
    </row>
    <row r="23" spans="1:12" x14ac:dyDescent="0.25">
      <c r="A23" s="48" t="s">
        <v>110</v>
      </c>
      <c r="B23" s="45"/>
      <c r="C23" s="45">
        <f>(C49-B49)+(C50-B50)+C29</f>
        <v>9.1399999999999988</v>
      </c>
      <c r="D23" s="45">
        <f t="shared" ref="D23:K23" si="5">(D49-C49)+(D50-C50)+D29</f>
        <v>32.35</v>
      </c>
      <c r="E23" s="45">
        <f t="shared" si="5"/>
        <v>27.430000000000003</v>
      </c>
      <c r="F23" s="45">
        <f t="shared" si="5"/>
        <v>54.59</v>
      </c>
      <c r="G23" s="45">
        <f t="shared" si="5"/>
        <v>50.259999999999984</v>
      </c>
      <c r="H23" s="45">
        <f t="shared" si="5"/>
        <v>51.550000000000004</v>
      </c>
      <c r="I23" s="45">
        <f t="shared" si="5"/>
        <v>97.510000000000019</v>
      </c>
      <c r="J23" s="45">
        <f t="shared" si="5"/>
        <v>97.289999999999992</v>
      </c>
      <c r="K23" s="45">
        <f t="shared" si="5"/>
        <v>168.06</v>
      </c>
      <c r="L23" s="45">
        <f>(L49-J49)+(L50-J50)+L29</f>
        <v>174.65</v>
      </c>
    </row>
    <row r="24" spans="1:12" x14ac:dyDescent="0.25">
      <c r="A24" s="72" t="str">
        <f>'Data Sheet'!A1</f>
        <v>COMPANY NAME</v>
      </c>
      <c r="B24" s="49">
        <f>B14</f>
        <v>39172</v>
      </c>
      <c r="C24" s="49">
        <f t="shared" ref="C24:L24" si="6">C14</f>
        <v>39538</v>
      </c>
      <c r="D24" s="49">
        <f t="shared" si="6"/>
        <v>39903</v>
      </c>
      <c r="E24" s="49">
        <f t="shared" si="6"/>
        <v>40268</v>
      </c>
      <c r="F24" s="49">
        <f t="shared" si="6"/>
        <v>40633</v>
      </c>
      <c r="G24" s="49">
        <f t="shared" si="6"/>
        <v>40999</v>
      </c>
      <c r="H24" s="49">
        <f t="shared" si="6"/>
        <v>41364</v>
      </c>
      <c r="I24" s="49">
        <f t="shared" si="6"/>
        <v>41729</v>
      </c>
      <c r="J24" s="49">
        <f t="shared" si="6"/>
        <v>42094</v>
      </c>
      <c r="K24" s="49">
        <f t="shared" si="6"/>
        <v>42460</v>
      </c>
      <c r="L24" s="49">
        <f t="shared" si="6"/>
        <v>42460</v>
      </c>
    </row>
    <row r="25" spans="1:12" x14ac:dyDescent="0.25">
      <c r="A25" s="50" t="s">
        <v>6</v>
      </c>
      <c r="B25" s="50">
        <f>'Data Sheet'!B17</f>
        <v>0.1</v>
      </c>
      <c r="C25" s="50">
        <f>'Data Sheet'!C17</f>
        <v>5.42</v>
      </c>
      <c r="D25" s="50">
        <f>'Data Sheet'!D17</f>
        <v>10.27</v>
      </c>
      <c r="E25" s="50">
        <f>'Data Sheet'!E17</f>
        <v>21.38</v>
      </c>
      <c r="F25" s="50">
        <f>'Data Sheet'!F17</f>
        <v>39.24</v>
      </c>
      <c r="G25" s="50">
        <f>'Data Sheet'!G17</f>
        <v>77.209999999999994</v>
      </c>
      <c r="H25" s="50">
        <f>'Data Sheet'!H17</f>
        <v>114.28</v>
      </c>
      <c r="I25" s="50">
        <f>'Data Sheet'!I17</f>
        <v>157.63999999999999</v>
      </c>
      <c r="J25" s="50">
        <f>'Data Sheet'!J17</f>
        <v>207.45</v>
      </c>
      <c r="K25" s="50">
        <f>'Data Sheet'!K17</f>
        <v>209.33</v>
      </c>
      <c r="L25" s="51">
        <f>SUM('Data Sheet'!H42:K42)</f>
        <v>121.24999999999999</v>
      </c>
    </row>
    <row r="26" spans="1:12" x14ac:dyDescent="0.25">
      <c r="A26" s="50" t="str">
        <f t="shared" ref="A26:K26" si="7">A15</f>
        <v>Raw Materials</v>
      </c>
      <c r="B26" s="50">
        <f t="shared" si="7"/>
        <v>0</v>
      </c>
      <c r="C26" s="50">
        <f t="shared" si="7"/>
        <v>0</v>
      </c>
      <c r="D26" s="50">
        <f t="shared" si="7"/>
        <v>0</v>
      </c>
      <c r="E26" s="50">
        <f t="shared" si="7"/>
        <v>0</v>
      </c>
      <c r="F26" s="50">
        <f t="shared" si="7"/>
        <v>0</v>
      </c>
      <c r="G26" s="50">
        <f t="shared" si="7"/>
        <v>0</v>
      </c>
      <c r="H26" s="50">
        <f t="shared" si="7"/>
        <v>0</v>
      </c>
      <c r="I26" s="50">
        <f t="shared" si="7"/>
        <v>0</v>
      </c>
      <c r="J26" s="50">
        <f t="shared" si="7"/>
        <v>0</v>
      </c>
      <c r="K26" s="50">
        <f t="shared" si="7"/>
        <v>0</v>
      </c>
      <c r="L26" s="51"/>
    </row>
    <row r="27" spans="1:12" x14ac:dyDescent="0.25">
      <c r="A27" s="50" t="s">
        <v>111</v>
      </c>
      <c r="B27" s="50">
        <f t="shared" ref="B27:K27" si="8">B25-B26</f>
        <v>0.1</v>
      </c>
      <c r="C27" s="50">
        <f t="shared" si="8"/>
        <v>5.42</v>
      </c>
      <c r="D27" s="50">
        <f t="shared" si="8"/>
        <v>10.27</v>
      </c>
      <c r="E27" s="50">
        <f t="shared" si="8"/>
        <v>21.38</v>
      </c>
      <c r="F27" s="50">
        <f t="shared" si="8"/>
        <v>39.24</v>
      </c>
      <c r="G27" s="50">
        <f t="shared" si="8"/>
        <v>77.209999999999994</v>
      </c>
      <c r="H27" s="50">
        <f t="shared" si="8"/>
        <v>114.28</v>
      </c>
      <c r="I27" s="50">
        <f t="shared" si="8"/>
        <v>157.63999999999999</v>
      </c>
      <c r="J27" s="50">
        <f t="shared" si="8"/>
        <v>207.45</v>
      </c>
      <c r="K27" s="50">
        <f t="shared" si="8"/>
        <v>209.33</v>
      </c>
      <c r="L27" s="51"/>
    </row>
    <row r="28" spans="1:12" x14ac:dyDescent="0.25">
      <c r="A28" s="50" t="s">
        <v>112</v>
      </c>
      <c r="B28" s="51">
        <f>'Data Sheet'!B17-'Data Sheet'!B18-'Data Sheet'!B20-'Data Sheet'!B21-'Data Sheet'!B22-'Data Sheet'!B23-'Data Sheet'!B24+'Data Sheet'!B25+'Data Sheet'!B19</f>
        <v>-0.49</v>
      </c>
      <c r="C28" s="51">
        <f>'Data Sheet'!C17-'Data Sheet'!C18-'Data Sheet'!C20-'Data Sheet'!C21-'Data Sheet'!C22-'Data Sheet'!C23-'Data Sheet'!C24+'Data Sheet'!C25+'Data Sheet'!C19</f>
        <v>0.869999999999999</v>
      </c>
      <c r="D28" s="51">
        <f>'Data Sheet'!D17-'Data Sheet'!D18-'Data Sheet'!D20-'Data Sheet'!D21-'Data Sheet'!D22-'Data Sheet'!D23-'Data Sheet'!D24+'Data Sheet'!D25+'Data Sheet'!D19</f>
        <v>2.4399999999999986</v>
      </c>
      <c r="E28" s="51">
        <f>'Data Sheet'!E17-'Data Sheet'!E18-'Data Sheet'!E20-'Data Sheet'!E21-'Data Sheet'!E22-'Data Sheet'!E23-'Data Sheet'!E24+'Data Sheet'!E25+'Data Sheet'!E19</f>
        <v>7.519999999999996</v>
      </c>
      <c r="F28" s="51">
        <f>'Data Sheet'!F17-'Data Sheet'!F18-'Data Sheet'!F20-'Data Sheet'!F21-'Data Sheet'!F22-'Data Sheet'!F23-'Data Sheet'!F24+'Data Sheet'!F25+'Data Sheet'!F19</f>
        <v>18.840000000000003</v>
      </c>
      <c r="G28" s="51">
        <f>'Data Sheet'!G17-'Data Sheet'!G18-'Data Sheet'!G20-'Data Sheet'!G21-'Data Sheet'!G22-'Data Sheet'!G23-'Data Sheet'!G24+'Data Sheet'!G25+'Data Sheet'!G19</f>
        <v>45.889999999999993</v>
      </c>
      <c r="H28" s="51">
        <f>'Data Sheet'!H17-'Data Sheet'!H18-'Data Sheet'!H20-'Data Sheet'!H21-'Data Sheet'!H22-'Data Sheet'!H23-'Data Sheet'!H24+'Data Sheet'!H25+'Data Sheet'!H19</f>
        <v>68.86999999999999</v>
      </c>
      <c r="I28" s="51">
        <f>'Data Sheet'!I17-'Data Sheet'!I18-'Data Sheet'!I20-'Data Sheet'!I21-'Data Sheet'!I22-'Data Sheet'!I23-'Data Sheet'!I24+'Data Sheet'!I25+'Data Sheet'!I19</f>
        <v>90.56</v>
      </c>
      <c r="J28" s="51">
        <f>'Data Sheet'!J17-'Data Sheet'!J18-'Data Sheet'!J20-'Data Sheet'!J21-'Data Sheet'!J22-'Data Sheet'!J23-'Data Sheet'!J24+'Data Sheet'!J25+'Data Sheet'!J19</f>
        <v>125.75999999999998</v>
      </c>
      <c r="K28" s="51">
        <f>'Data Sheet'!K17-'Data Sheet'!K18-'Data Sheet'!K20-'Data Sheet'!K21-'Data Sheet'!K22-'Data Sheet'!K23-'Data Sheet'!K24+'Data Sheet'!K25+'Data Sheet'!K19</f>
        <v>77.800000000000026</v>
      </c>
      <c r="L28" s="51">
        <f>'Profit &amp; Loss'!L6</f>
        <v>-71.98</v>
      </c>
    </row>
    <row r="29" spans="1:12" x14ac:dyDescent="0.25">
      <c r="A29" s="50" t="s">
        <v>113</v>
      </c>
      <c r="B29" s="50">
        <f>'Data Sheet'!B26</f>
        <v>0</v>
      </c>
      <c r="C29" s="50">
        <f>'Data Sheet'!C26</f>
        <v>0.94</v>
      </c>
      <c r="D29" s="50">
        <f>'Data Sheet'!D26</f>
        <v>1.87</v>
      </c>
      <c r="E29" s="50">
        <f>'Data Sheet'!E26</f>
        <v>2.93</v>
      </c>
      <c r="F29" s="50">
        <f>'Data Sheet'!F26</f>
        <v>3.96</v>
      </c>
      <c r="G29" s="50">
        <f>'Data Sheet'!G26</f>
        <v>7.8</v>
      </c>
      <c r="H29" s="50">
        <f>'Data Sheet'!H26</f>
        <v>13.38</v>
      </c>
      <c r="I29" s="50">
        <f>'Data Sheet'!I26</f>
        <v>16.96</v>
      </c>
      <c r="J29" s="50">
        <f>'Data Sheet'!J26</f>
        <v>26.82</v>
      </c>
      <c r="K29" s="50">
        <f>'Data Sheet'!K26</f>
        <v>44.83</v>
      </c>
      <c r="L29" s="51">
        <f>'Profit &amp; Loss'!L8</f>
        <v>51.42</v>
      </c>
    </row>
    <row r="30" spans="1:12" x14ac:dyDescent="0.25">
      <c r="A30" s="50" t="s">
        <v>114</v>
      </c>
      <c r="B30" s="50">
        <f>B28-B29</f>
        <v>-0.49</v>
      </c>
      <c r="C30" s="50">
        <f t="shared" ref="C30:K30" si="9">C28-C29</f>
        <v>-7.000000000000095E-2</v>
      </c>
      <c r="D30" s="50">
        <f t="shared" si="9"/>
        <v>0.56999999999999851</v>
      </c>
      <c r="E30" s="50">
        <f t="shared" si="9"/>
        <v>4.5899999999999963</v>
      </c>
      <c r="F30" s="50">
        <f t="shared" si="9"/>
        <v>14.880000000000003</v>
      </c>
      <c r="G30" s="50">
        <f t="shared" si="9"/>
        <v>38.089999999999996</v>
      </c>
      <c r="H30" s="50">
        <f t="shared" si="9"/>
        <v>55.489999999999988</v>
      </c>
      <c r="I30" s="50">
        <f t="shared" si="9"/>
        <v>73.599999999999994</v>
      </c>
      <c r="J30" s="50">
        <f t="shared" si="9"/>
        <v>98.939999999999969</v>
      </c>
      <c r="K30" s="50">
        <f t="shared" si="9"/>
        <v>32.970000000000027</v>
      </c>
      <c r="L30" s="50"/>
    </row>
    <row r="31" spans="1:12" x14ac:dyDescent="0.25">
      <c r="A31" s="50" t="s">
        <v>11</v>
      </c>
      <c r="B31" s="50">
        <f>'Data Sheet'!B27</f>
        <v>0</v>
      </c>
      <c r="C31" s="50">
        <f>'Data Sheet'!C27</f>
        <v>0</v>
      </c>
      <c r="D31" s="50">
        <f>'Data Sheet'!D27</f>
        <v>0.04</v>
      </c>
      <c r="E31" s="50">
        <f>'Data Sheet'!E27</f>
        <v>0.57999999999999996</v>
      </c>
      <c r="F31" s="50">
        <f>'Data Sheet'!F27</f>
        <v>1.25</v>
      </c>
      <c r="G31" s="50">
        <f>'Data Sheet'!G27</f>
        <v>6.5</v>
      </c>
      <c r="H31" s="50">
        <f>'Data Sheet'!H27</f>
        <v>6.62</v>
      </c>
      <c r="I31" s="50">
        <f>'Data Sheet'!I27</f>
        <v>7.59</v>
      </c>
      <c r="J31" s="50">
        <f>'Data Sheet'!J27</f>
        <v>14.21</v>
      </c>
      <c r="K31" s="50">
        <f>'Data Sheet'!K27</f>
        <v>16.72</v>
      </c>
      <c r="L31" s="51">
        <f>'Profit &amp; Loss'!L9</f>
        <v>14.04</v>
      </c>
    </row>
    <row r="32" spans="1:12" x14ac:dyDescent="0.25">
      <c r="A32" s="50" t="s">
        <v>115</v>
      </c>
      <c r="B32" s="50">
        <f>B30-B31</f>
        <v>-0.49</v>
      </c>
      <c r="C32" s="50">
        <f t="shared" ref="C32:K32" si="10">C30-C31</f>
        <v>-7.000000000000095E-2</v>
      </c>
      <c r="D32" s="50">
        <f t="shared" si="10"/>
        <v>0.52999999999999847</v>
      </c>
      <c r="E32" s="50">
        <f t="shared" si="10"/>
        <v>4.0099999999999962</v>
      </c>
      <c r="F32" s="50">
        <f t="shared" si="10"/>
        <v>13.630000000000003</v>
      </c>
      <c r="G32" s="50">
        <f t="shared" si="10"/>
        <v>31.589999999999996</v>
      </c>
      <c r="H32" s="50">
        <f t="shared" si="10"/>
        <v>48.86999999999999</v>
      </c>
      <c r="I32" s="50">
        <f t="shared" si="10"/>
        <v>66.009999999999991</v>
      </c>
      <c r="J32" s="50">
        <f t="shared" si="10"/>
        <v>84.729999999999961</v>
      </c>
      <c r="K32" s="50">
        <f t="shared" si="10"/>
        <v>16.250000000000028</v>
      </c>
      <c r="L32" s="50">
        <f>'Profit &amp; Loss'!L10</f>
        <v>-128.51</v>
      </c>
    </row>
    <row r="33" spans="1:13" x14ac:dyDescent="0.25">
      <c r="A33" s="50" t="s">
        <v>13</v>
      </c>
      <c r="B33" s="50">
        <f>'Data Sheet'!B29</f>
        <v>0</v>
      </c>
      <c r="C33" s="50">
        <f>'Data Sheet'!C29</f>
        <v>0.12</v>
      </c>
      <c r="D33" s="50">
        <f>'Data Sheet'!D29</f>
        <v>0.02</v>
      </c>
      <c r="E33" s="50">
        <f>'Data Sheet'!E29</f>
        <v>1.41</v>
      </c>
      <c r="F33" s="50">
        <f>'Data Sheet'!F29</f>
        <v>4.43</v>
      </c>
      <c r="G33" s="50">
        <f>'Data Sheet'!G29</f>
        <v>9.93</v>
      </c>
      <c r="H33" s="50">
        <f>'Data Sheet'!H29</f>
        <v>15.54</v>
      </c>
      <c r="I33" s="50">
        <f>'Data Sheet'!I29</f>
        <v>22.1</v>
      </c>
      <c r="J33" s="50">
        <f>'Data Sheet'!J29</f>
        <v>23.86</v>
      </c>
      <c r="K33" s="50">
        <f>'Data Sheet'!K29</f>
        <v>9.4700000000000006</v>
      </c>
      <c r="L33" s="50">
        <f>'Profit &amp; Loss'!L11</f>
        <v>-11.41</v>
      </c>
    </row>
    <row r="34" spans="1:13" x14ac:dyDescent="0.25">
      <c r="A34" s="50" t="s">
        <v>116</v>
      </c>
      <c r="B34" s="50">
        <f>B32-B33</f>
        <v>-0.49</v>
      </c>
      <c r="C34" s="50">
        <f t="shared" ref="C34:K34" si="11">C32-C33</f>
        <v>-0.19000000000000095</v>
      </c>
      <c r="D34" s="50">
        <f t="shared" si="11"/>
        <v>0.50999999999999845</v>
      </c>
      <c r="E34" s="50">
        <f t="shared" si="11"/>
        <v>2.5999999999999961</v>
      </c>
      <c r="F34" s="50">
        <f t="shared" si="11"/>
        <v>9.2000000000000028</v>
      </c>
      <c r="G34" s="50">
        <f t="shared" si="11"/>
        <v>21.659999999999997</v>
      </c>
      <c r="H34" s="50">
        <f t="shared" si="11"/>
        <v>33.329999999999991</v>
      </c>
      <c r="I34" s="50">
        <f t="shared" si="11"/>
        <v>43.909999999999989</v>
      </c>
      <c r="J34" s="50">
        <f t="shared" si="11"/>
        <v>60.869999999999962</v>
      </c>
      <c r="K34" s="50">
        <f t="shared" si="11"/>
        <v>6.7800000000000278</v>
      </c>
      <c r="L34" s="50">
        <f>'Profit &amp; Loss'!L12</f>
        <v>-117.1</v>
      </c>
    </row>
    <row r="35" spans="1:13" x14ac:dyDescent="0.25">
      <c r="A35" s="50" t="s">
        <v>117</v>
      </c>
      <c r="B35" s="51">
        <f>'Data Sheet'!B31</f>
        <v>0</v>
      </c>
      <c r="C35" s="51">
        <f>'Data Sheet'!C31</f>
        <v>0</v>
      </c>
      <c r="D35" s="51">
        <f>'Data Sheet'!D31</f>
        <v>0</v>
      </c>
      <c r="E35" s="51">
        <f>'Data Sheet'!E31</f>
        <v>0</v>
      </c>
      <c r="F35" s="51">
        <f>'Data Sheet'!F31</f>
        <v>0</v>
      </c>
      <c r="G35" s="51">
        <f>'Data Sheet'!G31</f>
        <v>3.37</v>
      </c>
      <c r="H35" s="51">
        <f>'Data Sheet'!H31</f>
        <v>4.5</v>
      </c>
      <c r="I35" s="51">
        <f>'Data Sheet'!I31</f>
        <v>5.58</v>
      </c>
      <c r="J35" s="51">
        <f>'Data Sheet'!J31</f>
        <v>8.4600000000000009</v>
      </c>
      <c r="K35" s="51">
        <f>'Data Sheet'!K31</f>
        <v>0</v>
      </c>
      <c r="L35" s="51">
        <f>'Data Sheet'!K31</f>
        <v>0</v>
      </c>
    </row>
    <row r="36" spans="1:13" x14ac:dyDescent="0.25">
      <c r="A36" s="50" t="s">
        <v>118</v>
      </c>
      <c r="B36" s="260">
        <f>'Data Sheet'!B90*'Data Sheet'!B93</f>
        <v>0</v>
      </c>
      <c r="C36" s="52">
        <f>'Data Sheet'!C90*'Data Sheet'!C93</f>
        <v>0</v>
      </c>
      <c r="D36" s="52">
        <f>'Data Sheet'!D90*'Data Sheet'!D93</f>
        <v>0</v>
      </c>
      <c r="E36" s="52">
        <f>'Data Sheet'!E90*'Data Sheet'!E93</f>
        <v>0</v>
      </c>
      <c r="F36" s="52">
        <f>'Data Sheet'!F90*'Data Sheet'!F93</f>
        <v>0</v>
      </c>
      <c r="G36" s="52">
        <f>'Data Sheet'!G90*'Data Sheet'!G93</f>
        <v>712.50480091000009</v>
      </c>
      <c r="H36" s="52">
        <f>'Data Sheet'!H90*'Data Sheet'!H93</f>
        <v>924.52323062000005</v>
      </c>
      <c r="I36" s="52">
        <f>'Data Sheet'!I90*'Data Sheet'!I93</f>
        <v>1097.37197661</v>
      </c>
      <c r="J36" s="52">
        <f>'Data Sheet'!J90*'Data Sheet'!J93</f>
        <v>1698.5217042560002</v>
      </c>
      <c r="K36" s="52">
        <f>'Data Sheet'!K90*'Data Sheet'!K93</f>
        <v>332.51997991600007</v>
      </c>
      <c r="L36" s="52">
        <f>'Data Sheet'!B9</f>
        <v>77.22</v>
      </c>
    </row>
    <row r="37" spans="1:13" x14ac:dyDescent="0.25">
      <c r="A37" s="53" t="s">
        <v>119</v>
      </c>
      <c r="B37" s="53">
        <f>'Data Sheet'!B9</f>
        <v>77.22</v>
      </c>
      <c r="C37" s="367"/>
      <c r="D37" s="368"/>
      <c r="E37" s="368"/>
      <c r="F37" s="368"/>
      <c r="G37" s="368"/>
      <c r="H37" s="368"/>
      <c r="I37" s="368"/>
      <c r="J37" s="368"/>
      <c r="K37" s="369"/>
      <c r="L37" s="35"/>
    </row>
    <row r="38" spans="1:13" x14ac:dyDescent="0.25">
      <c r="A38" s="364"/>
      <c r="B38" s="364"/>
      <c r="C38" s="364"/>
      <c r="D38" s="364"/>
      <c r="E38" s="364"/>
      <c r="F38" s="364"/>
      <c r="G38" s="364"/>
      <c r="H38" s="364"/>
      <c r="I38" s="364"/>
      <c r="J38" s="364"/>
      <c r="K38" s="364"/>
      <c r="L38" s="35"/>
    </row>
    <row r="39" spans="1:13" x14ac:dyDescent="0.25">
      <c r="A39" s="54" t="s">
        <v>120</v>
      </c>
      <c r="B39" s="50">
        <f>'Data Sheet'!B57</f>
        <v>0.01</v>
      </c>
      <c r="C39" s="50">
        <f>'Data Sheet'!C57</f>
        <v>8.81</v>
      </c>
      <c r="D39" s="50">
        <f>'Data Sheet'!D57</f>
        <v>15.04</v>
      </c>
      <c r="E39" s="50">
        <f>'Data Sheet'!E57</f>
        <v>17.420000000000002</v>
      </c>
      <c r="F39" s="50">
        <f>'Data Sheet'!F57</f>
        <v>24.02</v>
      </c>
      <c r="G39" s="50">
        <f>'Data Sheet'!G57</f>
        <v>33.72</v>
      </c>
      <c r="H39" s="50">
        <f>'Data Sheet'!H57</f>
        <v>35.97</v>
      </c>
      <c r="I39" s="50">
        <f>'Data Sheet'!I57</f>
        <v>37.17</v>
      </c>
      <c r="J39" s="50">
        <f>'Data Sheet'!J57</f>
        <v>42.31</v>
      </c>
      <c r="K39" s="50">
        <f>'Data Sheet'!K57</f>
        <v>42.31</v>
      </c>
      <c r="L39" s="51">
        <f>'Data Sheet'!K57</f>
        <v>42.31</v>
      </c>
      <c r="M39" s="55">
        <f>(K39/C39)^(1/9)-1</f>
        <v>0.19047030960194467</v>
      </c>
    </row>
    <row r="40" spans="1:13" x14ac:dyDescent="0.25">
      <c r="A40" s="54" t="s">
        <v>121</v>
      </c>
      <c r="B40" s="54">
        <f>'Data Sheet'!B58</f>
        <v>-0.49</v>
      </c>
      <c r="C40" s="54">
        <f>'Data Sheet'!C58</f>
        <v>-0.68</v>
      </c>
      <c r="D40" s="54">
        <f>'Data Sheet'!D58</f>
        <v>28.97</v>
      </c>
      <c r="E40" s="54">
        <f>'Data Sheet'!E58</f>
        <v>44.1</v>
      </c>
      <c r="F40" s="54">
        <f>'Data Sheet'!F58</f>
        <v>98.63</v>
      </c>
      <c r="G40" s="54">
        <f>'Data Sheet'!G58</f>
        <v>222.67</v>
      </c>
      <c r="H40" s="54">
        <f>'Data Sheet'!H58</f>
        <v>297.39</v>
      </c>
      <c r="I40" s="54">
        <f>'Data Sheet'!I58</f>
        <v>360.39</v>
      </c>
      <c r="J40" s="54">
        <f>'Data Sheet'!J58</f>
        <v>602.41</v>
      </c>
      <c r="K40" s="54">
        <f>'Data Sheet'!K58</f>
        <v>612.39</v>
      </c>
      <c r="L40" s="73">
        <f>'Data Sheet'!K58</f>
        <v>612.39</v>
      </c>
    </row>
    <row r="41" spans="1:13" x14ac:dyDescent="0.25">
      <c r="A41" s="54" t="s">
        <v>122</v>
      </c>
      <c r="B41" s="50">
        <f t="shared" ref="B41:L41" si="12">B40+B39</f>
        <v>-0.48</v>
      </c>
      <c r="C41" s="50">
        <f t="shared" si="12"/>
        <v>8.1300000000000008</v>
      </c>
      <c r="D41" s="50">
        <f t="shared" si="12"/>
        <v>44.01</v>
      </c>
      <c r="E41" s="50">
        <f t="shared" si="12"/>
        <v>61.52</v>
      </c>
      <c r="F41" s="50">
        <f t="shared" si="12"/>
        <v>122.64999999999999</v>
      </c>
      <c r="G41" s="50">
        <f t="shared" si="12"/>
        <v>256.39</v>
      </c>
      <c r="H41" s="50">
        <f t="shared" si="12"/>
        <v>333.36</v>
      </c>
      <c r="I41" s="50">
        <f t="shared" si="12"/>
        <v>397.56</v>
      </c>
      <c r="J41" s="50">
        <f t="shared" si="12"/>
        <v>644.72</v>
      </c>
      <c r="K41" s="50">
        <f t="shared" si="12"/>
        <v>654.70000000000005</v>
      </c>
      <c r="L41" s="50">
        <f t="shared" si="12"/>
        <v>654.70000000000005</v>
      </c>
    </row>
    <row r="42" spans="1:13" x14ac:dyDescent="0.25">
      <c r="A42" s="56" t="s">
        <v>123</v>
      </c>
      <c r="B42" s="57"/>
      <c r="C42" s="50"/>
      <c r="D42" s="50"/>
      <c r="E42" s="50"/>
      <c r="F42" s="50"/>
      <c r="G42" s="50"/>
      <c r="H42" s="50"/>
      <c r="I42" s="50"/>
      <c r="J42" s="50"/>
      <c r="K42" s="50"/>
      <c r="L42" s="35"/>
    </row>
    <row r="43" spans="1:13" x14ac:dyDescent="0.25">
      <c r="A43" s="56" t="s">
        <v>124</v>
      </c>
      <c r="B43" s="57"/>
      <c r="C43" s="50"/>
      <c r="D43" s="50"/>
      <c r="E43" s="50"/>
      <c r="F43" s="50"/>
      <c r="G43" s="50"/>
      <c r="H43" s="50"/>
      <c r="I43" s="50"/>
      <c r="J43" s="50"/>
      <c r="K43" s="50"/>
      <c r="L43" s="35"/>
    </row>
    <row r="44" spans="1:13" x14ac:dyDescent="0.25">
      <c r="A44" s="56" t="s">
        <v>72</v>
      </c>
      <c r="B44" s="54">
        <f>'Data Sheet'!B59</f>
        <v>0.36</v>
      </c>
      <c r="C44" s="54">
        <f>'Data Sheet'!C59</f>
        <v>0.15</v>
      </c>
      <c r="D44" s="54">
        <f>'Data Sheet'!D59</f>
        <v>0.04</v>
      </c>
      <c r="E44" s="54">
        <f>'Data Sheet'!E59</f>
        <v>12.01</v>
      </c>
      <c r="F44" s="54">
        <f>'Data Sheet'!F59</f>
        <v>47.62</v>
      </c>
      <c r="G44" s="54">
        <f>'Data Sheet'!G59</f>
        <v>51.4</v>
      </c>
      <c r="H44" s="54">
        <f>'Data Sheet'!H59</f>
        <v>66.72</v>
      </c>
      <c r="I44" s="54">
        <f>'Data Sheet'!I59</f>
        <v>82.63</v>
      </c>
      <c r="J44" s="73">
        <f>'Data Sheet'!J59</f>
        <v>105.82</v>
      </c>
      <c r="K44" s="73">
        <f>'Data Sheet'!K59</f>
        <v>98.91</v>
      </c>
      <c r="L44" s="73">
        <f>'Data Sheet'!K59</f>
        <v>98.91</v>
      </c>
    </row>
    <row r="45" spans="1:13" x14ac:dyDescent="0.25">
      <c r="A45" s="56" t="s">
        <v>73</v>
      </c>
      <c r="B45" s="54">
        <f>'Data Sheet'!B60</f>
        <v>1.18</v>
      </c>
      <c r="C45" s="54">
        <f>'Data Sheet'!C60</f>
        <v>1.69</v>
      </c>
      <c r="D45" s="54">
        <f>'Data Sheet'!D60</f>
        <v>3.09</v>
      </c>
      <c r="E45" s="54">
        <f>'Data Sheet'!E60</f>
        <v>14.1</v>
      </c>
      <c r="F45" s="54">
        <f>'Data Sheet'!F60</f>
        <v>15.62</v>
      </c>
      <c r="G45" s="54">
        <f>'Data Sheet'!G60</f>
        <v>28.84</v>
      </c>
      <c r="H45" s="54">
        <f>'Data Sheet'!H60</f>
        <v>44.52</v>
      </c>
      <c r="I45" s="54">
        <f>'Data Sheet'!I60</f>
        <v>46.72</v>
      </c>
      <c r="J45" s="54">
        <f>'Data Sheet'!J60</f>
        <v>53.69</v>
      </c>
      <c r="K45" s="54">
        <f>'Data Sheet'!K60</f>
        <v>41.12</v>
      </c>
      <c r="L45" s="73">
        <f>'Data Sheet'!K60</f>
        <v>41.12</v>
      </c>
    </row>
    <row r="46" spans="1:13" x14ac:dyDescent="0.25">
      <c r="A46" s="56" t="s">
        <v>125</v>
      </c>
      <c r="B46" s="54">
        <f>'Data Sheet'!B65</f>
        <v>0.72</v>
      </c>
      <c r="C46" s="54">
        <f>'Data Sheet'!C65</f>
        <v>1.43</v>
      </c>
      <c r="D46" s="54">
        <f>'Data Sheet'!D65</f>
        <v>8.1199999999999992</v>
      </c>
      <c r="E46" s="54">
        <f>'Data Sheet'!E65</f>
        <v>23.09</v>
      </c>
      <c r="F46" s="54">
        <f>'Data Sheet'!F65</f>
        <v>69.09</v>
      </c>
      <c r="G46" s="54">
        <f>'Data Sheet'!G65</f>
        <v>148.85</v>
      </c>
      <c r="H46" s="54">
        <f>'Data Sheet'!H65</f>
        <v>239.84</v>
      </c>
      <c r="I46" s="54">
        <f>'Data Sheet'!I65</f>
        <v>240.1</v>
      </c>
      <c r="J46" s="54">
        <f>'Data Sheet'!J65</f>
        <v>447.19</v>
      </c>
      <c r="K46" s="54">
        <f>'Data Sheet'!K65</f>
        <v>314.72000000000003</v>
      </c>
      <c r="L46" s="73">
        <f>'Data Sheet'!K65</f>
        <v>314.72000000000003</v>
      </c>
    </row>
    <row r="47" spans="1:13" x14ac:dyDescent="0.25">
      <c r="A47" s="56" t="s">
        <v>98</v>
      </c>
      <c r="B47" s="54">
        <f>'Data Sheet'!B60</f>
        <v>1.18</v>
      </c>
      <c r="C47" s="54">
        <f>'Data Sheet'!C60</f>
        <v>1.69</v>
      </c>
      <c r="D47" s="54">
        <f>'Data Sheet'!D60</f>
        <v>3.09</v>
      </c>
      <c r="E47" s="54">
        <f>'Data Sheet'!E60</f>
        <v>14.1</v>
      </c>
      <c r="F47" s="54">
        <f>'Data Sheet'!F60</f>
        <v>15.62</v>
      </c>
      <c r="G47" s="54">
        <f>'Data Sheet'!G60</f>
        <v>28.84</v>
      </c>
      <c r="H47" s="54">
        <f>'Data Sheet'!H60</f>
        <v>44.52</v>
      </c>
      <c r="I47" s="54">
        <f>'Data Sheet'!I60</f>
        <v>46.72</v>
      </c>
      <c r="J47" s="54">
        <f>'Data Sheet'!J60</f>
        <v>53.69</v>
      </c>
      <c r="K47" s="54">
        <f>'Data Sheet'!K60</f>
        <v>41.12</v>
      </c>
      <c r="L47" s="73">
        <f>'Data Sheet'!K60</f>
        <v>41.12</v>
      </c>
    </row>
    <row r="48" spans="1:13" x14ac:dyDescent="0.25">
      <c r="A48" s="56" t="s">
        <v>126</v>
      </c>
      <c r="B48" s="54">
        <f>'Data Sheet'!B66</f>
        <v>1.06</v>
      </c>
      <c r="C48" s="54">
        <f>'Data Sheet'!C66</f>
        <v>9.9700000000000006</v>
      </c>
      <c r="D48" s="54">
        <f>'Data Sheet'!D66</f>
        <v>47.14</v>
      </c>
      <c r="E48" s="54">
        <f>'Data Sheet'!E66</f>
        <v>87.63</v>
      </c>
      <c r="F48" s="54">
        <f>'Data Sheet'!F66</f>
        <v>185.89</v>
      </c>
      <c r="G48" s="54">
        <f>'Data Sheet'!G66</f>
        <v>336.63</v>
      </c>
      <c r="H48" s="54">
        <f>'Data Sheet'!H66</f>
        <v>444.6</v>
      </c>
      <c r="I48" s="54">
        <f>'Data Sheet'!I66</f>
        <v>526.91</v>
      </c>
      <c r="J48" s="54">
        <f>'Data Sheet'!J66</f>
        <v>804.23</v>
      </c>
      <c r="K48" s="54">
        <f>'Data Sheet'!K66</f>
        <v>794.73</v>
      </c>
      <c r="L48" s="73">
        <f>'Data Sheet'!K66</f>
        <v>794.73</v>
      </c>
    </row>
    <row r="49" spans="1:12" x14ac:dyDescent="0.25">
      <c r="A49" s="50" t="s">
        <v>127</v>
      </c>
      <c r="B49" s="50">
        <f>'Data Sheet'!B62</f>
        <v>0.34</v>
      </c>
      <c r="C49" s="50">
        <f>'Data Sheet'!C62</f>
        <v>8.19</v>
      </c>
      <c r="D49" s="50">
        <f>'Data Sheet'!D62</f>
        <v>23.52</v>
      </c>
      <c r="E49" s="50">
        <f>'Data Sheet'!E62</f>
        <v>33.020000000000003</v>
      </c>
      <c r="F49" s="50">
        <f>'Data Sheet'!F62</f>
        <v>62.34</v>
      </c>
      <c r="G49" s="50">
        <f>'Data Sheet'!G62</f>
        <v>137.07</v>
      </c>
      <c r="H49" s="50">
        <f>'Data Sheet'!H62</f>
        <v>155.01</v>
      </c>
      <c r="I49" s="50">
        <f>'Data Sheet'!I62</f>
        <v>246.84</v>
      </c>
      <c r="J49" s="50">
        <f>'Data Sheet'!J62</f>
        <v>320.99</v>
      </c>
      <c r="K49" s="50">
        <f>'Data Sheet'!K62</f>
        <v>464.36</v>
      </c>
      <c r="L49" s="51">
        <f>'Data Sheet'!K62</f>
        <v>464.36</v>
      </c>
    </row>
    <row r="50" spans="1:12" x14ac:dyDescent="0.25">
      <c r="A50" s="50" t="s">
        <v>28</v>
      </c>
      <c r="B50" s="51">
        <f>'Data Sheet'!B63</f>
        <v>0</v>
      </c>
      <c r="C50" s="50">
        <f>'Data Sheet'!C63</f>
        <v>0.35</v>
      </c>
      <c r="D50" s="51">
        <f>'Data Sheet'!D63</f>
        <v>15.5</v>
      </c>
      <c r="E50" s="51">
        <f>'Data Sheet'!E63</f>
        <v>30.5</v>
      </c>
      <c r="F50" s="51">
        <f>'Data Sheet'!F63</f>
        <v>51.81</v>
      </c>
      <c r="G50" s="50">
        <f>'Data Sheet'!G63</f>
        <v>19.54</v>
      </c>
      <c r="H50" s="50">
        <f>'Data Sheet'!H63</f>
        <v>39.770000000000003</v>
      </c>
      <c r="I50" s="50">
        <f>'Data Sheet'!I63</f>
        <v>28.49</v>
      </c>
      <c r="J50" s="51">
        <f>'Data Sheet'!J63</f>
        <v>24.81</v>
      </c>
      <c r="K50" s="51">
        <f>'Data Sheet'!K63</f>
        <v>4.67</v>
      </c>
      <c r="L50" s="51">
        <f>'Data Sheet'!K63</f>
        <v>4.67</v>
      </c>
    </row>
    <row r="51" spans="1:12" x14ac:dyDescent="0.25">
      <c r="A51" s="56" t="s">
        <v>30</v>
      </c>
      <c r="B51" s="54">
        <f>'Data Sheet'!B65-'Data Sheet'!B60</f>
        <v>-0.45999999999999996</v>
      </c>
      <c r="C51" s="54">
        <f>'Data Sheet'!C65-'Data Sheet'!C60</f>
        <v>-0.26</v>
      </c>
      <c r="D51" s="54">
        <f>'Data Sheet'!D65-'Data Sheet'!D60</f>
        <v>5.0299999999999994</v>
      </c>
      <c r="E51" s="54">
        <f>'Data Sheet'!E65-'Data Sheet'!E60</f>
        <v>8.99</v>
      </c>
      <c r="F51" s="54">
        <f>'Data Sheet'!F65-'Data Sheet'!F60</f>
        <v>53.470000000000006</v>
      </c>
      <c r="G51" s="54">
        <f>'Data Sheet'!G65-'Data Sheet'!G60</f>
        <v>120.00999999999999</v>
      </c>
      <c r="H51" s="54">
        <f>'Data Sheet'!H65-'Data Sheet'!H60</f>
        <v>195.32</v>
      </c>
      <c r="I51" s="54">
        <f>'Data Sheet'!I65-'Data Sheet'!I60</f>
        <v>193.38</v>
      </c>
      <c r="J51" s="54">
        <f>'Data Sheet'!J65-'Data Sheet'!J60</f>
        <v>393.5</v>
      </c>
      <c r="K51" s="54">
        <f>'Data Sheet'!K65-'Data Sheet'!K60</f>
        <v>273.60000000000002</v>
      </c>
      <c r="L51" s="73">
        <f>'Data Sheet'!K65-'Data Sheet'!K60</f>
        <v>273.60000000000002</v>
      </c>
    </row>
    <row r="52" spans="1:12" x14ac:dyDescent="0.25">
      <c r="A52" s="54" t="s">
        <v>44</v>
      </c>
      <c r="B52" s="54">
        <f>'Data Sheet'!B67</f>
        <v>0</v>
      </c>
      <c r="C52" s="54">
        <f>'Data Sheet'!C67</f>
        <v>0.01</v>
      </c>
      <c r="D52" s="54">
        <f>'Data Sheet'!D67</f>
        <v>0.42</v>
      </c>
      <c r="E52" s="54">
        <f>'Data Sheet'!E67</f>
        <v>6.95</v>
      </c>
      <c r="F52" s="54">
        <f>'Data Sheet'!F67</f>
        <v>1.77</v>
      </c>
      <c r="G52" s="54">
        <f>'Data Sheet'!G67</f>
        <v>5.81</v>
      </c>
      <c r="H52" s="54">
        <f>'Data Sheet'!H67</f>
        <v>6.87</v>
      </c>
      <c r="I52" s="54">
        <f>'Data Sheet'!I67</f>
        <v>29</v>
      </c>
      <c r="J52" s="54">
        <f>'Data Sheet'!J67</f>
        <v>41.5</v>
      </c>
      <c r="K52" s="54">
        <f>'Data Sheet'!K67</f>
        <v>57.11</v>
      </c>
      <c r="L52" s="73">
        <f>'Data Sheet'!K67</f>
        <v>57.11</v>
      </c>
    </row>
    <row r="53" spans="1:12" x14ac:dyDescent="0.25">
      <c r="A53" s="54" t="s">
        <v>45</v>
      </c>
      <c r="B53" s="73">
        <f>'Data Sheet'!B68</f>
        <v>0</v>
      </c>
      <c r="C53" s="73">
        <f>'Data Sheet'!C68</f>
        <v>0.05</v>
      </c>
      <c r="D53" s="73">
        <f>'Data Sheet'!D68</f>
        <v>0.16</v>
      </c>
      <c r="E53" s="73">
        <f>'Data Sheet'!E68</f>
        <v>0.3</v>
      </c>
      <c r="F53" s="73">
        <f>'Data Sheet'!F68</f>
        <v>1.47</v>
      </c>
      <c r="G53" s="73">
        <f>'Data Sheet'!G68</f>
        <v>3.65</v>
      </c>
      <c r="H53" s="73">
        <f>'Data Sheet'!H68</f>
        <v>4.5999999999999996</v>
      </c>
      <c r="I53" s="73">
        <f>'Data Sheet'!I68</f>
        <v>5.62</v>
      </c>
      <c r="J53" s="73">
        <f>'Data Sheet'!J68</f>
        <v>5.21</v>
      </c>
      <c r="K53" s="73">
        <f>'Data Sheet'!K68</f>
        <v>4.33</v>
      </c>
      <c r="L53" s="73">
        <f>'Data Sheet'!K68</f>
        <v>4.33</v>
      </c>
    </row>
    <row r="54" spans="1:12" x14ac:dyDescent="0.25">
      <c r="A54" s="54" t="s">
        <v>128</v>
      </c>
      <c r="B54" s="54">
        <f>'Data Sheet'!B69</f>
        <v>0.28000000000000003</v>
      </c>
      <c r="C54" s="54">
        <f>'Data Sheet'!C69</f>
        <v>0.18</v>
      </c>
      <c r="D54" s="54">
        <f>'Data Sheet'!D69</f>
        <v>2.15</v>
      </c>
      <c r="E54" s="54">
        <f>'Data Sheet'!E69</f>
        <v>10.34</v>
      </c>
      <c r="F54" s="54">
        <f>'Data Sheet'!F69</f>
        <v>28.88</v>
      </c>
      <c r="G54" s="54">
        <f>'Data Sheet'!G69</f>
        <v>47.69</v>
      </c>
      <c r="H54" s="54">
        <f>'Data Sheet'!H69</f>
        <v>48.72</v>
      </c>
      <c r="I54" s="54">
        <f>'Data Sheet'!I69</f>
        <v>10.81</v>
      </c>
      <c r="J54" s="54">
        <f>'Data Sheet'!J69</f>
        <v>161.38</v>
      </c>
      <c r="K54" s="54">
        <f>'Data Sheet'!K69</f>
        <v>22.12</v>
      </c>
      <c r="L54" s="73">
        <f>'Data Sheet'!K69</f>
        <v>22.12</v>
      </c>
    </row>
    <row r="55" spans="1:12" x14ac:dyDescent="0.25">
      <c r="A55" s="50" t="s">
        <v>129</v>
      </c>
      <c r="B55" s="57"/>
      <c r="C55" s="50"/>
      <c r="D55" s="50"/>
      <c r="E55" s="50"/>
      <c r="F55" s="50"/>
      <c r="G55" s="50"/>
      <c r="H55" s="50"/>
      <c r="I55" s="50"/>
      <c r="J55" s="50"/>
      <c r="K55" s="50"/>
      <c r="L55" s="35"/>
    </row>
    <row r="56" spans="1:12" x14ac:dyDescent="0.25">
      <c r="A56" s="56" t="s">
        <v>130</v>
      </c>
      <c r="B56" s="50">
        <f>B41+B44</f>
        <v>-0.12</v>
      </c>
      <c r="C56" s="50">
        <f t="shared" ref="C56:L56" si="13">C41+C44</f>
        <v>8.2800000000000011</v>
      </c>
      <c r="D56" s="50">
        <f t="shared" si="13"/>
        <v>44.05</v>
      </c>
      <c r="E56" s="50">
        <f t="shared" si="13"/>
        <v>73.53</v>
      </c>
      <c r="F56" s="50">
        <f t="shared" si="13"/>
        <v>170.26999999999998</v>
      </c>
      <c r="G56" s="50">
        <f t="shared" si="13"/>
        <v>307.78999999999996</v>
      </c>
      <c r="H56" s="50">
        <f t="shared" si="13"/>
        <v>400.08000000000004</v>
      </c>
      <c r="I56" s="50">
        <f t="shared" si="13"/>
        <v>480.19</v>
      </c>
      <c r="J56" s="50">
        <f t="shared" si="13"/>
        <v>750.54</v>
      </c>
      <c r="K56" s="50">
        <f t="shared" si="13"/>
        <v>753.61</v>
      </c>
      <c r="L56" s="50">
        <f t="shared" si="13"/>
        <v>753.61</v>
      </c>
    </row>
    <row r="57" spans="1:12" x14ac:dyDescent="0.25">
      <c r="A57" s="56" t="s">
        <v>131</v>
      </c>
      <c r="B57" s="50">
        <f>B48-B47</f>
        <v>-0.11999999999999988</v>
      </c>
      <c r="C57" s="50">
        <f t="shared" ref="C57:L57" si="14">C48-C47</f>
        <v>8.2800000000000011</v>
      </c>
      <c r="D57" s="50">
        <f t="shared" si="14"/>
        <v>44.05</v>
      </c>
      <c r="E57" s="50">
        <f t="shared" si="14"/>
        <v>73.53</v>
      </c>
      <c r="F57" s="50">
        <f t="shared" si="14"/>
        <v>170.26999999999998</v>
      </c>
      <c r="G57" s="50">
        <f t="shared" si="14"/>
        <v>307.79000000000002</v>
      </c>
      <c r="H57" s="50">
        <f t="shared" si="14"/>
        <v>400.08000000000004</v>
      </c>
      <c r="I57" s="50">
        <f t="shared" si="14"/>
        <v>480.18999999999994</v>
      </c>
      <c r="J57" s="50">
        <f t="shared" si="14"/>
        <v>750.54</v>
      </c>
      <c r="K57" s="50">
        <f t="shared" si="14"/>
        <v>753.61</v>
      </c>
      <c r="L57" s="50">
        <f t="shared" si="14"/>
        <v>753.61</v>
      </c>
    </row>
    <row r="58" spans="1:12" x14ac:dyDescent="0.25">
      <c r="A58" s="56" t="s">
        <v>132</v>
      </c>
      <c r="B58" s="50">
        <f>'Data Sheet'!B59+'Data Sheet'!B60</f>
        <v>1.54</v>
      </c>
      <c r="C58" s="50">
        <f>'Data Sheet'!C59+'Data Sheet'!C60</f>
        <v>1.8399999999999999</v>
      </c>
      <c r="D58" s="50">
        <f>'Data Sheet'!D59+'Data Sheet'!D60</f>
        <v>3.13</v>
      </c>
      <c r="E58" s="50">
        <f>'Data Sheet'!E59+'Data Sheet'!E60</f>
        <v>26.11</v>
      </c>
      <c r="F58" s="50">
        <f>'Data Sheet'!F59+'Data Sheet'!F60</f>
        <v>63.239999999999995</v>
      </c>
      <c r="G58" s="50">
        <f>'Data Sheet'!G59+'Data Sheet'!G60</f>
        <v>80.239999999999995</v>
      </c>
      <c r="H58" s="50">
        <f>'Data Sheet'!H59+'Data Sheet'!H60</f>
        <v>111.24000000000001</v>
      </c>
      <c r="I58" s="50">
        <f>'Data Sheet'!I59+'Data Sheet'!I60</f>
        <v>129.35</v>
      </c>
      <c r="J58" s="51">
        <f>'Data Sheet'!J59+'Data Sheet'!J60</f>
        <v>159.51</v>
      </c>
      <c r="K58" s="51">
        <f>'Data Sheet'!K59+'Data Sheet'!K60</f>
        <v>140.03</v>
      </c>
      <c r="L58" s="51">
        <f>'Data Sheet'!K59+'Data Sheet'!K60</f>
        <v>140.03</v>
      </c>
    </row>
    <row r="59" spans="1:12" x14ac:dyDescent="0.25">
      <c r="A59" s="57" t="s">
        <v>126</v>
      </c>
      <c r="B59" s="58">
        <f>'Data Sheet'!B66</f>
        <v>1.06</v>
      </c>
      <c r="C59" s="58">
        <f>'Data Sheet'!C66</f>
        <v>9.9700000000000006</v>
      </c>
      <c r="D59" s="58">
        <f>'Data Sheet'!D66</f>
        <v>47.14</v>
      </c>
      <c r="E59" s="58">
        <f>'Data Sheet'!E66</f>
        <v>87.63</v>
      </c>
      <c r="F59" s="58">
        <f>'Data Sheet'!F66</f>
        <v>185.89</v>
      </c>
      <c r="G59" s="58">
        <f>'Data Sheet'!G66</f>
        <v>336.63</v>
      </c>
      <c r="H59" s="58">
        <f>'Data Sheet'!H66</f>
        <v>444.6</v>
      </c>
      <c r="I59" s="58">
        <f>'Data Sheet'!I66</f>
        <v>526.91</v>
      </c>
      <c r="J59" s="58">
        <f>'Data Sheet'!J66</f>
        <v>804.23</v>
      </c>
      <c r="K59" s="58">
        <f>'Data Sheet'!K66</f>
        <v>794.73</v>
      </c>
      <c r="L59" s="74">
        <f>'Data Sheet'!K66</f>
        <v>794.73</v>
      </c>
    </row>
    <row r="60" spans="1:12" x14ac:dyDescent="0.25">
      <c r="A60" s="370"/>
      <c r="B60" s="370"/>
      <c r="C60" s="370"/>
      <c r="D60" s="370"/>
      <c r="E60" s="370"/>
      <c r="F60" s="370"/>
      <c r="G60" s="370"/>
      <c r="H60" s="370"/>
      <c r="I60" s="370"/>
      <c r="J60" s="370"/>
      <c r="K60" s="370"/>
      <c r="L60" s="35"/>
    </row>
    <row r="61" spans="1:12" x14ac:dyDescent="0.25">
      <c r="A61" s="54" t="s">
        <v>133</v>
      </c>
      <c r="B61" s="50">
        <f>'Data Sheet'!B82</f>
        <v>-0.57999999999999996</v>
      </c>
      <c r="C61" s="50">
        <f>'Data Sheet'!C82</f>
        <v>1.23</v>
      </c>
      <c r="D61" s="50">
        <f>'Data Sheet'!D82</f>
        <v>-1.1200000000000001</v>
      </c>
      <c r="E61" s="50">
        <f>'Data Sheet'!E82</f>
        <v>2.31</v>
      </c>
      <c r="F61" s="50">
        <f>'Data Sheet'!F82</f>
        <v>10.66</v>
      </c>
      <c r="G61" s="50">
        <f>'Data Sheet'!G82</f>
        <v>6.4</v>
      </c>
      <c r="H61" s="50">
        <f>'Data Sheet'!H82</f>
        <v>-13.86</v>
      </c>
      <c r="I61" s="50">
        <f>'Data Sheet'!I82</f>
        <v>35.24</v>
      </c>
      <c r="J61" s="50">
        <f>'Data Sheet'!J82</f>
        <v>59.02</v>
      </c>
      <c r="K61" s="50">
        <f>'Data Sheet'!K82</f>
        <v>-12.58</v>
      </c>
      <c r="L61" s="51">
        <f>'Data Sheet'!K82</f>
        <v>-12.58</v>
      </c>
    </row>
    <row r="62" spans="1:12" x14ac:dyDescent="0.25">
      <c r="A62" s="54" t="s">
        <v>134</v>
      </c>
      <c r="B62" s="59">
        <f t="shared" ref="B62:L62" si="15">B61-B23</f>
        <v>-0.57999999999999996</v>
      </c>
      <c r="C62" s="59">
        <f t="shared" si="15"/>
        <v>-7.9099999999999984</v>
      </c>
      <c r="D62" s="59">
        <f t="shared" si="15"/>
        <v>-33.47</v>
      </c>
      <c r="E62" s="59">
        <f t="shared" si="15"/>
        <v>-25.120000000000005</v>
      </c>
      <c r="F62" s="59">
        <f t="shared" si="15"/>
        <v>-43.930000000000007</v>
      </c>
      <c r="G62" s="59">
        <f t="shared" si="15"/>
        <v>-43.859999999999985</v>
      </c>
      <c r="H62" s="59">
        <f t="shared" si="15"/>
        <v>-65.41</v>
      </c>
      <c r="I62" s="59">
        <f t="shared" si="15"/>
        <v>-62.270000000000017</v>
      </c>
      <c r="J62" s="59">
        <f t="shared" si="15"/>
        <v>-38.269999999999989</v>
      </c>
      <c r="K62" s="59">
        <f t="shared" si="15"/>
        <v>-180.64000000000001</v>
      </c>
      <c r="L62" s="59">
        <f t="shared" si="15"/>
        <v>-187.23000000000002</v>
      </c>
    </row>
    <row r="63" spans="1:12" x14ac:dyDescent="0.25">
      <c r="A63" s="54" t="s">
        <v>135</v>
      </c>
      <c r="B63" s="60">
        <f>B33/B32</f>
        <v>0</v>
      </c>
      <c r="C63" s="60">
        <f t="shared" ref="C63:L63" si="16">C33/C32</f>
        <v>-1.7142857142856909</v>
      </c>
      <c r="D63" s="60">
        <f t="shared" si="16"/>
        <v>3.7735849056603883E-2</v>
      </c>
      <c r="E63" s="60">
        <f t="shared" si="16"/>
        <v>0.351620947630923</v>
      </c>
      <c r="F63" s="60">
        <f t="shared" si="16"/>
        <v>0.32501834189288326</v>
      </c>
      <c r="G63" s="60">
        <f t="shared" si="16"/>
        <v>0.31433998100664773</v>
      </c>
      <c r="H63" s="60">
        <f t="shared" si="16"/>
        <v>0.31798649478207491</v>
      </c>
      <c r="I63" s="60">
        <f t="shared" si="16"/>
        <v>0.3347977579154674</v>
      </c>
      <c r="J63" s="60">
        <f t="shared" si="16"/>
        <v>0.28160037767024682</v>
      </c>
      <c r="K63" s="60">
        <f t="shared" si="16"/>
        <v>0.58276923076922982</v>
      </c>
      <c r="L63" s="60">
        <f t="shared" si="16"/>
        <v>8.8786864835421378E-2</v>
      </c>
    </row>
    <row r="64" spans="1:12" x14ac:dyDescent="0.25">
      <c r="A64" s="54" t="s">
        <v>136</v>
      </c>
      <c r="B64" s="59">
        <f t="shared" ref="B64:L64" si="17">B30*(1-B63)</f>
        <v>-0.49</v>
      </c>
      <c r="C64" s="59">
        <f t="shared" si="17"/>
        <v>-0.19000000000000095</v>
      </c>
      <c r="D64" s="59">
        <f t="shared" si="17"/>
        <v>0.54849056603773438</v>
      </c>
      <c r="E64" s="59">
        <f t="shared" si="17"/>
        <v>2.9760598503740612</v>
      </c>
      <c r="F64" s="59">
        <f t="shared" si="17"/>
        <v>10.043727072633899</v>
      </c>
      <c r="G64" s="59">
        <f t="shared" si="17"/>
        <v>26.116790123456784</v>
      </c>
      <c r="H64" s="59">
        <f t="shared" si="17"/>
        <v>37.844929404542654</v>
      </c>
      <c r="I64" s="59">
        <f t="shared" si="17"/>
        <v>48.958885017421593</v>
      </c>
      <c r="J64" s="59">
        <f t="shared" si="17"/>
        <v>71.078458633305758</v>
      </c>
      <c r="K64" s="59">
        <f t="shared" si="17"/>
        <v>13.756098461538505</v>
      </c>
      <c r="L64" s="59">
        <f t="shared" si="17"/>
        <v>0</v>
      </c>
    </row>
    <row r="65" spans="1:12" x14ac:dyDescent="0.25">
      <c r="A65" s="363"/>
      <c r="B65" s="363"/>
      <c r="C65" s="363"/>
      <c r="D65" s="363"/>
      <c r="E65" s="363"/>
      <c r="F65" s="363"/>
      <c r="G65" s="363"/>
      <c r="H65" s="363"/>
      <c r="I65" s="363"/>
      <c r="J65" s="363"/>
      <c r="K65" s="363"/>
      <c r="L65" s="35"/>
    </row>
    <row r="66" spans="1:12" x14ac:dyDescent="0.25">
      <c r="A66" s="61" t="s">
        <v>137</v>
      </c>
      <c r="C66" s="62">
        <f t="shared" ref="C66:L66" si="18">C36+B35</f>
        <v>0</v>
      </c>
      <c r="D66" s="62">
        <f t="shared" si="18"/>
        <v>0</v>
      </c>
      <c r="E66" s="62">
        <f t="shared" si="18"/>
        <v>0</v>
      </c>
      <c r="F66" s="62">
        <f t="shared" si="18"/>
        <v>0</v>
      </c>
      <c r="G66" s="62">
        <f t="shared" si="18"/>
        <v>712.50480091000009</v>
      </c>
      <c r="H66" s="62">
        <f t="shared" si="18"/>
        <v>927.89323062000005</v>
      </c>
      <c r="I66" s="62">
        <f t="shared" si="18"/>
        <v>1101.87197661</v>
      </c>
      <c r="J66" s="62">
        <f t="shared" si="18"/>
        <v>1704.1017042560002</v>
      </c>
      <c r="K66" s="62">
        <f t="shared" si="18"/>
        <v>340.97997991600005</v>
      </c>
      <c r="L66" s="62">
        <f t="shared" si="18"/>
        <v>77.22</v>
      </c>
    </row>
    <row r="67" spans="1:12" x14ac:dyDescent="0.25">
      <c r="A67" s="44" t="s">
        <v>138</v>
      </c>
      <c r="B67" s="62">
        <f t="shared" ref="B67:L67" si="19">B34-B35</f>
        <v>-0.49</v>
      </c>
      <c r="C67" s="62">
        <f t="shared" si="19"/>
        <v>-0.19000000000000095</v>
      </c>
      <c r="D67" s="62">
        <f t="shared" si="19"/>
        <v>0.50999999999999845</v>
      </c>
      <c r="E67" s="62">
        <f t="shared" si="19"/>
        <v>2.5999999999999961</v>
      </c>
      <c r="F67" s="62">
        <f t="shared" si="19"/>
        <v>9.2000000000000028</v>
      </c>
      <c r="G67" s="62">
        <f t="shared" si="19"/>
        <v>18.289999999999996</v>
      </c>
      <c r="H67" s="62">
        <f t="shared" si="19"/>
        <v>28.829999999999991</v>
      </c>
      <c r="I67" s="62">
        <f t="shared" si="19"/>
        <v>38.329999999999991</v>
      </c>
      <c r="J67" s="62">
        <f t="shared" si="19"/>
        <v>52.409999999999961</v>
      </c>
      <c r="K67" s="62">
        <f t="shared" si="19"/>
        <v>6.7800000000000278</v>
      </c>
      <c r="L67" s="62">
        <f t="shared" si="19"/>
        <v>-117.1</v>
      </c>
    </row>
    <row r="68" spans="1:12" x14ac:dyDescent="0.25">
      <c r="A68" s="364"/>
      <c r="B68" s="364"/>
      <c r="C68" s="364"/>
      <c r="D68" s="364"/>
      <c r="E68" s="364"/>
      <c r="F68" s="364"/>
      <c r="G68" s="364"/>
      <c r="H68" s="364"/>
      <c r="I68" s="364"/>
      <c r="J68" s="364"/>
      <c r="K68" s="364"/>
      <c r="L68" s="35"/>
    </row>
    <row r="69" spans="1:12" x14ac:dyDescent="0.25">
      <c r="A69" s="63" t="s">
        <v>139</v>
      </c>
      <c r="B69" s="64"/>
      <c r="C69" s="64">
        <f>'Profit &amp; Loss'!C15/'Profit &amp; Loss'!C13</f>
        <v>0</v>
      </c>
      <c r="D69" s="64">
        <f>'Profit &amp; Loss'!D15/'Profit &amp; Loss'!D13</f>
        <v>0</v>
      </c>
      <c r="E69" s="64">
        <f>'Profit &amp; Loss'!E15/'Profit &amp; Loss'!E13</f>
        <v>0</v>
      </c>
      <c r="F69" s="64">
        <f>'Profit &amp; Loss'!F15/'Profit &amp; Loss'!F13</f>
        <v>0</v>
      </c>
      <c r="G69" s="64">
        <f>'Profit &amp; Loss'!G15/'Profit &amp; Loss'!G13</f>
        <v>32.894958490766392</v>
      </c>
      <c r="H69" s="64">
        <f>'Profit &amp; Loss'!H15/'Profit &amp; Loss'!H13</f>
        <v>27.730150888422315</v>
      </c>
      <c r="I69" s="64">
        <f>'Profit &amp; Loss'!I15/'Profit &amp; Loss'!I13</f>
        <v>24.98570074248634</v>
      </c>
      <c r="J69" s="64">
        <f>'Profit &amp; Loss'!J15/'Profit &amp; Loss'!J13</f>
        <v>27.904085826449815</v>
      </c>
      <c r="K69" s="64">
        <f>'Profit &amp; Loss'!K15/'Profit &amp; Loss'!K13</f>
        <v>49.116688318463822</v>
      </c>
      <c r="L69" s="64">
        <f>'Profit &amp; Loss'!L15/'Profit &amp; Loss'!L13</f>
        <v>-0.65943637916310849</v>
      </c>
    </row>
    <row r="70" spans="1:12" x14ac:dyDescent="0.25">
      <c r="A70" s="63" t="s">
        <v>140</v>
      </c>
      <c r="B70" s="63"/>
      <c r="C70" s="64"/>
      <c r="D70" s="64">
        <f>D69/((('Profit &amp; Loss'!D13-'Profit &amp; Loss'!C13)/'Profit &amp; Loss'!C13)*100)</f>
        <v>0</v>
      </c>
      <c r="E70" s="64">
        <f>E69/((('Profit &amp; Loss'!E13-'Profit &amp; Loss'!D13)/'Profit &amp; Loss'!D13)*100)</f>
        <v>0</v>
      </c>
      <c r="F70" s="64">
        <f>F69/((('Profit &amp; Loss'!F13-'Profit &amp; Loss'!E13)/'Profit &amp; Loss'!E13)*100)</f>
        <v>0</v>
      </c>
      <c r="G70" s="64">
        <f>G69/((('Profit &amp; Loss'!G13-'Profit &amp; Loss'!F13)/'Profit &amp; Loss'!F13)*100)</f>
        <v>0.48571426927061562</v>
      </c>
      <c r="H70" s="64">
        <f>H69/((('Profit &amp; Loss'!H13-'Profit &amp; Loss'!G13)/'Profit &amp; Loss'!G13)*100)</f>
        <v>0.62603729403253872</v>
      </c>
      <c r="I70" s="64">
        <f>I69/((('Profit &amp; Loss'!I13-'Profit &amp; Loss'!H13)/'Profit &amp; Loss'!H13)*100)</f>
        <v>0.90977026954095375</v>
      </c>
      <c r="J70" s="64">
        <f>J69/((('Profit &amp; Loss'!J13-'Profit &amp; Loss'!I13)/'Profit &amp; Loss'!I13)*100)</f>
        <v>1.2826997563340636</v>
      </c>
      <c r="K70" s="64">
        <f>K69/((('Profit &amp; Loss'!K13-'Profit &amp; Loss'!J13)/'Profit &amp; Loss'!J13)*100)</f>
        <v>-0.55263083510996169</v>
      </c>
      <c r="L70" s="64">
        <f>L69/((('Profit &amp; Loss'!K13-'Profit &amp; Loss'!J13)/'Profit &amp; Loss'!J13)*100)</f>
        <v>7.419573456498782E-3</v>
      </c>
    </row>
    <row r="71" spans="1:12" x14ac:dyDescent="0.25">
      <c r="A71" s="54" t="s">
        <v>141</v>
      </c>
      <c r="C71" s="65">
        <f>C36/C41</f>
        <v>0</v>
      </c>
      <c r="D71" s="65">
        <f t="shared" ref="D71:L71" si="20">D36/D41</f>
        <v>0</v>
      </c>
      <c r="E71" s="65">
        <f t="shared" si="20"/>
        <v>0</v>
      </c>
      <c r="F71" s="65">
        <f t="shared" si="20"/>
        <v>0</v>
      </c>
      <c r="G71" s="65">
        <f t="shared" si="20"/>
        <v>2.7789882636218266</v>
      </c>
      <c r="H71" s="65">
        <f t="shared" si="20"/>
        <v>2.7733478240340772</v>
      </c>
      <c r="I71" s="65">
        <f t="shared" si="20"/>
        <v>2.7602675737247209</v>
      </c>
      <c r="J71" s="65">
        <f t="shared" si="20"/>
        <v>2.6345106468792658</v>
      </c>
      <c r="K71" s="65">
        <f t="shared" si="20"/>
        <v>0.50789671592485119</v>
      </c>
      <c r="L71" s="65">
        <f t="shared" si="20"/>
        <v>0.11794715136703833</v>
      </c>
    </row>
    <row r="72" spans="1:12" x14ac:dyDescent="0.25">
      <c r="A72" s="57" t="s">
        <v>142</v>
      </c>
      <c r="B72" s="59"/>
      <c r="C72" s="59">
        <f>C36/C61</f>
        <v>0</v>
      </c>
      <c r="D72" s="59">
        <f t="shared" ref="D72:L72" si="21">D36/D61</f>
        <v>0</v>
      </c>
      <c r="E72" s="59">
        <f t="shared" si="21"/>
        <v>0</v>
      </c>
      <c r="F72" s="59">
        <f t="shared" si="21"/>
        <v>0</v>
      </c>
      <c r="G72" s="59">
        <f t="shared" si="21"/>
        <v>111.32887514218751</v>
      </c>
      <c r="H72" s="59">
        <f t="shared" si="21"/>
        <v>-66.704417793650805</v>
      </c>
      <c r="I72" s="59">
        <f t="shared" si="21"/>
        <v>31.139953933314416</v>
      </c>
      <c r="J72" s="59">
        <f t="shared" si="21"/>
        <v>28.778747954185025</v>
      </c>
      <c r="K72" s="59">
        <f t="shared" si="21"/>
        <v>-26.432430835930052</v>
      </c>
      <c r="L72" s="59">
        <f t="shared" si="21"/>
        <v>-6.1383147853736091</v>
      </c>
    </row>
    <row r="73" spans="1:12" x14ac:dyDescent="0.25">
      <c r="A73" s="57" t="s">
        <v>143</v>
      </c>
      <c r="B73" s="59"/>
      <c r="C73" s="59">
        <f>C36/C62</f>
        <v>0</v>
      </c>
      <c r="D73" s="59">
        <f t="shared" ref="D73:L73" si="22">D36/D62</f>
        <v>0</v>
      </c>
      <c r="E73" s="59">
        <f t="shared" si="22"/>
        <v>0</v>
      </c>
      <c r="F73" s="59">
        <f t="shared" si="22"/>
        <v>0</v>
      </c>
      <c r="G73" s="59">
        <f t="shared" si="22"/>
        <v>-16.244979500911999</v>
      </c>
      <c r="H73" s="59">
        <f t="shared" si="22"/>
        <v>-14.134279630331754</v>
      </c>
      <c r="I73" s="59">
        <f t="shared" si="22"/>
        <v>-17.622803542797492</v>
      </c>
      <c r="J73" s="59">
        <f t="shared" si="22"/>
        <v>-44.382589606898371</v>
      </c>
      <c r="K73" s="59">
        <f t="shared" si="22"/>
        <v>-1.840788197054916</v>
      </c>
      <c r="L73" s="59">
        <f t="shared" si="22"/>
        <v>-0.41243390482294501</v>
      </c>
    </row>
    <row r="74" spans="1:12" x14ac:dyDescent="0.25">
      <c r="A74" s="57" t="s">
        <v>144</v>
      </c>
      <c r="B74" s="59"/>
      <c r="C74" s="59">
        <f>C36/C25</f>
        <v>0</v>
      </c>
      <c r="D74" s="59">
        <f t="shared" ref="D74:L74" si="23">D36/D25</f>
        <v>0</v>
      </c>
      <c r="E74" s="59">
        <f t="shared" si="23"/>
        <v>0</v>
      </c>
      <c r="F74" s="59">
        <f t="shared" si="23"/>
        <v>0</v>
      </c>
      <c r="G74" s="59">
        <f t="shared" si="23"/>
        <v>9.2281414442429757</v>
      </c>
      <c r="H74" s="59">
        <f t="shared" si="23"/>
        <v>8.0899827670633542</v>
      </c>
      <c r="I74" s="59">
        <f t="shared" si="23"/>
        <v>6.961253340586147</v>
      </c>
      <c r="J74" s="59">
        <f t="shared" si="23"/>
        <v>8.1876196879055207</v>
      </c>
      <c r="K74" s="59">
        <f t="shared" si="23"/>
        <v>1.5884965361677736</v>
      </c>
      <c r="L74" s="59">
        <f t="shared" si="23"/>
        <v>0.6368659793814434</v>
      </c>
    </row>
    <row r="75" spans="1:12" x14ac:dyDescent="0.25">
      <c r="A75" s="57" t="s">
        <v>145</v>
      </c>
      <c r="B75" s="59"/>
      <c r="C75" s="59">
        <f>(C36+C44-C8)/C28</f>
        <v>-3.4482758620689696E-2</v>
      </c>
      <c r="D75" s="59">
        <f t="shared" ref="D75:K75" si="24">(D36+D44-D8)/D28</f>
        <v>-0.8647540983606562</v>
      </c>
      <c r="E75" s="59">
        <f t="shared" si="24"/>
        <v>0.2220744680851065</v>
      </c>
      <c r="F75" s="59">
        <f t="shared" si="24"/>
        <v>0.99469214437367282</v>
      </c>
      <c r="G75" s="59">
        <f t="shared" si="24"/>
        <v>15.607208561996082</v>
      </c>
      <c r="H75" s="59">
        <f t="shared" si="24"/>
        <v>13.685541318716425</v>
      </c>
      <c r="I75" s="59">
        <f t="shared" si="24"/>
        <v>12.910688787654593</v>
      </c>
      <c r="J75" s="59">
        <f t="shared" si="24"/>
        <v>13.064262915521633</v>
      </c>
      <c r="K75" s="59">
        <f t="shared" si="24"/>
        <v>5.2610537264267343</v>
      </c>
      <c r="L75" s="335">
        <f>(L36+L44-L8)/L28</f>
        <v>-2.1396221172547927</v>
      </c>
    </row>
    <row r="76" spans="1:12" x14ac:dyDescent="0.25">
      <c r="A76" s="50" t="s">
        <v>146</v>
      </c>
      <c r="B76" s="66"/>
      <c r="C76" s="66" t="e">
        <f>C35/C36</f>
        <v>#DIV/0!</v>
      </c>
      <c r="D76" s="66" t="e">
        <f t="shared" ref="D76:L76" si="25">D35/D36</f>
        <v>#DIV/0!</v>
      </c>
      <c r="E76" s="66" t="e">
        <f t="shared" si="25"/>
        <v>#DIV/0!</v>
      </c>
      <c r="F76" s="66" t="e">
        <f t="shared" si="25"/>
        <v>#DIV/0!</v>
      </c>
      <c r="G76" s="66">
        <f t="shared" si="25"/>
        <v>4.7297926914960974E-3</v>
      </c>
      <c r="H76" s="66">
        <f t="shared" si="25"/>
        <v>4.8673736375258285E-3</v>
      </c>
      <c r="I76" s="66">
        <f t="shared" si="25"/>
        <v>5.0848756109461877E-3</v>
      </c>
      <c r="J76" s="66">
        <f t="shared" si="25"/>
        <v>4.9808018224328293E-3</v>
      </c>
      <c r="K76" s="66">
        <f t="shared" si="25"/>
        <v>0</v>
      </c>
      <c r="L76" s="66">
        <f t="shared" si="25"/>
        <v>0</v>
      </c>
    </row>
    <row r="77" spans="1:12" x14ac:dyDescent="0.25">
      <c r="A77" s="67" t="s">
        <v>147</v>
      </c>
      <c r="B77" s="68"/>
      <c r="C77" s="69">
        <f>C36+C8-C44</f>
        <v>0.03</v>
      </c>
      <c r="D77" s="69">
        <f t="shared" ref="D77:L77" si="26">D36+D8-D44</f>
        <v>2.11</v>
      </c>
      <c r="E77" s="69">
        <f t="shared" si="26"/>
        <v>-1.67</v>
      </c>
      <c r="F77" s="69">
        <f t="shared" si="26"/>
        <v>-18.739999999999998</v>
      </c>
      <c r="G77" s="69">
        <f t="shared" si="26"/>
        <v>708.79480091000016</v>
      </c>
      <c r="H77" s="69">
        <f t="shared" si="26"/>
        <v>906.52323062000005</v>
      </c>
      <c r="I77" s="69">
        <f t="shared" si="26"/>
        <v>1025.5519766100001</v>
      </c>
      <c r="J77" s="69">
        <f t="shared" si="26"/>
        <v>1754.0817042560004</v>
      </c>
      <c r="K77" s="69">
        <f t="shared" si="26"/>
        <v>255.72997991600008</v>
      </c>
      <c r="L77" s="69">
        <f t="shared" si="26"/>
        <v>0.43000000000000682</v>
      </c>
    </row>
    <row r="78" spans="1:12" x14ac:dyDescent="0.25">
      <c r="A78" s="363"/>
      <c r="B78" s="363"/>
      <c r="C78" s="363"/>
      <c r="D78" s="363"/>
      <c r="E78" s="363"/>
      <c r="F78" s="363"/>
      <c r="G78" s="363"/>
      <c r="H78" s="363"/>
      <c r="I78" s="363"/>
      <c r="J78" s="363"/>
      <c r="K78" s="363"/>
      <c r="L78" s="35" t="s">
        <v>148</v>
      </c>
    </row>
    <row r="79" spans="1:12" x14ac:dyDescent="0.25">
      <c r="A79" s="50" t="s">
        <v>149</v>
      </c>
      <c r="B79" s="59">
        <f t="shared" ref="B79" si="27">B51/B59</f>
        <v>-0.43396226415094336</v>
      </c>
      <c r="C79" s="59">
        <f t="shared" ref="C79:K79" si="28">C51/C59</f>
        <v>-2.6078234704112337E-2</v>
      </c>
      <c r="D79" s="59">
        <f t="shared" si="28"/>
        <v>0.10670343657191343</v>
      </c>
      <c r="E79" s="59">
        <f t="shared" si="28"/>
        <v>0.10259043706493211</v>
      </c>
      <c r="F79" s="59">
        <f t="shared" si="28"/>
        <v>0.28764322986712576</v>
      </c>
      <c r="G79" s="59">
        <f t="shared" si="28"/>
        <v>0.35650417372189047</v>
      </c>
      <c r="H79" s="59">
        <f t="shared" si="28"/>
        <v>0.43931623931623925</v>
      </c>
      <c r="I79" s="59">
        <f t="shared" si="28"/>
        <v>0.36700764836499594</v>
      </c>
      <c r="J79" s="59">
        <f t="shared" si="28"/>
        <v>0.48928789028014374</v>
      </c>
      <c r="K79" s="59">
        <f t="shared" si="28"/>
        <v>0.34426786455777436</v>
      </c>
      <c r="L79" s="50">
        <v>1.2</v>
      </c>
    </row>
    <row r="80" spans="1:12" x14ac:dyDescent="0.25">
      <c r="A80" s="50" t="s">
        <v>150</v>
      </c>
      <c r="B80" s="59">
        <f t="shared" ref="B80" si="29">B67/B59</f>
        <v>-0.46226415094339618</v>
      </c>
      <c r="C80" s="59">
        <f t="shared" ref="C80:K80" si="30">C67/C59</f>
        <v>-1.9057171514543725E-2</v>
      </c>
      <c r="D80" s="59">
        <f t="shared" si="30"/>
        <v>1.081883750530332E-2</v>
      </c>
      <c r="E80" s="59">
        <f t="shared" si="30"/>
        <v>2.9670204267944724E-2</v>
      </c>
      <c r="F80" s="59">
        <f t="shared" si="30"/>
        <v>4.9491634837807323E-2</v>
      </c>
      <c r="G80" s="59">
        <f t="shared" si="30"/>
        <v>5.4332650090603916E-2</v>
      </c>
      <c r="H80" s="59">
        <f t="shared" si="30"/>
        <v>6.4844804318488505E-2</v>
      </c>
      <c r="I80" s="59">
        <f t="shared" si="30"/>
        <v>7.2744871040595155E-2</v>
      </c>
      <c r="J80" s="59">
        <f t="shared" si="30"/>
        <v>6.516792459868441E-2</v>
      </c>
      <c r="K80" s="59">
        <f t="shared" si="30"/>
        <v>8.5311992752255834E-3</v>
      </c>
      <c r="L80" s="50">
        <v>1.4</v>
      </c>
    </row>
    <row r="81" spans="1:12" x14ac:dyDescent="0.25">
      <c r="A81" s="50" t="s">
        <v>151</v>
      </c>
      <c r="B81" s="59">
        <f t="shared" ref="B81" si="31">B30/B59</f>
        <v>-0.46226415094339618</v>
      </c>
      <c r="C81" s="59">
        <f t="shared" ref="C81:K81" si="32">C30/C59</f>
        <v>-7.0210631895688009E-3</v>
      </c>
      <c r="D81" s="59">
        <f t="shared" si="32"/>
        <v>1.2091641917691949E-2</v>
      </c>
      <c r="E81" s="59">
        <f t="shared" si="32"/>
        <v>5.2379322149948608E-2</v>
      </c>
      <c r="F81" s="59">
        <f t="shared" si="32"/>
        <v>8.0047339824627486E-2</v>
      </c>
      <c r="G81" s="59">
        <f t="shared" si="32"/>
        <v>0.11315093723078751</v>
      </c>
      <c r="H81" s="59">
        <f t="shared" si="32"/>
        <v>0.12480881691408004</v>
      </c>
      <c r="I81" s="59">
        <f t="shared" si="32"/>
        <v>0.13968229868478488</v>
      </c>
      <c r="J81" s="59">
        <f t="shared" si="32"/>
        <v>0.12302450791440256</v>
      </c>
      <c r="K81" s="59">
        <f t="shared" si="32"/>
        <v>4.1485787625986217E-2</v>
      </c>
      <c r="L81" s="50">
        <v>3.3</v>
      </c>
    </row>
    <row r="82" spans="1:12" x14ac:dyDescent="0.25">
      <c r="A82" s="50" t="s">
        <v>152</v>
      </c>
      <c r="B82" s="59">
        <f>B36/B58</f>
        <v>0</v>
      </c>
      <c r="C82" s="59">
        <f>C36/C58</f>
        <v>0</v>
      </c>
      <c r="D82" s="59">
        <f t="shared" ref="D82:K82" si="33">D36/D58</f>
        <v>0</v>
      </c>
      <c r="E82" s="59">
        <f t="shared" si="33"/>
        <v>0</v>
      </c>
      <c r="F82" s="59">
        <f t="shared" si="33"/>
        <v>0</v>
      </c>
      <c r="G82" s="59">
        <f t="shared" si="33"/>
        <v>8.8796709983798614</v>
      </c>
      <c r="H82" s="59">
        <f t="shared" si="33"/>
        <v>8.3110682364257453</v>
      </c>
      <c r="I82" s="59">
        <f t="shared" si="33"/>
        <v>8.4837416050251271</v>
      </c>
      <c r="J82" s="59">
        <f t="shared" si="33"/>
        <v>10.648371288671559</v>
      </c>
      <c r="K82" s="59">
        <f t="shared" si="33"/>
        <v>2.3746338635720923</v>
      </c>
      <c r="L82" s="59">
        <f>L36/L58</f>
        <v>0.55145326001571093</v>
      </c>
    </row>
    <row r="83" spans="1:12" x14ac:dyDescent="0.25">
      <c r="A83" s="50" t="s">
        <v>153</v>
      </c>
      <c r="B83" s="59">
        <f t="shared" ref="B83" si="34">B25/B59</f>
        <v>9.4339622641509441E-2</v>
      </c>
      <c r="C83" s="59">
        <f t="shared" ref="C83:K83" si="35">C25/C59</f>
        <v>0.54363089267803411</v>
      </c>
      <c r="D83" s="59">
        <f t="shared" si="35"/>
        <v>0.2178616885871871</v>
      </c>
      <c r="E83" s="59">
        <f t="shared" si="35"/>
        <v>0.24398037201871506</v>
      </c>
      <c r="F83" s="59">
        <f t="shared" si="35"/>
        <v>0.21109258163429989</v>
      </c>
      <c r="G83" s="59">
        <f t="shared" si="35"/>
        <v>0.22936161364108962</v>
      </c>
      <c r="H83" s="59">
        <f t="shared" si="35"/>
        <v>0.25704003598740438</v>
      </c>
      <c r="I83" s="59">
        <f t="shared" si="35"/>
        <v>0.29917822778083542</v>
      </c>
      <c r="J83" s="59">
        <f t="shared" si="35"/>
        <v>0.25794859679444931</v>
      </c>
      <c r="K83" s="59">
        <f t="shared" si="35"/>
        <v>0.2633976319001422</v>
      </c>
      <c r="L83" s="50">
        <v>1</v>
      </c>
    </row>
    <row r="84" spans="1:12" x14ac:dyDescent="0.25">
      <c r="A84" s="56" t="s">
        <v>154</v>
      </c>
      <c r="B84" s="59">
        <f t="shared" ref="B84" si="36">$L$79*B79+$L$80*B80+$L$81*B81+$K$82*B82+$L$83*B83</f>
        <v>-2.5990566037735841</v>
      </c>
      <c r="C84" s="59">
        <f t="shared" ref="C84:K84" si="37">$L$79*C79+$L$80*C80+$L$81*C81+$K$82*C82+$L$83*C83</f>
        <v>0.46248746238716104</v>
      </c>
      <c r="D84" s="59">
        <f t="shared" si="37"/>
        <v>0.40095460330929128</v>
      </c>
      <c r="E84" s="59">
        <f t="shared" si="37"/>
        <v>0.58147894556658652</v>
      </c>
      <c r="F84" s="59">
        <f t="shared" si="37"/>
        <v>0.88970896766905172</v>
      </c>
      <c r="G84" s="59">
        <f t="shared" si="37"/>
        <v>22.19259787522763</v>
      </c>
      <c r="H84" s="59">
        <f t="shared" si="37"/>
        <v>21.022615421704202</v>
      </c>
      <c r="I84" s="59">
        <f t="shared" si="37"/>
        <v>21.448161916023576</v>
      </c>
      <c r="J84" s="59">
        <f t="shared" si="37"/>
        <v>26.628293089654591</v>
      </c>
      <c r="K84" s="59">
        <f t="shared" si="37"/>
        <v>6.4642518335438641</v>
      </c>
      <c r="L84" s="59">
        <f>$L$79*K79+$L$80*K80+$L$81*K81+$K$82*K82+$L$83*K83</f>
        <v>6.4642518335438641</v>
      </c>
    </row>
    <row r="85" spans="1:12" x14ac:dyDescent="0.25">
      <c r="A85" s="35" t="s">
        <v>155</v>
      </c>
      <c r="B85" s="35"/>
      <c r="C85" s="35"/>
      <c r="D85" s="35"/>
      <c r="E85" s="35"/>
      <c r="F85" s="35"/>
      <c r="G85" s="35"/>
      <c r="H85" s="35"/>
      <c r="I85" s="35"/>
      <c r="J85" s="35"/>
      <c r="K85" s="35"/>
      <c r="L85" s="35"/>
    </row>
    <row r="86" spans="1:12" x14ac:dyDescent="0.25">
      <c r="A86" s="35" t="s">
        <v>156</v>
      </c>
      <c r="B86" s="35"/>
      <c r="C86" s="35"/>
      <c r="D86" s="35"/>
      <c r="E86" s="35"/>
      <c r="F86" s="35"/>
      <c r="G86" s="35"/>
      <c r="H86" s="35"/>
      <c r="I86" s="35"/>
      <c r="J86" s="35"/>
      <c r="K86" s="35"/>
      <c r="L86" s="35"/>
    </row>
    <row r="87" spans="1:12" x14ac:dyDescent="0.25">
      <c r="A87" s="35" t="s">
        <v>157</v>
      </c>
      <c r="B87" s="35"/>
      <c r="C87" s="35"/>
      <c r="D87" s="35"/>
      <c r="E87" s="35"/>
      <c r="F87" s="35"/>
      <c r="G87" s="35"/>
      <c r="H87" s="35"/>
      <c r="I87" s="35"/>
      <c r="J87" s="35"/>
      <c r="K87" s="35"/>
      <c r="L87" s="35"/>
    </row>
    <row r="88" spans="1:12" x14ac:dyDescent="0.25">
      <c r="A88" s="35"/>
      <c r="B88" s="35"/>
      <c r="C88" s="35"/>
      <c r="D88" s="35"/>
      <c r="E88" s="35"/>
      <c r="F88" s="35"/>
      <c r="G88" s="35"/>
      <c r="H88" s="35"/>
      <c r="I88" s="35"/>
      <c r="J88" s="35"/>
      <c r="K88" s="35"/>
      <c r="L88" s="35"/>
    </row>
    <row r="89" spans="1:12" x14ac:dyDescent="0.25">
      <c r="A89" s="35"/>
      <c r="B89" s="35"/>
      <c r="C89" s="35"/>
      <c r="D89" s="35"/>
      <c r="E89" s="35"/>
      <c r="F89" s="35"/>
      <c r="G89" s="35"/>
      <c r="H89" s="35"/>
      <c r="I89" s="35"/>
      <c r="J89" s="35"/>
      <c r="K89" s="35"/>
      <c r="L89" s="35"/>
    </row>
    <row r="90" spans="1:12" x14ac:dyDescent="0.25">
      <c r="A90" s="35"/>
      <c r="B90" s="35"/>
      <c r="C90" s="35"/>
      <c r="D90" s="35"/>
      <c r="E90" s="35"/>
      <c r="F90" s="35"/>
      <c r="G90" s="35"/>
      <c r="H90" s="35"/>
      <c r="I90" s="35"/>
      <c r="J90" s="35"/>
      <c r="K90" s="35"/>
      <c r="L90" s="35"/>
    </row>
    <row r="91" spans="1:12" x14ac:dyDescent="0.25">
      <c r="A91" s="35"/>
      <c r="B91" s="35"/>
      <c r="C91" s="35"/>
      <c r="D91" s="35"/>
      <c r="E91" s="35"/>
      <c r="F91" s="35"/>
      <c r="G91" s="35"/>
      <c r="H91" s="35"/>
      <c r="I91" s="35"/>
      <c r="J91" s="35"/>
      <c r="K91" s="35"/>
      <c r="L91" s="35"/>
    </row>
    <row r="92" spans="1:12" x14ac:dyDescent="0.25">
      <c r="A92" s="35"/>
      <c r="B92" s="35"/>
      <c r="C92" s="35"/>
      <c r="D92" s="35"/>
      <c r="E92" s="35"/>
      <c r="F92" s="35"/>
      <c r="G92" s="35"/>
      <c r="H92" s="35"/>
      <c r="I92" s="35"/>
      <c r="J92" s="35"/>
      <c r="K92" s="35"/>
      <c r="L92" s="35"/>
    </row>
    <row r="93" spans="1:12" x14ac:dyDescent="0.25">
      <c r="A93" s="35"/>
      <c r="B93" s="35"/>
      <c r="C93" s="35"/>
      <c r="D93" s="35"/>
      <c r="E93" s="35"/>
      <c r="F93" s="35"/>
      <c r="G93" s="35"/>
      <c r="H93" s="35"/>
      <c r="I93" s="35"/>
      <c r="J93" s="35"/>
      <c r="K93" s="35"/>
      <c r="L93" s="35"/>
    </row>
    <row r="94" spans="1:12" x14ac:dyDescent="0.25">
      <c r="A94" s="35"/>
      <c r="B94" s="35"/>
      <c r="C94" s="35"/>
      <c r="D94" s="35"/>
      <c r="E94" s="35"/>
      <c r="F94" s="35"/>
      <c r="G94" s="35"/>
      <c r="H94" s="35"/>
      <c r="I94" s="35"/>
      <c r="J94" s="35"/>
      <c r="K94" s="35"/>
      <c r="L94" s="35"/>
    </row>
    <row r="95" spans="1:12" x14ac:dyDescent="0.25">
      <c r="A95" s="35"/>
      <c r="B95" s="35"/>
      <c r="C95" s="35"/>
      <c r="D95" s="35"/>
      <c r="E95" s="35"/>
      <c r="F95" s="35"/>
      <c r="G95" s="35"/>
      <c r="H95" s="35"/>
      <c r="I95" s="35"/>
      <c r="J95" s="35"/>
      <c r="K95" s="35"/>
      <c r="L95" s="35"/>
    </row>
    <row r="96" spans="1:12" x14ac:dyDescent="0.25">
      <c r="A96" s="35"/>
      <c r="B96" s="35"/>
      <c r="C96" s="35"/>
      <c r="D96" s="35"/>
      <c r="E96" s="35"/>
      <c r="F96" s="35"/>
      <c r="G96" s="35"/>
      <c r="H96" s="35"/>
      <c r="I96" s="35"/>
      <c r="J96" s="35"/>
      <c r="K96" s="35"/>
      <c r="L96" s="35"/>
    </row>
    <row r="97" spans="1:12" x14ac:dyDescent="0.25">
      <c r="A97" s="35"/>
      <c r="B97" s="35"/>
      <c r="C97" s="35"/>
      <c r="D97" s="35"/>
      <c r="E97" s="35"/>
      <c r="F97" s="35"/>
      <c r="G97" s="35"/>
      <c r="H97" s="35"/>
      <c r="I97" s="35"/>
      <c r="J97" s="35"/>
      <c r="K97" s="35"/>
      <c r="L97" s="35"/>
    </row>
    <row r="98" spans="1:12" x14ac:dyDescent="0.25">
      <c r="A98" s="35"/>
      <c r="B98" s="35"/>
      <c r="C98" s="35"/>
      <c r="D98" s="35"/>
      <c r="E98" s="35"/>
      <c r="F98" s="35"/>
      <c r="G98" s="35"/>
      <c r="H98" s="35"/>
      <c r="I98" s="35"/>
      <c r="J98" s="35"/>
      <c r="K98" s="35"/>
      <c r="L98" s="35"/>
    </row>
    <row r="99" spans="1:12" x14ac:dyDescent="0.25">
      <c r="A99" s="35"/>
      <c r="B99" s="35"/>
      <c r="C99" s="35"/>
      <c r="D99" s="35"/>
      <c r="E99" s="35"/>
      <c r="F99" s="35"/>
      <c r="G99" s="35"/>
      <c r="H99" s="35"/>
      <c r="I99" s="35"/>
      <c r="J99" s="35"/>
      <c r="K99" s="35"/>
      <c r="L99" s="35"/>
    </row>
    <row r="100" spans="1:12" x14ac:dyDescent="0.25">
      <c r="A100" s="35"/>
      <c r="B100" s="35"/>
      <c r="C100" s="35"/>
      <c r="D100" s="35"/>
      <c r="E100" s="35"/>
      <c r="F100" s="35"/>
      <c r="G100" s="35"/>
      <c r="H100" s="35"/>
      <c r="I100" s="35"/>
      <c r="J100" s="35"/>
      <c r="K100" s="35"/>
      <c r="L100" s="35"/>
    </row>
    <row r="101" spans="1:12" x14ac:dyDescent="0.25">
      <c r="A101" s="35"/>
      <c r="B101" s="35"/>
      <c r="C101" s="35"/>
      <c r="D101" s="35"/>
      <c r="E101" s="35"/>
      <c r="F101" s="35"/>
      <c r="G101" s="35"/>
      <c r="H101" s="35"/>
      <c r="I101" s="35"/>
      <c r="J101" s="35"/>
      <c r="K101" s="35"/>
      <c r="L101" s="35"/>
    </row>
    <row r="102" spans="1:12" x14ac:dyDescent="0.25">
      <c r="A102" s="35"/>
      <c r="B102" s="35"/>
      <c r="C102" s="35"/>
      <c r="D102" s="35"/>
      <c r="E102" s="35"/>
      <c r="F102" s="35"/>
      <c r="G102" s="35"/>
      <c r="H102" s="35"/>
      <c r="I102" s="35"/>
      <c r="J102" s="35"/>
      <c r="K102" s="35"/>
      <c r="L102" s="35"/>
    </row>
    <row r="103" spans="1:12" x14ac:dyDescent="0.25">
      <c r="A103" s="35"/>
      <c r="B103" s="35"/>
      <c r="C103" s="35"/>
      <c r="D103" s="35"/>
      <c r="E103" s="35"/>
      <c r="F103" s="35"/>
      <c r="G103" s="35"/>
      <c r="H103" s="35"/>
      <c r="I103" s="35"/>
      <c r="J103" s="35"/>
      <c r="K103" s="35"/>
      <c r="L103" s="35"/>
    </row>
    <row r="104" spans="1:12" x14ac:dyDescent="0.25">
      <c r="A104" s="35"/>
      <c r="B104" s="35"/>
      <c r="C104" s="35"/>
      <c r="D104" s="35"/>
      <c r="E104" s="35"/>
      <c r="F104" s="35"/>
      <c r="G104" s="35"/>
      <c r="H104" s="35"/>
      <c r="I104" s="35"/>
      <c r="J104" s="35"/>
      <c r="K104" s="35"/>
      <c r="L104" s="35"/>
    </row>
    <row r="105" spans="1:12" x14ac:dyDescent="0.25">
      <c r="A105" s="35"/>
      <c r="B105" s="35"/>
      <c r="C105" s="35"/>
      <c r="D105" s="35"/>
      <c r="E105" s="35"/>
      <c r="F105" s="35"/>
      <c r="G105" s="35"/>
      <c r="H105" s="35"/>
      <c r="I105" s="35"/>
      <c r="J105" s="35"/>
      <c r="K105" s="35"/>
      <c r="L105" s="35"/>
    </row>
    <row r="106" spans="1:12" x14ac:dyDescent="0.25">
      <c r="A106" s="35"/>
      <c r="B106" s="35"/>
      <c r="C106" s="35"/>
      <c r="D106" s="35"/>
      <c r="E106" s="35"/>
      <c r="F106" s="35"/>
      <c r="G106" s="35"/>
      <c r="H106" s="35"/>
      <c r="I106" s="35"/>
      <c r="J106" s="35"/>
      <c r="K106" s="35"/>
      <c r="L106" s="35"/>
    </row>
    <row r="107" spans="1:12" x14ac:dyDescent="0.25">
      <c r="A107" s="35"/>
      <c r="B107" s="35"/>
      <c r="C107" s="35"/>
      <c r="D107" s="35"/>
      <c r="E107" s="35"/>
      <c r="F107" s="35"/>
      <c r="G107" s="35"/>
      <c r="H107" s="35"/>
      <c r="I107" s="35"/>
      <c r="J107" s="35"/>
      <c r="K107" s="35"/>
      <c r="L107" s="35"/>
    </row>
    <row r="108" spans="1:12" x14ac:dyDescent="0.25">
      <c r="A108" s="35"/>
      <c r="B108" s="35"/>
      <c r="C108" s="35"/>
      <c r="D108" s="35"/>
      <c r="E108" s="35"/>
      <c r="F108" s="35"/>
      <c r="G108" s="35"/>
      <c r="H108" s="35"/>
      <c r="I108" s="35"/>
      <c r="J108" s="35"/>
      <c r="K108" s="35"/>
      <c r="L108" s="35"/>
    </row>
    <row r="109" spans="1:12" x14ac:dyDescent="0.25">
      <c r="A109" s="35"/>
      <c r="B109" s="35"/>
      <c r="C109" s="35"/>
      <c r="D109" s="35"/>
      <c r="E109" s="35"/>
      <c r="F109" s="35"/>
      <c r="G109" s="35"/>
      <c r="H109" s="35"/>
      <c r="I109" s="35"/>
      <c r="J109" s="35"/>
      <c r="K109" s="35"/>
      <c r="L109" s="35"/>
    </row>
    <row r="110" spans="1:12" x14ac:dyDescent="0.25">
      <c r="A110" s="35"/>
      <c r="B110" s="35"/>
      <c r="C110" s="35"/>
      <c r="D110" s="35"/>
      <c r="E110" s="35"/>
      <c r="F110" s="35"/>
      <c r="G110" s="35"/>
      <c r="H110" s="35"/>
      <c r="I110" s="35"/>
      <c r="J110" s="35"/>
      <c r="K110" s="35"/>
      <c r="L110" s="35"/>
    </row>
    <row r="111" spans="1:12" x14ac:dyDescent="0.25">
      <c r="A111" s="35"/>
      <c r="B111" s="35"/>
      <c r="C111" s="35"/>
      <c r="D111" s="35"/>
      <c r="E111" s="35"/>
      <c r="F111" s="35"/>
      <c r="G111" s="35"/>
      <c r="H111" s="35"/>
      <c r="I111" s="35"/>
      <c r="J111" s="35"/>
      <c r="K111" s="35"/>
      <c r="L111" s="35"/>
    </row>
    <row r="112" spans="1:12" x14ac:dyDescent="0.25">
      <c r="A112" s="35"/>
      <c r="B112" s="35"/>
      <c r="C112" s="35"/>
      <c r="D112" s="35"/>
      <c r="E112" s="35"/>
      <c r="F112" s="35"/>
      <c r="G112" s="35"/>
      <c r="H112" s="35"/>
      <c r="I112" s="35"/>
      <c r="J112" s="35"/>
      <c r="K112" s="35"/>
      <c r="L112" s="35"/>
    </row>
    <row r="113" spans="1:12" x14ac:dyDescent="0.25">
      <c r="A113" s="35"/>
      <c r="B113" s="35"/>
      <c r="C113" s="35"/>
      <c r="D113" s="35"/>
      <c r="E113" s="35"/>
      <c r="F113" s="35"/>
      <c r="G113" s="35"/>
      <c r="H113" s="35"/>
      <c r="I113" s="35"/>
      <c r="J113" s="35"/>
      <c r="K113" s="35"/>
      <c r="L113" s="35"/>
    </row>
    <row r="114" spans="1:12" x14ac:dyDescent="0.25">
      <c r="A114" s="35"/>
      <c r="B114" s="35"/>
      <c r="C114" s="35"/>
      <c r="D114" s="35"/>
      <c r="E114" s="35"/>
      <c r="F114" s="35"/>
      <c r="G114" s="35"/>
      <c r="H114" s="35"/>
      <c r="I114" s="35"/>
      <c r="J114" s="35"/>
      <c r="K114" s="35"/>
      <c r="L114" s="35"/>
    </row>
    <row r="115" spans="1:12" x14ac:dyDescent="0.25">
      <c r="A115" s="35"/>
      <c r="B115" s="35"/>
      <c r="C115" s="35"/>
      <c r="D115" s="35"/>
      <c r="E115" s="35"/>
      <c r="F115" s="35"/>
      <c r="G115" s="35"/>
      <c r="H115" s="35"/>
      <c r="I115" s="35"/>
      <c r="J115" s="35"/>
      <c r="K115" s="35"/>
      <c r="L115" s="35"/>
    </row>
    <row r="116" spans="1:12" x14ac:dyDescent="0.25">
      <c r="A116" s="35"/>
      <c r="B116" s="35"/>
      <c r="C116" s="35"/>
      <c r="D116" s="35"/>
      <c r="E116" s="35"/>
      <c r="F116" s="35"/>
      <c r="G116" s="35"/>
      <c r="H116" s="35"/>
      <c r="I116" s="35"/>
      <c r="J116" s="35"/>
      <c r="K116" s="35"/>
      <c r="L116" s="35"/>
    </row>
    <row r="117" spans="1:12" x14ac:dyDescent="0.25">
      <c r="A117" s="35"/>
      <c r="B117" s="35"/>
      <c r="C117" s="35"/>
      <c r="D117" s="35"/>
      <c r="E117" s="35"/>
      <c r="F117" s="35"/>
      <c r="G117" s="35"/>
      <c r="H117" s="35"/>
      <c r="I117" s="35"/>
      <c r="J117" s="35"/>
      <c r="K117" s="35"/>
      <c r="L117" s="35"/>
    </row>
    <row r="118" spans="1:12" x14ac:dyDescent="0.25">
      <c r="A118" s="35"/>
      <c r="B118" s="35"/>
      <c r="C118" s="35"/>
      <c r="D118" s="35"/>
      <c r="E118" s="35"/>
      <c r="F118" s="35"/>
      <c r="G118" s="35"/>
      <c r="H118" s="35"/>
      <c r="I118" s="35"/>
      <c r="J118" s="35"/>
      <c r="K118" s="35"/>
      <c r="L118" s="35"/>
    </row>
  </sheetData>
  <mergeCells count="9">
    <mergeCell ref="A65:K65"/>
    <mergeCell ref="A68:K68"/>
    <mergeCell ref="A78:K78"/>
    <mergeCell ref="A3:J3"/>
    <mergeCell ref="A12:K12"/>
    <mergeCell ref="A13:J13"/>
    <mergeCell ref="C37:K37"/>
    <mergeCell ref="A38:K38"/>
    <mergeCell ref="A60:K6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topLeftCell="A59" workbookViewId="0">
      <selection activeCell="C73" sqref="C73"/>
    </sheetView>
  </sheetViews>
  <sheetFormatPr defaultRowHeight="15" x14ac:dyDescent="0.25"/>
  <cols>
    <col min="1" max="1" width="26" customWidth="1"/>
    <col min="2" max="2" width="12" bestFit="1" customWidth="1"/>
    <col min="11" max="11" width="0" hidden="1" customWidth="1"/>
    <col min="12" max="12" width="30.28515625" customWidth="1"/>
    <col min="13" max="13" width="8.85546875" customWidth="1"/>
    <col min="14" max="14" width="8.5703125" customWidth="1"/>
    <col min="15" max="15" width="7.85546875" customWidth="1"/>
    <col min="16" max="16" width="9" customWidth="1"/>
    <col min="17" max="17" width="9.28515625" customWidth="1"/>
    <col min="18" max="18" width="3.7109375" customWidth="1"/>
    <col min="19" max="19" width="10.28515625" customWidth="1"/>
    <col min="20" max="20" width="8.28515625" customWidth="1"/>
    <col min="21" max="21" width="9.85546875" customWidth="1"/>
  </cols>
  <sheetData>
    <row r="1" spans="1:21" x14ac:dyDescent="0.25">
      <c r="B1" s="16">
        <f>'Data Sheet'!B16</f>
        <v>39172</v>
      </c>
      <c r="C1" s="16">
        <f>'Data Sheet'!C16</f>
        <v>39538</v>
      </c>
      <c r="D1" s="16">
        <f>'Data Sheet'!D16</f>
        <v>39903</v>
      </c>
      <c r="E1" s="16">
        <f>'Data Sheet'!E16</f>
        <v>40268</v>
      </c>
      <c r="F1" s="16">
        <f>'Data Sheet'!F16</f>
        <v>40633</v>
      </c>
      <c r="G1" s="16">
        <f>'Data Sheet'!G16</f>
        <v>40999</v>
      </c>
      <c r="H1" s="16">
        <f>'Data Sheet'!H16</f>
        <v>41364</v>
      </c>
      <c r="I1" s="16">
        <f>'Data Sheet'!I16</f>
        <v>41729</v>
      </c>
      <c r="J1" s="16">
        <f>'Data Sheet'!J16</f>
        <v>42094</v>
      </c>
      <c r="K1" s="16">
        <f>'Data Sheet'!K16</f>
        <v>42460</v>
      </c>
      <c r="M1" t="s">
        <v>671</v>
      </c>
      <c r="N1" t="s">
        <v>672</v>
      </c>
      <c r="O1" t="s">
        <v>644</v>
      </c>
      <c r="P1" t="s">
        <v>645</v>
      </c>
      <c r="Q1" t="s">
        <v>646</v>
      </c>
      <c r="S1" t="s">
        <v>641</v>
      </c>
      <c r="T1" t="s">
        <v>642</v>
      </c>
      <c r="U1" t="s">
        <v>643</v>
      </c>
    </row>
    <row r="2" spans="1:21" x14ac:dyDescent="0.25">
      <c r="A2" t="s">
        <v>752</v>
      </c>
      <c r="B2" s="111"/>
      <c r="C2" s="111"/>
      <c r="D2" s="111"/>
      <c r="E2" s="111"/>
      <c r="F2" s="111" t="s">
        <v>751</v>
      </c>
      <c r="G2" s="111"/>
      <c r="H2" s="111"/>
      <c r="I2" s="111"/>
      <c r="J2" s="111"/>
      <c r="K2" s="111"/>
    </row>
    <row r="3" spans="1:21" x14ac:dyDescent="0.25">
      <c r="A3" t="s">
        <v>548</v>
      </c>
      <c r="B3" s="111">
        <f>'Data Sheet'!B17</f>
        <v>0.1</v>
      </c>
      <c r="C3" s="111">
        <f>'Data Sheet'!C17</f>
        <v>5.42</v>
      </c>
      <c r="D3" s="111">
        <f>'Data Sheet'!D17</f>
        <v>10.27</v>
      </c>
      <c r="E3" s="111">
        <f>'Data Sheet'!E17</f>
        <v>21.38</v>
      </c>
      <c r="F3" s="111">
        <f>'Data Sheet'!F17</f>
        <v>39.24</v>
      </c>
      <c r="G3" s="111">
        <f>'Data Sheet'!G17</f>
        <v>77.209999999999994</v>
      </c>
      <c r="H3" s="111">
        <f>'Data Sheet'!H17</f>
        <v>114.28</v>
      </c>
      <c r="I3" s="111">
        <f>'Data Sheet'!I17</f>
        <v>157.63999999999999</v>
      </c>
      <c r="J3" s="111">
        <f>'Data Sheet'!J17</f>
        <v>207.45</v>
      </c>
      <c r="K3" s="111">
        <f>'Data Sheet'!K17</f>
        <v>209.33</v>
      </c>
      <c r="S3" s="111">
        <f>SUM(I3:K3)</f>
        <v>574.41999999999996</v>
      </c>
      <c r="T3" s="111">
        <f>SUM(G3:K3)</f>
        <v>765.91</v>
      </c>
      <c r="U3" s="111">
        <f>SUM(C3:K3)</f>
        <v>842.21999999999991</v>
      </c>
    </row>
    <row r="4" spans="1:21" x14ac:dyDescent="0.25">
      <c r="A4" t="s">
        <v>9</v>
      </c>
      <c r="B4" s="108">
        <f>'Data Sheet'!B25</f>
        <v>0</v>
      </c>
      <c r="C4" s="108">
        <f>'Data Sheet'!C25</f>
        <v>0.01</v>
      </c>
      <c r="D4" s="108">
        <f>'Data Sheet'!D25</f>
        <v>0.38</v>
      </c>
      <c r="E4" s="108">
        <f>'Data Sheet'!E25</f>
        <v>0.49</v>
      </c>
      <c r="F4" s="108">
        <f>'Data Sheet'!F25</f>
        <v>1.91</v>
      </c>
      <c r="G4" s="108">
        <f>'Data Sheet'!G25</f>
        <v>3.88</v>
      </c>
      <c r="H4" s="108">
        <f>'Data Sheet'!H25</f>
        <v>7.06</v>
      </c>
      <c r="I4" s="108">
        <f>'Data Sheet'!I25</f>
        <v>1.34</v>
      </c>
      <c r="J4" s="108">
        <f>'Data Sheet'!J25</f>
        <v>7.15</v>
      </c>
      <c r="K4" s="108">
        <f>'Data Sheet'!K25</f>
        <v>14.59</v>
      </c>
      <c r="S4" s="111">
        <f t="shared" ref="S4:S15" si="0">SUM(I4:K4)</f>
        <v>23.08</v>
      </c>
      <c r="T4" s="111">
        <f t="shared" ref="T4:T15" si="1">SUM(G4:K4)</f>
        <v>34.019999999999996</v>
      </c>
      <c r="U4" s="111">
        <f t="shared" ref="U4:U15" si="2">SUM(C4:K4)</f>
        <v>36.81</v>
      </c>
    </row>
    <row r="5" spans="1:21" x14ac:dyDescent="0.25">
      <c r="A5" t="s">
        <v>647</v>
      </c>
      <c r="B5" s="111">
        <f>SUM('Data Sheet'!B18:B24)</f>
        <v>0.59</v>
      </c>
      <c r="C5" s="111">
        <f>SUM('Data Sheet'!C18:C24)</f>
        <v>4.5600000000000005</v>
      </c>
      <c r="D5" s="111">
        <f>SUM('Data Sheet'!D18:D24)</f>
        <v>8.2100000000000009</v>
      </c>
      <c r="E5" s="111">
        <f>SUM('Data Sheet'!E18:E24)</f>
        <v>14.35</v>
      </c>
      <c r="F5" s="111">
        <f>SUM('Data Sheet'!F18:F24)</f>
        <v>22.31</v>
      </c>
      <c r="G5" s="111">
        <f>SUM('Data Sheet'!G18:G24)</f>
        <v>35.200000000000003</v>
      </c>
      <c r="H5" s="111">
        <f>SUM('Data Sheet'!H18:H24)</f>
        <v>52.470000000000006</v>
      </c>
      <c r="I5" s="111">
        <f>SUM('Data Sheet'!I18:I24)</f>
        <v>68.419999999999987</v>
      </c>
      <c r="J5" s="111">
        <f>SUM('Data Sheet'!J18:J24)</f>
        <v>88.840000000000018</v>
      </c>
      <c r="K5" s="111">
        <f>SUM('Data Sheet'!K18:K24)</f>
        <v>146.12</v>
      </c>
      <c r="S5" s="111">
        <f t="shared" si="0"/>
        <v>303.38</v>
      </c>
      <c r="T5" s="111">
        <f t="shared" si="1"/>
        <v>391.05</v>
      </c>
      <c r="U5" s="111">
        <f t="shared" si="2"/>
        <v>440.48</v>
      </c>
    </row>
    <row r="6" spans="1:21" x14ac:dyDescent="0.25">
      <c r="A6" t="s">
        <v>648</v>
      </c>
      <c r="B6" s="108">
        <f>'Data Sheet'!B24</f>
        <v>0</v>
      </c>
      <c r="C6" s="108">
        <f>'Data Sheet'!C24</f>
        <v>0</v>
      </c>
      <c r="D6" s="108">
        <f>'Data Sheet'!D24</f>
        <v>0</v>
      </c>
      <c r="E6" s="108">
        <f>'Data Sheet'!E24</f>
        <v>0</v>
      </c>
      <c r="F6" s="108">
        <f>'Data Sheet'!F24</f>
        <v>0.55000000000000004</v>
      </c>
      <c r="G6" s="108">
        <f>'Data Sheet'!G24</f>
        <v>0.52</v>
      </c>
      <c r="H6" s="108">
        <f>'Data Sheet'!H24</f>
        <v>0.56999999999999995</v>
      </c>
      <c r="I6" s="108">
        <f>'Data Sheet'!I24</f>
        <v>0.94</v>
      </c>
      <c r="J6" s="108">
        <f>'Data Sheet'!J24</f>
        <v>1.98</v>
      </c>
      <c r="K6" s="108">
        <f>'Data Sheet'!K24</f>
        <v>29.7</v>
      </c>
      <c r="S6" s="111">
        <f t="shared" si="0"/>
        <v>32.619999999999997</v>
      </c>
      <c r="T6" s="111">
        <f t="shared" si="1"/>
        <v>33.71</v>
      </c>
      <c r="U6" s="111">
        <f t="shared" si="2"/>
        <v>34.26</v>
      </c>
    </row>
    <row r="7" spans="1:21" x14ac:dyDescent="0.25">
      <c r="A7" t="s">
        <v>79</v>
      </c>
      <c r="B7" s="108">
        <f>'Data Sheet'!B67</f>
        <v>0</v>
      </c>
      <c r="C7" s="108">
        <f>'Data Sheet'!C67</f>
        <v>0.01</v>
      </c>
      <c r="D7" s="108">
        <f>'Data Sheet'!D67</f>
        <v>0.42</v>
      </c>
      <c r="E7" s="108">
        <f>'Data Sheet'!E67</f>
        <v>6.95</v>
      </c>
      <c r="F7" s="108">
        <f>'Data Sheet'!F67</f>
        <v>1.77</v>
      </c>
      <c r="G7" s="108">
        <f>'Data Sheet'!G67</f>
        <v>5.81</v>
      </c>
      <c r="H7" s="108">
        <f>'Data Sheet'!H67</f>
        <v>6.87</v>
      </c>
      <c r="I7" s="108">
        <f>'Data Sheet'!I67</f>
        <v>29</v>
      </c>
      <c r="J7" s="108">
        <f>'Data Sheet'!J67</f>
        <v>41.5</v>
      </c>
      <c r="K7" s="108">
        <f>'Data Sheet'!K67</f>
        <v>57.11</v>
      </c>
      <c r="S7" s="111">
        <f t="shared" ref="S7:S8" si="3">SUM(I7:K7)</f>
        <v>127.61</v>
      </c>
      <c r="T7" s="111">
        <f t="shared" ref="T7:T8" si="4">SUM(G7:K7)</f>
        <v>140.29000000000002</v>
      </c>
      <c r="U7" s="111">
        <f t="shared" ref="U7:U8" si="5">SUM(C7:K7)</f>
        <v>149.44</v>
      </c>
    </row>
    <row r="8" spans="1:21" x14ac:dyDescent="0.25">
      <c r="A8" t="s">
        <v>45</v>
      </c>
      <c r="B8" s="108">
        <f>'Data Sheet'!B68</f>
        <v>0</v>
      </c>
      <c r="C8" s="108">
        <f>'Data Sheet'!C68</f>
        <v>0.05</v>
      </c>
      <c r="D8" s="108">
        <f>'Data Sheet'!D68</f>
        <v>0.16</v>
      </c>
      <c r="E8" s="108">
        <f>'Data Sheet'!E68</f>
        <v>0.3</v>
      </c>
      <c r="F8" s="108">
        <f>'Data Sheet'!F68</f>
        <v>1.47</v>
      </c>
      <c r="G8" s="108">
        <f>'Data Sheet'!G68</f>
        <v>3.65</v>
      </c>
      <c r="H8" s="108">
        <f>'Data Sheet'!H68</f>
        <v>4.5999999999999996</v>
      </c>
      <c r="I8" s="108">
        <f>'Data Sheet'!I68</f>
        <v>5.62</v>
      </c>
      <c r="J8" s="108">
        <f>'Data Sheet'!J68</f>
        <v>5.21</v>
      </c>
      <c r="K8" s="108">
        <f>'Data Sheet'!K68</f>
        <v>4.33</v>
      </c>
      <c r="S8" s="111">
        <f t="shared" si="3"/>
        <v>15.16</v>
      </c>
      <c r="T8" s="111">
        <f t="shared" si="4"/>
        <v>23.410000000000004</v>
      </c>
      <c r="U8" s="111">
        <f t="shared" si="5"/>
        <v>25.39</v>
      </c>
    </row>
    <row r="9" spans="1:21" x14ac:dyDescent="0.25">
      <c r="A9" t="s">
        <v>650</v>
      </c>
      <c r="B9" s="108"/>
      <c r="C9" s="108"/>
      <c r="D9" s="108"/>
      <c r="E9" s="108"/>
      <c r="F9" s="108"/>
      <c r="G9" s="108"/>
      <c r="H9" s="108"/>
      <c r="I9" s="108"/>
      <c r="J9" s="108"/>
      <c r="K9" s="108"/>
      <c r="S9" s="111"/>
      <c r="T9" s="111"/>
      <c r="U9" s="111"/>
    </row>
    <row r="10" spans="1:21" x14ac:dyDescent="0.25">
      <c r="A10" t="s">
        <v>130</v>
      </c>
      <c r="B10" s="111">
        <f>'Data Sheet'!B57+'Data Sheet'!B58+'Data Sheet'!B59</f>
        <v>-0.12</v>
      </c>
      <c r="C10" s="111">
        <f>'Data Sheet'!C57+'Data Sheet'!C58+'Data Sheet'!C59</f>
        <v>8.2800000000000011</v>
      </c>
      <c r="D10" s="111">
        <f>'Data Sheet'!D57+'Data Sheet'!D58+'Data Sheet'!D59</f>
        <v>44.05</v>
      </c>
      <c r="E10" s="111">
        <f>'Data Sheet'!E57+'Data Sheet'!E58+'Data Sheet'!E59</f>
        <v>73.53</v>
      </c>
      <c r="F10" s="111">
        <f>'Data Sheet'!F57+'Data Sheet'!F58+'Data Sheet'!F59</f>
        <v>170.26999999999998</v>
      </c>
      <c r="G10" s="111">
        <f>'Data Sheet'!G57+'Data Sheet'!G58+'Data Sheet'!G59</f>
        <v>307.78999999999996</v>
      </c>
      <c r="H10" s="111">
        <f>'Data Sheet'!H57+'Data Sheet'!H58+'Data Sheet'!H59</f>
        <v>400.08000000000004</v>
      </c>
      <c r="I10" s="111">
        <f>'Data Sheet'!I57+'Data Sheet'!I58+'Data Sheet'!I59</f>
        <v>480.19</v>
      </c>
      <c r="J10" s="111">
        <f>'Data Sheet'!J57+'Data Sheet'!J58+'Data Sheet'!J59</f>
        <v>750.54</v>
      </c>
      <c r="K10" s="111">
        <f>'Data Sheet'!K57+'Data Sheet'!K58+'Data Sheet'!K59</f>
        <v>753.61</v>
      </c>
      <c r="S10" s="111"/>
      <c r="T10" s="111"/>
      <c r="U10" s="111"/>
    </row>
    <row r="11" spans="1:21" x14ac:dyDescent="0.25">
      <c r="A11" t="s">
        <v>116</v>
      </c>
      <c r="B11" s="108">
        <f>'Data Sheet'!B30</f>
        <v>-0.49</v>
      </c>
      <c r="C11" s="108">
        <f>'Data Sheet'!C30</f>
        <v>-0.19</v>
      </c>
      <c r="D11" s="108">
        <f>'Data Sheet'!D30</f>
        <v>0.51</v>
      </c>
      <c r="E11" s="108">
        <f>'Data Sheet'!E30</f>
        <v>2.6</v>
      </c>
      <c r="F11" s="108">
        <f>'Data Sheet'!F30</f>
        <v>9.1999999999999993</v>
      </c>
      <c r="G11" s="108">
        <f>'Data Sheet'!G30</f>
        <v>21.66</v>
      </c>
      <c r="H11" s="108">
        <f>'Data Sheet'!H30</f>
        <v>33.340000000000003</v>
      </c>
      <c r="I11" s="108">
        <f>'Data Sheet'!I30</f>
        <v>43.92</v>
      </c>
      <c r="J11" s="108">
        <f>'Data Sheet'!J30</f>
        <v>60.87</v>
      </c>
      <c r="K11" s="108">
        <f>'Data Sheet'!K30</f>
        <v>6.77</v>
      </c>
      <c r="L11" s="341" t="s">
        <v>727</v>
      </c>
      <c r="S11" s="340">
        <f t="shared" si="0"/>
        <v>111.55999999999999</v>
      </c>
      <c r="T11" s="340">
        <f t="shared" si="1"/>
        <v>166.56</v>
      </c>
      <c r="U11" s="340">
        <f t="shared" si="2"/>
        <v>178.68</v>
      </c>
    </row>
    <row r="12" spans="1:21" x14ac:dyDescent="0.25">
      <c r="A12" t="s">
        <v>304</v>
      </c>
      <c r="B12" s="108">
        <f>'Data Sheet'!B82</f>
        <v>-0.57999999999999996</v>
      </c>
      <c r="C12" s="108">
        <f>'Data Sheet'!C82</f>
        <v>1.23</v>
      </c>
      <c r="D12" s="108">
        <f>'Data Sheet'!D82</f>
        <v>-1.1200000000000001</v>
      </c>
      <c r="E12" s="108">
        <f>'Data Sheet'!E82</f>
        <v>2.31</v>
      </c>
      <c r="F12" s="108">
        <f>'Data Sheet'!F82</f>
        <v>10.66</v>
      </c>
      <c r="G12" s="108">
        <f>'Data Sheet'!G82</f>
        <v>6.4</v>
      </c>
      <c r="H12" s="108">
        <f>'Data Sheet'!H82</f>
        <v>-13.86</v>
      </c>
      <c r="I12" s="108">
        <f>'Data Sheet'!I82</f>
        <v>35.24</v>
      </c>
      <c r="J12" s="108">
        <f>'Data Sheet'!J82</f>
        <v>59.02</v>
      </c>
      <c r="K12" s="108">
        <f>'Data Sheet'!K82</f>
        <v>-12.58</v>
      </c>
      <c r="L12" s="341"/>
      <c r="S12" s="340">
        <f t="shared" si="0"/>
        <v>81.680000000000007</v>
      </c>
      <c r="T12" s="340">
        <f t="shared" si="1"/>
        <v>74.220000000000013</v>
      </c>
      <c r="U12" s="340">
        <f t="shared" si="2"/>
        <v>87.3</v>
      </c>
    </row>
    <row r="13" spans="1:21" ht="90" x14ac:dyDescent="0.25">
      <c r="A13" t="s">
        <v>222</v>
      </c>
      <c r="C13" s="108">
        <f>('Data Sheet'!C62-'Data Sheet'!B62)+('Data Sheet'!C63-'Data Sheet'!B63)+'Data Sheet'!C26</f>
        <v>9.1399999999999988</v>
      </c>
      <c r="D13" s="108">
        <f>('Data Sheet'!D62-'Data Sheet'!C62)+('Data Sheet'!D63-'Data Sheet'!C63)+'Data Sheet'!D26</f>
        <v>32.35</v>
      </c>
      <c r="E13" s="108">
        <f>('Data Sheet'!E62-'Data Sheet'!D62)+('Data Sheet'!E63-'Data Sheet'!D63)+'Data Sheet'!E26</f>
        <v>27.430000000000003</v>
      </c>
      <c r="F13" s="108">
        <f>('Data Sheet'!F62-'Data Sheet'!E62)+('Data Sheet'!F63-'Data Sheet'!E63)+'Data Sheet'!F26</f>
        <v>54.59</v>
      </c>
      <c r="G13" s="108">
        <f>('Data Sheet'!G62-'Data Sheet'!F62)+('Data Sheet'!G63-'Data Sheet'!F63)+'Data Sheet'!G26</f>
        <v>50.259999999999984</v>
      </c>
      <c r="H13" s="108">
        <f>('Data Sheet'!H62-'Data Sheet'!G62)+('Data Sheet'!H63-'Data Sheet'!G63)+'Data Sheet'!H26</f>
        <v>51.550000000000004</v>
      </c>
      <c r="I13" s="108">
        <f>('Data Sheet'!I62-'Data Sheet'!H62)+('Data Sheet'!I63-'Data Sheet'!H63)+'Data Sheet'!I26</f>
        <v>97.510000000000019</v>
      </c>
      <c r="J13" s="108">
        <f>('Data Sheet'!J62-'Data Sheet'!I62)+('Data Sheet'!J63-'Data Sheet'!I63)+'Data Sheet'!J26</f>
        <v>97.289999999999992</v>
      </c>
      <c r="K13" s="108">
        <f>('Data Sheet'!K62-'Data Sheet'!J62)+('Data Sheet'!K63-'Data Sheet'!J63)+'Data Sheet'!K26</f>
        <v>168.06</v>
      </c>
      <c r="L13" s="343" t="s">
        <v>728</v>
      </c>
      <c r="S13" s="111">
        <f t="shared" si="0"/>
        <v>362.86</v>
      </c>
      <c r="T13" s="111">
        <f t="shared" si="1"/>
        <v>464.67</v>
      </c>
      <c r="U13" s="111">
        <f t="shared" si="2"/>
        <v>588.18000000000006</v>
      </c>
    </row>
    <row r="14" spans="1:21" x14ac:dyDescent="0.25">
      <c r="A14" t="s">
        <v>400</v>
      </c>
      <c r="B14" s="108">
        <f>'Data Sheet'!B31</f>
        <v>0</v>
      </c>
      <c r="C14" s="108">
        <f>'Data Sheet'!C31</f>
        <v>0</v>
      </c>
      <c r="D14" s="108">
        <f>'Data Sheet'!D31</f>
        <v>0</v>
      </c>
      <c r="E14" s="108">
        <f>'Data Sheet'!E31</f>
        <v>0</v>
      </c>
      <c r="F14" s="108">
        <f>'Data Sheet'!F31</f>
        <v>0</v>
      </c>
      <c r="G14" s="108">
        <f>'Data Sheet'!G31</f>
        <v>3.37</v>
      </c>
      <c r="H14" s="108">
        <f>'Data Sheet'!H31</f>
        <v>4.5</v>
      </c>
      <c r="I14" s="108">
        <f>'Data Sheet'!I31</f>
        <v>5.58</v>
      </c>
      <c r="J14" s="108">
        <f>'Data Sheet'!J31</f>
        <v>8.4600000000000009</v>
      </c>
      <c r="K14" s="108">
        <f>'Data Sheet'!K31</f>
        <v>0</v>
      </c>
      <c r="L14" s="341" t="s">
        <v>729</v>
      </c>
      <c r="S14" s="111">
        <f t="shared" si="0"/>
        <v>14.040000000000001</v>
      </c>
      <c r="T14" s="111">
        <f t="shared" si="1"/>
        <v>21.91</v>
      </c>
      <c r="U14" s="111">
        <f t="shared" si="2"/>
        <v>21.91</v>
      </c>
    </row>
    <row r="15" spans="1:21" x14ac:dyDescent="0.25">
      <c r="A15" t="s">
        <v>649</v>
      </c>
      <c r="C15" s="108">
        <f>C12-C13</f>
        <v>-7.9099999999999984</v>
      </c>
      <c r="D15" s="108">
        <f t="shared" ref="D15:K15" si="6">D12-D13</f>
        <v>-33.47</v>
      </c>
      <c r="E15" s="108">
        <f t="shared" si="6"/>
        <v>-25.120000000000005</v>
      </c>
      <c r="F15" s="108">
        <f t="shared" si="6"/>
        <v>-43.930000000000007</v>
      </c>
      <c r="G15" s="108">
        <f t="shared" si="6"/>
        <v>-43.859999999999985</v>
      </c>
      <c r="H15" s="108">
        <f t="shared" si="6"/>
        <v>-65.41</v>
      </c>
      <c r="I15" s="108">
        <f t="shared" si="6"/>
        <v>-62.270000000000017</v>
      </c>
      <c r="J15" s="108">
        <f t="shared" si="6"/>
        <v>-38.269999999999989</v>
      </c>
      <c r="K15" s="108">
        <f t="shared" si="6"/>
        <v>-180.64000000000001</v>
      </c>
      <c r="L15" s="341" t="s">
        <v>730</v>
      </c>
      <c r="S15" s="111">
        <f t="shared" si="0"/>
        <v>-281.18</v>
      </c>
      <c r="T15" s="111">
        <f t="shared" si="1"/>
        <v>-390.45</v>
      </c>
      <c r="U15" s="111">
        <f t="shared" si="2"/>
        <v>-500.88</v>
      </c>
    </row>
    <row r="16" spans="1:21" x14ac:dyDescent="0.25">
      <c r="A16" t="s">
        <v>147</v>
      </c>
      <c r="B16" s="111">
        <f>Other_input_data!B36+Other_input_data!B44-Other_input_data!B8</f>
        <v>7.999999999999996E-2</v>
      </c>
      <c r="C16" s="111">
        <f>Other_input_data!C36+Other_input_data!C44-Other_input_data!C8</f>
        <v>-0.03</v>
      </c>
      <c r="D16" s="111">
        <f>Other_input_data!D36+Other_input_data!D44-Other_input_data!D8</f>
        <v>-2.11</v>
      </c>
      <c r="E16" s="111">
        <f>Other_input_data!E36+Other_input_data!E44-Other_input_data!E8</f>
        <v>1.67</v>
      </c>
      <c r="F16" s="111">
        <f>Other_input_data!F36+Other_input_data!F44-Other_input_data!F8</f>
        <v>18.739999999999998</v>
      </c>
      <c r="G16" s="111">
        <f>Other_input_data!G36+Other_input_data!G44-Other_input_data!G8</f>
        <v>716.21480091000012</v>
      </c>
      <c r="H16" s="111">
        <f>Other_input_data!H36+Other_input_data!H44-Other_input_data!H8</f>
        <v>942.52323062000005</v>
      </c>
      <c r="I16" s="111">
        <f>Other_input_data!I36+Other_input_data!I44-Other_input_data!I8</f>
        <v>1169.19197661</v>
      </c>
      <c r="J16" s="111">
        <f>Other_input_data!J36+Other_input_data!J44-Other_input_data!J8</f>
        <v>1642.9617042560003</v>
      </c>
      <c r="K16" s="111">
        <f>Other_input_data!K36+Other_input_data!K44-Other_input_data!K8</f>
        <v>409.30997991600009</v>
      </c>
      <c r="S16" s="111"/>
      <c r="T16" s="111"/>
      <c r="U16" s="111"/>
    </row>
    <row r="17" spans="1:21" x14ac:dyDescent="0.25">
      <c r="C17" s="108"/>
      <c r="D17" s="108"/>
      <c r="E17" s="108"/>
      <c r="F17" s="108"/>
      <c r="G17" s="108"/>
      <c r="H17" s="108"/>
      <c r="I17" s="108"/>
      <c r="J17" s="108"/>
      <c r="K17" s="108"/>
      <c r="S17" s="111"/>
      <c r="T17" s="111"/>
      <c r="U17" s="111"/>
    </row>
    <row r="18" spans="1:21" x14ac:dyDescent="0.25">
      <c r="A18" t="s">
        <v>607</v>
      </c>
      <c r="C18" s="83">
        <f>IFERROR(('Profit &amp; Loss'!C4-'Profit &amp; Loss'!B4)/'Profit &amp; Loss'!B4,"NA")</f>
        <v>53.2</v>
      </c>
      <c r="D18" s="83">
        <f>IFERROR(('Profit &amp; Loss'!D4-'Profit &amp; Loss'!C4)/'Profit &amp; Loss'!C4,"NA")</f>
        <v>0.89483394833948338</v>
      </c>
      <c r="E18" s="329">
        <f>IFERROR(('Profit &amp; Loss'!E4-'Profit &amp; Loss'!D4)/'Profit &amp; Loss'!D4,"NA")</f>
        <v>1.0817916260954235</v>
      </c>
      <c r="F18" s="329">
        <f>IFERROR(('Profit &amp; Loss'!F4-'Profit &amp; Loss'!E4)/'Profit &amp; Loss'!E4,"NA")</f>
        <v>0.83536014967259142</v>
      </c>
      <c r="G18" s="329">
        <f>IFERROR(('Profit &amp; Loss'!G4-'Profit &amp; Loss'!F4)/'Profit &amp; Loss'!F4,"NA")</f>
        <v>0.96763506625891926</v>
      </c>
      <c r="H18" s="329">
        <f>IFERROR(('Profit &amp; Loss'!H4-'Profit &amp; Loss'!G4)/'Profit &amp; Loss'!G4,"NA")</f>
        <v>0.48011915554979939</v>
      </c>
      <c r="I18" s="329">
        <f>IFERROR(('Profit &amp; Loss'!I4-'Profit &amp; Loss'!H4)/'Profit &amp; Loss'!H4,"NA")</f>
        <v>0.37941897094854732</v>
      </c>
      <c r="J18" s="329">
        <f>IFERROR(('Profit &amp; Loss'!J4-'Profit &amp; Loss'!I4)/'Profit &amp; Loss'!I4,"NA")</f>
        <v>0.31597310327328093</v>
      </c>
      <c r="K18" s="109">
        <f>IFERROR(('Profit &amp; Loss'!K4-'Profit &amp; Loss'!J4)/'Profit &amp; Loss'!J4,"NA")</f>
        <v>9.0624246806460546E-3</v>
      </c>
      <c r="L18" s="344" t="s">
        <v>731</v>
      </c>
    </row>
    <row r="19" spans="1:21" x14ac:dyDescent="0.25">
      <c r="A19" t="s">
        <v>608</v>
      </c>
      <c r="C19" s="83">
        <f>IFERROR(('Profit &amp; Loss'!C12-'Profit &amp; Loss'!B12)/'Profit &amp; Loss'!B12,"NA")</f>
        <v>-0.61224489795918369</v>
      </c>
      <c r="D19" s="83">
        <f>IFERROR(('Profit &amp; Loss'!D12-'Profit &amp; Loss'!C12)/'Profit &amp; Loss'!C12,"NA")</f>
        <v>-3.6842105263157894</v>
      </c>
      <c r="E19" s="329">
        <f>IFERROR(('Profit &amp; Loss'!E12-'Profit &amp; Loss'!D12)/'Profit &amp; Loss'!D12,"NA")</f>
        <v>4.0980392156862742</v>
      </c>
      <c r="F19" s="329">
        <f>IFERROR(('Profit &amp; Loss'!F12-'Profit &amp; Loss'!E12)/'Profit &amp; Loss'!E12,"NA")</f>
        <v>2.5384615384615383</v>
      </c>
      <c r="G19" s="329">
        <f>IFERROR(('Profit &amp; Loss'!G12-'Profit &amp; Loss'!F12)/'Profit &amp; Loss'!F12,"NA")</f>
        <v>1.3543478260869568</v>
      </c>
      <c r="H19" s="329">
        <f>IFERROR(('Profit &amp; Loss'!H12-'Profit &amp; Loss'!G12)/'Profit &amp; Loss'!G12,"NA")</f>
        <v>0.53924284395198541</v>
      </c>
      <c r="I19" s="329">
        <f>IFERROR(('Profit &amp; Loss'!I12-'Profit &amp; Loss'!H12)/'Profit &amp; Loss'!H12,"NA")</f>
        <v>0.31733653269346124</v>
      </c>
      <c r="J19" s="329">
        <f>IFERROR(('Profit &amp; Loss'!J12-'Profit &amp; Loss'!I12)/'Profit &amp; Loss'!I12,"NA")</f>
        <v>0.38592896174863378</v>
      </c>
      <c r="K19" s="109">
        <f>IFERROR(('Profit &amp; Loss'!K12-'Profit &amp; Loss'!J12)/'Profit &amp; Loss'!J12,"NA")</f>
        <v>-0.88877936586167239</v>
      </c>
      <c r="L19" s="344" t="s">
        <v>731</v>
      </c>
      <c r="S19" s="111"/>
      <c r="T19" s="111"/>
      <c r="U19" s="111"/>
    </row>
    <row r="20" spans="1:21" x14ac:dyDescent="0.25">
      <c r="A20" t="s">
        <v>651</v>
      </c>
      <c r="B20" s="83">
        <f>B7/B3</f>
        <v>0</v>
      </c>
      <c r="C20" s="83">
        <f t="shared" ref="C20:K20" si="7">C7/C3</f>
        <v>1.845018450184502E-3</v>
      </c>
      <c r="D20" s="83">
        <f t="shared" si="7"/>
        <v>4.0895813047711782E-2</v>
      </c>
      <c r="E20" s="83">
        <f t="shared" si="7"/>
        <v>0.32507015902712816</v>
      </c>
      <c r="F20" s="83">
        <f t="shared" si="7"/>
        <v>4.5107033639143729E-2</v>
      </c>
      <c r="G20" s="83">
        <f t="shared" si="7"/>
        <v>7.5249320036264736E-2</v>
      </c>
      <c r="H20" s="338">
        <f t="shared" si="7"/>
        <v>6.0115505775288763E-2</v>
      </c>
      <c r="I20" s="338">
        <f t="shared" si="7"/>
        <v>0.18396346105049483</v>
      </c>
      <c r="J20" s="338">
        <f t="shared" si="7"/>
        <v>0.2000482043865992</v>
      </c>
      <c r="K20" s="83">
        <f t="shared" si="7"/>
        <v>0.27282281564993072</v>
      </c>
      <c r="L20" s="346" t="s">
        <v>732</v>
      </c>
    </row>
    <row r="21" spans="1:21" x14ac:dyDescent="0.25">
      <c r="A21" t="s">
        <v>267</v>
      </c>
      <c r="B21" s="83">
        <f>B8/B3</f>
        <v>0</v>
      </c>
      <c r="C21" s="83">
        <f t="shared" ref="C21:K21" si="8">C8/C3</f>
        <v>9.2250922509225092E-3</v>
      </c>
      <c r="D21" s="83">
        <f t="shared" si="8"/>
        <v>1.5579357351509251E-2</v>
      </c>
      <c r="E21" s="83">
        <f t="shared" si="8"/>
        <v>1.4031805425631431E-2</v>
      </c>
      <c r="F21" s="83">
        <f t="shared" si="8"/>
        <v>3.746177370030581E-2</v>
      </c>
      <c r="G21" s="83">
        <f t="shared" si="8"/>
        <v>4.7273669213832407E-2</v>
      </c>
      <c r="H21" s="83">
        <f t="shared" si="8"/>
        <v>4.0252012600630029E-2</v>
      </c>
      <c r="I21" s="109">
        <f t="shared" si="8"/>
        <v>3.5650850038061413E-2</v>
      </c>
      <c r="J21" s="109">
        <f t="shared" si="8"/>
        <v>2.5114485418173054E-2</v>
      </c>
      <c r="K21" s="109">
        <f t="shared" si="8"/>
        <v>2.0685042755457888E-2</v>
      </c>
      <c r="L21" s="333"/>
    </row>
    <row r="22" spans="1:21" x14ac:dyDescent="0.25">
      <c r="A22" t="s">
        <v>431</v>
      </c>
    </row>
    <row r="23" spans="1:21" x14ac:dyDescent="0.25">
      <c r="A23" t="s">
        <v>202</v>
      </c>
      <c r="B23" s="103">
        <f>B11/B3</f>
        <v>-4.8999999999999995</v>
      </c>
      <c r="C23" s="103">
        <f t="shared" ref="C23:K23" si="9">C11/C3</f>
        <v>-3.5055350553505539E-2</v>
      </c>
      <c r="D23" s="103">
        <f t="shared" si="9"/>
        <v>4.9659201557935739E-2</v>
      </c>
      <c r="E23" s="103">
        <f t="shared" si="9"/>
        <v>0.12160898035547242</v>
      </c>
      <c r="F23" s="103">
        <f t="shared" si="9"/>
        <v>0.23445463812436287</v>
      </c>
      <c r="G23" s="103">
        <f t="shared" si="9"/>
        <v>0.28053360963605756</v>
      </c>
      <c r="H23" s="103">
        <f t="shared" si="9"/>
        <v>0.29173958697934899</v>
      </c>
      <c r="I23" s="339">
        <f t="shared" si="9"/>
        <v>0.27860948997716317</v>
      </c>
      <c r="J23" s="339">
        <f t="shared" si="9"/>
        <v>0.29342010122921186</v>
      </c>
      <c r="K23" s="339">
        <f t="shared" si="9"/>
        <v>3.2341279319734385E-2</v>
      </c>
      <c r="L23" s="345" t="s">
        <v>731</v>
      </c>
    </row>
    <row r="24" spans="1:21" x14ac:dyDescent="0.25">
      <c r="A24" t="s">
        <v>135</v>
      </c>
      <c r="B24" s="83">
        <f>'Data Sheet'!B29/'Data Sheet'!B28</f>
        <v>0</v>
      </c>
      <c r="C24" s="83">
        <f>'Data Sheet'!C29/'Data Sheet'!C28</f>
        <v>-1.714285714285714</v>
      </c>
      <c r="D24" s="83">
        <f>'Data Sheet'!D29/'Data Sheet'!D28</f>
        <v>3.7735849056603772E-2</v>
      </c>
      <c r="E24" s="329">
        <f>'Data Sheet'!E29/'Data Sheet'!E28</f>
        <v>0.35162094763092266</v>
      </c>
      <c r="F24" s="329">
        <f>'Data Sheet'!F29/'Data Sheet'!F28</f>
        <v>0.32501834189288331</v>
      </c>
      <c r="G24" s="329">
        <f>'Data Sheet'!G29/'Data Sheet'!G28</f>
        <v>0.31433998100664767</v>
      </c>
      <c r="H24" s="329">
        <f>'Data Sheet'!H29/'Data Sheet'!H28</f>
        <v>0.31792144026186575</v>
      </c>
      <c r="I24" s="329">
        <f>'Data Sheet'!I29/'Data Sheet'!I28</f>
        <v>0.33474704634959107</v>
      </c>
      <c r="J24" s="329">
        <f>'Data Sheet'!J29/'Data Sheet'!J28</f>
        <v>0.28160037767024665</v>
      </c>
      <c r="K24" s="109">
        <f>'Data Sheet'!K29/'Data Sheet'!K28</f>
        <v>0.58348736906962417</v>
      </c>
      <c r="L24" s="344" t="s">
        <v>731</v>
      </c>
    </row>
    <row r="25" spans="1:21" x14ac:dyDescent="0.25">
      <c r="A25" t="s">
        <v>652</v>
      </c>
      <c r="B25" s="108">
        <f>B12-B11</f>
        <v>-8.9999999999999969E-2</v>
      </c>
      <c r="C25" s="108">
        <f t="shared" ref="C25:K25" si="10">C12-C11</f>
        <v>1.42</v>
      </c>
      <c r="D25" s="108">
        <f t="shared" si="10"/>
        <v>-1.6300000000000001</v>
      </c>
      <c r="E25" s="108">
        <f t="shared" si="10"/>
        <v>-0.29000000000000004</v>
      </c>
      <c r="F25" s="108">
        <f t="shared" si="10"/>
        <v>1.4600000000000009</v>
      </c>
      <c r="G25" s="108">
        <f t="shared" si="10"/>
        <v>-15.26</v>
      </c>
      <c r="H25" s="108">
        <f t="shared" si="10"/>
        <v>-47.2</v>
      </c>
      <c r="I25" s="108">
        <f t="shared" si="10"/>
        <v>-8.68</v>
      </c>
      <c r="J25" s="108">
        <f t="shared" si="10"/>
        <v>-1.8499999999999943</v>
      </c>
      <c r="K25" s="108">
        <f t="shared" si="10"/>
        <v>-19.350000000000001</v>
      </c>
      <c r="L25" s="342" t="s">
        <v>734</v>
      </c>
      <c r="S25" s="108">
        <f t="shared" ref="S25:U25" si="11">S12-S11</f>
        <v>-29.879999999999981</v>
      </c>
      <c r="T25" s="108">
        <f t="shared" si="11"/>
        <v>-92.339999999999989</v>
      </c>
      <c r="U25" s="108">
        <f t="shared" si="11"/>
        <v>-91.38000000000001</v>
      </c>
    </row>
    <row r="26" spans="1:21" x14ac:dyDescent="0.25">
      <c r="B26" s="108"/>
      <c r="C26" s="108"/>
      <c r="D26" s="108"/>
      <c r="E26" s="108"/>
      <c r="F26" s="108"/>
      <c r="G26" s="108"/>
      <c r="H26" s="108"/>
      <c r="I26" s="108"/>
      <c r="J26" s="108"/>
      <c r="K26" s="108"/>
      <c r="S26" s="108"/>
      <c r="T26" s="108"/>
      <c r="U26" s="108"/>
    </row>
    <row r="27" spans="1:21" x14ac:dyDescent="0.25">
      <c r="A27" s="326" t="s">
        <v>660</v>
      </c>
      <c r="B27" s="108"/>
      <c r="C27" s="108"/>
      <c r="D27" s="108"/>
      <c r="E27" s="108"/>
      <c r="F27" s="108"/>
      <c r="G27" s="108"/>
      <c r="H27" s="108"/>
      <c r="I27" s="108"/>
      <c r="J27" s="108"/>
      <c r="K27" s="108"/>
      <c r="S27" s="108"/>
      <c r="T27" s="108"/>
      <c r="U27" s="108"/>
    </row>
    <row r="28" spans="1:21" x14ac:dyDescent="0.25">
      <c r="A28" t="s">
        <v>661</v>
      </c>
      <c r="B28" s="83">
        <f>'Data Sheet'!B18/'Data Sheet'!B$17</f>
        <v>0</v>
      </c>
      <c r="C28" s="83">
        <f>'Data Sheet'!C18/'Data Sheet'!C$17</f>
        <v>0</v>
      </c>
      <c r="D28" s="83">
        <f>'Data Sheet'!D18/'Data Sheet'!D$17</f>
        <v>0</v>
      </c>
      <c r="E28" s="83">
        <f>'Data Sheet'!E18/'Data Sheet'!E$17</f>
        <v>0</v>
      </c>
      <c r="F28" s="83">
        <f>'Data Sheet'!F18/'Data Sheet'!F$17</f>
        <v>0</v>
      </c>
      <c r="G28" s="83">
        <f>'Data Sheet'!G18/'Data Sheet'!G$17</f>
        <v>0</v>
      </c>
      <c r="H28" s="83">
        <f>'Data Sheet'!H18/'Data Sheet'!H$17</f>
        <v>0</v>
      </c>
      <c r="I28" s="109">
        <f>'Data Sheet'!I18/'Data Sheet'!I$17</f>
        <v>0</v>
      </c>
      <c r="J28" s="109">
        <f>'Data Sheet'!J18/'Data Sheet'!J$17</f>
        <v>0</v>
      </c>
      <c r="K28" s="109">
        <f>'Data Sheet'!K18/'Data Sheet'!K$17</f>
        <v>0</v>
      </c>
      <c r="M28" s="83">
        <f>SUM(G28:K28)/5</f>
        <v>0</v>
      </c>
      <c r="N28" s="83">
        <f>SUM(B28:K28)/10</f>
        <v>0</v>
      </c>
      <c r="S28" s="108"/>
      <c r="T28" s="108"/>
      <c r="U28" s="108"/>
    </row>
    <row r="29" spans="1:21" x14ac:dyDescent="0.25">
      <c r="A29" s="5" t="s">
        <v>664</v>
      </c>
      <c r="B29" s="83">
        <f>'Data Sheet'!B19/'Data Sheet'!B$17</f>
        <v>0</v>
      </c>
      <c r="C29" s="83">
        <f>'Data Sheet'!C19/'Data Sheet'!C$17</f>
        <v>0</v>
      </c>
      <c r="D29" s="83">
        <f>'Data Sheet'!D19/'Data Sheet'!D$17</f>
        <v>0</v>
      </c>
      <c r="E29" s="83">
        <f>'Data Sheet'!E19/'Data Sheet'!E$17</f>
        <v>0</v>
      </c>
      <c r="F29" s="83">
        <f>'Data Sheet'!F19/'Data Sheet'!F$17</f>
        <v>0</v>
      </c>
      <c r="G29" s="83">
        <f>'Data Sheet'!G19/'Data Sheet'!G$17</f>
        <v>0</v>
      </c>
      <c r="H29" s="83">
        <f>'Data Sheet'!H19/'Data Sheet'!H$17</f>
        <v>0</v>
      </c>
      <c r="I29" s="109">
        <f>'Data Sheet'!I19/'Data Sheet'!I$17</f>
        <v>0</v>
      </c>
      <c r="J29" s="109">
        <f>'Data Sheet'!J19/'Data Sheet'!J$17</f>
        <v>0</v>
      </c>
      <c r="K29" s="109">
        <f>'Data Sheet'!K19/'Data Sheet'!K$17</f>
        <v>0</v>
      </c>
      <c r="L29" s="333"/>
      <c r="M29" s="83">
        <f t="shared" ref="M29:M40" si="12">SUM(G29:K29)/5</f>
        <v>0</v>
      </c>
      <c r="N29" s="83">
        <f t="shared" ref="N29:N40" si="13">SUM(B29:K29)/10</f>
        <v>0</v>
      </c>
      <c r="S29" s="108"/>
      <c r="T29" s="108"/>
      <c r="U29" s="108"/>
    </row>
    <row r="30" spans="1:21" x14ac:dyDescent="0.25">
      <c r="A30" s="5" t="s">
        <v>665</v>
      </c>
      <c r="B30" s="83">
        <f>'Data Sheet'!B20/'Data Sheet'!B$17</f>
        <v>0</v>
      </c>
      <c r="C30" s="83">
        <f>'Data Sheet'!C20/'Data Sheet'!C$17</f>
        <v>2.0295202952029519E-2</v>
      </c>
      <c r="D30" s="83">
        <f>'Data Sheet'!D20/'Data Sheet'!D$17</f>
        <v>2.2395326192794548E-2</v>
      </c>
      <c r="E30" s="83">
        <f>'Data Sheet'!E20/'Data Sheet'!E$17</f>
        <v>1.6370439663236671E-2</v>
      </c>
      <c r="F30" s="83">
        <f>'Data Sheet'!F20/'Data Sheet'!F$17</f>
        <v>1.7584097859327213E-2</v>
      </c>
      <c r="G30" s="83">
        <f>'Data Sheet'!G20/'Data Sheet'!G$17</f>
        <v>1.8650433881621551E-2</v>
      </c>
      <c r="H30" s="83">
        <f>'Data Sheet'!H20/'Data Sheet'!H$17</f>
        <v>1.2688134406720335E-2</v>
      </c>
      <c r="I30" s="109">
        <f>'Data Sheet'!I20/'Data Sheet'!I$17</f>
        <v>1.2116214158842934E-2</v>
      </c>
      <c r="J30" s="109">
        <f>'Data Sheet'!J20/'Data Sheet'!J$17</f>
        <v>1.272595806218366E-2</v>
      </c>
      <c r="K30" s="109">
        <f>'Data Sheet'!K20/'Data Sheet'!K$17</f>
        <v>2.1067214446089905E-2</v>
      </c>
      <c r="M30" s="83">
        <f t="shared" si="12"/>
        <v>1.5449590991091677E-2</v>
      </c>
      <c r="N30" s="83">
        <f t="shared" si="13"/>
        <v>1.5389302162284634E-2</v>
      </c>
      <c r="S30" s="108"/>
      <c r="T30" s="108"/>
      <c r="U30" s="108"/>
    </row>
    <row r="31" spans="1:21" x14ac:dyDescent="0.25">
      <c r="A31" s="5" t="s">
        <v>666</v>
      </c>
      <c r="B31" s="83">
        <f>'Data Sheet'!B21/'Data Sheet'!B$17</f>
        <v>1.4999999999999998</v>
      </c>
      <c r="C31" s="83">
        <f>'Data Sheet'!C21/'Data Sheet'!C$17</f>
        <v>9.0405904059040587E-2</v>
      </c>
      <c r="D31" s="83">
        <f>'Data Sheet'!D21/'Data Sheet'!D$17</f>
        <v>8.5686465433300885E-2</v>
      </c>
      <c r="E31" s="83">
        <f>'Data Sheet'!E21/'Data Sheet'!E$17</f>
        <v>9.073900841908325E-2</v>
      </c>
      <c r="F31" s="83">
        <f>'Data Sheet'!F21/'Data Sheet'!F$17</f>
        <v>0.10040774719673802</v>
      </c>
      <c r="G31" s="83">
        <f>'Data Sheet'!G21/'Data Sheet'!G$17</f>
        <v>6.980961015412511E-2</v>
      </c>
      <c r="H31" s="350">
        <f>'Data Sheet'!H21/'Data Sheet'!H$17</f>
        <v>5.4865243262163105E-2</v>
      </c>
      <c r="I31" s="350">
        <f>'Data Sheet'!I21/'Data Sheet'!I$17</f>
        <v>0.23934280639431615</v>
      </c>
      <c r="J31" s="350">
        <f>'Data Sheet'!J21/'Data Sheet'!J$17</f>
        <v>0.21503976861894433</v>
      </c>
      <c r="K31" s="109">
        <f>'Data Sheet'!K21/'Data Sheet'!K$17</f>
        <v>0.27530693163903885</v>
      </c>
      <c r="L31" s="347" t="s">
        <v>735</v>
      </c>
      <c r="M31" s="83">
        <f t="shared" si="12"/>
        <v>0.17087287201371751</v>
      </c>
      <c r="N31" s="83">
        <f t="shared" si="13"/>
        <v>0.27216034851767501</v>
      </c>
      <c r="S31" s="108"/>
      <c r="T31" s="108"/>
      <c r="U31" s="108"/>
    </row>
    <row r="32" spans="1:21" x14ac:dyDescent="0.25">
      <c r="A32" s="5" t="s">
        <v>667</v>
      </c>
      <c r="B32" s="83">
        <f>'Data Sheet'!B22/'Data Sheet'!B$17</f>
        <v>9.9999999999999992E-2</v>
      </c>
      <c r="C32" s="83">
        <f>'Data Sheet'!C22/'Data Sheet'!C$17</f>
        <v>0.14391143911439114</v>
      </c>
      <c r="D32" s="83">
        <f>'Data Sheet'!D22/'Data Sheet'!D$17</f>
        <v>0.15384615384615385</v>
      </c>
      <c r="E32" s="83">
        <f>'Data Sheet'!E22/'Data Sheet'!E$17</f>
        <v>0.12347988774555661</v>
      </c>
      <c r="F32" s="83">
        <f>'Data Sheet'!F22/'Data Sheet'!F$17</f>
        <v>0.12512742099898064</v>
      </c>
      <c r="G32" s="83">
        <f>'Data Sheet'!G22/'Data Sheet'!G$17</f>
        <v>0.12472477658334415</v>
      </c>
      <c r="H32" s="83">
        <f>'Data Sheet'!H22/'Data Sheet'!H$17</f>
        <v>0.11646832341617082</v>
      </c>
      <c r="I32" s="83">
        <f>'Data Sheet'!I22/'Data Sheet'!I$17</f>
        <v>0.11025120527784826</v>
      </c>
      <c r="J32" s="83">
        <f>'Data Sheet'!J22/'Data Sheet'!J$17</f>
        <v>0.11520848397204146</v>
      </c>
      <c r="K32" s="327">
        <f>'Data Sheet'!K22/'Data Sheet'!K$17</f>
        <v>0.14484307074953423</v>
      </c>
      <c r="L32" s="345" t="s">
        <v>736</v>
      </c>
      <c r="M32" s="83">
        <f t="shared" si="12"/>
        <v>0.12229917199978779</v>
      </c>
      <c r="N32" s="83">
        <f t="shared" si="13"/>
        <v>0.12578607617040211</v>
      </c>
      <c r="S32" s="108"/>
      <c r="T32" s="108"/>
      <c r="U32" s="108"/>
    </row>
    <row r="33" spans="1:21" x14ac:dyDescent="0.25">
      <c r="A33" s="5" t="s">
        <v>668</v>
      </c>
      <c r="B33" s="83">
        <f>'Data Sheet'!B23/'Data Sheet'!B$17</f>
        <v>4.3</v>
      </c>
      <c r="C33" s="83">
        <f>'Data Sheet'!C23/'Data Sheet'!C$17</f>
        <v>0.58671586715867163</v>
      </c>
      <c r="D33" s="83">
        <f>'Data Sheet'!D23/'Data Sheet'!D$17</f>
        <v>0.53748782862706912</v>
      </c>
      <c r="E33" s="83">
        <f>'Data Sheet'!E23/'Data Sheet'!E$17</f>
        <v>0.44059869036482696</v>
      </c>
      <c r="F33" s="83">
        <f>'Data Sheet'!F23/'Data Sheet'!F$17</f>
        <v>0.31141692150866462</v>
      </c>
      <c r="G33" s="349">
        <f>'Data Sheet'!G23/'Data Sheet'!G$17</f>
        <v>0.23597979536329491</v>
      </c>
      <c r="H33" s="349">
        <f>'Data Sheet'!H23/'Data Sheet'!H$17</f>
        <v>0.27012600630031502</v>
      </c>
      <c r="I33" s="349">
        <f>'Data Sheet'!I23/'Data Sheet'!I$17</f>
        <v>6.6353717330626755E-2</v>
      </c>
      <c r="J33" s="83">
        <f>'Data Sheet'!J23/'Data Sheet'!J$17</f>
        <v>7.5729091347312608E-2</v>
      </c>
      <c r="K33" s="83">
        <f>'Data Sheet'!K23/'Data Sheet'!K$17</f>
        <v>0.11493813595757893</v>
      </c>
      <c r="L33" s="348" t="s">
        <v>737</v>
      </c>
      <c r="M33" s="83">
        <f t="shared" si="12"/>
        <v>0.15262534925982568</v>
      </c>
      <c r="N33" s="83">
        <f t="shared" si="13"/>
        <v>0.69393460539583596</v>
      </c>
      <c r="S33" s="108"/>
      <c r="T33" s="108"/>
      <c r="U33" s="108"/>
    </row>
    <row r="34" spans="1:21" x14ac:dyDescent="0.25">
      <c r="A34" s="5" t="s">
        <v>669</v>
      </c>
      <c r="B34" s="83">
        <f>'Data Sheet'!B24/'Data Sheet'!B$17</f>
        <v>0</v>
      </c>
      <c r="C34" s="83">
        <f>'Data Sheet'!C24/'Data Sheet'!C$17</f>
        <v>0</v>
      </c>
      <c r="D34" s="83">
        <f>'Data Sheet'!D24/'Data Sheet'!D$17</f>
        <v>0</v>
      </c>
      <c r="E34" s="83">
        <f>'Data Sheet'!E24/'Data Sheet'!E$17</f>
        <v>0</v>
      </c>
      <c r="F34" s="83">
        <f>'Data Sheet'!F24/'Data Sheet'!F$17</f>
        <v>1.4016309887869522E-2</v>
      </c>
      <c r="G34" s="83">
        <f>'Data Sheet'!G24/'Data Sheet'!G$17</f>
        <v>6.7348789016966719E-3</v>
      </c>
      <c r="H34" s="83">
        <f>'Data Sheet'!H24/'Data Sheet'!H$17</f>
        <v>4.9877493874693731E-3</v>
      </c>
      <c r="I34" s="83">
        <f>'Data Sheet'!I24/'Data Sheet'!I$17</f>
        <v>5.962953565085004E-3</v>
      </c>
      <c r="J34" s="83">
        <f>'Data Sheet'!J24/'Data Sheet'!J$17</f>
        <v>9.5444685466377441E-3</v>
      </c>
      <c r="K34" s="83">
        <f>'Data Sheet'!K24/'Data Sheet'!K$17</f>
        <v>0.1418812401471361</v>
      </c>
      <c r="M34" s="83">
        <f t="shared" si="12"/>
        <v>3.3822258109604979E-2</v>
      </c>
      <c r="N34" s="83">
        <f t="shared" si="13"/>
        <v>1.8312760043589442E-2</v>
      </c>
      <c r="S34" s="108"/>
      <c r="T34" s="108"/>
      <c r="U34" s="108"/>
    </row>
    <row r="35" spans="1:21" x14ac:dyDescent="0.25">
      <c r="A35" t="s">
        <v>663</v>
      </c>
      <c r="B35" s="83">
        <f>'Data Sheet'!B25/'Data Sheet'!B$17</f>
        <v>0</v>
      </c>
      <c r="C35" s="83">
        <f>'Data Sheet'!C25/'Data Sheet'!C$17</f>
        <v>1.845018450184502E-3</v>
      </c>
      <c r="D35" s="83">
        <f>'Data Sheet'!D25/'Data Sheet'!D$17</f>
        <v>3.7000973709834468E-2</v>
      </c>
      <c r="E35" s="83">
        <f>'Data Sheet'!E25/'Data Sheet'!E$17</f>
        <v>2.291861552853134E-2</v>
      </c>
      <c r="F35" s="83">
        <f>'Data Sheet'!F25/'Data Sheet'!F$17</f>
        <v>4.8674821610601424E-2</v>
      </c>
      <c r="G35" s="83">
        <f>'Data Sheet'!G25/'Data Sheet'!G$17</f>
        <v>5.0252557958813629E-2</v>
      </c>
      <c r="H35" s="83">
        <f>'Data Sheet'!H25/'Data Sheet'!H$17</f>
        <v>6.1778088904445215E-2</v>
      </c>
      <c r="I35" s="83">
        <f>'Data Sheet'!I25/'Data Sheet'!I$17</f>
        <v>8.5003806140573467E-3</v>
      </c>
      <c r="J35" s="83">
        <f>'Data Sheet'!J25/'Data Sheet'!J$17</f>
        <v>3.4466136418414083E-2</v>
      </c>
      <c r="K35" s="83">
        <f>'Data Sheet'!K25/'Data Sheet'!K$17</f>
        <v>6.9698562079013995E-2</v>
      </c>
      <c r="M35" s="83">
        <f t="shared" si="12"/>
        <v>4.4939145194948849E-2</v>
      </c>
      <c r="N35" s="83">
        <f t="shared" si="13"/>
        <v>3.3513515527389598E-2</v>
      </c>
      <c r="S35" s="108"/>
      <c r="T35" s="108"/>
      <c r="U35" s="108"/>
    </row>
    <row r="36" spans="1:21" ht="60" x14ac:dyDescent="0.25">
      <c r="A36" s="5" t="s">
        <v>670</v>
      </c>
      <c r="B36" s="103">
        <f>'Data Sheet'!B26/'Data Sheet'!B$17</f>
        <v>0</v>
      </c>
      <c r="C36" s="103">
        <f>'Data Sheet'!C26/'Data Sheet'!C$17</f>
        <v>0.17343173431734316</v>
      </c>
      <c r="D36" s="103">
        <f>'Data Sheet'!D26/'Data Sheet'!D$17</f>
        <v>0.18208373904576439</v>
      </c>
      <c r="E36" s="103">
        <f>'Data Sheet'!E26/'Data Sheet'!E$17</f>
        <v>0.137043966323667</v>
      </c>
      <c r="F36" s="103">
        <f>'Data Sheet'!F26/'Data Sheet'!F$17</f>
        <v>0.10091743119266054</v>
      </c>
      <c r="G36" s="103">
        <f>'Data Sheet'!G26/'Data Sheet'!G$17</f>
        <v>0.10102318352545007</v>
      </c>
      <c r="H36" s="103">
        <f>'Data Sheet'!H26/'Data Sheet'!H$17</f>
        <v>0.11708085404270215</v>
      </c>
      <c r="I36" s="103">
        <f>'Data Sheet'!I26/'Data Sheet'!I$17</f>
        <v>0.10758690687642732</v>
      </c>
      <c r="J36" s="103">
        <f>'Data Sheet'!J26/'Data Sheet'!J$17</f>
        <v>0.12928416485900218</v>
      </c>
      <c r="K36" s="328">
        <f>'Data Sheet'!K26/'Data Sheet'!K$17</f>
        <v>0.2141594611379162</v>
      </c>
      <c r="L36" s="351" t="s">
        <v>738</v>
      </c>
      <c r="M36" s="83">
        <f t="shared" si="12"/>
        <v>0.13382691408829958</v>
      </c>
      <c r="N36" s="83">
        <f t="shared" si="13"/>
        <v>0.1262611441320933</v>
      </c>
      <c r="S36" s="108"/>
      <c r="T36" s="108"/>
      <c r="U36" s="108"/>
    </row>
    <row r="37" spans="1:21" x14ac:dyDescent="0.25">
      <c r="A37" t="s">
        <v>431</v>
      </c>
      <c r="B37" s="83">
        <f>1-B28</f>
        <v>1</v>
      </c>
      <c r="C37" s="83">
        <f t="shared" ref="C37:K37" si="14">1-C28</f>
        <v>1</v>
      </c>
      <c r="D37" s="83">
        <f t="shared" si="14"/>
        <v>1</v>
      </c>
      <c r="E37" s="83">
        <f t="shared" si="14"/>
        <v>1</v>
      </c>
      <c r="F37" s="83">
        <f t="shared" si="14"/>
        <v>1</v>
      </c>
      <c r="G37" s="83">
        <f t="shared" si="14"/>
        <v>1</v>
      </c>
      <c r="H37" s="329">
        <f t="shared" si="14"/>
        <v>1</v>
      </c>
      <c r="I37" s="329">
        <f t="shared" si="14"/>
        <v>1</v>
      </c>
      <c r="J37" s="329">
        <f t="shared" si="14"/>
        <v>1</v>
      </c>
      <c r="K37" s="329">
        <f t="shared" si="14"/>
        <v>1</v>
      </c>
      <c r="L37" s="334"/>
      <c r="M37" s="83">
        <f t="shared" si="12"/>
        <v>1</v>
      </c>
      <c r="N37" s="83">
        <f t="shared" si="13"/>
        <v>1</v>
      </c>
      <c r="S37" s="108"/>
      <c r="T37" s="108"/>
      <c r="U37" s="108"/>
    </row>
    <row r="38" spans="1:21" x14ac:dyDescent="0.25">
      <c r="A38" t="s">
        <v>662</v>
      </c>
      <c r="B38" s="83">
        <f>('Data Sheet'!B28+'Data Sheet'!B27)/'Data Sheet'!B17</f>
        <v>-4.8999999999999995</v>
      </c>
      <c r="C38" s="83">
        <f>('Data Sheet'!C28+'Data Sheet'!C27)/'Data Sheet'!C17</f>
        <v>-1.2915129151291515E-2</v>
      </c>
      <c r="D38" s="83">
        <f>('Data Sheet'!D28+'Data Sheet'!D27)/'Data Sheet'!D17</f>
        <v>5.5501460564751713E-2</v>
      </c>
      <c r="E38" s="83">
        <f>('Data Sheet'!E28+'Data Sheet'!E27)/'Data Sheet'!E17</f>
        <v>0.2146866230121609</v>
      </c>
      <c r="F38" s="83">
        <f>('Data Sheet'!F28+'Data Sheet'!F27)/'Data Sheet'!F17</f>
        <v>0.37920489296636084</v>
      </c>
      <c r="G38" s="83">
        <f>('Data Sheet'!G28+'Data Sheet'!G27)/'Data Sheet'!G17</f>
        <v>0.49332987954928126</v>
      </c>
      <c r="H38" s="83">
        <f>('Data Sheet'!H28+'Data Sheet'!H27)/'Data Sheet'!H17</f>
        <v>0.4856492824641232</v>
      </c>
      <c r="I38" s="83">
        <f>('Data Sheet'!I28+'Data Sheet'!I27)/'Data Sheet'!I17</f>
        <v>0.46695001268713526</v>
      </c>
      <c r="J38" s="83">
        <f>('Data Sheet'!J28+'Data Sheet'!J27)/'Data Sheet'!J17</f>
        <v>0.47693420101229211</v>
      </c>
      <c r="K38" s="83">
        <f>('Data Sheet'!K28+'Data Sheet'!K27)/'Data Sheet'!K17</f>
        <v>0.15740696507906177</v>
      </c>
      <c r="L38" t="s">
        <v>731</v>
      </c>
      <c r="M38" s="83">
        <f t="shared" si="12"/>
        <v>0.41605406815837875</v>
      </c>
      <c r="N38" s="83">
        <f t="shared" si="13"/>
        <v>-0.21832518118161243</v>
      </c>
      <c r="S38" s="108"/>
      <c r="T38" s="108"/>
      <c r="U38" s="108"/>
    </row>
    <row r="39" spans="1:21" x14ac:dyDescent="0.25">
      <c r="A39" t="s">
        <v>202</v>
      </c>
      <c r="B39" s="103">
        <f>'Data Sheet'!B30/'Data Sheet'!B17</f>
        <v>-4.8999999999999995</v>
      </c>
      <c r="C39" s="103">
        <f>'Data Sheet'!C30/'Data Sheet'!C17</f>
        <v>-3.5055350553505539E-2</v>
      </c>
      <c r="D39" s="103">
        <f>'Data Sheet'!D30/'Data Sheet'!D17</f>
        <v>4.9659201557935739E-2</v>
      </c>
      <c r="E39" s="103">
        <f>'Data Sheet'!E30/'Data Sheet'!E17</f>
        <v>0.12160898035547242</v>
      </c>
      <c r="F39" s="103">
        <f>'Data Sheet'!F30/'Data Sheet'!F17</f>
        <v>0.23445463812436287</v>
      </c>
      <c r="G39" s="103">
        <f>'Data Sheet'!G30/'Data Sheet'!G17</f>
        <v>0.28053360963605756</v>
      </c>
      <c r="H39" s="103">
        <f>'Data Sheet'!H30/'Data Sheet'!H17</f>
        <v>0.29173958697934899</v>
      </c>
      <c r="I39" s="103">
        <f>'Data Sheet'!I30/'Data Sheet'!I17</f>
        <v>0.27860948997716317</v>
      </c>
      <c r="J39" s="103">
        <f>'Data Sheet'!J30/'Data Sheet'!J17</f>
        <v>0.29342010122921186</v>
      </c>
      <c r="K39" s="103">
        <f>'Data Sheet'!K30/'Data Sheet'!K17</f>
        <v>3.2341279319734385E-2</v>
      </c>
      <c r="L39" t="s">
        <v>731</v>
      </c>
      <c r="M39" s="83">
        <f t="shared" si="12"/>
        <v>0.2353288134283032</v>
      </c>
      <c r="N39" s="83">
        <f t="shared" si="13"/>
        <v>-0.33526884633742182</v>
      </c>
      <c r="S39" s="108"/>
      <c r="T39" s="108"/>
      <c r="U39" s="108"/>
    </row>
    <row r="40" spans="1:21" x14ac:dyDescent="0.25">
      <c r="A40" t="s">
        <v>135</v>
      </c>
      <c r="B40" s="83">
        <f>'Data Sheet'!B29/'Data Sheet'!B28</f>
        <v>0</v>
      </c>
      <c r="C40" s="83">
        <f>'Data Sheet'!C29/'Data Sheet'!C28</f>
        <v>-1.714285714285714</v>
      </c>
      <c r="D40" s="109">
        <f>'Data Sheet'!D29/'Data Sheet'!D28</f>
        <v>3.7735849056603772E-2</v>
      </c>
      <c r="E40" s="109">
        <f>'Data Sheet'!E29/'Data Sheet'!E28</f>
        <v>0.35162094763092266</v>
      </c>
      <c r="F40" s="109">
        <f>'Data Sheet'!F29/'Data Sheet'!F28</f>
        <v>0.32501834189288331</v>
      </c>
      <c r="G40" s="109">
        <f>'Data Sheet'!G29/'Data Sheet'!G28</f>
        <v>0.31433998100664767</v>
      </c>
      <c r="H40" s="109">
        <f>'Data Sheet'!H29/'Data Sheet'!H28</f>
        <v>0.31792144026186575</v>
      </c>
      <c r="I40" s="109">
        <f>'Data Sheet'!I29/'Data Sheet'!I28</f>
        <v>0.33474704634959107</v>
      </c>
      <c r="J40" s="109">
        <f>'Data Sheet'!J29/'Data Sheet'!J28</f>
        <v>0.28160037767024665</v>
      </c>
      <c r="K40" s="109">
        <f>'Data Sheet'!K29/'Data Sheet'!K28</f>
        <v>0.58348736906962417</v>
      </c>
      <c r="L40" t="s">
        <v>731</v>
      </c>
      <c r="M40" s="83">
        <f t="shared" si="12"/>
        <v>0.36641924287159505</v>
      </c>
      <c r="N40" s="83">
        <f t="shared" si="13"/>
        <v>8.3218563865267117E-2</v>
      </c>
      <c r="S40" s="108"/>
      <c r="T40" s="108"/>
      <c r="U40" s="108"/>
    </row>
    <row r="41" spans="1:21" x14ac:dyDescent="0.25">
      <c r="C41" s="98"/>
      <c r="D41" s="98"/>
      <c r="E41" s="98"/>
      <c r="F41" s="98"/>
      <c r="G41" s="98"/>
      <c r="I41" s="98"/>
      <c r="J41" s="98"/>
      <c r="K41" s="98"/>
    </row>
    <row r="42" spans="1:21" ht="21" customHeight="1" x14ac:dyDescent="0.25">
      <c r="A42" s="326" t="s">
        <v>623</v>
      </c>
    </row>
    <row r="43" spans="1:21" x14ac:dyDescent="0.25">
      <c r="A43" t="s">
        <v>614</v>
      </c>
      <c r="B43" s="83">
        <f>('Data Sheet'!B62+'Data Sheet'!B45)/'Data Sheet'!B61</f>
        <v>5.9716981132075473</v>
      </c>
      <c r="C43" s="83">
        <f>('Data Sheet'!C62+'Data Sheet'!C45)/'Data Sheet'!C61</f>
        <v>1.457372116349047</v>
      </c>
      <c r="D43" s="83">
        <f>('Data Sheet'!D62+'Data Sheet'!D45)/'Data Sheet'!D61</f>
        <v>0.64000848536274924</v>
      </c>
      <c r="E43" s="83">
        <f>('Data Sheet'!E62+'Data Sheet'!E45)/'Data Sheet'!E61</f>
        <v>0.4662786716877782</v>
      </c>
      <c r="F43" s="83">
        <f>('Data Sheet'!F62+'Data Sheet'!F45)/'Data Sheet'!F61</f>
        <v>0.38727204260584225</v>
      </c>
      <c r="G43" s="83">
        <f>('Data Sheet'!G62+'Data Sheet'!G45)/'Data Sheet'!G61</f>
        <v>0.43700799096931348</v>
      </c>
      <c r="H43" s="83">
        <f>('Data Sheet'!H62+'Data Sheet'!H45)/'Data Sheet'!H61</f>
        <v>0.37496626180836701</v>
      </c>
      <c r="I43" s="83">
        <f>('Data Sheet'!I62+'Data Sheet'!I45)/'Data Sheet'!I61</f>
        <v>0.49397430301189965</v>
      </c>
      <c r="J43" s="83">
        <f>('Data Sheet'!J62+'Data Sheet'!J45)/'Data Sheet'!J61</f>
        <v>0.41702000671449707</v>
      </c>
      <c r="K43" s="83">
        <f>('Data Sheet'!K62+'Data Sheet'!K45)/'Data Sheet'!K61</f>
        <v>0.59926012608055568</v>
      </c>
    </row>
    <row r="44" spans="1:21" x14ac:dyDescent="0.25">
      <c r="A44" t="s">
        <v>615</v>
      </c>
      <c r="B44" s="83">
        <f>'Data Sheet'!B62/'Data Sheet'!B61</f>
        <v>0.32075471698113206</v>
      </c>
      <c r="C44" s="83">
        <f>'Data Sheet'!C62/'Data Sheet'!C61</f>
        <v>0.82146439317953857</v>
      </c>
      <c r="D44" s="83">
        <f>'Data Sheet'!D62/'Data Sheet'!D61</f>
        <v>0.4989393296563428</v>
      </c>
      <c r="E44" s="83">
        <f>'Data Sheet'!E62/'Data Sheet'!E61</f>
        <v>0.37681159420289861</v>
      </c>
      <c r="F44" s="83">
        <f>'Data Sheet'!F62/'Data Sheet'!F61</f>
        <v>0.33535962128140301</v>
      </c>
      <c r="G44" s="83">
        <f>'Data Sheet'!G62/'Data Sheet'!G61</f>
        <v>0.40718296052045272</v>
      </c>
      <c r="H44" s="83">
        <f>'Data Sheet'!H62/'Data Sheet'!H61</f>
        <v>0.34865047233468283</v>
      </c>
      <c r="I44" s="83">
        <f>'Data Sheet'!I62/'Data Sheet'!I61</f>
        <v>0.46846710064337366</v>
      </c>
      <c r="J44" s="83">
        <f>'Data Sheet'!J62/'Data Sheet'!J61</f>
        <v>0.39912711537744178</v>
      </c>
      <c r="K44" s="83">
        <f>'Data Sheet'!K62/'Data Sheet'!K61</f>
        <v>0.58429907012444482</v>
      </c>
    </row>
    <row r="45" spans="1:21" x14ac:dyDescent="0.25">
      <c r="A45" t="s">
        <v>610</v>
      </c>
      <c r="B45" s="83">
        <f>('Data Sheet'!B62+'Data Sheet'!B45)/'Data Sheet'!B17</f>
        <v>63.3</v>
      </c>
      <c r="C45" s="83">
        <f>('Data Sheet'!C62+'Data Sheet'!C45)/'Data Sheet'!C17</f>
        <v>2.6808118081180812</v>
      </c>
      <c r="D45" s="83">
        <f>('Data Sheet'!D62+'Data Sheet'!D45)/'Data Sheet'!D17</f>
        <v>2.9376825705939633</v>
      </c>
      <c r="E45" s="327">
        <f>('Data Sheet'!E62+'Data Sheet'!E45)/'Data Sheet'!E17</f>
        <v>1.9111318989710011</v>
      </c>
      <c r="F45" s="327">
        <f>('Data Sheet'!F62+'Data Sheet'!F45)/'Data Sheet'!F17</f>
        <v>1.8346075433231397</v>
      </c>
      <c r="G45" s="327">
        <f>('Data Sheet'!G62+'Data Sheet'!G45)/'Data Sheet'!G17</f>
        <v>1.9053231446703796</v>
      </c>
      <c r="H45" s="327">
        <f>('Data Sheet'!H62+'Data Sheet'!H45)/'Data Sheet'!H17</f>
        <v>1.4587854392719635</v>
      </c>
      <c r="I45" s="327">
        <f>('Data Sheet'!I62+'Data Sheet'!I45)/'Data Sheet'!I17</f>
        <v>1.6511037807663034</v>
      </c>
      <c r="J45" s="327">
        <f>('Data Sheet'!J62+'Data Sheet'!J45)/'Data Sheet'!J17</f>
        <v>1.6166787177633166</v>
      </c>
      <c r="K45" s="327">
        <f>('Data Sheet'!K62+'Data Sheet'!K45)/'Data Sheet'!K17</f>
        <v>2.2751158457937226</v>
      </c>
      <c r="L45" s="347" t="s">
        <v>739</v>
      </c>
    </row>
    <row r="46" spans="1:21" x14ac:dyDescent="0.25">
      <c r="A46" t="s">
        <v>611</v>
      </c>
      <c r="B46" s="83">
        <f>('Data Sheet'!B62)/'Data Sheet'!B17</f>
        <v>3.4</v>
      </c>
      <c r="C46" s="83">
        <f>('Data Sheet'!C62)/'Data Sheet'!C17</f>
        <v>1.5110701107011069</v>
      </c>
      <c r="D46" s="83">
        <f>('Data Sheet'!D62)/'Data Sheet'!D17</f>
        <v>2.2901655306718598</v>
      </c>
      <c r="E46" s="83">
        <f>('Data Sheet'!E62)/'Data Sheet'!E17</f>
        <v>1.5444340505144998</v>
      </c>
      <c r="F46" s="83">
        <f>('Data Sheet'!F62)/'Data Sheet'!F17</f>
        <v>1.5886850152905199</v>
      </c>
      <c r="G46" s="83">
        <f>('Data Sheet'!G62)/'Data Sheet'!G17</f>
        <v>1.7752881751068514</v>
      </c>
      <c r="H46" s="83">
        <f>('Data Sheet'!H62)/'Data Sheet'!H17</f>
        <v>1.3564053202660131</v>
      </c>
      <c r="I46" s="83">
        <f>('Data Sheet'!I62)/'Data Sheet'!I17</f>
        <v>1.5658462319208324</v>
      </c>
      <c r="J46" s="83">
        <f>('Data Sheet'!J62)/'Data Sheet'!J17</f>
        <v>1.5473126054470958</v>
      </c>
      <c r="K46" s="83">
        <f>('Data Sheet'!K62)/'Data Sheet'!K17</f>
        <v>2.2183155782735393</v>
      </c>
    </row>
    <row r="47" spans="1:21" x14ac:dyDescent="0.25">
      <c r="A47" t="s">
        <v>609</v>
      </c>
      <c r="C47" s="83">
        <f>C13/'Data Sheet'!C61</f>
        <v>0.91675025075225658</v>
      </c>
      <c r="D47" s="83">
        <f>D13/'Data Sheet'!D61</f>
        <v>0.6862537123462028</v>
      </c>
      <c r="E47" s="83">
        <f>E13/'Data Sheet'!E61</f>
        <v>0.31302065502681736</v>
      </c>
      <c r="F47" s="83">
        <f>F13/'Data Sheet'!F61</f>
        <v>0.29366829845607623</v>
      </c>
      <c r="G47" s="83">
        <f>G13/'Data Sheet'!G61</f>
        <v>0.14930338947806193</v>
      </c>
      <c r="H47" s="83">
        <f>H13/'Data Sheet'!H61</f>
        <v>0.11594691857849752</v>
      </c>
      <c r="I47" s="83">
        <f>I13/'Data Sheet'!I61</f>
        <v>0.18506006718414914</v>
      </c>
      <c r="J47" s="83">
        <f>J13/'Data Sheet'!J61</f>
        <v>0.12097285602377428</v>
      </c>
      <c r="K47" s="83">
        <f>K13/'Data Sheet'!K61</f>
        <v>0.21146804575138725</v>
      </c>
    </row>
    <row r="48" spans="1:21" x14ac:dyDescent="0.25">
      <c r="A48" t="s">
        <v>621</v>
      </c>
      <c r="C48" s="83">
        <f>C13/('Data Sheet'!C62+'Data Sheet'!C45)</f>
        <v>0.62904335856847893</v>
      </c>
      <c r="D48" s="83">
        <f>D13/('Data Sheet'!D62+'Data Sheet'!D45)</f>
        <v>1.0722572091481604</v>
      </c>
      <c r="E48" s="83">
        <f>E13/('Data Sheet'!E62+'Data Sheet'!E45)</f>
        <v>0.67131669114047976</v>
      </c>
      <c r="F48" s="83">
        <f>F13/('Data Sheet'!F62+'Data Sheet'!F45)</f>
        <v>0.7582997638560911</v>
      </c>
      <c r="G48" s="83">
        <f>G13/('Data Sheet'!G62+'Data Sheet'!G45)</f>
        <v>0.3416491061110733</v>
      </c>
      <c r="H48" s="83">
        <f>H13/('Data Sheet'!H62+'Data Sheet'!H45)</f>
        <v>0.30921960290324524</v>
      </c>
      <c r="I48" s="83">
        <f>I13/('Data Sheet'!I62+'Data Sheet'!I45)</f>
        <v>0.37463500845243586</v>
      </c>
      <c r="J48" s="83">
        <f>J13/('Data Sheet'!J62+'Data Sheet'!J45)</f>
        <v>0.29008885443377658</v>
      </c>
      <c r="K48" s="83">
        <f>K13/('Data Sheet'!K62+'Data Sheet'!K45)</f>
        <v>0.35288188976377954</v>
      </c>
    </row>
    <row r="49" spans="1:14" ht="120" x14ac:dyDescent="0.25">
      <c r="A49" t="s">
        <v>622</v>
      </c>
      <c r="C49" s="327">
        <f>C13/'Data Sheet'!C62</f>
        <v>1.1159951159951158</v>
      </c>
      <c r="D49" s="83">
        <f>D13/'Data Sheet'!D62</f>
        <v>1.3754251700680273</v>
      </c>
      <c r="E49" s="83">
        <f>E13/'Data Sheet'!E62</f>
        <v>0.8307086614173228</v>
      </c>
      <c r="F49" s="83">
        <f>F13/'Data Sheet'!F62</f>
        <v>0.87568174526788578</v>
      </c>
      <c r="G49" s="327">
        <f>G13/'Data Sheet'!G62</f>
        <v>0.36667396220909015</v>
      </c>
      <c r="H49" s="327">
        <f>H13/'Data Sheet'!H62</f>
        <v>0.33255918972969489</v>
      </c>
      <c r="I49" s="327">
        <f>I13/'Data Sheet'!I62</f>
        <v>0.39503321989953011</v>
      </c>
      <c r="J49" s="327">
        <f>J13/'Data Sheet'!J62</f>
        <v>0.30309355431633384</v>
      </c>
      <c r="K49" s="327">
        <f>K13/'Data Sheet'!K62</f>
        <v>0.36191747781893358</v>
      </c>
      <c r="L49" s="352" t="s">
        <v>740</v>
      </c>
    </row>
    <row r="50" spans="1:14" x14ac:dyDescent="0.25">
      <c r="A50" t="s">
        <v>612</v>
      </c>
      <c r="B50" s="83">
        <f>('Data Sheet'!B62+'Data Sheet'!B45)/'Data Sheet'!B66</f>
        <v>5.9716981132075473</v>
      </c>
      <c r="C50" s="83">
        <f>('Data Sheet'!C62+'Data Sheet'!C45)/'Data Sheet'!C66</f>
        <v>1.457372116349047</v>
      </c>
      <c r="D50" s="83">
        <f>('Data Sheet'!D62+'Data Sheet'!D45)/'Data Sheet'!D66</f>
        <v>0.64000848536274924</v>
      </c>
      <c r="E50" s="83">
        <f>('Data Sheet'!E62+'Data Sheet'!E45)/'Data Sheet'!E66</f>
        <v>0.4662786716877782</v>
      </c>
      <c r="F50" s="83">
        <f>('Data Sheet'!F62+'Data Sheet'!F45)/'Data Sheet'!F66</f>
        <v>0.38727204260584225</v>
      </c>
      <c r="G50" s="83">
        <f>('Data Sheet'!G62+'Data Sheet'!G45)/'Data Sheet'!G66</f>
        <v>0.43700799096931348</v>
      </c>
      <c r="H50" s="83">
        <f>('Data Sheet'!H62+'Data Sheet'!H45)/'Data Sheet'!H66</f>
        <v>0.37496626180836701</v>
      </c>
      <c r="I50" s="83">
        <f>('Data Sheet'!I62+'Data Sheet'!I45)/'Data Sheet'!I66</f>
        <v>0.49397430301189965</v>
      </c>
      <c r="J50" s="83">
        <f>('Data Sheet'!J62+'Data Sheet'!J45)/'Data Sheet'!J66</f>
        <v>0.41702000671449707</v>
      </c>
      <c r="K50" s="83">
        <f>('Data Sheet'!K62+'Data Sheet'!K45)/'Data Sheet'!K66</f>
        <v>0.59926012608055568</v>
      </c>
    </row>
    <row r="51" spans="1:14" x14ac:dyDescent="0.25">
      <c r="A51" t="s">
        <v>613</v>
      </c>
      <c r="B51" s="83">
        <f>'Data Sheet'!B62/'Data Sheet'!B66</f>
        <v>0.32075471698113206</v>
      </c>
      <c r="C51" s="83">
        <f>'Data Sheet'!C62/'Data Sheet'!C66</f>
        <v>0.82146439317953857</v>
      </c>
      <c r="D51" s="83">
        <f>'Data Sheet'!D62/'Data Sheet'!D66</f>
        <v>0.4989393296563428</v>
      </c>
      <c r="E51" s="83">
        <f>'Data Sheet'!E62/'Data Sheet'!E66</f>
        <v>0.37681159420289861</v>
      </c>
      <c r="F51" s="83">
        <f>'Data Sheet'!F62/'Data Sheet'!F66</f>
        <v>0.33535962128140301</v>
      </c>
      <c r="G51" s="83">
        <f>'Data Sheet'!G62/'Data Sheet'!G66</f>
        <v>0.40718296052045272</v>
      </c>
      <c r="H51" s="83">
        <f>'Data Sheet'!H62/'Data Sheet'!H66</f>
        <v>0.34865047233468283</v>
      </c>
      <c r="I51" s="83">
        <f>'Data Sheet'!I62/'Data Sheet'!I66</f>
        <v>0.46846710064337366</v>
      </c>
      <c r="J51" s="83">
        <f>'Data Sheet'!J62/'Data Sheet'!J66</f>
        <v>0.39912711537744178</v>
      </c>
      <c r="K51" s="83">
        <f>'Data Sheet'!K62/'Data Sheet'!K66</f>
        <v>0.58429907012444482</v>
      </c>
    </row>
    <row r="52" spans="1:14" x14ac:dyDescent="0.25">
      <c r="A52" t="s">
        <v>616</v>
      </c>
      <c r="B52" s="83">
        <f>'Data Sheet'!B64/'Data Sheet'!B61</f>
        <v>0</v>
      </c>
      <c r="C52" s="83">
        <f>'Data Sheet'!C64/'Data Sheet'!C61</f>
        <v>0</v>
      </c>
      <c r="D52" s="83">
        <f>'Data Sheet'!D64/'Data Sheet'!D61</f>
        <v>0</v>
      </c>
      <c r="E52" s="83">
        <f>'Data Sheet'!E64/'Data Sheet'!E61</f>
        <v>1.1639849366655255E-2</v>
      </c>
      <c r="F52" s="83">
        <f>'Data Sheet'!F64/'Data Sheet'!F61</f>
        <v>1.4255742643498845E-2</v>
      </c>
      <c r="G52" s="83">
        <f>'Data Sheet'!G64/'Data Sheet'!G61</f>
        <v>9.2594242937349622E-2</v>
      </c>
      <c r="H52" s="83">
        <f>'Data Sheet'!H64/'Data Sheet'!H61</f>
        <v>2.2447143499775078E-2</v>
      </c>
      <c r="I52" s="83">
        <f>'Data Sheet'!I64/'Data Sheet'!I61</f>
        <v>2.1787402023115906E-2</v>
      </c>
      <c r="J52" s="83">
        <f>'Data Sheet'!J64/'Data Sheet'!J61</f>
        <v>1.397610136403765E-2</v>
      </c>
      <c r="K52" s="83">
        <f>'Data Sheet'!K64/'Data Sheet'!K61</f>
        <v>1.381601298554226E-2</v>
      </c>
    </row>
    <row r="53" spans="1:14" x14ac:dyDescent="0.25">
      <c r="A53" t="s">
        <v>617</v>
      </c>
      <c r="B53" s="83">
        <f>'Data Sheet'!B65/'Data Sheet'!B61</f>
        <v>0.67924528301886788</v>
      </c>
      <c r="C53" s="83">
        <f>'Data Sheet'!C65/'Data Sheet'!C61</f>
        <v>0.14343029087261783</v>
      </c>
      <c r="D53" s="83">
        <f>'Data Sheet'!D65/'Data Sheet'!D61</f>
        <v>0.17225286380992785</v>
      </c>
      <c r="E53" s="83">
        <f>'Data Sheet'!E65/'Data Sheet'!E61</f>
        <v>0.26349423713340181</v>
      </c>
      <c r="F53" s="83">
        <f>'Data Sheet'!F65/'Data Sheet'!F61</f>
        <v>0.37167141858088121</v>
      </c>
      <c r="G53" s="83">
        <f>'Data Sheet'!G65/'Data Sheet'!G61</f>
        <v>0.44217687074829931</v>
      </c>
      <c r="H53" s="350">
        <f>'Data Sheet'!H65/'Data Sheet'!H61</f>
        <v>0.53945119208277104</v>
      </c>
      <c r="I53" s="350">
        <f>'Data Sheet'!I65/'Data Sheet'!I61</f>
        <v>0.45567554231272894</v>
      </c>
      <c r="J53" s="350">
        <f>'Data Sheet'!J65/'Data Sheet'!J61</f>
        <v>0.55604739937580039</v>
      </c>
      <c r="K53" s="83">
        <f>'Data Sheet'!K65/'Data Sheet'!K61</f>
        <v>0.39600870735973226</v>
      </c>
      <c r="L53" s="347" t="s">
        <v>683</v>
      </c>
    </row>
    <row r="54" spans="1:14" x14ac:dyDescent="0.25">
      <c r="A54" t="s">
        <v>618</v>
      </c>
      <c r="B54" s="83">
        <f>'Data Sheet'!B63/'Data Sheet'!B61</f>
        <v>0</v>
      </c>
      <c r="C54" s="83">
        <f>'Data Sheet'!C63/'Data Sheet'!C61</f>
        <v>3.5105315947843524E-2</v>
      </c>
      <c r="D54" s="83">
        <f>'Data Sheet'!D63/'Data Sheet'!D61</f>
        <v>0.32880780653372932</v>
      </c>
      <c r="E54" s="83">
        <f>'Data Sheet'!E63/'Data Sheet'!E61</f>
        <v>0.34805431929704439</v>
      </c>
      <c r="F54" s="83">
        <f>'Data Sheet'!F63/'Data Sheet'!F61</f>
        <v>0.27871321749421707</v>
      </c>
      <c r="G54" s="83">
        <f>'Data Sheet'!G63/'Data Sheet'!G61</f>
        <v>5.8045925793898341E-2</v>
      </c>
      <c r="H54" s="83">
        <f>'Data Sheet'!H63/'Data Sheet'!H61</f>
        <v>8.9451192082771039E-2</v>
      </c>
      <c r="I54" s="83">
        <f>'Data Sheet'!I63/'Data Sheet'!I61</f>
        <v>5.4069955020781539E-2</v>
      </c>
      <c r="J54" s="83">
        <f>'Data Sheet'!J63/'Data Sheet'!J61</f>
        <v>3.0849383882720117E-2</v>
      </c>
      <c r="K54" s="83">
        <f>'Data Sheet'!K63/'Data Sheet'!K61</f>
        <v>5.8762095302807241E-3</v>
      </c>
    </row>
    <row r="55" spans="1:14" x14ac:dyDescent="0.25">
      <c r="A55" t="s">
        <v>619</v>
      </c>
      <c r="B55" s="83">
        <f>'Data Sheet'!B63/('Data Sheet'!B62+'Data Sheet'!B45)</f>
        <v>0</v>
      </c>
      <c r="C55" s="83">
        <f>'Data Sheet'!C63/('Data Sheet'!C62+'Data Sheet'!C45)</f>
        <v>2.4088093599449415E-2</v>
      </c>
      <c r="D55" s="83">
        <f>'Data Sheet'!D63/('Data Sheet'!D62+'Data Sheet'!D45)</f>
        <v>0.51375538614517735</v>
      </c>
      <c r="E55" s="83">
        <f>'Data Sheet'!E63/('Data Sheet'!E62+'Data Sheet'!E45)</f>
        <v>0.74645129711209013</v>
      </c>
      <c r="F55" s="83">
        <f>'Data Sheet'!F63/('Data Sheet'!F62+'Data Sheet'!F45)</f>
        <v>0.71968328934574244</v>
      </c>
      <c r="G55" s="83">
        <f>'Data Sheet'!G63/('Data Sheet'!G62+'Data Sheet'!G45)</f>
        <v>0.13282577662973286</v>
      </c>
      <c r="H55" s="83">
        <f>'Data Sheet'!H63/('Data Sheet'!H62+'Data Sheet'!H45)</f>
        <v>0.23855797492651915</v>
      </c>
      <c r="I55" s="83">
        <f>'Data Sheet'!I63/('Data Sheet'!I62+'Data Sheet'!I45)</f>
        <v>0.10945904410634699</v>
      </c>
      <c r="J55" s="83">
        <f>'Data Sheet'!J63/('Data Sheet'!J62+'Data Sheet'!J45)</f>
        <v>7.397578865764208E-2</v>
      </c>
      <c r="K55" s="83">
        <f>'Data Sheet'!K63/('Data Sheet'!K62+'Data Sheet'!K45)</f>
        <v>9.8057742782152232E-3</v>
      </c>
    </row>
    <row r="56" spans="1:14" x14ac:dyDescent="0.25">
      <c r="A56" t="s">
        <v>620</v>
      </c>
      <c r="B56" s="109">
        <f>'Data Sheet'!B63/'Data Sheet'!B62</f>
        <v>0</v>
      </c>
      <c r="C56" s="109">
        <f>'Data Sheet'!C63/'Data Sheet'!C62</f>
        <v>4.2735042735042736E-2</v>
      </c>
      <c r="D56" s="109">
        <f>'Data Sheet'!D63/'Data Sheet'!D62</f>
        <v>0.65901360544217691</v>
      </c>
      <c r="E56" s="109">
        <f>'Data Sheet'!E63/'Data Sheet'!E62</f>
        <v>0.92368261659600237</v>
      </c>
      <c r="F56" s="109">
        <f>'Data Sheet'!F63/'Data Sheet'!F62</f>
        <v>0.83108758421559192</v>
      </c>
      <c r="G56" s="109">
        <f>'Data Sheet'!G63/'Data Sheet'!G62</f>
        <v>0.14255489895673742</v>
      </c>
      <c r="H56" s="109">
        <f>'Data Sheet'!H63/'Data Sheet'!H62</f>
        <v>0.25656409263918462</v>
      </c>
      <c r="I56" s="109">
        <f>'Data Sheet'!I63/'Data Sheet'!I62</f>
        <v>0.11541889483065954</v>
      </c>
      <c r="J56" s="83">
        <f>'Data Sheet'!J63/'Data Sheet'!J62</f>
        <v>7.7292127480606862E-2</v>
      </c>
      <c r="K56" s="83">
        <f>'Data Sheet'!K63/'Data Sheet'!K62</f>
        <v>1.0056852442070807E-2</v>
      </c>
    </row>
    <row r="58" spans="1:14" x14ac:dyDescent="0.25">
      <c r="A58" s="325" t="s">
        <v>624</v>
      </c>
    </row>
    <row r="59" spans="1:14" ht="30" x14ac:dyDescent="0.25">
      <c r="A59" t="s">
        <v>625</v>
      </c>
      <c r="B59" s="108">
        <f>'Data Sheet'!B59/('Data Sheet'!B57+'Data Sheet'!B58)</f>
        <v>-0.75</v>
      </c>
      <c r="C59" s="108">
        <f>'Data Sheet'!C59/('Data Sheet'!C57+'Data Sheet'!C58)</f>
        <v>1.8450184501845015E-2</v>
      </c>
      <c r="D59" s="108">
        <f>'Data Sheet'!D59/('Data Sheet'!D57+'Data Sheet'!D58)</f>
        <v>9.0888434446716659E-4</v>
      </c>
      <c r="E59" s="108">
        <f>'Data Sheet'!E59/('Data Sheet'!E57+'Data Sheet'!E58)</f>
        <v>0.19522106631989594</v>
      </c>
      <c r="F59" s="331">
        <f>'Data Sheet'!F59/('Data Sheet'!F57+'Data Sheet'!F58)</f>
        <v>0.38825927435792906</v>
      </c>
      <c r="G59" s="108">
        <f>'Data Sheet'!G59/('Data Sheet'!G57+'Data Sheet'!G58)</f>
        <v>0.20047583759116971</v>
      </c>
      <c r="H59" s="108">
        <f>'Data Sheet'!H59/('Data Sheet'!H57+'Data Sheet'!H58)</f>
        <v>0.20014398848092152</v>
      </c>
      <c r="I59" s="108">
        <f>'Data Sheet'!I59/('Data Sheet'!I57+'Data Sheet'!I58)</f>
        <v>0.20784284133212597</v>
      </c>
      <c r="J59" s="108">
        <f>'Data Sheet'!J59/('Data Sheet'!J57+'Data Sheet'!J58)</f>
        <v>0.16413326715473381</v>
      </c>
      <c r="K59" s="353">
        <f>'Data Sheet'!K59/('Data Sheet'!K57+'Data Sheet'!K58)</f>
        <v>0.15107682908202227</v>
      </c>
      <c r="L59" s="334" t="s">
        <v>830</v>
      </c>
      <c r="M59" s="97">
        <f>SUM(G59:K59)/5</f>
        <v>0.18473455272819467</v>
      </c>
      <c r="N59" s="108">
        <f>SUM(B59:K59)/10</f>
        <v>7.765121731651102E-2</v>
      </c>
    </row>
    <row r="60" spans="1:14" x14ac:dyDescent="0.25">
      <c r="A60" t="s">
        <v>314</v>
      </c>
      <c r="B60" s="108">
        <f>'Data Sheet'!B65/'Data Sheet'!B60</f>
        <v>0.61016949152542377</v>
      </c>
      <c r="C60" s="108">
        <f>'Data Sheet'!C65/'Data Sheet'!C60</f>
        <v>0.84615384615384615</v>
      </c>
      <c r="D60" s="108">
        <f>'Data Sheet'!D65/'Data Sheet'!D60</f>
        <v>2.6278317152103559</v>
      </c>
      <c r="E60" s="108">
        <f>'Data Sheet'!E65/'Data Sheet'!E60</f>
        <v>1.6375886524822696</v>
      </c>
      <c r="F60" s="108">
        <f>'Data Sheet'!F65/'Data Sheet'!F60</f>
        <v>4.4231754161331631</v>
      </c>
      <c r="G60" s="108">
        <f>'Data Sheet'!G65/'Data Sheet'!G60</f>
        <v>5.1612343966712899</v>
      </c>
      <c r="H60" s="108">
        <f>'Data Sheet'!H65/'Data Sheet'!H60</f>
        <v>5.3872416891284809</v>
      </c>
      <c r="I60" s="108">
        <f>'Data Sheet'!I65/'Data Sheet'!I60</f>
        <v>5.1391267123287667</v>
      </c>
      <c r="J60" s="108">
        <f>'Data Sheet'!J65/'Data Sheet'!J60</f>
        <v>8.3291115663997015</v>
      </c>
      <c r="K60" s="353">
        <f>'Data Sheet'!K65/'Data Sheet'!K60</f>
        <v>7.6536964980544759</v>
      </c>
      <c r="L60" t="s">
        <v>731</v>
      </c>
      <c r="M60" s="97">
        <f t="shared" ref="M60:M70" si="15">SUM(G60:K60)/5</f>
        <v>6.3340821725165437</v>
      </c>
      <c r="N60" s="108">
        <f t="shared" ref="N60:N70" si="16">SUM(B60:K60)/10</f>
        <v>4.1815329984087768</v>
      </c>
    </row>
    <row r="61" spans="1:14" x14ac:dyDescent="0.25">
      <c r="A61" t="s">
        <v>310</v>
      </c>
      <c r="B61" s="108" t="e">
        <f>('Data Sheet'!B27+'Data Sheet'!B28)/'Data Sheet'!B27</f>
        <v>#DIV/0!</v>
      </c>
      <c r="C61" s="108" t="e">
        <f>('Data Sheet'!C27+'Data Sheet'!C28)/'Data Sheet'!C27</f>
        <v>#DIV/0!</v>
      </c>
      <c r="D61" s="108">
        <f>('Data Sheet'!D27+'Data Sheet'!D28)/'Data Sheet'!D27</f>
        <v>14.250000000000002</v>
      </c>
      <c r="E61" s="108">
        <f>('Data Sheet'!E27+'Data Sheet'!E28)/'Data Sheet'!E27</f>
        <v>7.9137931034482758</v>
      </c>
      <c r="F61" s="108">
        <f>('Data Sheet'!F27+'Data Sheet'!F28)/'Data Sheet'!F27</f>
        <v>11.904</v>
      </c>
      <c r="G61" s="108">
        <f>('Data Sheet'!G27+'Data Sheet'!G28)/'Data Sheet'!G27</f>
        <v>5.86</v>
      </c>
      <c r="H61" s="108">
        <f>('Data Sheet'!H27+'Data Sheet'!H28)/'Data Sheet'!H27</f>
        <v>8.3836858006042299</v>
      </c>
      <c r="I61" s="108">
        <f>('Data Sheet'!I27+'Data Sheet'!I28)/'Data Sheet'!I27</f>
        <v>9.6982872200263497</v>
      </c>
      <c r="J61" s="108">
        <f>('Data Sheet'!J27+'Data Sheet'!J28)/'Data Sheet'!J27</f>
        <v>6.9627023223082327</v>
      </c>
      <c r="K61" s="353">
        <f>('Data Sheet'!K27+'Data Sheet'!K28)/'Data Sheet'!K27</f>
        <v>1.9706937799043065</v>
      </c>
      <c r="L61" t="s">
        <v>731</v>
      </c>
      <c r="M61" s="97">
        <f t="shared" si="15"/>
        <v>6.5750738245686238</v>
      </c>
      <c r="N61" s="108" t="e">
        <f t="shared" si="16"/>
        <v>#DIV/0!</v>
      </c>
    </row>
    <row r="62" spans="1:14" x14ac:dyDescent="0.25">
      <c r="A62" t="s">
        <v>626</v>
      </c>
      <c r="B62" s="108">
        <f>'Data Sheet'!B61/('Data Sheet'!B57+'Data Sheet'!B58)</f>
        <v>-2.2083333333333335</v>
      </c>
      <c r="C62" s="108">
        <f>'Data Sheet'!C61/('Data Sheet'!C57+'Data Sheet'!C58)</f>
        <v>1.2263222632226323</v>
      </c>
      <c r="D62" s="108">
        <f>'Data Sheet'!D61/('Data Sheet'!D57+'Data Sheet'!D58)</f>
        <v>1.0711201999545559</v>
      </c>
      <c r="E62" s="108">
        <f>'Data Sheet'!E61/('Data Sheet'!E57+'Data Sheet'!E58)</f>
        <v>1.424414824447334</v>
      </c>
      <c r="F62" s="108">
        <f>'Data Sheet'!F61/('Data Sheet'!F57+'Data Sheet'!F58)</f>
        <v>1.5156135344476152</v>
      </c>
      <c r="G62" s="108">
        <f>'Data Sheet'!G61/('Data Sheet'!G57+'Data Sheet'!G58)</f>
        <v>1.3129607238971879</v>
      </c>
      <c r="H62" s="108">
        <f>'Data Sheet'!H61/('Data Sheet'!H57+'Data Sheet'!H58)</f>
        <v>1.3336933045356372</v>
      </c>
      <c r="I62" s="353">
        <f>'Data Sheet'!I61/('Data Sheet'!I57+'Data Sheet'!I58)</f>
        <v>1.3253596941342187</v>
      </c>
      <c r="J62" s="353">
        <f>'Data Sheet'!J61/('Data Sheet'!J57+'Data Sheet'!J58)</f>
        <v>1.2474097282541259</v>
      </c>
      <c r="K62" s="353">
        <f>'Data Sheet'!K61/('Data Sheet'!K57+'Data Sheet'!K58)</f>
        <v>1.2138842217809682</v>
      </c>
      <c r="L62" t="s">
        <v>731</v>
      </c>
      <c r="M62" s="97">
        <f t="shared" si="15"/>
        <v>1.2866615345204275</v>
      </c>
      <c r="N62" s="108">
        <f t="shared" si="16"/>
        <v>0.94624451613409433</v>
      </c>
    </row>
    <row r="63" spans="1:14" x14ac:dyDescent="0.25">
      <c r="A63" t="s">
        <v>315</v>
      </c>
      <c r="B63" s="108">
        <f>('Data Sheet'!B65-'Data Sheet'!B68)/'Data Sheet'!B60</f>
        <v>0.61016949152542377</v>
      </c>
      <c r="C63" s="108">
        <f>('Data Sheet'!C65-'Data Sheet'!C68)/'Data Sheet'!C60</f>
        <v>0.81656804733727806</v>
      </c>
      <c r="D63" s="108">
        <f>('Data Sheet'!D65-'Data Sheet'!D68)/'Data Sheet'!D60</f>
        <v>2.5760517799352751</v>
      </c>
      <c r="E63" s="108">
        <f>('Data Sheet'!E65-'Data Sheet'!E68)/'Data Sheet'!E60</f>
        <v>1.6163120567375886</v>
      </c>
      <c r="F63" s="108">
        <f>('Data Sheet'!F65-'Data Sheet'!F68)/'Data Sheet'!F60</f>
        <v>4.3290653008962874</v>
      </c>
      <c r="G63" s="108">
        <f>('Data Sheet'!G65-'Data Sheet'!G68)/'Data Sheet'!G60</f>
        <v>5.0346740638002769</v>
      </c>
      <c r="H63" s="108">
        <f>('Data Sheet'!H65-'Data Sheet'!H68)/'Data Sheet'!H60</f>
        <v>5.2839173405211142</v>
      </c>
      <c r="I63" s="353">
        <f>('Data Sheet'!I65-'Data Sheet'!I68)/'Data Sheet'!I60</f>
        <v>5.0188356164383556</v>
      </c>
      <c r="J63" s="353">
        <f>('Data Sheet'!J65-'Data Sheet'!J68)/'Data Sheet'!J60</f>
        <v>8.2320730117340286</v>
      </c>
      <c r="K63" s="353">
        <f>('Data Sheet'!K65-'Data Sheet'!K68)/'Data Sheet'!K60</f>
        <v>7.5483949416342426</v>
      </c>
      <c r="L63" t="s">
        <v>731</v>
      </c>
      <c r="M63" s="97">
        <f t="shared" si="15"/>
        <v>6.2235789948256039</v>
      </c>
      <c r="N63" s="108">
        <f t="shared" si="16"/>
        <v>4.1066061650559877</v>
      </c>
    </row>
    <row r="64" spans="1:14" x14ac:dyDescent="0.25">
      <c r="A64" t="s">
        <v>640</v>
      </c>
      <c r="B64" s="108">
        <f>'Data Sheet'!B82/'Data Sheet'!B60</f>
        <v>-0.49152542372881353</v>
      </c>
      <c r="C64" s="108">
        <f>'Data Sheet'!C82/'Data Sheet'!C60</f>
        <v>0.72781065088757402</v>
      </c>
      <c r="D64" s="108">
        <f>'Data Sheet'!D82/'Data Sheet'!D60</f>
        <v>-0.36245954692556637</v>
      </c>
      <c r="E64" s="108">
        <f>'Data Sheet'!E82/'Data Sheet'!E60</f>
        <v>0.16382978723404257</v>
      </c>
      <c r="F64" s="108">
        <f>'Data Sheet'!F82/'Data Sheet'!F60</f>
        <v>0.68245838668373882</v>
      </c>
      <c r="G64" s="108">
        <f>'Data Sheet'!G82/'Data Sheet'!G60</f>
        <v>0.22191400832177532</v>
      </c>
      <c r="H64" s="108">
        <f>'Data Sheet'!H82/'Data Sheet'!H60</f>
        <v>-0.31132075471698112</v>
      </c>
      <c r="I64" s="353">
        <f>'Data Sheet'!I82/'Data Sheet'!I60</f>
        <v>0.75428082191780832</v>
      </c>
      <c r="J64" s="353">
        <f>'Data Sheet'!J82/'Data Sheet'!J60</f>
        <v>1.0992736077481842</v>
      </c>
      <c r="K64" s="353">
        <f>'Data Sheet'!K82/'Data Sheet'!K60</f>
        <v>-0.30593385214007784</v>
      </c>
      <c r="M64" s="97">
        <f t="shared" si="15"/>
        <v>0.29164276622614177</v>
      </c>
      <c r="N64" s="108">
        <f t="shared" si="16"/>
        <v>0.21783276852816841</v>
      </c>
    </row>
    <row r="65" spans="1:14" x14ac:dyDescent="0.25">
      <c r="A65" t="s">
        <v>657</v>
      </c>
      <c r="C65" s="83">
        <f>'Data Sheet'!B69/'Data Sheet'!B61</f>
        <v>0.26415094339622641</v>
      </c>
      <c r="D65" s="83">
        <f>'Data Sheet'!C69/'Data Sheet'!C61</f>
        <v>1.8054162487462385E-2</v>
      </c>
      <c r="E65" s="83">
        <f>'Data Sheet'!D69/'Data Sheet'!D61</f>
        <v>4.5608824777259228E-2</v>
      </c>
      <c r="F65" s="83">
        <f>'Data Sheet'!E69/'Data Sheet'!E61</f>
        <v>0.11799612005021112</v>
      </c>
      <c r="G65" s="83">
        <f>'Data Sheet'!F69/'Data Sheet'!F61</f>
        <v>0.15536069718650816</v>
      </c>
      <c r="H65" s="83">
        <f>'Data Sheet'!G69/'Data Sheet'!G61</f>
        <v>0.14166889463208865</v>
      </c>
      <c r="I65" s="83">
        <f>'Data Sheet'!H69/'Data Sheet'!H61</f>
        <v>0.10958164642375168</v>
      </c>
      <c r="J65" s="83">
        <f>'Data Sheet'!I69/'Data Sheet'!I61</f>
        <v>2.0515837619327782E-2</v>
      </c>
      <c r="K65" s="83">
        <f>'Data Sheet'!J69/'Data Sheet'!J61</f>
        <v>0.20066398915733061</v>
      </c>
      <c r="M65" s="83">
        <f t="shared" si="15"/>
        <v>0.12555821300380138</v>
      </c>
      <c r="N65" s="83">
        <f t="shared" si="16"/>
        <v>0.10736011157301659</v>
      </c>
    </row>
    <row r="66" spans="1:14" x14ac:dyDescent="0.25">
      <c r="A66" t="s">
        <v>655</v>
      </c>
      <c r="B66" s="83">
        <f>'Data Sheet'!B69/'Data Sheet'!B59</f>
        <v>0.7777777777777779</v>
      </c>
      <c r="C66" s="83">
        <f>'Data Sheet'!C69/'Data Sheet'!C59</f>
        <v>1.2</v>
      </c>
      <c r="D66" s="83">
        <f>'Data Sheet'!D69/'Data Sheet'!D59</f>
        <v>53.75</v>
      </c>
      <c r="E66" s="83">
        <f>'Data Sheet'!E69/'Data Sheet'!E59</f>
        <v>0.86094920899250627</v>
      </c>
      <c r="F66" s="83">
        <f>'Data Sheet'!F69/'Data Sheet'!F59</f>
        <v>0.60646787064258711</v>
      </c>
      <c r="G66" s="83">
        <f>'Data Sheet'!G69/'Data Sheet'!G59</f>
        <v>0.92782101167315179</v>
      </c>
      <c r="H66" s="83">
        <f>'Data Sheet'!H69/'Data Sheet'!H59</f>
        <v>0.73021582733812951</v>
      </c>
      <c r="I66" s="83">
        <f>'Data Sheet'!I69/'Data Sheet'!I59</f>
        <v>0.13082415587558999</v>
      </c>
      <c r="J66" s="83">
        <f>'Data Sheet'!J69/'Data Sheet'!J59</f>
        <v>1.525042525042525</v>
      </c>
      <c r="K66" s="83">
        <f>'Data Sheet'!K69/'Data Sheet'!K59</f>
        <v>0.22363765038924277</v>
      </c>
      <c r="L66" s="334"/>
      <c r="M66" s="83">
        <f t="shared" si="15"/>
        <v>0.70750823406372787</v>
      </c>
      <c r="N66" s="83">
        <f t="shared" si="16"/>
        <v>6.0732736027731509</v>
      </c>
    </row>
    <row r="67" spans="1:14" x14ac:dyDescent="0.25">
      <c r="A67" t="s">
        <v>656</v>
      </c>
      <c r="B67" s="83">
        <f>'Data Sheet'!B69/'Data Sheet'!B60</f>
        <v>0.23728813559322037</v>
      </c>
      <c r="C67" s="83">
        <f>'Data Sheet'!C69/'Data Sheet'!C60</f>
        <v>0.10650887573964497</v>
      </c>
      <c r="D67" s="83">
        <f>'Data Sheet'!D69/'Data Sheet'!D60</f>
        <v>0.69579288025889963</v>
      </c>
      <c r="E67" s="83">
        <f>'Data Sheet'!E69/'Data Sheet'!E60</f>
        <v>0.73333333333333339</v>
      </c>
      <c r="F67" s="83">
        <f>'Data Sheet'!F69/'Data Sheet'!F60</f>
        <v>1.8489116517285531</v>
      </c>
      <c r="G67" s="83">
        <f>'Data Sheet'!G69/'Data Sheet'!G60</f>
        <v>1.6536061026352287</v>
      </c>
      <c r="H67" s="83">
        <f>'Data Sheet'!H69/'Data Sheet'!H60</f>
        <v>1.0943396226415094</v>
      </c>
      <c r="I67" s="83">
        <f>'Data Sheet'!I69/'Data Sheet'!I60</f>
        <v>0.23137842465753428</v>
      </c>
      <c r="J67" s="83">
        <f>'Data Sheet'!J69/'Data Sheet'!J60</f>
        <v>3.0057738871298194</v>
      </c>
      <c r="K67" s="83">
        <f>'Data Sheet'!K69/'Data Sheet'!K60</f>
        <v>0.53793774319066157</v>
      </c>
      <c r="M67" s="83">
        <f t="shared" si="15"/>
        <v>1.3046071560509505</v>
      </c>
      <c r="N67" s="83">
        <f t="shared" si="16"/>
        <v>1.0144870656908407</v>
      </c>
    </row>
    <row r="68" spans="1:14" x14ac:dyDescent="0.25">
      <c r="A68" t="s">
        <v>658</v>
      </c>
      <c r="B68" s="83">
        <f>'Data Sheet'!B60/'Data Sheet'!B59</f>
        <v>3.2777777777777777</v>
      </c>
      <c r="C68" s="83">
        <f>'Data Sheet'!C60/'Data Sheet'!C59</f>
        <v>11.266666666666667</v>
      </c>
      <c r="D68" s="83">
        <f>'Data Sheet'!D60/'Data Sheet'!D59</f>
        <v>77.25</v>
      </c>
      <c r="E68" s="83">
        <f>'Data Sheet'!E60/'Data Sheet'!E59</f>
        <v>1.1740216486261448</v>
      </c>
      <c r="F68" s="83">
        <f>'Data Sheet'!F60/'Data Sheet'!F59</f>
        <v>0.32801343973120539</v>
      </c>
      <c r="G68" s="83">
        <f>'Data Sheet'!G60/'Data Sheet'!G59</f>
        <v>0.56108949416342413</v>
      </c>
      <c r="H68" s="83">
        <f>'Data Sheet'!H60/'Data Sheet'!H59</f>
        <v>0.66726618705035978</v>
      </c>
      <c r="I68" s="83">
        <f>'Data Sheet'!I60/'Data Sheet'!I59</f>
        <v>0.56541207793779502</v>
      </c>
      <c r="J68" s="83">
        <f>'Data Sheet'!J60/'Data Sheet'!J59</f>
        <v>0.50737100737100738</v>
      </c>
      <c r="K68" s="83">
        <f>'Data Sheet'!K60/'Data Sheet'!K59</f>
        <v>0.4157314730563138</v>
      </c>
      <c r="L68" s="333"/>
      <c r="M68" s="83">
        <f t="shared" si="15"/>
        <v>0.54337404791578003</v>
      </c>
      <c r="N68" s="83">
        <f t="shared" si="16"/>
        <v>9.6013349772380714</v>
      </c>
    </row>
    <row r="69" spans="1:14" x14ac:dyDescent="0.25">
      <c r="A69" t="s">
        <v>653</v>
      </c>
      <c r="B69" s="83">
        <f>'Data Sheet'!B26/('Data Sheet'!B62+'Data Sheet'!B26)</f>
        <v>0</v>
      </c>
      <c r="C69" s="83">
        <f>'Data Sheet'!C26/('Data Sheet'!C62+'Data Sheet'!C26)</f>
        <v>0.10295728368017525</v>
      </c>
      <c r="D69" s="83">
        <f>'Data Sheet'!D26/('Data Sheet'!D62+'Data Sheet'!D26)</f>
        <v>7.3651043717999215E-2</v>
      </c>
      <c r="E69" s="83">
        <f>'Data Sheet'!E26/('Data Sheet'!E62+'Data Sheet'!E26)</f>
        <v>8.1502086230876208E-2</v>
      </c>
      <c r="F69" s="83">
        <f>'Data Sheet'!F26/('Data Sheet'!F62+'Data Sheet'!F26)</f>
        <v>5.972850678733032E-2</v>
      </c>
      <c r="G69" s="83">
        <f>'Data Sheet'!G26/('Data Sheet'!G62+'Data Sheet'!G26)</f>
        <v>5.3841375025885277E-2</v>
      </c>
      <c r="H69" s="83">
        <f>'Data Sheet'!H26/('Data Sheet'!H62+'Data Sheet'!H26)</f>
        <v>7.9458400142526295E-2</v>
      </c>
      <c r="I69" s="83">
        <f>'Data Sheet'!I26/('Data Sheet'!I62+'Data Sheet'!I26)</f>
        <v>6.4291129643669453E-2</v>
      </c>
      <c r="J69" s="83">
        <f>'Data Sheet'!J26/('Data Sheet'!J62+'Data Sheet'!J26)</f>
        <v>7.7111066386820387E-2</v>
      </c>
      <c r="K69" s="83">
        <f>'Data Sheet'!K26/('Data Sheet'!K62+'Data Sheet'!K26)</f>
        <v>8.8041791865511893E-2</v>
      </c>
      <c r="L69" s="333"/>
      <c r="M69" s="83">
        <f t="shared" si="15"/>
        <v>7.2548752612882655E-2</v>
      </c>
      <c r="N69" s="83">
        <f t="shared" si="16"/>
        <v>6.8058268348079418E-2</v>
      </c>
    </row>
    <row r="70" spans="1:14" x14ac:dyDescent="0.25">
      <c r="A70" t="s">
        <v>654</v>
      </c>
      <c r="B70" s="83">
        <f>'Data Sheet'!B26/'Data Sheet'!B62</f>
        <v>0</v>
      </c>
      <c r="C70" s="83">
        <f>'Data Sheet'!C26/'Data Sheet'!C62</f>
        <v>0.11477411477411477</v>
      </c>
      <c r="D70" s="83">
        <f>'Data Sheet'!D26/'Data Sheet'!D62</f>
        <v>7.950680272108844E-2</v>
      </c>
      <c r="E70" s="83">
        <f>'Data Sheet'!E26/'Data Sheet'!E62</f>
        <v>8.8734100545124164E-2</v>
      </c>
      <c r="F70" s="83">
        <f>'Data Sheet'!F26/'Data Sheet'!F62</f>
        <v>6.3522617901828671E-2</v>
      </c>
      <c r="G70" s="83">
        <f>'Data Sheet'!G26/'Data Sheet'!G62</f>
        <v>5.6905230903917706E-2</v>
      </c>
      <c r="H70" s="83">
        <f>'Data Sheet'!H26/'Data Sheet'!H62</f>
        <v>8.6317011805689972E-2</v>
      </c>
      <c r="I70" s="83">
        <f>'Data Sheet'!I26/'Data Sheet'!I62</f>
        <v>6.8708475125587434E-2</v>
      </c>
      <c r="J70" s="83">
        <f>'Data Sheet'!J26/'Data Sheet'!J62</f>
        <v>8.3554004797657247E-2</v>
      </c>
      <c r="K70" s="83">
        <f>'Data Sheet'!K26/'Data Sheet'!K62</f>
        <v>9.6541476440692553E-2</v>
      </c>
      <c r="M70" s="83">
        <f t="shared" si="15"/>
        <v>7.8405239814708982E-2</v>
      </c>
      <c r="N70" s="83">
        <f t="shared" si="16"/>
        <v>7.3856383501570103E-2</v>
      </c>
    </row>
    <row r="72" spans="1:14" x14ac:dyDescent="0.25">
      <c r="A72" s="325" t="s">
        <v>627</v>
      </c>
    </row>
    <row r="73" spans="1:14" ht="60" x14ac:dyDescent="0.25">
      <c r="A73" t="s">
        <v>659</v>
      </c>
      <c r="B73" s="83">
        <f>('Data Sheet'!B65-'Data Sheet'!B60)/'Data Sheet'!B17</f>
        <v>-4.5999999999999996</v>
      </c>
      <c r="C73" s="83">
        <f>('Data Sheet'!C65-'Data Sheet'!C60)/'Data Sheet'!C17</f>
        <v>-4.797047970479705E-2</v>
      </c>
      <c r="D73" s="83">
        <f>('Data Sheet'!D65-'Data Sheet'!D60)/'Data Sheet'!D17</f>
        <v>0.48977604673807201</v>
      </c>
      <c r="E73" s="350">
        <f>('Data Sheet'!E65-'Data Sheet'!E60)/'Data Sheet'!E17</f>
        <v>0.42048643592142193</v>
      </c>
      <c r="F73" s="350">
        <f>('Data Sheet'!F65-'Data Sheet'!F60)/'Data Sheet'!F17</f>
        <v>1.3626401630988787</v>
      </c>
      <c r="G73" s="350">
        <f>('Data Sheet'!G65-'Data Sheet'!G60)/'Data Sheet'!G17</f>
        <v>1.5543323403704183</v>
      </c>
      <c r="H73" s="350">
        <f>('Data Sheet'!H65-'Data Sheet'!H60)/'Data Sheet'!H17</f>
        <v>1.7091354567728385</v>
      </c>
      <c r="I73" s="350">
        <f>('Data Sheet'!I65-'Data Sheet'!I60)/'Data Sheet'!I17</f>
        <v>1.2267191068256789</v>
      </c>
      <c r="J73" s="350">
        <f>('Data Sheet'!J65-'Data Sheet'!J60)/'Data Sheet'!J17</f>
        <v>1.8968426126777538</v>
      </c>
      <c r="K73" s="83">
        <f>('Data Sheet'!K65-'Data Sheet'!K60)/'Data Sheet'!K17</f>
        <v>1.3070271819614963</v>
      </c>
      <c r="L73" s="355" t="s">
        <v>742</v>
      </c>
      <c r="M73" s="83">
        <f t="shared" ref="M73:M77" si="17">SUM(G73:K73)/5</f>
        <v>1.5388113397216372</v>
      </c>
      <c r="N73" s="83">
        <f t="shared" ref="N73:N77" si="18">SUM(B73:K73)/10</f>
        <v>0.53189888646617622</v>
      </c>
    </row>
    <row r="74" spans="1:14" x14ac:dyDescent="0.25">
      <c r="A74" t="s">
        <v>46</v>
      </c>
      <c r="B74" s="111">
        <f>IFERROR(('Data Sheet'!B67/'Data Sheet'!B17)*365,"NA")</f>
        <v>0</v>
      </c>
      <c r="C74" s="111">
        <f>IFERROR(('Data Sheet'!C67/'Data Sheet'!C17)*365,"NA")</f>
        <v>0.67343173431734327</v>
      </c>
      <c r="D74" s="111">
        <f>IFERROR(('Data Sheet'!D67/'Data Sheet'!D17)*365,"NA")</f>
        <v>14.9269717624148</v>
      </c>
      <c r="E74" s="354">
        <f>IFERROR(('Data Sheet'!E67/'Data Sheet'!E17)*365,"NA")</f>
        <v>118.65060804490177</v>
      </c>
      <c r="F74" s="360">
        <f>IFERROR(('Data Sheet'!F67/'Data Sheet'!F17)*365,"NA")</f>
        <v>16.464067278287462</v>
      </c>
      <c r="G74" s="360">
        <f>IFERROR(('Data Sheet'!G67/'Data Sheet'!G17)*365,"NA")</f>
        <v>27.466001813236627</v>
      </c>
      <c r="H74" s="360">
        <f>IFERROR(('Data Sheet'!H67/'Data Sheet'!H17)*365,"NA")</f>
        <v>21.942159607980397</v>
      </c>
      <c r="I74" s="354">
        <f>IFERROR(('Data Sheet'!I67/'Data Sheet'!I17)*365,"NA")</f>
        <v>67.146663283430613</v>
      </c>
      <c r="J74" s="354">
        <f>IFERROR(('Data Sheet'!J67/'Data Sheet'!J17)*365,"NA")</f>
        <v>73.017594601108712</v>
      </c>
      <c r="K74" s="354">
        <f>IFERROR(('Data Sheet'!K67/'Data Sheet'!K17)*365,"NA")</f>
        <v>99.580327712224715</v>
      </c>
      <c r="L74" s="342" t="s">
        <v>741</v>
      </c>
      <c r="M74" s="99">
        <f t="shared" si="17"/>
        <v>57.830549403596208</v>
      </c>
      <c r="N74" s="99">
        <f t="shared" si="18"/>
        <v>43.986782583790252</v>
      </c>
    </row>
    <row r="75" spans="1:14" x14ac:dyDescent="0.25">
      <c r="A75" t="s">
        <v>628</v>
      </c>
      <c r="B75" s="108" t="e">
        <f>365/B74</f>
        <v>#DIV/0!</v>
      </c>
      <c r="C75" s="108">
        <f t="shared" ref="C75:K75" si="19">365/C74</f>
        <v>541.99999999999989</v>
      </c>
      <c r="D75" s="108">
        <f t="shared" si="19"/>
        <v>24.452380952380953</v>
      </c>
      <c r="E75" s="108">
        <f t="shared" si="19"/>
        <v>3.0762589928057555</v>
      </c>
      <c r="F75" s="108">
        <f t="shared" si="19"/>
        <v>22.169491525423727</v>
      </c>
      <c r="G75" s="108">
        <f t="shared" si="19"/>
        <v>13.289156626506024</v>
      </c>
      <c r="H75" s="108">
        <f t="shared" si="19"/>
        <v>16.634643377001456</v>
      </c>
      <c r="I75" s="108">
        <f t="shared" si="19"/>
        <v>5.4358620689655162</v>
      </c>
      <c r="J75" s="108">
        <f t="shared" si="19"/>
        <v>4.9987951807228912</v>
      </c>
      <c r="K75" s="108">
        <f t="shared" si="19"/>
        <v>3.6653825949921206</v>
      </c>
      <c r="M75" s="97">
        <f t="shared" si="17"/>
        <v>8.804767969637604</v>
      </c>
      <c r="N75" s="97" t="e">
        <f t="shared" si="18"/>
        <v>#DIV/0!</v>
      </c>
    </row>
    <row r="76" spans="1:14" x14ac:dyDescent="0.25">
      <c r="A76" t="s">
        <v>477</v>
      </c>
      <c r="B76" s="111">
        <f>IFERROR(('Data Sheet'!B68/'Data Sheet'!B17)*365,"NA")</f>
        <v>0</v>
      </c>
      <c r="C76" s="111">
        <f>IFERROR(('Data Sheet'!C68/'Data Sheet'!C17)*365,"NA")</f>
        <v>3.3671586715867159</v>
      </c>
      <c r="D76" s="111">
        <f>IFERROR(('Data Sheet'!D68/'Data Sheet'!D17)*365,"NA")</f>
        <v>5.6864654333008762</v>
      </c>
      <c r="E76" s="111">
        <f>IFERROR(('Data Sheet'!E68/'Data Sheet'!E17)*365,"NA")</f>
        <v>5.1216089803554725</v>
      </c>
      <c r="F76" s="111">
        <f>IFERROR(('Data Sheet'!F68/'Data Sheet'!F17)*365,"NA")</f>
        <v>13.673547400611621</v>
      </c>
      <c r="G76" s="111">
        <f>IFERROR(('Data Sheet'!G68/'Data Sheet'!G17)*365,"NA")</f>
        <v>17.254889263048828</v>
      </c>
      <c r="H76" s="111">
        <f>IFERROR(('Data Sheet'!H68/'Data Sheet'!H17)*365,"NA")</f>
        <v>14.69198459922996</v>
      </c>
      <c r="I76" s="356">
        <f>IFERROR(('Data Sheet'!I68/'Data Sheet'!I17)*365,"NA")</f>
        <v>13.012560263892416</v>
      </c>
      <c r="J76" s="356">
        <f>IFERROR(('Data Sheet'!J68/'Data Sheet'!J17)*365,"NA")</f>
        <v>9.1667871776331644</v>
      </c>
      <c r="K76" s="356">
        <f>IFERROR(('Data Sheet'!K68/'Data Sheet'!K17)*365,"NA")</f>
        <v>7.5500406057421294</v>
      </c>
      <c r="L76" s="333"/>
      <c r="M76" s="99">
        <f t="shared" si="17"/>
        <v>12.335252381909299</v>
      </c>
      <c r="N76" s="99">
        <f t="shared" si="18"/>
        <v>8.9525042395401186</v>
      </c>
    </row>
    <row r="77" spans="1:14" x14ac:dyDescent="0.25">
      <c r="A77" t="s">
        <v>47</v>
      </c>
      <c r="B77" s="108" t="e">
        <f>365/B76</f>
        <v>#DIV/0!</v>
      </c>
      <c r="C77" s="108">
        <f t="shared" ref="C77:K77" si="20">365/C76</f>
        <v>108.4</v>
      </c>
      <c r="D77" s="108">
        <f t="shared" si="20"/>
        <v>64.1875</v>
      </c>
      <c r="E77" s="108">
        <f t="shared" si="20"/>
        <v>71.266666666666666</v>
      </c>
      <c r="F77" s="108">
        <f t="shared" si="20"/>
        <v>26.693877551020407</v>
      </c>
      <c r="G77" s="108">
        <f t="shared" si="20"/>
        <v>21.153424657534249</v>
      </c>
      <c r="H77" s="108">
        <f t="shared" si="20"/>
        <v>24.843478260869567</v>
      </c>
      <c r="I77" s="108">
        <f t="shared" si="20"/>
        <v>28.049822064056933</v>
      </c>
      <c r="J77" s="108">
        <f t="shared" si="20"/>
        <v>39.817658349328212</v>
      </c>
      <c r="K77" s="108">
        <f t="shared" si="20"/>
        <v>48.344110854503462</v>
      </c>
      <c r="M77" s="97">
        <f t="shared" si="17"/>
        <v>32.441698837258485</v>
      </c>
      <c r="N77" s="97" t="e">
        <f t="shared" si="18"/>
        <v>#DIV/0!</v>
      </c>
    </row>
    <row r="78" spans="1:14" x14ac:dyDescent="0.25">
      <c r="A78" t="s">
        <v>629</v>
      </c>
    </row>
    <row r="79" spans="1:14" x14ac:dyDescent="0.25">
      <c r="A79" t="s">
        <v>630</v>
      </c>
    </row>
    <row r="80" spans="1:14" x14ac:dyDescent="0.25">
      <c r="A80" t="s">
        <v>681</v>
      </c>
      <c r="B80" s="103">
        <f>'Data Sheet'!B82/'Data Sheet'!B66</f>
        <v>-0.54716981132075471</v>
      </c>
      <c r="C80" s="103">
        <f>'Data Sheet'!C82/'Data Sheet'!C66</f>
        <v>0.12337011033099297</v>
      </c>
      <c r="D80" s="328">
        <f>'Data Sheet'!D82/'Data Sheet'!D66</f>
        <v>-2.3759015697921087E-2</v>
      </c>
      <c r="E80" s="328">
        <f>'Data Sheet'!E82/'Data Sheet'!E66</f>
        <v>2.6360835330366313E-2</v>
      </c>
      <c r="F80" s="328">
        <f>'Data Sheet'!F82/'Data Sheet'!F66</f>
        <v>5.7345742105546299E-2</v>
      </c>
      <c r="G80" s="328">
        <f>'Data Sheet'!G82/'Data Sheet'!G66</f>
        <v>1.9011971600867421E-2</v>
      </c>
      <c r="H80" s="328">
        <f>'Data Sheet'!H82/'Data Sheet'!H66</f>
        <v>-3.1174089068825909E-2</v>
      </c>
      <c r="I80" s="328">
        <f>'Data Sheet'!I82/'Data Sheet'!I66</f>
        <v>6.6880491924617119E-2</v>
      </c>
      <c r="J80" s="328">
        <f>'Data Sheet'!J82/'Data Sheet'!J66</f>
        <v>7.338696641508026E-2</v>
      </c>
      <c r="K80" s="339">
        <f>'Data Sheet'!K82/'Data Sheet'!K66</f>
        <v>-1.5829275351377198E-2</v>
      </c>
      <c r="L80" s="352" t="s">
        <v>744</v>
      </c>
      <c r="M80" s="103">
        <f t="shared" ref="M80:M83" si="21">SUM(G80:K80)/5</f>
        <v>2.2455213104072339E-2</v>
      </c>
      <c r="N80" s="103">
        <f t="shared" ref="N80:N83" si="22">SUM(B80:K80)/10</f>
        <v>-2.515760737314085E-2</v>
      </c>
    </row>
    <row r="81" spans="1:14" x14ac:dyDescent="0.25">
      <c r="A81" t="s">
        <v>636</v>
      </c>
      <c r="B81" s="103">
        <f>'Data Sheet'!B30/'Data Sheet'!B66</f>
        <v>-0.46226415094339618</v>
      </c>
      <c r="C81" s="103">
        <f>'Data Sheet'!C30/'Data Sheet'!C66</f>
        <v>-1.9057171514543631E-2</v>
      </c>
      <c r="D81" s="103">
        <f>'Data Sheet'!D30/'Data Sheet'!D66</f>
        <v>1.0818837505303353E-2</v>
      </c>
      <c r="E81" s="103">
        <f>'Data Sheet'!E30/'Data Sheet'!E66</f>
        <v>2.9670204267944769E-2</v>
      </c>
      <c r="F81" s="103">
        <f>'Data Sheet'!F30/'Data Sheet'!F66</f>
        <v>4.9491634837807302E-2</v>
      </c>
      <c r="G81" s="103">
        <f>'Data Sheet'!G30/'Data Sheet'!G66</f>
        <v>6.4343641386685677E-2</v>
      </c>
      <c r="H81" s="103">
        <f>'Data Sheet'!H30/'Data Sheet'!H66</f>
        <v>7.4988753936122365E-2</v>
      </c>
      <c r="I81" s="332">
        <f>'Data Sheet'!I30/'Data Sheet'!I66</f>
        <v>8.3353893454290118E-2</v>
      </c>
      <c r="J81" s="332">
        <f>'Data Sheet'!J30/'Data Sheet'!J66</f>
        <v>7.568730338336048E-2</v>
      </c>
      <c r="K81" s="332">
        <f>'Data Sheet'!K30/'Data Sheet'!K66</f>
        <v>8.5186163854390796E-3</v>
      </c>
      <c r="L81" s="352" t="s">
        <v>743</v>
      </c>
      <c r="M81" s="103">
        <f t="shared" si="21"/>
        <v>6.1378441709179554E-2</v>
      </c>
      <c r="N81" s="103">
        <f t="shared" si="22"/>
        <v>-8.4448437300986712E-3</v>
      </c>
    </row>
    <row r="82" spans="1:14" x14ac:dyDescent="0.25">
      <c r="A82" t="s">
        <v>637</v>
      </c>
      <c r="B82" s="108">
        <f>'Data Sheet'!B17/'Data Sheet'!B66</f>
        <v>9.4339622641509441E-2</v>
      </c>
      <c r="C82" s="108">
        <f>'Data Sheet'!C17/'Data Sheet'!C66</f>
        <v>0.54363089267803411</v>
      </c>
      <c r="D82" s="108">
        <f>'Data Sheet'!D17/'Data Sheet'!D66</f>
        <v>0.2178616885871871</v>
      </c>
      <c r="E82" s="108">
        <f>'Data Sheet'!E17/'Data Sheet'!E66</f>
        <v>0.24398037201871506</v>
      </c>
      <c r="F82" s="108">
        <f>'Data Sheet'!F17/'Data Sheet'!F66</f>
        <v>0.21109258163429989</v>
      </c>
      <c r="G82" s="108">
        <f>'Data Sheet'!G17/'Data Sheet'!G66</f>
        <v>0.22936161364108962</v>
      </c>
      <c r="H82" s="331">
        <f>'Data Sheet'!H17/'Data Sheet'!H66</f>
        <v>0.25704003598740438</v>
      </c>
      <c r="I82" s="331">
        <f>'Data Sheet'!I17/'Data Sheet'!I66</f>
        <v>0.29917822778083542</v>
      </c>
      <c r="J82" s="331">
        <f>'Data Sheet'!J17/'Data Sheet'!J66</f>
        <v>0.25794859679444931</v>
      </c>
      <c r="K82" s="331">
        <f>'Data Sheet'!K17/'Data Sheet'!K66</f>
        <v>0.2633976319001422</v>
      </c>
      <c r="L82" s="333"/>
      <c r="M82" s="97">
        <f t="shared" si="21"/>
        <v>0.26138522122078423</v>
      </c>
      <c r="N82" s="97">
        <f t="shared" si="22"/>
        <v>0.26178312636636669</v>
      </c>
    </row>
    <row r="83" spans="1:14" x14ac:dyDescent="0.25">
      <c r="A83" t="s">
        <v>291</v>
      </c>
      <c r="B83" s="108">
        <f>'Data Sheet'!B17/'Data Sheet'!B62</f>
        <v>0.29411764705882354</v>
      </c>
      <c r="C83" s="108">
        <f>'Data Sheet'!C17/'Data Sheet'!C62</f>
        <v>0.66178266178266176</v>
      </c>
      <c r="D83" s="108">
        <f>'Data Sheet'!D17/'Data Sheet'!D62</f>
        <v>0.43664965986394555</v>
      </c>
      <c r="E83" s="108">
        <f>'Data Sheet'!E17/'Data Sheet'!E62</f>
        <v>0.64748637189582059</v>
      </c>
      <c r="F83" s="108">
        <f>'Data Sheet'!F17/'Data Sheet'!F62</f>
        <v>0.62945139557266605</v>
      </c>
      <c r="G83" s="353">
        <f>'Data Sheet'!G17/'Data Sheet'!G62</f>
        <v>0.56328883052454948</v>
      </c>
      <c r="H83" s="353">
        <f>'Data Sheet'!H17/'Data Sheet'!H62</f>
        <v>0.73724275853170773</v>
      </c>
      <c r="I83" s="353">
        <f>'Data Sheet'!I17/'Data Sheet'!I62</f>
        <v>0.63863231242910379</v>
      </c>
      <c r="J83" s="353">
        <f>'Data Sheet'!J17/'Data Sheet'!J62</f>
        <v>0.64628181563288567</v>
      </c>
      <c r="K83" s="353">
        <f>'Data Sheet'!K17/'Data Sheet'!K62</f>
        <v>0.45079248858644155</v>
      </c>
      <c r="L83" s="333"/>
      <c r="M83" s="97">
        <f t="shared" si="21"/>
        <v>0.60724764114093754</v>
      </c>
      <c r="N83" s="97">
        <f t="shared" si="22"/>
        <v>0.57057259418786055</v>
      </c>
    </row>
    <row r="84" spans="1:14" x14ac:dyDescent="0.25">
      <c r="A84" t="s">
        <v>486</v>
      </c>
    </row>
    <row r="85" spans="1:14" x14ac:dyDescent="0.25">
      <c r="A85" t="s">
        <v>638</v>
      </c>
    </row>
    <row r="86" spans="1:14" x14ac:dyDescent="0.25">
      <c r="A86" t="s">
        <v>301</v>
      </c>
    </row>
    <row r="90" spans="1:14" x14ac:dyDescent="0.25">
      <c r="A90" t="s">
        <v>631</v>
      </c>
    </row>
    <row r="91" spans="1:14" x14ac:dyDescent="0.25">
      <c r="A91" t="s">
        <v>399</v>
      </c>
      <c r="B91" s="357">
        <f t="shared" ref="B91:K91" si="23">B12/B11</f>
        <v>1.1836734693877551</v>
      </c>
      <c r="C91" s="357">
        <f t="shared" si="23"/>
        <v>-6.4736842105263159</v>
      </c>
      <c r="D91" s="357">
        <f t="shared" si="23"/>
        <v>-2.1960784313725492</v>
      </c>
      <c r="E91" s="357">
        <f t="shared" si="23"/>
        <v>0.88846153846153841</v>
      </c>
      <c r="F91" s="357">
        <f t="shared" si="23"/>
        <v>1.1586956521739131</v>
      </c>
      <c r="G91" s="357">
        <f t="shared" si="23"/>
        <v>0.29547553093259465</v>
      </c>
      <c r="H91" s="357">
        <f t="shared" si="23"/>
        <v>-0.41571685662867419</v>
      </c>
      <c r="I91" s="357">
        <f t="shared" si="23"/>
        <v>0.80236794171220405</v>
      </c>
      <c r="J91" s="357">
        <f t="shared" si="23"/>
        <v>0.96960735994742908</v>
      </c>
      <c r="K91" s="357">
        <f t="shared" si="23"/>
        <v>-1.8581979320531758</v>
      </c>
      <c r="L91" s="333"/>
      <c r="M91" s="97">
        <f>SUM(G91:K91)/5</f>
        <v>-4.1292791217924438E-2</v>
      </c>
      <c r="N91" s="108">
        <f>SUM(B91:K91)/10</f>
        <v>-0.56453959379652807</v>
      </c>
    </row>
    <row r="92" spans="1:14" x14ac:dyDescent="0.25">
      <c r="A92" t="s">
        <v>632</v>
      </c>
      <c r="B92" s="109">
        <f t="shared" ref="B92:K92" si="24">B12/B3</f>
        <v>-5.7999999999999989</v>
      </c>
      <c r="C92" s="109">
        <f t="shared" si="24"/>
        <v>0.22693726937269373</v>
      </c>
      <c r="D92" s="109">
        <f t="shared" si="24"/>
        <v>-0.10905550146056477</v>
      </c>
      <c r="E92" s="109">
        <f t="shared" si="24"/>
        <v>0.10804490177736203</v>
      </c>
      <c r="F92" s="109">
        <f t="shared" si="24"/>
        <v>0.27166156982670742</v>
      </c>
      <c r="G92" s="109">
        <f t="shared" si="24"/>
        <v>8.2890817251651358E-2</v>
      </c>
      <c r="H92" s="109">
        <f t="shared" si="24"/>
        <v>-0.12128106405320266</v>
      </c>
      <c r="I92" s="109">
        <f t="shared" si="24"/>
        <v>0.22354732301446337</v>
      </c>
      <c r="J92" s="109">
        <f t="shared" si="24"/>
        <v>0.2845022897083635</v>
      </c>
      <c r="K92" s="109">
        <f t="shared" si="24"/>
        <v>-6.0096498351884582E-2</v>
      </c>
      <c r="M92" s="83">
        <f t="shared" ref="M92:M101" si="25">SUM(G92:K92)/5</f>
        <v>8.1912573513878192E-2</v>
      </c>
      <c r="N92" s="83">
        <f t="shared" ref="N92:N101" si="26">SUM(B92:K92)/10</f>
        <v>-0.48928488929144109</v>
      </c>
    </row>
    <row r="93" spans="1:14" ht="60" x14ac:dyDescent="0.25">
      <c r="A93" t="s">
        <v>633</v>
      </c>
      <c r="B93" s="357">
        <f t="shared" ref="B93:K93" si="27">B13/B11</f>
        <v>0</v>
      </c>
      <c r="C93" s="357">
        <f t="shared" si="27"/>
        <v>-48.105263157894733</v>
      </c>
      <c r="D93" s="330">
        <f t="shared" si="27"/>
        <v>63.431372549019606</v>
      </c>
      <c r="E93" s="330">
        <f t="shared" si="27"/>
        <v>10.55</v>
      </c>
      <c r="F93" s="330">
        <f t="shared" si="27"/>
        <v>5.9336956521739141</v>
      </c>
      <c r="G93" s="330">
        <f t="shared" si="27"/>
        <v>2.3204062788550317</v>
      </c>
      <c r="H93" s="330">
        <f t="shared" si="27"/>
        <v>1.5461907618476305</v>
      </c>
      <c r="I93" s="330">
        <f t="shared" si="27"/>
        <v>2.2201730418943537</v>
      </c>
      <c r="J93" s="330">
        <f t="shared" si="27"/>
        <v>1.5983242976835879</v>
      </c>
      <c r="K93" s="330">
        <f t="shared" si="27"/>
        <v>24.824224519940916</v>
      </c>
      <c r="L93" s="334" t="s">
        <v>745</v>
      </c>
      <c r="M93" s="97">
        <f t="shared" si="25"/>
        <v>6.5018637800443049</v>
      </c>
      <c r="N93" s="108">
        <f t="shared" si="26"/>
        <v>6.4319123943520307</v>
      </c>
    </row>
    <row r="94" spans="1:14" x14ac:dyDescent="0.25">
      <c r="A94" t="s">
        <v>634</v>
      </c>
      <c r="B94" s="109">
        <f t="shared" ref="B94:K94" si="28">B14/B11</f>
        <v>0</v>
      </c>
      <c r="C94" s="109">
        <f t="shared" si="28"/>
        <v>0</v>
      </c>
      <c r="D94" s="109">
        <f t="shared" si="28"/>
        <v>0</v>
      </c>
      <c r="E94" s="109">
        <f t="shared" si="28"/>
        <v>0</v>
      </c>
      <c r="F94" s="109">
        <f t="shared" si="28"/>
        <v>0</v>
      </c>
      <c r="G94" s="109">
        <f t="shared" si="28"/>
        <v>0.15558633425669438</v>
      </c>
      <c r="H94" s="109">
        <f t="shared" si="28"/>
        <v>0.13497300539892021</v>
      </c>
      <c r="I94" s="109">
        <f t="shared" si="28"/>
        <v>0.12704918032786885</v>
      </c>
      <c r="J94" s="109">
        <f t="shared" si="28"/>
        <v>0.13898472153770333</v>
      </c>
      <c r="K94" s="109">
        <f t="shared" si="28"/>
        <v>0</v>
      </c>
      <c r="M94" s="83">
        <f t="shared" si="25"/>
        <v>0.11131864830423736</v>
      </c>
      <c r="N94" s="83">
        <f t="shared" si="26"/>
        <v>5.5659324152118682E-2</v>
      </c>
    </row>
    <row r="95" spans="1:14" x14ac:dyDescent="0.25">
      <c r="A95" t="s">
        <v>481</v>
      </c>
      <c r="B95" s="357">
        <f t="shared" ref="B95:K95" si="29">B15/B11</f>
        <v>0</v>
      </c>
      <c r="C95" s="357">
        <f t="shared" si="29"/>
        <v>41.631578947368411</v>
      </c>
      <c r="D95" s="357">
        <f t="shared" si="29"/>
        <v>-65.627450980392155</v>
      </c>
      <c r="E95" s="357">
        <f t="shared" si="29"/>
        <v>-9.6615384615384627</v>
      </c>
      <c r="F95" s="357">
        <f t="shared" si="29"/>
        <v>-4.7750000000000012</v>
      </c>
      <c r="G95" s="357">
        <f t="shared" si="29"/>
        <v>-2.0249307479224368</v>
      </c>
      <c r="H95" s="357">
        <f t="shared" si="29"/>
        <v>-1.9619076184763045</v>
      </c>
      <c r="I95" s="357">
        <f t="shared" si="29"/>
        <v>-1.4178051001821497</v>
      </c>
      <c r="J95" s="357">
        <f t="shared" si="29"/>
        <v>-0.62871693773615889</v>
      </c>
      <c r="K95" s="357">
        <f t="shared" si="29"/>
        <v>-26.682422451994096</v>
      </c>
      <c r="M95" s="97">
        <f t="shared" si="25"/>
        <v>-6.5431565712622284</v>
      </c>
      <c r="N95" s="108">
        <f t="shared" si="26"/>
        <v>-7.1148193350873354</v>
      </c>
    </row>
    <row r="96" spans="1:14" x14ac:dyDescent="0.25">
      <c r="A96" t="s">
        <v>402</v>
      </c>
      <c r="B96" s="357">
        <f t="shared" ref="B96:K96" si="30">B15/B12</f>
        <v>0</v>
      </c>
      <c r="C96" s="357">
        <f t="shared" si="30"/>
        <v>-6.4308943089430883</v>
      </c>
      <c r="D96" s="357">
        <f t="shared" si="30"/>
        <v>29.883928571428566</v>
      </c>
      <c r="E96" s="357">
        <f t="shared" si="30"/>
        <v>-10.874458874458876</v>
      </c>
      <c r="F96" s="357">
        <f t="shared" si="30"/>
        <v>-4.1210131332082556</v>
      </c>
      <c r="G96" s="357">
        <f t="shared" si="30"/>
        <v>-6.8531249999999977</v>
      </c>
      <c r="H96" s="357">
        <f t="shared" si="30"/>
        <v>4.7193362193362196</v>
      </c>
      <c r="I96" s="357">
        <f t="shared" si="30"/>
        <v>-1.7670261066969357</v>
      </c>
      <c r="J96" s="357">
        <f t="shared" si="30"/>
        <v>-0.64842426296170763</v>
      </c>
      <c r="K96" s="357">
        <f t="shared" si="30"/>
        <v>14.359300476947537</v>
      </c>
      <c r="M96" s="97">
        <f t="shared" si="25"/>
        <v>1.9620122653250232</v>
      </c>
      <c r="N96" s="108">
        <f t="shared" si="26"/>
        <v>1.826762358144346</v>
      </c>
    </row>
    <row r="97" spans="1:14" x14ac:dyDescent="0.25">
      <c r="A97" t="s">
        <v>635</v>
      </c>
      <c r="B97" s="109">
        <f t="shared" ref="B97:K97" si="31">B15/B3</f>
        <v>0</v>
      </c>
      <c r="C97" s="109">
        <f t="shared" si="31"/>
        <v>-1.4594095940959406</v>
      </c>
      <c r="D97" s="109">
        <f t="shared" si="31"/>
        <v>-3.2590068159688412</v>
      </c>
      <c r="E97" s="109">
        <f t="shared" si="31"/>
        <v>-1.1749298409728721</v>
      </c>
      <c r="F97" s="109">
        <f t="shared" si="31"/>
        <v>-1.1195208970438328</v>
      </c>
      <c r="G97" s="109">
        <f t="shared" si="31"/>
        <v>-0.5680611319777229</v>
      </c>
      <c r="H97" s="109">
        <f t="shared" si="31"/>
        <v>-0.57236611830591522</v>
      </c>
      <c r="I97" s="109">
        <f t="shared" si="31"/>
        <v>-0.39501395584876947</v>
      </c>
      <c r="J97" s="109">
        <f t="shared" si="31"/>
        <v>-0.18447818751506384</v>
      </c>
      <c r="K97" s="109">
        <f t="shared" si="31"/>
        <v>-0.8629436774470931</v>
      </c>
      <c r="M97" s="83">
        <f t="shared" si="25"/>
        <v>-0.51657261421891287</v>
      </c>
      <c r="N97" s="83">
        <f t="shared" si="26"/>
        <v>-0.95957302191760507</v>
      </c>
    </row>
    <row r="98" spans="1:14" x14ac:dyDescent="0.25">
      <c r="A98" s="81" t="s">
        <v>253</v>
      </c>
      <c r="B98" s="109">
        <f t="shared" ref="B98:K98" si="32">B23</f>
        <v>-4.8999999999999995</v>
      </c>
      <c r="C98" s="109">
        <f t="shared" si="32"/>
        <v>-3.5055350553505539E-2</v>
      </c>
      <c r="D98" s="109">
        <f t="shared" si="32"/>
        <v>4.9659201557935739E-2</v>
      </c>
      <c r="E98" s="109">
        <f t="shared" si="32"/>
        <v>0.12160898035547242</v>
      </c>
      <c r="F98" s="109">
        <f t="shared" si="32"/>
        <v>0.23445463812436287</v>
      </c>
      <c r="G98" s="109">
        <f t="shared" si="32"/>
        <v>0.28053360963605756</v>
      </c>
      <c r="H98" s="109">
        <f t="shared" si="32"/>
        <v>0.29173958697934899</v>
      </c>
      <c r="I98" s="109">
        <f t="shared" si="32"/>
        <v>0.27860948997716317</v>
      </c>
      <c r="J98" s="109">
        <f t="shared" si="32"/>
        <v>0.29342010122921186</v>
      </c>
      <c r="K98" s="109">
        <f t="shared" si="32"/>
        <v>3.2341279319734385E-2</v>
      </c>
      <c r="M98" s="83">
        <f t="shared" si="25"/>
        <v>0.2353288134283032</v>
      </c>
      <c r="N98" s="83">
        <f t="shared" si="26"/>
        <v>-0.33526884633742182</v>
      </c>
    </row>
    <row r="99" spans="1:14" x14ac:dyDescent="0.25">
      <c r="A99" s="81" t="s">
        <v>255</v>
      </c>
      <c r="B99" s="119">
        <f>B82</f>
        <v>9.4339622641509441E-2</v>
      </c>
      <c r="C99" s="119">
        <f t="shared" ref="C99:K99" si="33">C82</f>
        <v>0.54363089267803411</v>
      </c>
      <c r="D99" s="119">
        <f t="shared" si="33"/>
        <v>0.2178616885871871</v>
      </c>
      <c r="E99" s="119">
        <f t="shared" si="33"/>
        <v>0.24398037201871506</v>
      </c>
      <c r="F99" s="119">
        <f t="shared" si="33"/>
        <v>0.21109258163429989</v>
      </c>
      <c r="G99" s="119">
        <f t="shared" si="33"/>
        <v>0.22936161364108962</v>
      </c>
      <c r="H99" s="119">
        <f t="shared" si="33"/>
        <v>0.25704003598740438</v>
      </c>
      <c r="I99" s="119">
        <f t="shared" si="33"/>
        <v>0.29917822778083542</v>
      </c>
      <c r="J99" s="119">
        <f t="shared" si="33"/>
        <v>0.25794859679444931</v>
      </c>
      <c r="K99" s="119">
        <f t="shared" si="33"/>
        <v>0.2633976319001422</v>
      </c>
      <c r="L99" s="333" t="s">
        <v>682</v>
      </c>
      <c r="M99" s="97">
        <f t="shared" si="25"/>
        <v>0.26138522122078423</v>
      </c>
      <c r="N99" s="108">
        <f t="shared" si="26"/>
        <v>0.26178312636636669</v>
      </c>
    </row>
    <row r="100" spans="1:14" x14ac:dyDescent="0.25">
      <c r="A100" s="81" t="s">
        <v>257</v>
      </c>
      <c r="B100" s="357">
        <f>B62</f>
        <v>-2.2083333333333335</v>
      </c>
      <c r="C100" s="357">
        <f t="shared" ref="C100:K100" si="34">C62</f>
        <v>1.2263222632226323</v>
      </c>
      <c r="D100" s="357">
        <f t="shared" si="34"/>
        <v>1.0711201999545559</v>
      </c>
      <c r="E100" s="357">
        <f t="shared" si="34"/>
        <v>1.424414824447334</v>
      </c>
      <c r="F100" s="357">
        <f t="shared" si="34"/>
        <v>1.5156135344476152</v>
      </c>
      <c r="G100" s="357">
        <f t="shared" si="34"/>
        <v>1.3129607238971879</v>
      </c>
      <c r="H100" s="357">
        <f t="shared" si="34"/>
        <v>1.3336933045356372</v>
      </c>
      <c r="I100" s="357">
        <f t="shared" si="34"/>
        <v>1.3253596941342187</v>
      </c>
      <c r="J100" s="357">
        <f t="shared" si="34"/>
        <v>1.2474097282541259</v>
      </c>
      <c r="K100" s="357">
        <f t="shared" si="34"/>
        <v>1.2138842217809682</v>
      </c>
      <c r="M100" s="97">
        <f t="shared" si="25"/>
        <v>1.2866615345204275</v>
      </c>
      <c r="N100" s="108">
        <f t="shared" si="26"/>
        <v>0.94624451613409433</v>
      </c>
    </row>
    <row r="101" spans="1:14" x14ac:dyDescent="0.25">
      <c r="A101" t="s">
        <v>60</v>
      </c>
      <c r="B101" s="109">
        <f>B98*B99*B100</f>
        <v>1.0208333333333335</v>
      </c>
      <c r="C101" s="109">
        <f t="shared" ref="C101:K101" si="35">C98*C99*C100</f>
        <v>-2.3370233702337029E-2</v>
      </c>
      <c r="D101" s="327">
        <f t="shared" si="35"/>
        <v>1.1588275391956376E-2</v>
      </c>
      <c r="E101" s="327">
        <f t="shared" si="35"/>
        <v>4.2262678803641096E-2</v>
      </c>
      <c r="F101" s="327">
        <f t="shared" si="35"/>
        <v>7.5010191602119858E-2</v>
      </c>
      <c r="G101" s="327">
        <f t="shared" si="35"/>
        <v>8.4480673973243908E-2</v>
      </c>
      <c r="H101" s="327">
        <f t="shared" si="35"/>
        <v>0.10001199904007679</v>
      </c>
      <c r="I101" s="327">
        <f t="shared" si="35"/>
        <v>0.11047389073347419</v>
      </c>
      <c r="J101" s="327">
        <f t="shared" si="35"/>
        <v>9.4413078545725268E-2</v>
      </c>
      <c r="K101" s="109">
        <f t="shared" si="35"/>
        <v>1.0340614021689322E-2</v>
      </c>
      <c r="L101" t="s">
        <v>746</v>
      </c>
      <c r="M101" s="83">
        <f t="shared" si="25"/>
        <v>7.9944051262841903E-2</v>
      </c>
      <c r="N101" s="83">
        <f t="shared" si="26"/>
        <v>0.15260445017429231</v>
      </c>
    </row>
    <row r="102" spans="1:14" x14ac:dyDescent="0.25">
      <c r="A102" t="s">
        <v>639</v>
      </c>
      <c r="B102" s="339">
        <f>('Data Sheet'!B27+'Data Sheet'!B28)/B10</f>
        <v>4.083333333333333</v>
      </c>
      <c r="C102" s="339">
        <f>('Data Sheet'!C27+'Data Sheet'!C28)/C10</f>
        <v>-8.4541062801932361E-3</v>
      </c>
      <c r="D102" s="339">
        <f>('Data Sheet'!D27+'Data Sheet'!D28)/D10</f>
        <v>1.293984108967083E-2</v>
      </c>
      <c r="E102" s="339">
        <f>('Data Sheet'!E27+'Data Sheet'!E28)/E10</f>
        <v>6.24235006119951E-2</v>
      </c>
      <c r="F102" s="339">
        <f>('Data Sheet'!F27+'Data Sheet'!F28)/F10</f>
        <v>8.7390614905737962E-2</v>
      </c>
      <c r="G102" s="339">
        <f>('Data Sheet'!G27+'Data Sheet'!G28)/G10</f>
        <v>0.12375320835634689</v>
      </c>
      <c r="H102" s="339">
        <f>('Data Sheet'!H27+'Data Sheet'!H28)/H10</f>
        <v>0.1387222555488902</v>
      </c>
      <c r="I102" s="339">
        <f>('Data Sheet'!I27+'Data Sheet'!I28)/I10</f>
        <v>0.15329348799433556</v>
      </c>
      <c r="J102" s="339">
        <f>('Data Sheet'!J27+'Data Sheet'!J28)/J10</f>
        <v>0.13182508593812456</v>
      </c>
      <c r="K102" s="339">
        <f>('Data Sheet'!K27+'Data Sheet'!K28)/K10</f>
        <v>4.3722880535024752E-2</v>
      </c>
      <c r="M102" s="83">
        <f t="shared" ref="M102:M114" si="36">SUM(G102:K102)/5</f>
        <v>0.11826338367454439</v>
      </c>
      <c r="N102" s="83">
        <f t="shared" ref="N102:N114" si="37">SUM(B102:K102)/10</f>
        <v>0.48289501020332659</v>
      </c>
    </row>
    <row r="103" spans="1:14" ht="45" x14ac:dyDescent="0.25">
      <c r="A103" s="81" t="s">
        <v>673</v>
      </c>
      <c r="B103" s="357">
        <f>B3/B10</f>
        <v>-0.83333333333333337</v>
      </c>
      <c r="C103" s="357">
        <f t="shared" ref="C103:K103" si="38">C3/C10</f>
        <v>0.65458937198067624</v>
      </c>
      <c r="D103" s="357">
        <f t="shared" si="38"/>
        <v>0.23314415437003405</v>
      </c>
      <c r="E103" s="357">
        <f t="shared" si="38"/>
        <v>0.290765673874609</v>
      </c>
      <c r="F103" s="357">
        <f t="shared" si="38"/>
        <v>0.2304575086627122</v>
      </c>
      <c r="G103" s="357">
        <f t="shared" si="38"/>
        <v>0.25085285421878556</v>
      </c>
      <c r="H103" s="357">
        <f t="shared" si="38"/>
        <v>0.28564287142571482</v>
      </c>
      <c r="I103" s="357">
        <f t="shared" si="38"/>
        <v>0.3282867198400633</v>
      </c>
      <c r="J103" s="357">
        <f t="shared" si="38"/>
        <v>0.27640099128627388</v>
      </c>
      <c r="K103" s="357">
        <f t="shared" si="38"/>
        <v>0.27776966866150926</v>
      </c>
      <c r="L103" s="334" t="s">
        <v>747</v>
      </c>
      <c r="M103" s="107">
        <f t="shared" si="36"/>
        <v>0.28379062108646935</v>
      </c>
      <c r="N103" s="107">
        <f t="shared" si="37"/>
        <v>0.19945764809870448</v>
      </c>
    </row>
    <row r="104" spans="1:14" x14ac:dyDescent="0.25">
      <c r="A104" s="81" t="s">
        <v>674</v>
      </c>
      <c r="B104" s="109">
        <f>B11/B10</f>
        <v>4.083333333333333</v>
      </c>
      <c r="C104" s="109">
        <f t="shared" ref="C104:K104" si="39">C11/C10</f>
        <v>-2.294685990338164E-2</v>
      </c>
      <c r="D104" s="327">
        <f t="shared" si="39"/>
        <v>1.1577752553916005E-2</v>
      </c>
      <c r="E104" s="327">
        <f t="shared" si="39"/>
        <v>3.5359717122263025E-2</v>
      </c>
      <c r="F104" s="327">
        <f t="shared" si="39"/>
        <v>5.4031831796558412E-2</v>
      </c>
      <c r="G104" s="327">
        <f t="shared" si="39"/>
        <v>7.0372656681503637E-2</v>
      </c>
      <c r="H104" s="327">
        <f t="shared" si="39"/>
        <v>8.3333333333333329E-2</v>
      </c>
      <c r="I104" s="327">
        <f t="shared" si="39"/>
        <v>9.1463795580915885E-2</v>
      </c>
      <c r="J104" s="327">
        <f t="shared" si="39"/>
        <v>8.1101606843072993E-2</v>
      </c>
      <c r="K104" s="327">
        <f t="shared" si="39"/>
        <v>8.9834264407319432E-3</v>
      </c>
      <c r="L104" s="341" t="s">
        <v>748</v>
      </c>
      <c r="M104" s="83">
        <f t="shared" si="36"/>
        <v>6.7050963775911562E-2</v>
      </c>
      <c r="N104" s="83">
        <f t="shared" si="37"/>
        <v>0.44966105937822459</v>
      </c>
    </row>
    <row r="105" spans="1:14" x14ac:dyDescent="0.25">
      <c r="A105" s="81" t="s">
        <v>675</v>
      </c>
      <c r="B105" s="109">
        <f>B12/B10</f>
        <v>4.833333333333333</v>
      </c>
      <c r="C105" s="109">
        <f t="shared" ref="C105:K105" si="40">C12/C10</f>
        <v>0.14855072463768113</v>
      </c>
      <c r="D105" s="327">
        <f t="shared" si="40"/>
        <v>-2.5425652667423387E-2</v>
      </c>
      <c r="E105" s="327">
        <f t="shared" si="40"/>
        <v>3.1415748674010611E-2</v>
      </c>
      <c r="F105" s="327">
        <f t="shared" si="40"/>
        <v>6.260644858166442E-2</v>
      </c>
      <c r="G105" s="327">
        <f t="shared" si="40"/>
        <v>2.079339809610449E-2</v>
      </c>
      <c r="H105" s="327">
        <f t="shared" si="40"/>
        <v>-3.4643071385722847E-2</v>
      </c>
      <c r="I105" s="327">
        <f t="shared" si="40"/>
        <v>7.3387617401445268E-2</v>
      </c>
      <c r="J105" s="327">
        <f t="shared" si="40"/>
        <v>7.8636714898606339E-2</v>
      </c>
      <c r="K105" s="327">
        <f t="shared" si="40"/>
        <v>-1.6692984434919917E-2</v>
      </c>
      <c r="L105" s="342" t="s">
        <v>749</v>
      </c>
      <c r="M105" s="83">
        <f t="shared" si="36"/>
        <v>2.4296334915102667E-2</v>
      </c>
      <c r="N105" s="83">
        <f t="shared" si="37"/>
        <v>0.51719622771347784</v>
      </c>
    </row>
    <row r="106" spans="1:14" x14ac:dyDescent="0.25">
      <c r="A106" s="81" t="s">
        <v>676</v>
      </c>
      <c r="B106" s="109">
        <f>B15/B10</f>
        <v>0</v>
      </c>
      <c r="C106" s="109">
        <f t="shared" ref="C106:K106" si="41">C15/C10</f>
        <v>-0.95531400966183544</v>
      </c>
      <c r="D106" s="327">
        <f t="shared" si="41"/>
        <v>-0.75981838819523273</v>
      </c>
      <c r="E106" s="327">
        <f t="shared" si="41"/>
        <v>-0.34162926696586432</v>
      </c>
      <c r="F106" s="327">
        <f t="shared" si="41"/>
        <v>-0.25800199682856645</v>
      </c>
      <c r="G106" s="327">
        <f t="shared" si="41"/>
        <v>-0.14249975632736603</v>
      </c>
      <c r="H106" s="327">
        <f t="shared" si="41"/>
        <v>-0.16349230153969205</v>
      </c>
      <c r="I106" s="327">
        <f t="shared" si="41"/>
        <v>-0.12967783585664011</v>
      </c>
      <c r="J106" s="327">
        <f t="shared" si="41"/>
        <v>-5.0989953899858755E-2</v>
      </c>
      <c r="K106" s="327">
        <f t="shared" si="41"/>
        <v>-0.23969957935802338</v>
      </c>
      <c r="M106" s="83">
        <f t="shared" si="36"/>
        <v>-0.14527188539631605</v>
      </c>
      <c r="N106" s="83">
        <f t="shared" si="37"/>
        <v>-0.30411230886330787</v>
      </c>
    </row>
    <row r="107" spans="1:14" x14ac:dyDescent="0.25">
      <c r="A107" s="81" t="s">
        <v>677</v>
      </c>
      <c r="B107" s="358"/>
      <c r="C107" s="359">
        <f>(C3-$B$3)/(C10-$B$10)</f>
        <v>0.6333333333333333</v>
      </c>
      <c r="D107" s="359">
        <f t="shared" ref="D107:K107" si="42">(D3-$B$3)/(D10-$B$10)</f>
        <v>0.23024677382839034</v>
      </c>
      <c r="E107" s="359">
        <f t="shared" si="42"/>
        <v>0.2889341479972844</v>
      </c>
      <c r="F107" s="359">
        <f t="shared" si="42"/>
        <v>0.22970831621574039</v>
      </c>
      <c r="G107" s="359">
        <f t="shared" si="42"/>
        <v>0.25043032054821218</v>
      </c>
      <c r="H107" s="359">
        <f t="shared" si="42"/>
        <v>0.28530734632683658</v>
      </c>
      <c r="I107" s="359">
        <f t="shared" si="42"/>
        <v>0.32799650225895771</v>
      </c>
      <c r="J107" s="359">
        <f t="shared" si="42"/>
        <v>0.27622358990754803</v>
      </c>
      <c r="K107" s="359">
        <f t="shared" si="42"/>
        <v>0.27759277194751436</v>
      </c>
      <c r="L107" s="334" t="s">
        <v>684</v>
      </c>
      <c r="M107" s="83">
        <f t="shared" si="36"/>
        <v>0.28351010619781375</v>
      </c>
      <c r="N107" s="83">
        <f t="shared" si="37"/>
        <v>0.27997731023638173</v>
      </c>
    </row>
    <row r="108" spans="1:14" x14ac:dyDescent="0.25">
      <c r="A108" s="81" t="s">
        <v>678</v>
      </c>
      <c r="B108" s="358"/>
      <c r="C108" s="109">
        <f>(C11-$B$11)/(C10-$B$10)</f>
        <v>3.5714285714285712E-2</v>
      </c>
      <c r="D108" s="109">
        <f t="shared" ref="D108:K108" si="43">(D11-$B$11)/(D10-$B$10)</f>
        <v>2.2639800769753228E-2</v>
      </c>
      <c r="E108" s="109">
        <f t="shared" si="43"/>
        <v>4.1955193482688384E-2</v>
      </c>
      <c r="F108" s="109">
        <f t="shared" si="43"/>
        <v>5.6869534597100771E-2</v>
      </c>
      <c r="G108" s="109">
        <f t="shared" si="43"/>
        <v>7.1936604852067168E-2</v>
      </c>
      <c r="H108" s="109">
        <f t="shared" si="43"/>
        <v>8.4532733633183407E-2</v>
      </c>
      <c r="I108" s="109">
        <f t="shared" si="43"/>
        <v>9.2461118860735783E-2</v>
      </c>
      <c r="J108" s="109">
        <f t="shared" si="43"/>
        <v>8.1741400900540856E-2</v>
      </c>
      <c r="K108" s="109">
        <f t="shared" si="43"/>
        <v>9.632096374033141E-3</v>
      </c>
      <c r="M108" s="83">
        <f t="shared" si="36"/>
        <v>6.8060790924112075E-2</v>
      </c>
      <c r="N108" s="83">
        <f t="shared" si="37"/>
        <v>4.9748276918438847E-2</v>
      </c>
    </row>
    <row r="109" spans="1:14" x14ac:dyDescent="0.25">
      <c r="A109" s="81" t="s">
        <v>679</v>
      </c>
      <c r="B109" s="358"/>
      <c r="C109" s="109">
        <f>(C12-$B$12)/(C10-$B$10)</f>
        <v>0.21547619047619046</v>
      </c>
      <c r="D109" s="109">
        <f t="shared" ref="D109:K109" si="44">(D12-$B$12)/(D10-$B$10)</f>
        <v>-1.2225492415666747E-2</v>
      </c>
      <c r="E109" s="109">
        <f t="shared" si="44"/>
        <v>3.9239646978954511E-2</v>
      </c>
      <c r="F109" s="109">
        <f t="shared" si="44"/>
        <v>6.5966312577029174E-2</v>
      </c>
      <c r="G109" s="109">
        <f t="shared" si="44"/>
        <v>2.2668961709590468E-2</v>
      </c>
      <c r="H109" s="109">
        <f t="shared" si="44"/>
        <v>-3.318340829585207E-2</v>
      </c>
      <c r="I109" s="109">
        <f t="shared" si="44"/>
        <v>7.4576835793549998E-2</v>
      </c>
      <c r="J109" s="109">
        <f t="shared" si="44"/>
        <v>7.9396797484879975E-2</v>
      </c>
      <c r="K109" s="109">
        <f t="shared" si="44"/>
        <v>-1.5920820452947342E-2</v>
      </c>
      <c r="M109" s="83">
        <f t="shared" si="36"/>
        <v>2.5507673247844205E-2</v>
      </c>
      <c r="N109" s="83">
        <f t="shared" si="37"/>
        <v>4.359950238557285E-2</v>
      </c>
    </row>
    <row r="110" spans="1:14" x14ac:dyDescent="0.25">
      <c r="A110" s="81" t="s">
        <v>680</v>
      </c>
      <c r="B110" s="358"/>
      <c r="C110" s="109">
        <f>(C15-$B$15)/(C10-$B$10)</f>
        <v>-0.94166666666666643</v>
      </c>
      <c r="D110" s="109">
        <f t="shared" ref="D110:K110" si="45">(D15-$B$15)/(D10-$B$10)</f>
        <v>-0.75775413176364059</v>
      </c>
      <c r="E110" s="109">
        <f t="shared" si="45"/>
        <v>-0.34107264086897493</v>
      </c>
      <c r="F110" s="109">
        <f t="shared" si="45"/>
        <v>-0.25782029461822881</v>
      </c>
      <c r="G110" s="109">
        <f t="shared" si="45"/>
        <v>-0.14244422071384491</v>
      </c>
      <c r="H110" s="109">
        <f t="shared" si="45"/>
        <v>-0.16344327836081957</v>
      </c>
      <c r="I110" s="109">
        <f t="shared" si="45"/>
        <v>-0.12964543732172976</v>
      </c>
      <c r="J110" s="109">
        <f t="shared" si="45"/>
        <v>-5.0981802680307983E-2</v>
      </c>
      <c r="K110" s="109">
        <f t="shared" si="45"/>
        <v>-0.23966141721836734</v>
      </c>
      <c r="M110" s="83">
        <f t="shared" si="36"/>
        <v>-0.14523523125901391</v>
      </c>
      <c r="N110" s="83">
        <f t="shared" si="37"/>
        <v>-0.30244898902125805</v>
      </c>
    </row>
    <row r="111" spans="1:14" x14ac:dyDescent="0.25">
      <c r="A111" s="78" t="s">
        <v>418</v>
      </c>
      <c r="B111" s="358"/>
      <c r="C111" s="358"/>
      <c r="D111" s="358"/>
      <c r="E111" s="358"/>
      <c r="F111" s="358"/>
      <c r="G111" s="358"/>
      <c r="H111" s="358"/>
      <c r="I111" s="358"/>
      <c r="J111" s="358"/>
      <c r="K111" s="358"/>
      <c r="M111" s="83">
        <f t="shared" si="36"/>
        <v>0</v>
      </c>
      <c r="N111" s="83">
        <f t="shared" si="37"/>
        <v>0</v>
      </c>
    </row>
    <row r="112" spans="1:14" x14ac:dyDescent="0.25">
      <c r="A112" s="78" t="s">
        <v>685</v>
      </c>
      <c r="B112" s="109">
        <f>B12/B16</f>
        <v>-7.2500000000000036</v>
      </c>
      <c r="C112" s="109">
        <f t="shared" ref="C112:K112" si="46">C12/C16</f>
        <v>-41</v>
      </c>
      <c r="D112" s="109">
        <f t="shared" si="46"/>
        <v>0.53080568720379151</v>
      </c>
      <c r="E112" s="109">
        <f t="shared" si="46"/>
        <v>1.3832335329341319</v>
      </c>
      <c r="F112" s="109">
        <f t="shared" si="46"/>
        <v>0.56883671291355398</v>
      </c>
      <c r="G112" s="109">
        <f t="shared" si="46"/>
        <v>8.9358667146620819E-3</v>
      </c>
      <c r="H112" s="109">
        <f t="shared" si="46"/>
        <v>-1.4705207839686636E-2</v>
      </c>
      <c r="I112" s="109">
        <f t="shared" si="46"/>
        <v>3.0140473681812469E-2</v>
      </c>
      <c r="J112" s="109">
        <f t="shared" si="46"/>
        <v>3.5922931037961507E-2</v>
      </c>
      <c r="K112" s="109">
        <f t="shared" si="46"/>
        <v>-3.0734652506107251E-2</v>
      </c>
      <c r="L112" t="s">
        <v>750</v>
      </c>
      <c r="M112" s="83">
        <f t="shared" si="36"/>
        <v>5.9118822177284345E-3</v>
      </c>
      <c r="N112" s="83">
        <f t="shared" si="37"/>
        <v>-4.5737564655859888</v>
      </c>
    </row>
    <row r="113" spans="1:14" x14ac:dyDescent="0.25">
      <c r="A113" t="s">
        <v>146</v>
      </c>
      <c r="B113" s="339" t="e">
        <f>('Data Sheet'!B31*10000000/'Data Sheet'!B70)/'Data Sheet'!B90</f>
        <v>#DIV/0!</v>
      </c>
      <c r="C113" s="339" t="e">
        <f>('Data Sheet'!C31*10000000/'Data Sheet'!C70)/'Data Sheet'!C90</f>
        <v>#DIV/0!</v>
      </c>
      <c r="D113" s="339" t="e">
        <f>('Data Sheet'!D31*10000000/'Data Sheet'!D70)/'Data Sheet'!D90</f>
        <v>#DIV/0!</v>
      </c>
      <c r="E113" s="339" t="e">
        <f>('Data Sheet'!E31*10000000/'Data Sheet'!E70)/'Data Sheet'!E90</f>
        <v>#DIV/0!</v>
      </c>
      <c r="F113" s="339" t="e">
        <f>('Data Sheet'!F31*10000000/'Data Sheet'!F70)/'Data Sheet'!F90</f>
        <v>#DIV/0!</v>
      </c>
      <c r="G113" s="339">
        <f>('Data Sheet'!G31*10000000/'Data Sheet'!G70)/'Data Sheet'!G90</f>
        <v>4.7297926914960974E-3</v>
      </c>
      <c r="H113" s="339">
        <f>('Data Sheet'!H31*10000000/'Data Sheet'!H70)/'Data Sheet'!H90</f>
        <v>4.8673736375258294E-3</v>
      </c>
      <c r="I113" s="339">
        <f>('Data Sheet'!I31*10000000/'Data Sheet'!I70)/'Data Sheet'!I90</f>
        <v>5.0848756109461877E-3</v>
      </c>
      <c r="J113" s="339">
        <f>('Data Sheet'!J31*10000000/'Data Sheet'!J70)/'Data Sheet'!J90</f>
        <v>4.9808018224328302E-3</v>
      </c>
      <c r="K113" s="339">
        <f>('Data Sheet'!K31*10000000/'Data Sheet'!K70)/'Data Sheet'!K90</f>
        <v>0</v>
      </c>
      <c r="M113" s="83">
        <f t="shared" si="36"/>
        <v>3.9325687524801884E-3</v>
      </c>
      <c r="N113" s="83" t="e">
        <f t="shared" si="37"/>
        <v>#DIV/0!</v>
      </c>
    </row>
    <row r="114" spans="1:14" x14ac:dyDescent="0.25">
      <c r="A114" t="s">
        <v>17</v>
      </c>
      <c r="B114" s="109">
        <f>'Data Sheet'!B31/'Data Sheet'!B30</f>
        <v>0</v>
      </c>
      <c r="C114" s="109">
        <f>'Data Sheet'!C31/'Data Sheet'!C30</f>
        <v>0</v>
      </c>
      <c r="D114" s="109">
        <f>'Data Sheet'!D31/'Data Sheet'!D30</f>
        <v>0</v>
      </c>
      <c r="E114" s="109">
        <f>'Data Sheet'!E31/'Data Sheet'!E30</f>
        <v>0</v>
      </c>
      <c r="F114" s="109">
        <f>'Data Sheet'!F31/'Data Sheet'!F30</f>
        <v>0</v>
      </c>
      <c r="G114" s="109">
        <f>'Data Sheet'!G31/'Data Sheet'!G30</f>
        <v>0.15558633425669438</v>
      </c>
      <c r="H114" s="109">
        <f>'Data Sheet'!H31/'Data Sheet'!H30</f>
        <v>0.13497300539892021</v>
      </c>
      <c r="I114" s="109">
        <f>'Data Sheet'!I31/'Data Sheet'!I30</f>
        <v>0.12704918032786885</v>
      </c>
      <c r="J114" s="109">
        <f>'Data Sheet'!J31/'Data Sheet'!J30</f>
        <v>0.13898472153770333</v>
      </c>
      <c r="K114" s="109">
        <f>'Data Sheet'!K31/'Data Sheet'!K30</f>
        <v>0</v>
      </c>
      <c r="M114" s="83">
        <f t="shared" si="36"/>
        <v>0.11131864830423736</v>
      </c>
      <c r="N114" s="83">
        <f t="shared" si="37"/>
        <v>5.5659324152118682E-2</v>
      </c>
    </row>
    <row r="115" spans="1:14" x14ac:dyDescent="0.25">
      <c r="B115" s="358"/>
      <c r="C115" s="358"/>
      <c r="D115" s="358"/>
      <c r="E115" s="358"/>
      <c r="F115" s="358"/>
      <c r="G115" s="358"/>
      <c r="H115" s="358"/>
      <c r="I115" s="358"/>
      <c r="J115" s="358"/>
      <c r="K115" s="358"/>
    </row>
    <row r="116" spans="1:14" x14ac:dyDescent="0.25">
      <c r="B116" s="358"/>
      <c r="C116" s="358"/>
      <c r="D116" s="358"/>
      <c r="E116" s="358"/>
      <c r="F116" s="358"/>
      <c r="G116" s="358"/>
      <c r="H116" s="358"/>
      <c r="I116" s="358"/>
      <c r="J116" s="358"/>
      <c r="K116" s="358"/>
    </row>
    <row r="117" spans="1:14" x14ac:dyDescent="0.25">
      <c r="B117" s="358"/>
      <c r="C117" s="358"/>
      <c r="D117" s="358"/>
      <c r="E117" s="358"/>
      <c r="F117" s="358"/>
      <c r="G117" s="358"/>
      <c r="H117" s="358"/>
      <c r="I117" s="358"/>
      <c r="J117" s="358"/>
      <c r="K117" s="358"/>
    </row>
    <row r="118" spans="1:14" x14ac:dyDescent="0.25">
      <c r="B118" s="358"/>
      <c r="C118" s="358"/>
      <c r="D118" s="358"/>
      <c r="E118" s="358"/>
      <c r="F118" s="358"/>
      <c r="G118" s="358"/>
      <c r="H118" s="358"/>
      <c r="I118" s="358"/>
      <c r="J118" s="358"/>
      <c r="K118" s="358"/>
    </row>
    <row r="119" spans="1:14" x14ac:dyDescent="0.25">
      <c r="B119" s="358"/>
      <c r="C119" s="358"/>
      <c r="D119" s="358"/>
      <c r="E119" s="358"/>
      <c r="F119" s="358"/>
      <c r="G119" s="358"/>
      <c r="H119" s="358"/>
      <c r="I119" s="358"/>
      <c r="J119" s="358"/>
      <c r="K119" s="358"/>
    </row>
    <row r="120" spans="1:14" x14ac:dyDescent="0.25">
      <c r="B120" s="358"/>
      <c r="C120" s="358"/>
      <c r="D120" s="358"/>
      <c r="E120" s="358"/>
      <c r="F120" s="358"/>
      <c r="G120" s="358"/>
      <c r="H120" s="358"/>
      <c r="I120" s="358"/>
      <c r="J120" s="358"/>
      <c r="K120" s="358"/>
    </row>
    <row r="121" spans="1:14" x14ac:dyDescent="0.25">
      <c r="B121" s="358"/>
      <c r="C121" s="358"/>
      <c r="D121" s="358"/>
      <c r="E121" s="358"/>
      <c r="F121" s="358"/>
      <c r="G121" s="358"/>
      <c r="H121" s="358"/>
      <c r="I121" s="358"/>
      <c r="J121" s="358"/>
      <c r="K121" s="358"/>
    </row>
    <row r="122" spans="1:14" x14ac:dyDescent="0.25">
      <c r="B122" s="358"/>
      <c r="C122" s="358"/>
      <c r="D122" s="358"/>
      <c r="E122" s="358"/>
      <c r="F122" s="358"/>
      <c r="G122" s="358"/>
      <c r="H122" s="358"/>
      <c r="I122" s="358"/>
      <c r="J122" s="358"/>
      <c r="K122" s="358"/>
    </row>
    <row r="123" spans="1:14" x14ac:dyDescent="0.25">
      <c r="B123" s="358"/>
      <c r="C123" s="358"/>
      <c r="D123" s="358"/>
      <c r="E123" s="358"/>
      <c r="F123" s="358"/>
      <c r="G123" s="358"/>
      <c r="H123" s="358"/>
      <c r="I123" s="358"/>
      <c r="J123" s="358"/>
      <c r="K123" s="358"/>
    </row>
    <row r="124" spans="1:14" x14ac:dyDescent="0.25">
      <c r="B124" s="358"/>
      <c r="C124" s="358"/>
      <c r="D124" s="358"/>
      <c r="E124" s="358"/>
      <c r="F124" s="358"/>
      <c r="G124" s="358"/>
      <c r="H124" s="358"/>
      <c r="I124" s="358"/>
      <c r="J124" s="358"/>
      <c r="K124" s="358"/>
    </row>
    <row r="125" spans="1:14" x14ac:dyDescent="0.25">
      <c r="B125" s="358"/>
      <c r="C125" s="358"/>
      <c r="D125" s="358"/>
      <c r="E125" s="358"/>
      <c r="F125" s="358"/>
      <c r="G125" s="358"/>
      <c r="H125" s="358"/>
      <c r="I125" s="358"/>
      <c r="J125" s="358"/>
      <c r="K125" s="358"/>
    </row>
  </sheetData>
  <pageMargins left="0.7" right="0.7" top="0.75" bottom="0.75" header="0.3" footer="0.3"/>
  <ignoredErrors>
    <ignoredError sqref="B5:K5" formulaRange="1"/>
    <ignoredError sqref="B76:K7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Profit &amp; Loss</vt:lpstr>
      <vt:lpstr>Quarters</vt:lpstr>
      <vt:lpstr>Balance Sheet</vt:lpstr>
      <vt:lpstr>Cash Flow</vt:lpstr>
      <vt:lpstr>Customization</vt:lpstr>
      <vt:lpstr>Financial Analysis</vt:lpstr>
      <vt:lpstr>Data Sheet</vt:lpstr>
      <vt:lpstr>Other_input_data</vt:lpstr>
      <vt:lpstr>Trend</vt:lpstr>
      <vt:lpstr>PROBM</vt:lpstr>
      <vt:lpstr>Annual report Checklist</vt:lpstr>
      <vt:lpstr>Sheet3</vt:lpstr>
      <vt:lpstr>Remuneration</vt:lpstr>
      <vt:lpstr>Board</vt:lpstr>
      <vt:lpstr>Operations</vt:lpstr>
      <vt:lpstr>Analysis2</vt:lpstr>
      <vt:lpstr>Valuation</vt:lpstr>
      <vt:lpstr>PE Forecast</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2017-02-04T20:11:18Z</dcterms:modified>
</cp:coreProperties>
</file>