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6275" windowHeight="4170" activeTab="1"/>
  </bookViews>
  <sheets>
    <sheet name="current scenario" sheetId="1" r:id="rId1"/>
    <sheet name="scenario chang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9" i="2"/>
  <c r="I28"/>
  <c r="K32" i="1"/>
  <c r="H26" i="2"/>
  <c r="G26"/>
  <c r="K31" i="1"/>
  <c r="C21" i="2"/>
  <c r="H23"/>
  <c r="H21"/>
  <c r="C20"/>
  <c r="M20"/>
  <c r="N19"/>
  <c r="M19"/>
  <c r="M17"/>
  <c r="M16"/>
  <c r="M15"/>
  <c r="M14"/>
  <c r="M13"/>
  <c r="M12"/>
  <c r="M11"/>
  <c r="M10"/>
  <c r="M9"/>
  <c r="H20"/>
  <c r="H19"/>
  <c r="H24"/>
  <c r="H12"/>
  <c r="G12"/>
  <c r="G13" s="1"/>
  <c r="C18"/>
  <c r="C16"/>
  <c r="D11"/>
  <c r="C11"/>
  <c r="C12" s="1"/>
  <c r="K33" i="1"/>
  <c r="C30"/>
  <c r="C29"/>
  <c r="J28"/>
  <c r="E9"/>
  <c r="K30"/>
  <c r="J30"/>
  <c r="I30"/>
  <c r="D9"/>
  <c r="C25"/>
  <c r="C24"/>
  <c r="C12"/>
  <c r="C10"/>
  <c r="C9"/>
  <c r="J22"/>
  <c r="J24"/>
  <c r="J27"/>
  <c r="J23"/>
  <c r="J10"/>
  <c r="K9"/>
  <c r="J20"/>
  <c r="J18"/>
  <c r="J17"/>
  <c r="J16"/>
  <c r="N9"/>
  <c r="O8"/>
  <c r="N8"/>
  <c r="J9"/>
  <c r="I26" i="2" l="1"/>
  <c r="I27"/>
  <c r="K34" i="1"/>
  <c r="I30" i="2" l="1"/>
</calcChain>
</file>

<file path=xl/sharedStrings.xml><?xml version="1.0" encoding="utf-8"?>
<sst xmlns="http://schemas.openxmlformats.org/spreadsheetml/2006/main" count="111" uniqueCount="67">
  <si>
    <t>Long term borrowings</t>
  </si>
  <si>
    <t>Short term borrowings</t>
  </si>
  <si>
    <t>Current Matuities</t>
  </si>
  <si>
    <t>Total Borrowings</t>
  </si>
  <si>
    <t>Long term Advances</t>
  </si>
  <si>
    <t>Short term Advances</t>
  </si>
  <si>
    <t>Total AUM</t>
  </si>
  <si>
    <t>Avg AUM</t>
  </si>
  <si>
    <t>Total Income</t>
  </si>
  <si>
    <t>Operating expenses</t>
  </si>
  <si>
    <t>%</t>
  </si>
  <si>
    <t>Net income</t>
  </si>
  <si>
    <t>% ROA</t>
  </si>
  <si>
    <t>Finance cost</t>
  </si>
  <si>
    <t>Avg Borrowings</t>
  </si>
  <si>
    <t>Total Int Inc %</t>
  </si>
  <si>
    <t>Operating Exp %</t>
  </si>
  <si>
    <t>Cost of borrowings % of AUM</t>
  </si>
  <si>
    <t>ROA %</t>
  </si>
  <si>
    <t>Tax %</t>
  </si>
  <si>
    <t>Other Income</t>
  </si>
  <si>
    <t xml:space="preserve">Debt-Equity Ratio </t>
  </si>
  <si>
    <t>Net Worth</t>
  </si>
  <si>
    <t>Debt</t>
  </si>
  <si>
    <t>Debt from promoter group @ 18%</t>
  </si>
  <si>
    <t>Moonlight Equity</t>
  </si>
  <si>
    <t xml:space="preserve">Call Deposits </t>
  </si>
  <si>
    <t>Indo Crediop</t>
  </si>
  <si>
    <t>Faridabad Paper mills</t>
  </si>
  <si>
    <t>Italindian trade &amp; financial services</t>
  </si>
  <si>
    <t>Vaibhav farms</t>
  </si>
  <si>
    <t>Vishwas credit and livelihood</t>
  </si>
  <si>
    <t xml:space="preserve">Parikrama Investment </t>
  </si>
  <si>
    <t xml:space="preserve">Total debt from Promoter </t>
  </si>
  <si>
    <t>% of debt from promoter to total debt</t>
  </si>
  <si>
    <t>ROE %</t>
  </si>
  <si>
    <t>Net Assets</t>
  </si>
  <si>
    <t>ROE du pont</t>
  </si>
  <si>
    <t>Fin Leverage</t>
  </si>
  <si>
    <t>Avg</t>
  </si>
  <si>
    <t>Asset Turnover</t>
  </si>
  <si>
    <t>Net Margins</t>
  </si>
  <si>
    <t xml:space="preserve"> </t>
  </si>
  <si>
    <t>AUM/Mcap</t>
  </si>
  <si>
    <t>Price/BV</t>
  </si>
  <si>
    <t>Expensive</t>
  </si>
  <si>
    <t>Valuations</t>
  </si>
  <si>
    <t>% of AUM</t>
  </si>
  <si>
    <t>Capital Structure</t>
  </si>
  <si>
    <t>Cost of borrowing</t>
  </si>
  <si>
    <t>AUM calc.</t>
  </si>
  <si>
    <t>Current Scenario</t>
  </si>
  <si>
    <t>Scenario Change/RBI regulation Impact</t>
  </si>
  <si>
    <t>Operating expenses(incl. NPA)</t>
  </si>
  <si>
    <t>Statement of profit &amp; loss</t>
  </si>
  <si>
    <t>Particulars</t>
  </si>
  <si>
    <t>Amount</t>
  </si>
  <si>
    <t>Interest income</t>
  </si>
  <si>
    <t>Other operating income</t>
  </si>
  <si>
    <t>Net Operating Income</t>
  </si>
  <si>
    <t>Operating Expenses(incl. NPA)</t>
  </si>
  <si>
    <t>Profit before Tax</t>
  </si>
  <si>
    <t>Tax Exp</t>
  </si>
  <si>
    <t>Profit after Tax</t>
  </si>
  <si>
    <t>No. of equity shares</t>
  </si>
  <si>
    <t>EPS</t>
  </si>
  <si>
    <t>Impact on EPS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</si>
</sst>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6" formatCode="_(* #,##0.0000_);_(* \(#,##0.0000\);_(* &quot;-&quot;??_);_(@_)"/>
    <numFmt numFmtId="168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9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Font="1"/>
    <xf numFmtId="10" fontId="2" fillId="0" borderId="0" xfId="2" applyNumberFormat="1" applyFont="1"/>
    <xf numFmtId="9" fontId="2" fillId="0" borderId="0" xfId="2" applyFont="1"/>
    <xf numFmtId="43" fontId="0" fillId="0" borderId="0" xfId="0" applyNumberFormat="1"/>
    <xf numFmtId="10" fontId="0" fillId="0" borderId="0" xfId="0" applyNumberFormat="1"/>
    <xf numFmtId="166" fontId="0" fillId="0" borderId="0" xfId="0" applyNumberFormat="1"/>
    <xf numFmtId="0" fontId="2" fillId="0" borderId="2" xfId="0" applyFont="1" applyBorder="1"/>
    <xf numFmtId="10" fontId="0" fillId="0" borderId="3" xfId="0" applyNumberFormat="1" applyBorder="1"/>
    <xf numFmtId="0" fontId="2" fillId="0" borderId="4" xfId="0" applyFont="1" applyBorder="1" applyAlignment="1">
      <alignment wrapText="1"/>
    </xf>
    <xf numFmtId="10" fontId="0" fillId="0" borderId="5" xfId="0" applyNumberFormat="1" applyBorder="1"/>
    <xf numFmtId="0" fontId="2" fillId="0" borderId="4" xfId="0" applyFont="1" applyBorder="1"/>
    <xf numFmtId="10" fontId="0" fillId="0" borderId="5" xfId="2" applyNumberFormat="1" applyFont="1" applyBorder="1"/>
    <xf numFmtId="0" fontId="2" fillId="0" borderId="6" xfId="0" applyFont="1" applyBorder="1"/>
    <xf numFmtId="0" fontId="2" fillId="0" borderId="4" xfId="0" applyFont="1" applyFill="1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4" borderId="5" xfId="0" applyFill="1" applyBorder="1"/>
    <xf numFmtId="0" fontId="0" fillId="0" borderId="6" xfId="0" applyBorder="1"/>
    <xf numFmtId="0" fontId="0" fillId="0" borderId="9" xfId="0" applyBorder="1"/>
    <xf numFmtId="0" fontId="0" fillId="4" borderId="7" xfId="0" applyFill="1" applyBorder="1"/>
    <xf numFmtId="43" fontId="0" fillId="0" borderId="5" xfId="1" applyFont="1" applyBorder="1"/>
    <xf numFmtId="0" fontId="0" fillId="0" borderId="5" xfId="0" applyNumberFormat="1" applyBorder="1"/>
    <xf numFmtId="1" fontId="0" fillId="0" borderId="5" xfId="0" applyNumberFormat="1" applyBorder="1"/>
    <xf numFmtId="43" fontId="2" fillId="0" borderId="5" xfId="0" applyNumberFormat="1" applyFont="1" applyBorder="1"/>
    <xf numFmtId="43" fontId="2" fillId="2" borderId="7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2" xfId="0" applyFont="1" applyBorder="1"/>
    <xf numFmtId="10" fontId="2" fillId="0" borderId="7" xfId="2" applyNumberFormat="1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7" xfId="0" applyBorder="1"/>
    <xf numFmtId="0" fontId="0" fillId="0" borderId="4" xfId="0" applyFont="1" applyBorder="1"/>
    <xf numFmtId="43" fontId="2" fillId="0" borderId="0" xfId="1" applyFont="1" applyBorder="1"/>
    <xf numFmtId="0" fontId="0" fillId="0" borderId="6" xfId="0" applyFont="1" applyBorder="1"/>
    <xf numFmtId="10" fontId="2" fillId="0" borderId="9" xfId="2" applyNumberFormat="1" applyFont="1" applyBorder="1"/>
    <xf numFmtId="43" fontId="2" fillId="0" borderId="9" xfId="1" applyFont="1" applyBorder="1"/>
    <xf numFmtId="0" fontId="2" fillId="0" borderId="8" xfId="2" applyNumberFormat="1" applyFont="1" applyBorder="1"/>
    <xf numFmtId="0" fontId="2" fillId="0" borderId="8" xfId="0" applyFont="1" applyBorder="1"/>
    <xf numFmtId="0" fontId="2" fillId="0" borderId="3" xfId="0" applyFont="1" applyBorder="1"/>
    <xf numFmtId="9" fontId="0" fillId="0" borderId="0" xfId="2" applyFont="1" applyBorder="1"/>
    <xf numFmtId="0" fontId="2" fillId="3" borderId="5" xfId="2" applyNumberFormat="1" applyFont="1" applyFill="1" applyBorder="1"/>
    <xf numFmtId="0" fontId="2" fillId="3" borderId="5" xfId="0" applyFont="1" applyFill="1" applyBorder="1"/>
    <xf numFmtId="10" fontId="2" fillId="3" borderId="5" xfId="2" applyNumberFormat="1" applyFont="1" applyFill="1" applyBorder="1"/>
    <xf numFmtId="0" fontId="2" fillId="4" borderId="10" xfId="0" applyFont="1" applyFill="1" applyBorder="1"/>
    <xf numFmtId="9" fontId="2" fillId="4" borderId="11" xfId="2" applyNumberFormat="1" applyFont="1" applyFill="1" applyBorder="1"/>
    <xf numFmtId="10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8" fontId="0" fillId="0" borderId="5" xfId="0" applyNumberFormat="1" applyBorder="1"/>
    <xf numFmtId="10" fontId="2" fillId="0" borderId="5" xfId="2" applyNumberFormat="1" applyFont="1" applyBorder="1"/>
    <xf numFmtId="9" fontId="2" fillId="0" borderId="5" xfId="2" applyNumberFormat="1" applyFont="1" applyBorder="1"/>
    <xf numFmtId="43" fontId="0" fillId="0" borderId="7" xfId="0" applyNumberFormat="1" applyBorder="1"/>
    <xf numFmtId="0" fontId="0" fillId="4" borderId="4" xfId="0" applyFill="1" applyBorder="1"/>
    <xf numFmtId="0" fontId="2" fillId="4" borderId="6" xfId="0" applyFont="1" applyFill="1" applyBorder="1"/>
    <xf numFmtId="168" fontId="2" fillId="0" borderId="0" xfId="1" applyNumberFormat="1" applyFont="1" applyBorder="1"/>
    <xf numFmtId="168" fontId="2" fillId="0" borderId="0" xfId="0" applyNumberFormat="1" applyFont="1" applyBorder="1"/>
    <xf numFmtId="0" fontId="2" fillId="0" borderId="0" xfId="0" applyFont="1" applyAlignment="1"/>
    <xf numFmtId="0" fontId="2" fillId="0" borderId="3" xfId="0" applyFont="1" applyBorder="1" applyAlignment="1"/>
    <xf numFmtId="168" fontId="0" fillId="0" borderId="0" xfId="0" applyNumberFormat="1" applyBorder="1"/>
    <xf numFmtId="0" fontId="2" fillId="4" borderId="0" xfId="0" applyFont="1" applyFill="1" applyBorder="1"/>
    <xf numFmtId="0" fontId="2" fillId="4" borderId="5" xfId="0" applyFont="1" applyFill="1" applyBorder="1"/>
    <xf numFmtId="9" fontId="0" fillId="2" borderId="9" xfId="2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8" fontId="0" fillId="4" borderId="5" xfId="0" applyNumberFormat="1" applyFill="1" applyBorder="1"/>
    <xf numFmtId="10" fontId="2" fillId="2" borderId="7" xfId="2" applyNumberFormat="1" applyFont="1" applyFill="1" applyBorder="1"/>
    <xf numFmtId="1" fontId="2" fillId="0" borderId="5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showGridLines="0" topLeftCell="B12" workbookViewId="0">
      <selection activeCell="K33" sqref="K33"/>
    </sheetView>
  </sheetViews>
  <sheetFormatPr defaultRowHeight="15"/>
  <cols>
    <col min="2" max="2" width="35" customWidth="1"/>
    <col min="3" max="3" width="15.28515625" bestFit="1" customWidth="1"/>
    <col min="4" max="5" width="10" bestFit="1" customWidth="1"/>
    <col min="8" max="8" width="12" bestFit="1" customWidth="1"/>
    <col min="9" max="9" width="27.5703125" customWidth="1"/>
    <col min="10" max="10" width="15.28515625" bestFit="1" customWidth="1"/>
    <col min="11" max="11" width="10" bestFit="1" customWidth="1"/>
    <col min="13" max="13" width="19.5703125" bestFit="1" customWidth="1"/>
    <col min="14" max="14" width="16.85546875" bestFit="1" customWidth="1"/>
    <col min="15" max="15" width="10" bestFit="1" customWidth="1"/>
  </cols>
  <sheetData>
    <row r="1" spans="2:15">
      <c r="B1" s="54" t="s">
        <v>51</v>
      </c>
      <c r="C1" s="54"/>
      <c r="D1" s="54"/>
      <c r="E1" s="54"/>
    </row>
    <row r="2" spans="2:15">
      <c r="B2" s="54"/>
      <c r="C2" s="54"/>
      <c r="D2" s="54"/>
      <c r="E2" s="54"/>
    </row>
    <row r="3" spans="2:15" ht="15.75" thickBot="1">
      <c r="B3" s="54"/>
      <c r="C3" s="54"/>
      <c r="D3" s="54"/>
      <c r="E3" s="54"/>
    </row>
    <row r="4" spans="2:15" ht="15.75" thickBot="1">
      <c r="I4" s="32" t="s">
        <v>49</v>
      </c>
      <c r="J4" s="18"/>
      <c r="K4" s="19"/>
      <c r="M4" s="32" t="s">
        <v>50</v>
      </c>
      <c r="N4" s="18"/>
      <c r="O4" s="19"/>
    </row>
    <row r="5" spans="2:15" ht="15.75" thickBot="1">
      <c r="I5" s="20"/>
      <c r="J5" s="36">
        <v>2015</v>
      </c>
      <c r="K5" s="37">
        <v>2014</v>
      </c>
      <c r="M5" s="20"/>
      <c r="N5" s="36">
        <v>2015</v>
      </c>
      <c r="O5" s="37">
        <v>2014</v>
      </c>
    </row>
    <row r="6" spans="2:15" ht="15.75" thickBot="1">
      <c r="B6" s="32" t="s">
        <v>48</v>
      </c>
      <c r="C6" s="18"/>
      <c r="D6" s="18"/>
      <c r="E6" s="19"/>
      <c r="I6" s="39" t="s">
        <v>0</v>
      </c>
      <c r="J6" s="21">
        <v>58188709</v>
      </c>
      <c r="K6" s="22">
        <v>1686531</v>
      </c>
      <c r="M6" s="20" t="s">
        <v>4</v>
      </c>
      <c r="N6" s="21">
        <v>224078693</v>
      </c>
      <c r="O6" s="22">
        <v>38022926</v>
      </c>
    </row>
    <row r="7" spans="2:15">
      <c r="B7" s="20"/>
      <c r="C7" s="21"/>
      <c r="D7" s="21"/>
      <c r="E7" s="22"/>
      <c r="I7" s="39" t="s">
        <v>1</v>
      </c>
      <c r="J7" s="21">
        <v>712490861</v>
      </c>
      <c r="K7" s="22">
        <v>519512669</v>
      </c>
      <c r="M7" s="20" t="s">
        <v>5</v>
      </c>
      <c r="N7" s="21">
        <v>962148652</v>
      </c>
      <c r="O7" s="22">
        <v>887752184</v>
      </c>
    </row>
    <row r="8" spans="2:15">
      <c r="B8" s="20"/>
      <c r="C8" s="36">
        <v>2015</v>
      </c>
      <c r="D8" s="36">
        <v>2014</v>
      </c>
      <c r="E8" s="37" t="s">
        <v>39</v>
      </c>
      <c r="I8" s="39" t="s">
        <v>2</v>
      </c>
      <c r="J8" s="21">
        <v>20664490</v>
      </c>
      <c r="K8" s="22">
        <v>748973</v>
      </c>
      <c r="M8" s="14" t="s">
        <v>6</v>
      </c>
      <c r="N8" s="36">
        <f>SUM(N6:N7)</f>
        <v>1186227345</v>
      </c>
      <c r="O8" s="37">
        <f>SUM(O6:O7)</f>
        <v>925775110</v>
      </c>
    </row>
    <row r="9" spans="2:15" ht="15.75" thickBot="1">
      <c r="B9" s="20" t="s">
        <v>22</v>
      </c>
      <c r="C9" s="21">
        <f>105000000+114701480</f>
        <v>219701480</v>
      </c>
      <c r="D9" s="21">
        <f>105000000+33947165</f>
        <v>138947165</v>
      </c>
      <c r="E9" s="37">
        <f>(D9+C9)/2</f>
        <v>179324322.5</v>
      </c>
      <c r="I9" s="14" t="s">
        <v>3</v>
      </c>
      <c r="J9" s="36">
        <f>SUM(J6:J8)</f>
        <v>791344060</v>
      </c>
      <c r="K9" s="37">
        <f>SUM(K6:K8)</f>
        <v>521948173</v>
      </c>
      <c r="M9" s="16" t="s">
        <v>7</v>
      </c>
      <c r="N9" s="43">
        <f>(N8+O8)/2</f>
        <v>1056001227.5</v>
      </c>
      <c r="O9" s="38"/>
    </row>
    <row r="10" spans="2:15" ht="15.75" thickBot="1">
      <c r="B10" s="24" t="s">
        <v>23</v>
      </c>
      <c r="C10" s="25">
        <f>J9</f>
        <v>791344060</v>
      </c>
      <c r="D10" s="25"/>
      <c r="E10" s="38"/>
      <c r="I10" s="14" t="s">
        <v>14</v>
      </c>
      <c r="J10" s="40">
        <f>(J9+K9)/2</f>
        <v>656646116.5</v>
      </c>
      <c r="K10" s="37"/>
      <c r="M10" s="3"/>
      <c r="N10" s="3"/>
    </row>
    <row r="11" spans="2:15">
      <c r="B11" s="20"/>
      <c r="C11" s="21"/>
      <c r="D11" s="21"/>
      <c r="E11" s="22"/>
      <c r="I11" s="14" t="s">
        <v>13</v>
      </c>
      <c r="J11" s="36">
        <v>141467426</v>
      </c>
      <c r="K11" s="22"/>
    </row>
    <row r="12" spans="2:15" ht="15.75" thickBot="1">
      <c r="B12" s="16" t="s">
        <v>21</v>
      </c>
      <c r="C12" s="25">
        <f>C10/C9</f>
        <v>3.6019059134239786</v>
      </c>
      <c r="D12" s="25"/>
      <c r="E12" s="38"/>
      <c r="I12" s="41" t="s">
        <v>10</v>
      </c>
      <c r="J12" s="42">
        <v>0.18</v>
      </c>
      <c r="K12" s="67"/>
    </row>
    <row r="13" spans="2:15" ht="15.75" thickBot="1">
      <c r="B13" s="3"/>
      <c r="I13" s="4"/>
      <c r="J13" s="5"/>
    </row>
    <row r="14" spans="2:15" ht="15.75" thickBot="1">
      <c r="B14" s="33" t="s">
        <v>24</v>
      </c>
      <c r="C14" s="19"/>
      <c r="I14" s="34" t="s">
        <v>20</v>
      </c>
      <c r="J14" s="19">
        <v>21128924</v>
      </c>
    </row>
    <row r="15" spans="2:15">
      <c r="B15" s="20" t="s">
        <v>25</v>
      </c>
      <c r="C15" s="27">
        <v>30500000</v>
      </c>
      <c r="I15" s="20" t="s">
        <v>8</v>
      </c>
      <c r="J15" s="22">
        <v>379789368</v>
      </c>
      <c r="L15" s="7"/>
    </row>
    <row r="16" spans="2:15">
      <c r="B16" s="14" t="s">
        <v>26</v>
      </c>
      <c r="C16" s="22"/>
      <c r="I16" s="20" t="s">
        <v>10</v>
      </c>
      <c r="J16" s="15">
        <f>J15/N9</f>
        <v>0.35964860466982745</v>
      </c>
      <c r="L16" s="9"/>
    </row>
    <row r="17" spans="1:12">
      <c r="B17" s="20" t="s">
        <v>25</v>
      </c>
      <c r="C17" s="22">
        <v>270847625</v>
      </c>
      <c r="I17" s="20" t="s">
        <v>9</v>
      </c>
      <c r="J17" s="22">
        <f>64673743+47706351+1148517</f>
        <v>113528611</v>
      </c>
    </row>
    <row r="18" spans="1:12">
      <c r="A18" s="1"/>
      <c r="B18" s="20" t="s">
        <v>27</v>
      </c>
      <c r="C18" s="22">
        <v>146705000</v>
      </c>
      <c r="I18" s="20" t="s">
        <v>10</v>
      </c>
      <c r="J18" s="15">
        <f>J17/N9</f>
        <v>0.10750802938815712</v>
      </c>
    </row>
    <row r="19" spans="1:12">
      <c r="B19" s="20" t="s">
        <v>28</v>
      </c>
      <c r="C19" s="28">
        <v>10000000</v>
      </c>
      <c r="G19" t="s">
        <v>42</v>
      </c>
      <c r="H19" t="s">
        <v>42</v>
      </c>
      <c r="I19" s="20" t="s">
        <v>11</v>
      </c>
      <c r="J19" s="22">
        <v>96457207</v>
      </c>
    </row>
    <row r="20" spans="1:12" ht="15.75" thickBot="1">
      <c r="B20" s="20" t="s">
        <v>29</v>
      </c>
      <c r="C20" s="29">
        <v>2600000</v>
      </c>
      <c r="I20" s="16" t="s">
        <v>12</v>
      </c>
      <c r="J20" s="35">
        <f>J19/N9</f>
        <v>9.134194590697102E-2</v>
      </c>
    </row>
    <row r="21" spans="1:12" ht="15.75" thickBot="1">
      <c r="B21" s="20" t="s">
        <v>30</v>
      </c>
      <c r="C21" s="28">
        <v>8750000</v>
      </c>
    </row>
    <row r="22" spans="1:12" ht="15.75" thickBot="1">
      <c r="B22" s="20" t="s">
        <v>31</v>
      </c>
      <c r="C22" s="29">
        <v>23500000</v>
      </c>
      <c r="H22" s="32" t="s">
        <v>47</v>
      </c>
      <c r="I22" s="10" t="s">
        <v>15</v>
      </c>
      <c r="J22" s="11">
        <f>J16</f>
        <v>0.35964860466982745</v>
      </c>
    </row>
    <row r="23" spans="1:12" ht="17.25" customHeight="1">
      <c r="A23" s="2"/>
      <c r="B23" s="20" t="s">
        <v>32</v>
      </c>
      <c r="C23" s="28">
        <v>28550000</v>
      </c>
      <c r="I23" s="12" t="s">
        <v>17</v>
      </c>
      <c r="J23" s="13">
        <f>J11/N9</f>
        <v>0.13396520980843274</v>
      </c>
    </row>
    <row r="24" spans="1:12">
      <c r="A24" s="2"/>
      <c r="B24" s="14" t="s">
        <v>33</v>
      </c>
      <c r="C24" s="30">
        <f>SUM(C15:C23)</f>
        <v>521452625</v>
      </c>
      <c r="I24" s="14" t="s">
        <v>16</v>
      </c>
      <c r="J24" s="13">
        <f>J18</f>
        <v>0.10750802938815712</v>
      </c>
    </row>
    <row r="25" spans="1:12" ht="15.75" thickBot="1">
      <c r="B25" s="16" t="s">
        <v>34</v>
      </c>
      <c r="C25" s="31">
        <f>C24/C10*100</f>
        <v>65.894552238125087</v>
      </c>
      <c r="I25" s="14" t="s">
        <v>19</v>
      </c>
      <c r="J25" s="15">
        <v>4.6800000000000001E-2</v>
      </c>
    </row>
    <row r="26" spans="1:12" ht="15.75" thickBot="1">
      <c r="I26" s="14" t="s">
        <v>20</v>
      </c>
      <c r="J26" s="15">
        <v>2.0080000000000001E-2</v>
      </c>
    </row>
    <row r="27" spans="1:12" ht="15.75" thickBot="1">
      <c r="B27" s="32" t="s">
        <v>46</v>
      </c>
      <c r="C27" s="18"/>
      <c r="D27" s="19"/>
      <c r="I27" s="16" t="s">
        <v>18</v>
      </c>
      <c r="J27" s="53">
        <f>J20</f>
        <v>9.134194590697102E-2</v>
      </c>
      <c r="K27" s="8"/>
      <c r="L27" s="2"/>
    </row>
    <row r="28" spans="1:12" ht="15.75" thickBot="1">
      <c r="B28" s="20"/>
      <c r="C28" s="21"/>
      <c r="D28" s="22"/>
      <c r="I28" s="17" t="s">
        <v>35</v>
      </c>
      <c r="J28" s="6">
        <f>J19/E9</f>
        <v>0.53789249364095604</v>
      </c>
    </row>
    <row r="29" spans="1:12" ht="15.75" thickBot="1">
      <c r="B29" s="20" t="s">
        <v>43</v>
      </c>
      <c r="C29" s="21">
        <f>209/284</f>
        <v>0.7359154929577465</v>
      </c>
      <c r="D29" s="23" t="s">
        <v>45</v>
      </c>
      <c r="H29" s="32" t="s">
        <v>37</v>
      </c>
      <c r="I29" s="44">
        <v>2015</v>
      </c>
      <c r="J29" s="45">
        <v>2014</v>
      </c>
      <c r="K29" s="46" t="s">
        <v>39</v>
      </c>
    </row>
    <row r="30" spans="1:12" ht="15.75" thickBot="1">
      <c r="B30" s="24" t="s">
        <v>44</v>
      </c>
      <c r="C30" s="25">
        <f>334/39</f>
        <v>8.5641025641025639</v>
      </c>
      <c r="D30" s="26" t="s">
        <v>45</v>
      </c>
      <c r="H30" s="20" t="s">
        <v>36</v>
      </c>
      <c r="I30" s="21">
        <f>1238796911-3442988-15082096-229890777+J8</f>
        <v>1011045540</v>
      </c>
      <c r="J30" s="21">
        <f>695413051-8406445-2699851-K8</f>
        <v>683557782</v>
      </c>
      <c r="K30" s="37">
        <f>(J30+I30)/2</f>
        <v>847301661</v>
      </c>
    </row>
    <row r="31" spans="1:12">
      <c r="H31" s="20" t="s">
        <v>38</v>
      </c>
      <c r="I31" s="21"/>
      <c r="J31" s="47"/>
      <c r="K31" s="48">
        <f>K30/E9</f>
        <v>4.7249678637430792</v>
      </c>
    </row>
    <row r="32" spans="1:12">
      <c r="H32" s="20" t="s">
        <v>40</v>
      </c>
      <c r="I32" s="21"/>
      <c r="J32" s="21"/>
      <c r="K32" s="49">
        <f>(J14+J15)/K30</f>
        <v>0.4731706668989995</v>
      </c>
    </row>
    <row r="33" spans="8:11" ht="15.75" thickBot="1">
      <c r="H33" s="20" t="s">
        <v>41</v>
      </c>
      <c r="I33" s="21"/>
      <c r="J33" s="21"/>
      <c r="K33" s="50">
        <f>J19/(J15+J14)</f>
        <v>0.24059068624386937</v>
      </c>
    </row>
    <row r="34" spans="8:11" ht="15.75" thickBot="1">
      <c r="H34" s="24"/>
      <c r="I34" s="25"/>
      <c r="J34" s="51" t="s">
        <v>35</v>
      </c>
      <c r="K34" s="52">
        <f>K33*K32*K31</f>
        <v>0.53789249364095604</v>
      </c>
    </row>
  </sheetData>
  <mergeCells count="1">
    <mergeCell ref="B1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30"/>
  <sheetViews>
    <sheetView tabSelected="1" topLeftCell="C9" workbookViewId="0">
      <selection activeCell="K25" sqref="K25"/>
    </sheetView>
  </sheetViews>
  <sheetFormatPr defaultRowHeight="15"/>
  <cols>
    <col min="2" max="2" width="33.7109375" customWidth="1"/>
    <col min="3" max="3" width="16.85546875" bestFit="1" customWidth="1"/>
    <col min="4" max="4" width="15.5703125" customWidth="1"/>
    <col min="5" max="5" width="13.5703125" customWidth="1"/>
    <col min="6" max="6" width="18.42578125" customWidth="1"/>
    <col min="7" max="7" width="15.5703125" bestFit="1" customWidth="1"/>
    <col min="8" max="8" width="16.28515625" bestFit="1" customWidth="1"/>
    <col min="9" max="9" width="12" bestFit="1" customWidth="1"/>
    <col min="12" max="12" width="29.140625" customWidth="1"/>
    <col min="13" max="13" width="14.28515625" bestFit="1" customWidth="1"/>
  </cols>
  <sheetData>
    <row r="1" spans="2:16">
      <c r="B1" s="55" t="s">
        <v>52</v>
      </c>
      <c r="C1" s="56"/>
      <c r="D1" s="56"/>
      <c r="E1" s="57"/>
    </row>
    <row r="2" spans="2:16">
      <c r="B2" s="58"/>
      <c r="C2" s="59"/>
      <c r="D2" s="59"/>
      <c r="E2" s="60"/>
    </row>
    <row r="3" spans="2:16" ht="15.75" thickBot="1">
      <c r="B3" s="61"/>
      <c r="C3" s="62"/>
      <c r="D3" s="62"/>
      <c r="E3" s="63"/>
    </row>
    <row r="6" spans="2:16" ht="15.75" thickBot="1"/>
    <row r="7" spans="2:16" ht="15.75" thickBot="1">
      <c r="B7" s="32" t="s">
        <v>50</v>
      </c>
      <c r="C7" s="18"/>
      <c r="D7" s="19"/>
      <c r="F7" s="32" t="s">
        <v>49</v>
      </c>
      <c r="G7" s="18"/>
      <c r="H7" s="19"/>
      <c r="L7" s="78" t="s">
        <v>54</v>
      </c>
      <c r="M7" s="79"/>
      <c r="N7" s="73"/>
      <c r="O7" s="72"/>
      <c r="P7" s="72"/>
    </row>
    <row r="8" spans="2:16">
      <c r="B8" s="20"/>
      <c r="C8" s="36">
        <v>2015</v>
      </c>
      <c r="D8" s="37">
        <v>2014</v>
      </c>
      <c r="F8" s="20"/>
      <c r="G8" s="36">
        <v>2015</v>
      </c>
      <c r="H8" s="37">
        <v>2014</v>
      </c>
      <c r="L8" s="14" t="s">
        <v>55</v>
      </c>
      <c r="M8" s="36" t="s">
        <v>56</v>
      </c>
      <c r="N8" s="22"/>
    </row>
    <row r="9" spans="2:16">
      <c r="B9" s="20" t="s">
        <v>4</v>
      </c>
      <c r="C9" s="21">
        <v>224078693</v>
      </c>
      <c r="D9" s="22">
        <v>38022926</v>
      </c>
      <c r="F9" s="39" t="s">
        <v>0</v>
      </c>
      <c r="G9" s="21">
        <v>58188709</v>
      </c>
      <c r="H9" s="22">
        <v>1686531</v>
      </c>
      <c r="L9" s="20" t="s">
        <v>57</v>
      </c>
      <c r="M9" s="74">
        <f>C16</f>
        <v>264000306.875</v>
      </c>
      <c r="N9" s="22"/>
    </row>
    <row r="10" spans="2:16">
      <c r="B10" s="20" t="s">
        <v>5</v>
      </c>
      <c r="C10" s="21">
        <v>962148652</v>
      </c>
      <c r="D10" s="22">
        <v>887752184</v>
      </c>
      <c r="F10" s="39" t="s">
        <v>1</v>
      </c>
      <c r="G10" s="21">
        <v>712490861</v>
      </c>
      <c r="H10" s="22">
        <v>519512669</v>
      </c>
      <c r="L10" s="20" t="s">
        <v>58</v>
      </c>
      <c r="M10" s="21">
        <f>C15</f>
        <v>21128924</v>
      </c>
      <c r="N10" s="22"/>
    </row>
    <row r="11" spans="2:16">
      <c r="B11" s="14" t="s">
        <v>6</v>
      </c>
      <c r="C11" s="36">
        <f>SUM(C9:C10)</f>
        <v>1186227345</v>
      </c>
      <c r="D11" s="37">
        <f>SUM(D9:D10)</f>
        <v>925775110</v>
      </c>
      <c r="F11" s="39" t="s">
        <v>2</v>
      </c>
      <c r="G11" s="21">
        <v>20664490</v>
      </c>
      <c r="H11" s="22">
        <v>748973</v>
      </c>
      <c r="L11" s="20" t="s">
        <v>8</v>
      </c>
      <c r="M11" s="71">
        <f>SUM(M9:M10)</f>
        <v>285129230.875</v>
      </c>
      <c r="N11" s="22"/>
    </row>
    <row r="12" spans="2:16" ht="15.75" thickBot="1">
      <c r="B12" s="16" t="s">
        <v>7</v>
      </c>
      <c r="C12" s="43">
        <f>(C11+D11)/2</f>
        <v>1056001227.5</v>
      </c>
      <c r="D12" s="38"/>
      <c r="F12" s="14" t="s">
        <v>3</v>
      </c>
      <c r="G12" s="36">
        <f>SUM(G9:G11)</f>
        <v>791344060</v>
      </c>
      <c r="H12" s="37">
        <f>SUM(H9:H11)</f>
        <v>521948173</v>
      </c>
      <c r="L12" s="20" t="s">
        <v>60</v>
      </c>
      <c r="M12" s="74">
        <f>C18</f>
        <v>113520131.95625</v>
      </c>
      <c r="N12" s="22"/>
    </row>
    <row r="13" spans="2:16">
      <c r="F13" s="14" t="s">
        <v>14</v>
      </c>
      <c r="G13" s="70">
        <f>(G12+H12)/2</f>
        <v>656646116.5</v>
      </c>
      <c r="H13" s="37"/>
      <c r="L13" s="20" t="s">
        <v>59</v>
      </c>
      <c r="M13" s="71">
        <f>M11-M12</f>
        <v>171609098.91874999</v>
      </c>
      <c r="N13" s="22"/>
    </row>
    <row r="14" spans="2:16" ht="15.75" thickBot="1">
      <c r="F14" s="14" t="s">
        <v>13</v>
      </c>
      <c r="G14" s="71">
        <v>125748823</v>
      </c>
      <c r="H14" s="22"/>
      <c r="L14" s="20" t="s">
        <v>13</v>
      </c>
      <c r="M14" s="74">
        <f>G14</f>
        <v>125748823</v>
      </c>
      <c r="N14" s="22"/>
    </row>
    <row r="15" spans="2:16" ht="15.75" thickBot="1">
      <c r="B15" s="34" t="s">
        <v>20</v>
      </c>
      <c r="C15" s="19">
        <v>21128924</v>
      </c>
      <c r="F15" s="41" t="s">
        <v>10</v>
      </c>
      <c r="G15" s="42">
        <v>0.16</v>
      </c>
      <c r="H15" s="38"/>
      <c r="L15" s="20" t="s">
        <v>61</v>
      </c>
      <c r="M15" s="71">
        <f>M13-M14</f>
        <v>45860275.918749988</v>
      </c>
      <c r="N15" s="22"/>
    </row>
    <row r="16" spans="2:16">
      <c r="B16" s="20" t="s">
        <v>8</v>
      </c>
      <c r="C16" s="64">
        <f>C12*C17</f>
        <v>264000306.875</v>
      </c>
      <c r="L16" s="20" t="s">
        <v>62</v>
      </c>
      <c r="M16" s="74">
        <f>M15*0.3426</f>
        <v>15711730.529763747</v>
      </c>
      <c r="N16" s="22"/>
    </row>
    <row r="17" spans="2:14" ht="15.75" thickBot="1">
      <c r="B17" s="20" t="s">
        <v>10</v>
      </c>
      <c r="C17" s="66">
        <v>0.25</v>
      </c>
      <c r="L17" s="20" t="s">
        <v>63</v>
      </c>
      <c r="M17" s="71">
        <f>M15-M16</f>
        <v>30148545.388986241</v>
      </c>
      <c r="N17" s="37">
        <v>96457207</v>
      </c>
    </row>
    <row r="18" spans="2:14" ht="15.75" thickBot="1">
      <c r="B18" s="20" t="s">
        <v>53</v>
      </c>
      <c r="C18" s="64">
        <f>C12*C19</f>
        <v>113520131.95625</v>
      </c>
      <c r="F18" s="32" t="s">
        <v>47</v>
      </c>
      <c r="G18" s="10" t="s">
        <v>15</v>
      </c>
      <c r="H18" s="11">
        <v>0.25</v>
      </c>
      <c r="L18" s="20" t="s">
        <v>64</v>
      </c>
      <c r="M18" s="21">
        <v>7500000</v>
      </c>
      <c r="N18" s="22">
        <v>7500000</v>
      </c>
    </row>
    <row r="19" spans="2:14" ht="45">
      <c r="B19" s="20" t="s">
        <v>10</v>
      </c>
      <c r="C19" s="65">
        <v>0.1075</v>
      </c>
      <c r="G19" s="12" t="s">
        <v>17</v>
      </c>
      <c r="H19" s="15">
        <f>G14/C12</f>
        <v>0.11908018639116591</v>
      </c>
      <c r="L19" s="14" t="s">
        <v>65</v>
      </c>
      <c r="M19" s="75">
        <f>(M17-(30000000*0.18))/M18</f>
        <v>3.2998060518648322</v>
      </c>
      <c r="N19" s="76">
        <f>(N17-(30000000*0.18))/N18</f>
        <v>12.140960933333334</v>
      </c>
    </row>
    <row r="20" spans="2:14" ht="15.75" thickBot="1">
      <c r="B20" s="68" t="s">
        <v>11</v>
      </c>
      <c r="C20" s="80">
        <f>M17</f>
        <v>30148545.388986241</v>
      </c>
      <c r="G20" s="14" t="s">
        <v>16</v>
      </c>
      <c r="H20" s="13">
        <f>C19</f>
        <v>0.1075</v>
      </c>
      <c r="L20" s="69" t="s">
        <v>66</v>
      </c>
      <c r="M20" s="77">
        <f>(N19-M19)/N19</f>
        <v>0.72820882383328267</v>
      </c>
      <c r="N20" s="38"/>
    </row>
    <row r="21" spans="2:14" ht="15.75" thickBot="1">
      <c r="B21" s="69" t="s">
        <v>12</v>
      </c>
      <c r="C21" s="81">
        <f>C20/C12</f>
        <v>2.8549725704732895E-2</v>
      </c>
      <c r="G21" s="14" t="s">
        <v>19</v>
      </c>
      <c r="H21" s="15">
        <f>M16/C12</f>
        <v>1.4878515403774705E-2</v>
      </c>
    </row>
    <row r="22" spans="2:14" ht="15.75" thickBot="1">
      <c r="G22" s="14" t="s">
        <v>20</v>
      </c>
      <c r="H22" s="15">
        <v>2.0080000000000001E-2</v>
      </c>
    </row>
    <row r="23" spans="2:14" ht="15.75" thickBot="1">
      <c r="G23" s="16" t="s">
        <v>18</v>
      </c>
      <c r="H23" s="53">
        <f>H18-H19-H20-H21+H22</f>
        <v>2.8621298205059389E-2</v>
      </c>
      <c r="I23" s="8"/>
    </row>
    <row r="24" spans="2:14" ht="15.75" thickBot="1">
      <c r="G24" s="17" t="s">
        <v>35</v>
      </c>
      <c r="H24" s="6" t="e">
        <f>H15/C5</f>
        <v>#DIV/0!</v>
      </c>
    </row>
    <row r="25" spans="2:14" ht="15.75" thickBot="1">
      <c r="F25" s="32" t="s">
        <v>37</v>
      </c>
      <c r="G25" s="44">
        <v>2015</v>
      </c>
      <c r="H25" s="45">
        <v>2014</v>
      </c>
      <c r="I25" s="46" t="s">
        <v>39</v>
      </c>
    </row>
    <row r="26" spans="2:14">
      <c r="F26" s="20" t="s">
        <v>36</v>
      </c>
      <c r="G26" s="21">
        <f>1238796911-3442988-15082096-229890777+G11</f>
        <v>1011045540</v>
      </c>
      <c r="H26" s="21">
        <f>695413051-8406445-2699851-H11</f>
        <v>683557782</v>
      </c>
      <c r="I26" s="82">
        <f>(H26+G26)/2</f>
        <v>847301661</v>
      </c>
    </row>
    <row r="27" spans="2:14">
      <c r="F27" s="20" t="s">
        <v>38</v>
      </c>
      <c r="G27" s="21"/>
      <c r="H27" s="47"/>
      <c r="I27" s="48">
        <f>I26/'current scenario'!E9</f>
        <v>4.7249678637430792</v>
      </c>
    </row>
    <row r="28" spans="2:14">
      <c r="F28" s="20" t="s">
        <v>40</v>
      </c>
      <c r="G28" s="21"/>
      <c r="H28" s="21"/>
      <c r="I28" s="49">
        <f>(C16+C15)/I26</f>
        <v>0.33651442455392522</v>
      </c>
    </row>
    <row r="29" spans="2:14" ht="15.75" thickBot="1">
      <c r="F29" s="20" t="s">
        <v>41</v>
      </c>
      <c r="G29" s="21"/>
      <c r="H29" s="21"/>
      <c r="I29" s="50">
        <f>M17/M11</f>
        <v>0.10573642448537061</v>
      </c>
    </row>
    <row r="30" spans="2:14" ht="15.75" thickBot="1">
      <c r="F30" s="24"/>
      <c r="G30" s="25"/>
      <c r="H30" s="51" t="s">
        <v>35</v>
      </c>
      <c r="I30" s="52">
        <f>I29*I28*I27</f>
        <v>0.16812301292250104</v>
      </c>
    </row>
  </sheetData>
  <mergeCells count="2">
    <mergeCell ref="B1:E3"/>
    <mergeCell ref="L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scenario</vt:lpstr>
      <vt:lpstr>scenario change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</dc:creator>
  <cp:lastModifiedBy>Abhi</cp:lastModifiedBy>
  <dcterms:created xsi:type="dcterms:W3CDTF">2016-04-12T10:16:17Z</dcterms:created>
  <dcterms:modified xsi:type="dcterms:W3CDTF">2016-04-13T12:57:46Z</dcterms:modified>
</cp:coreProperties>
</file>