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40" yWindow="75" windowWidth="15600" windowHeight="7935" activeTab="4"/>
  </bookViews>
  <sheets>
    <sheet name="Profit &amp; Loss" sheetId="1" r:id="rId1"/>
    <sheet name="Quarters" sheetId="3" r:id="rId2"/>
    <sheet name="Balance Sheet" sheetId="2" r:id="rId3"/>
    <sheet name="Cash Flow" sheetId="4" r:id="rId4"/>
    <sheet name="Customization" sheetId="5" r:id="rId5"/>
    <sheet name="Data Sheet" sheetId="6" r:id="rId6"/>
    <sheet name="Sheet1" sheetId="7" state="hidden" r:id="rId7"/>
  </sheets>
  <definedNames>
    <definedName name="_xlnm.Print_Titles" localSheetId="4">Customization!$1:$1</definedName>
    <definedName name="UPDATE">'Data Sheet'!$E$1</definedName>
  </definedNames>
  <calcPr calcId="125725"/>
</workbook>
</file>

<file path=xl/calcChain.xml><?xml version="1.0" encoding="utf-8"?>
<calcChain xmlns="http://schemas.openxmlformats.org/spreadsheetml/2006/main">
  <c r="D423" i="5"/>
  <c r="E423"/>
  <c r="F423"/>
  <c r="G423"/>
  <c r="H423"/>
  <c r="I423"/>
  <c r="J423"/>
  <c r="K423"/>
  <c r="C423"/>
  <c r="D152"/>
  <c r="E152"/>
  <c r="F152"/>
  <c r="G152"/>
  <c r="H152"/>
  <c r="I152"/>
  <c r="J152"/>
  <c r="K152"/>
  <c r="C152"/>
  <c r="B152"/>
  <c r="C305"/>
  <c r="D305"/>
  <c r="E305"/>
  <c r="F305"/>
  <c r="G305"/>
  <c r="H305"/>
  <c r="I305"/>
  <c r="J305"/>
  <c r="K305"/>
  <c r="B305"/>
  <c r="C299"/>
  <c r="D299"/>
  <c r="E299"/>
  <c r="F299"/>
  <c r="G299"/>
  <c r="H299"/>
  <c r="I299"/>
  <c r="J299"/>
  <c r="K299"/>
  <c r="B299"/>
  <c r="C303"/>
  <c r="C306" s="1"/>
  <c r="D303"/>
  <c r="D306" s="1"/>
  <c r="E303"/>
  <c r="E306" s="1"/>
  <c r="F303"/>
  <c r="F306" s="1"/>
  <c r="G303"/>
  <c r="G306" s="1"/>
  <c r="H303"/>
  <c r="H306" s="1"/>
  <c r="I303"/>
  <c r="I306" s="1"/>
  <c r="J303"/>
  <c r="J306" s="1"/>
  <c r="K303"/>
  <c r="K306" s="1"/>
  <c r="B303"/>
  <c r="B306" s="1"/>
  <c r="C304"/>
  <c r="C307" s="1"/>
  <c r="D304"/>
  <c r="D307" s="1"/>
  <c r="E304"/>
  <c r="E307" s="1"/>
  <c r="F304"/>
  <c r="F307" s="1"/>
  <c r="G304"/>
  <c r="G307" s="1"/>
  <c r="H304"/>
  <c r="H307" s="1"/>
  <c r="I304"/>
  <c r="I307" s="1"/>
  <c r="J304"/>
  <c r="K304"/>
  <c r="K307" s="1"/>
  <c r="B304"/>
  <c r="B307" s="1"/>
  <c r="C296"/>
  <c r="D296"/>
  <c r="E296"/>
  <c r="F296"/>
  <c r="G296"/>
  <c r="H296"/>
  <c r="I296"/>
  <c r="J296"/>
  <c r="K296"/>
  <c r="B296"/>
  <c r="C442" l="1"/>
  <c r="C444"/>
  <c r="C443"/>
  <c r="K436"/>
  <c r="G436"/>
  <c r="J436"/>
  <c r="F436"/>
  <c r="I444"/>
  <c r="E444"/>
  <c r="J443"/>
  <c r="F442"/>
  <c r="C436"/>
  <c r="H436"/>
  <c r="D436"/>
  <c r="J444"/>
  <c r="F444"/>
  <c r="I436"/>
  <c r="E436"/>
  <c r="H444"/>
  <c r="D442"/>
  <c r="H443"/>
  <c r="D443"/>
  <c r="D444"/>
  <c r="K442"/>
  <c r="G442"/>
  <c r="K443"/>
  <c r="G443"/>
  <c r="K444"/>
  <c r="G444"/>
  <c r="H442"/>
  <c r="I442"/>
  <c r="E442"/>
  <c r="I443"/>
  <c r="E443"/>
  <c r="J307"/>
  <c r="J442"/>
  <c r="F443"/>
  <c r="C92"/>
  <c r="D92"/>
  <c r="E92"/>
  <c r="F92"/>
  <c r="G92"/>
  <c r="H92"/>
  <c r="I92"/>
  <c r="J92"/>
  <c r="K92"/>
  <c r="B92"/>
  <c r="C90"/>
  <c r="D90"/>
  <c r="E90"/>
  <c r="F90"/>
  <c r="G90"/>
  <c r="H90"/>
  <c r="I90"/>
  <c r="J90"/>
  <c r="K90"/>
  <c r="L90" s="1"/>
  <c r="B90"/>
  <c r="L18" i="6"/>
  <c r="L19"/>
  <c r="L20"/>
  <c r="L21"/>
  <c r="L22"/>
  <c r="L23"/>
  <c r="L24"/>
  <c r="L25"/>
  <c r="L26"/>
  <c r="L27"/>
  <c r="L28"/>
  <c r="L29"/>
  <c r="L30"/>
  <c r="L31"/>
  <c r="L42"/>
  <c r="L43"/>
  <c r="L44"/>
  <c r="L45"/>
  <c r="L46"/>
  <c r="L47"/>
  <c r="L48"/>
  <c r="L49"/>
  <c r="L50"/>
  <c r="L57"/>
  <c r="L58"/>
  <c r="L59"/>
  <c r="L60"/>
  <c r="L61"/>
  <c r="L62"/>
  <c r="L63"/>
  <c r="L64"/>
  <c r="L65"/>
  <c r="L66"/>
  <c r="L67"/>
  <c r="L68"/>
  <c r="L69"/>
  <c r="L70"/>
  <c r="L72"/>
  <c r="L82"/>
  <c r="L83"/>
  <c r="L84"/>
  <c r="L85"/>
  <c r="L90"/>
  <c r="L17"/>
  <c r="C165" i="5"/>
  <c r="B165"/>
  <c r="D165"/>
  <c r="E165"/>
  <c r="F165"/>
  <c r="G165"/>
  <c r="H165"/>
  <c r="I165"/>
  <c r="J165"/>
  <c r="K165"/>
  <c r="C196"/>
  <c r="D196"/>
  <c r="E196"/>
  <c r="F196"/>
  <c r="G196"/>
  <c r="H196"/>
  <c r="I196"/>
  <c r="J196"/>
  <c r="K196"/>
  <c r="B196"/>
  <c r="C209"/>
  <c r="D209"/>
  <c r="E209"/>
  <c r="F209"/>
  <c r="G209"/>
  <c r="H209"/>
  <c r="I209"/>
  <c r="J209"/>
  <c r="K209"/>
  <c r="L209" s="1"/>
  <c r="B209"/>
  <c r="C208"/>
  <c r="D208"/>
  <c r="E208"/>
  <c r="F208"/>
  <c r="G208"/>
  <c r="H208"/>
  <c r="I208"/>
  <c r="J208"/>
  <c r="K208"/>
  <c r="L208" s="1"/>
  <c r="B208"/>
  <c r="C206"/>
  <c r="D206"/>
  <c r="E206"/>
  <c r="F206"/>
  <c r="G206"/>
  <c r="H206"/>
  <c r="I206"/>
  <c r="J206"/>
  <c r="K206"/>
  <c r="L206" s="1"/>
  <c r="B206"/>
  <c r="C205"/>
  <c r="D205"/>
  <c r="E205"/>
  <c r="F205"/>
  <c r="G205"/>
  <c r="H205"/>
  <c r="I205"/>
  <c r="J205"/>
  <c r="K205"/>
  <c r="L205" s="1"/>
  <c r="B205"/>
  <c r="C204"/>
  <c r="D204"/>
  <c r="E204"/>
  <c r="F204"/>
  <c r="G204"/>
  <c r="H204"/>
  <c r="I204"/>
  <c r="J204"/>
  <c r="K204"/>
  <c r="L204" s="1"/>
  <c r="B204"/>
  <c r="C207"/>
  <c r="C210" s="1"/>
  <c r="C211" s="1"/>
  <c r="D207"/>
  <c r="D210" s="1"/>
  <c r="D211" s="1"/>
  <c r="E207"/>
  <c r="E210" s="1"/>
  <c r="E211" s="1"/>
  <c r="F207"/>
  <c r="F210" s="1"/>
  <c r="F211" s="1"/>
  <c r="G207"/>
  <c r="G210" s="1"/>
  <c r="G211" s="1"/>
  <c r="H207"/>
  <c r="H210" s="1"/>
  <c r="H211" s="1"/>
  <c r="I207"/>
  <c r="I210" s="1"/>
  <c r="I211" s="1"/>
  <c r="J207"/>
  <c r="J210" s="1"/>
  <c r="J211" s="1"/>
  <c r="K207"/>
  <c r="K210" s="1"/>
  <c r="K211" s="1"/>
  <c r="B207"/>
  <c r="B210" s="1"/>
  <c r="B211" s="1"/>
  <c r="L92" l="1"/>
  <c r="L207"/>
  <c r="L210"/>
  <c r="D259"/>
  <c r="E259"/>
  <c r="F259"/>
  <c r="G259"/>
  <c r="H259"/>
  <c r="I259"/>
  <c r="J259"/>
  <c r="K259"/>
  <c r="C259"/>
  <c r="C80"/>
  <c r="D80"/>
  <c r="E80"/>
  <c r="F80"/>
  <c r="G80"/>
  <c r="H80"/>
  <c r="I80"/>
  <c r="J80"/>
  <c r="K80"/>
  <c r="C79"/>
  <c r="D79"/>
  <c r="E79"/>
  <c r="F79"/>
  <c r="G79"/>
  <c r="H79"/>
  <c r="I79"/>
  <c r="J79"/>
  <c r="K79"/>
  <c r="C78"/>
  <c r="D78"/>
  <c r="E78"/>
  <c r="F78"/>
  <c r="G78"/>
  <c r="H78"/>
  <c r="I78"/>
  <c r="J78"/>
  <c r="K78"/>
  <c r="C77"/>
  <c r="D77"/>
  <c r="E77"/>
  <c r="F77"/>
  <c r="G77"/>
  <c r="H77"/>
  <c r="I77"/>
  <c r="J77"/>
  <c r="K77"/>
  <c r="C76"/>
  <c r="D76"/>
  <c r="E76"/>
  <c r="F76"/>
  <c r="G76"/>
  <c r="H76"/>
  <c r="I76"/>
  <c r="J76"/>
  <c r="K76"/>
  <c r="C75"/>
  <c r="D75"/>
  <c r="E75"/>
  <c r="F75"/>
  <c r="G75"/>
  <c r="H75"/>
  <c r="I75"/>
  <c r="J75"/>
  <c r="K75"/>
  <c r="C74"/>
  <c r="D74"/>
  <c r="E74"/>
  <c r="F74"/>
  <c r="G74"/>
  <c r="H74"/>
  <c r="I74"/>
  <c r="J74"/>
  <c r="K74"/>
  <c r="C73"/>
  <c r="D73"/>
  <c r="E73"/>
  <c r="F73"/>
  <c r="G73"/>
  <c r="H73"/>
  <c r="I73"/>
  <c r="J73"/>
  <c r="K73"/>
  <c r="C72"/>
  <c r="D72"/>
  <c r="E72"/>
  <c r="F72"/>
  <c r="G72"/>
  <c r="H72"/>
  <c r="I72"/>
  <c r="J72"/>
  <c r="K72"/>
  <c r="C71"/>
  <c r="D71"/>
  <c r="E71"/>
  <c r="F71"/>
  <c r="G71"/>
  <c r="H71"/>
  <c r="I71"/>
  <c r="J71"/>
  <c r="K71"/>
  <c r="C70"/>
  <c r="D70"/>
  <c r="E70"/>
  <c r="F70"/>
  <c r="G70"/>
  <c r="H70"/>
  <c r="I70"/>
  <c r="J70"/>
  <c r="K70"/>
  <c r="C69"/>
  <c r="D69"/>
  <c r="E69"/>
  <c r="F69"/>
  <c r="G69"/>
  <c r="H69"/>
  <c r="I69"/>
  <c r="J69"/>
  <c r="K69"/>
  <c r="C68"/>
  <c r="D68"/>
  <c r="E68"/>
  <c r="F68"/>
  <c r="G68"/>
  <c r="H68"/>
  <c r="I68"/>
  <c r="J68"/>
  <c r="K68"/>
  <c r="B80"/>
  <c r="B79"/>
  <c r="B78"/>
  <c r="B77"/>
  <c r="B76"/>
  <c r="B75"/>
  <c r="B74"/>
  <c r="B73"/>
  <c r="B72"/>
  <c r="B71"/>
  <c r="B70"/>
  <c r="B69"/>
  <c r="B68"/>
  <c r="B169"/>
  <c r="C187" l="1"/>
  <c r="D187"/>
  <c r="E187"/>
  <c r="F187"/>
  <c r="G187"/>
  <c r="H187"/>
  <c r="I187"/>
  <c r="J187"/>
  <c r="K187"/>
  <c r="B187"/>
  <c r="C185"/>
  <c r="D185"/>
  <c r="E185"/>
  <c r="F185"/>
  <c r="G185"/>
  <c r="H185"/>
  <c r="I185"/>
  <c r="J185"/>
  <c r="K185"/>
  <c r="C186"/>
  <c r="D186"/>
  <c r="E186"/>
  <c r="F186"/>
  <c r="G186"/>
  <c r="H186"/>
  <c r="I186"/>
  <c r="J186"/>
  <c r="K186"/>
  <c r="B186"/>
  <c r="B185"/>
  <c r="C184"/>
  <c r="D184"/>
  <c r="E184"/>
  <c r="F184"/>
  <c r="G184"/>
  <c r="H184"/>
  <c r="I184"/>
  <c r="J184"/>
  <c r="K184"/>
  <c r="B184"/>
  <c r="C183"/>
  <c r="D183"/>
  <c r="E183"/>
  <c r="F183"/>
  <c r="G183"/>
  <c r="H183"/>
  <c r="I183"/>
  <c r="J183"/>
  <c r="K183"/>
  <c r="B183"/>
  <c r="C173"/>
  <c r="D173"/>
  <c r="E173"/>
  <c r="F173"/>
  <c r="G173"/>
  <c r="H173"/>
  <c r="I173"/>
  <c r="J173"/>
  <c r="K173"/>
  <c r="B173"/>
  <c r="C182"/>
  <c r="D182"/>
  <c r="E182"/>
  <c r="F182"/>
  <c r="G182"/>
  <c r="H182"/>
  <c r="I182"/>
  <c r="J182"/>
  <c r="K182"/>
  <c r="B182"/>
  <c r="C181"/>
  <c r="D181"/>
  <c r="E181"/>
  <c r="F181"/>
  <c r="G181"/>
  <c r="H181"/>
  <c r="I181"/>
  <c r="J181"/>
  <c r="K181"/>
  <c r="B181"/>
  <c r="C179"/>
  <c r="D179"/>
  <c r="E179"/>
  <c r="F179"/>
  <c r="G179"/>
  <c r="H179"/>
  <c r="I179"/>
  <c r="J179"/>
  <c r="K179"/>
  <c r="B179"/>
  <c r="C180"/>
  <c r="D180"/>
  <c r="E180"/>
  <c r="F180"/>
  <c r="G180"/>
  <c r="H180"/>
  <c r="I180"/>
  <c r="J180"/>
  <c r="K180"/>
  <c r="B180"/>
  <c r="C170" l="1"/>
  <c r="D170"/>
  <c r="E170"/>
  <c r="F170"/>
  <c r="G170"/>
  <c r="H170"/>
  <c r="I170"/>
  <c r="J170"/>
  <c r="K170"/>
  <c r="B170"/>
  <c r="C169"/>
  <c r="D169"/>
  <c r="E169"/>
  <c r="F169"/>
  <c r="G169"/>
  <c r="H169"/>
  <c r="I169"/>
  <c r="J169"/>
  <c r="K169"/>
  <c r="C426"/>
  <c r="D426"/>
  <c r="E426"/>
  <c r="F426"/>
  <c r="G426"/>
  <c r="H426"/>
  <c r="I426"/>
  <c r="J426"/>
  <c r="K426"/>
  <c r="B426"/>
  <c r="B423"/>
  <c r="I430" l="1"/>
  <c r="J427"/>
  <c r="F427"/>
  <c r="J430"/>
  <c r="F430"/>
  <c r="E430"/>
  <c r="K430"/>
  <c r="G430"/>
  <c r="D430"/>
  <c r="D427"/>
  <c r="H430"/>
  <c r="E427"/>
  <c r="K427"/>
  <c r="G427"/>
  <c r="H427"/>
  <c r="I427"/>
  <c r="C366" l="1"/>
  <c r="C177" s="1"/>
  <c r="D366"/>
  <c r="D177" s="1"/>
  <c r="E366"/>
  <c r="E177" s="1"/>
  <c r="F366"/>
  <c r="F177" s="1"/>
  <c r="G366"/>
  <c r="G177" s="1"/>
  <c r="H366"/>
  <c r="H177" s="1"/>
  <c r="I366"/>
  <c r="I177" s="1"/>
  <c r="J366"/>
  <c r="J177" s="1"/>
  <c r="K366"/>
  <c r="B366"/>
  <c r="B177" s="1"/>
  <c r="C367"/>
  <c r="D263"/>
  <c r="E263"/>
  <c r="F263"/>
  <c r="G263"/>
  <c r="H263"/>
  <c r="I263"/>
  <c r="J263"/>
  <c r="K263"/>
  <c r="C263"/>
  <c r="C65"/>
  <c r="D65"/>
  <c r="E65"/>
  <c r="F65"/>
  <c r="G65"/>
  <c r="H65"/>
  <c r="I65"/>
  <c r="J65"/>
  <c r="K65"/>
  <c r="K177" l="1"/>
  <c r="L366"/>
  <c r="C264"/>
  <c r="H264"/>
  <c r="D264"/>
  <c r="K264"/>
  <c r="G264"/>
  <c r="E264"/>
  <c r="J264"/>
  <c r="F264"/>
  <c r="I264"/>
  <c r="D357"/>
  <c r="E357"/>
  <c r="F357"/>
  <c r="G357"/>
  <c r="H357"/>
  <c r="I357"/>
  <c r="J357"/>
  <c r="K357"/>
  <c r="C357"/>
  <c r="C360"/>
  <c r="D360"/>
  <c r="E360"/>
  <c r="F360"/>
  <c r="G360"/>
  <c r="H360"/>
  <c r="I360"/>
  <c r="J360"/>
  <c r="K360"/>
  <c r="L360" s="1"/>
  <c r="B360"/>
  <c r="C362"/>
  <c r="D362"/>
  <c r="E362"/>
  <c r="F362"/>
  <c r="G362"/>
  <c r="H362"/>
  <c r="I362"/>
  <c r="J362"/>
  <c r="K362"/>
  <c r="B362"/>
  <c r="D350"/>
  <c r="E350"/>
  <c r="F350"/>
  <c r="G350"/>
  <c r="H350"/>
  <c r="I350"/>
  <c r="J350"/>
  <c r="K350"/>
  <c r="C350"/>
  <c r="B323"/>
  <c r="C328" s="1"/>
  <c r="C318"/>
  <c r="D318"/>
  <c r="E318"/>
  <c r="F318"/>
  <c r="G318"/>
  <c r="H318"/>
  <c r="I318"/>
  <c r="J318"/>
  <c r="K318"/>
  <c r="L318" s="1"/>
  <c r="B318"/>
  <c r="L362" l="1"/>
  <c r="C351"/>
  <c r="I351"/>
  <c r="E351"/>
  <c r="J351"/>
  <c r="F351"/>
  <c r="K351"/>
  <c r="G351"/>
  <c r="H351"/>
  <c r="D351"/>
  <c r="C370"/>
  <c r="D370"/>
  <c r="E370"/>
  <c r="F370"/>
  <c r="G370"/>
  <c r="H370"/>
  <c r="I370"/>
  <c r="J370"/>
  <c r="K370"/>
  <c r="L370" s="1"/>
  <c r="B370"/>
  <c r="D367"/>
  <c r="E367"/>
  <c r="F367"/>
  <c r="G367"/>
  <c r="H367"/>
  <c r="I367"/>
  <c r="J367"/>
  <c r="K367"/>
  <c r="L367" s="1"/>
  <c r="D323" l="1"/>
  <c r="E328" s="1"/>
  <c r="E323"/>
  <c r="F328" s="1"/>
  <c r="F323"/>
  <c r="G328" s="1"/>
  <c r="G323"/>
  <c r="H328" s="1"/>
  <c r="H323"/>
  <c r="I328" s="1"/>
  <c r="I323"/>
  <c r="J328" s="1"/>
  <c r="J323"/>
  <c r="K328" s="1"/>
  <c r="L328" s="1"/>
  <c r="K323"/>
  <c r="C323"/>
  <c r="D328" s="1"/>
  <c r="L323" l="1"/>
  <c r="K365"/>
  <c r="G365"/>
  <c r="C365"/>
  <c r="H365"/>
  <c r="D365"/>
  <c r="I365"/>
  <c r="E365"/>
  <c r="J365"/>
  <c r="F365"/>
  <c r="F324"/>
  <c r="F265" s="1"/>
  <c r="H324"/>
  <c r="H265" s="1"/>
  <c r="D324"/>
  <c r="D265" s="1"/>
  <c r="I324"/>
  <c r="I265" s="1"/>
  <c r="E324"/>
  <c r="E265" s="1"/>
  <c r="K324"/>
  <c r="K265" s="1"/>
  <c r="G324"/>
  <c r="G265" s="1"/>
  <c r="C324"/>
  <c r="C265" s="1"/>
  <c r="J324"/>
  <c r="J265" s="1"/>
  <c r="I285" l="1"/>
  <c r="E285"/>
  <c r="J285"/>
  <c r="F285"/>
  <c r="K285"/>
  <c r="G285"/>
  <c r="H285"/>
  <c r="D285"/>
  <c r="L365"/>
  <c r="I311"/>
  <c r="I312" s="1"/>
  <c r="E311"/>
  <c r="E312" s="1"/>
  <c r="C311"/>
  <c r="C312" s="1"/>
  <c r="F311"/>
  <c r="F312" s="1"/>
  <c r="K311"/>
  <c r="K312" s="1"/>
  <c r="H311"/>
  <c r="H312" s="1"/>
  <c r="J311"/>
  <c r="J312" s="1"/>
  <c r="G311"/>
  <c r="G312" s="1"/>
  <c r="D311"/>
  <c r="D312" s="1"/>
  <c r="K325"/>
  <c r="G325"/>
  <c r="I326"/>
  <c r="G326"/>
  <c r="K327"/>
  <c r="E325"/>
  <c r="H325"/>
  <c r="J326"/>
  <c r="I325"/>
  <c r="K326"/>
  <c r="H326"/>
  <c r="F325"/>
  <c r="J325"/>
  <c r="C160"/>
  <c r="C195" s="1"/>
  <c r="D160"/>
  <c r="D195" s="1"/>
  <c r="E160"/>
  <c r="E195" s="1"/>
  <c r="F160"/>
  <c r="F195" s="1"/>
  <c r="G160"/>
  <c r="G195" s="1"/>
  <c r="H160"/>
  <c r="H195" s="1"/>
  <c r="I160"/>
  <c r="I195" s="1"/>
  <c r="J160"/>
  <c r="J195" s="1"/>
  <c r="K160"/>
  <c r="K195" s="1"/>
  <c r="B160"/>
  <c r="B195" s="1"/>
  <c r="C159"/>
  <c r="C345" s="1"/>
  <c r="D159"/>
  <c r="D345" s="1"/>
  <c r="E159"/>
  <c r="E345" s="1"/>
  <c r="F159"/>
  <c r="F345" s="1"/>
  <c r="G159"/>
  <c r="G345" s="1"/>
  <c r="H159"/>
  <c r="H345" s="1"/>
  <c r="I159"/>
  <c r="I345" s="1"/>
  <c r="J159"/>
  <c r="J345" s="1"/>
  <c r="K159"/>
  <c r="K345" s="1"/>
  <c r="B159"/>
  <c r="B345" s="1"/>
  <c r="K369" l="1"/>
  <c r="K368"/>
  <c r="C368"/>
  <c r="C369"/>
  <c r="G368"/>
  <c r="G369"/>
  <c r="G371" s="1"/>
  <c r="K163"/>
  <c r="I163"/>
  <c r="K164"/>
  <c r="G164"/>
  <c r="J163"/>
  <c r="D162"/>
  <c r="G163"/>
  <c r="H164"/>
  <c r="F164"/>
  <c r="H163"/>
  <c r="I164"/>
  <c r="I161"/>
  <c r="E161"/>
  <c r="K162"/>
  <c r="G162"/>
  <c r="F163"/>
  <c r="J164"/>
  <c r="J161"/>
  <c r="F161"/>
  <c r="H162"/>
  <c r="D161"/>
  <c r="K161"/>
  <c r="G161"/>
  <c r="I162"/>
  <c r="E162"/>
  <c r="J162"/>
  <c r="F162"/>
  <c r="H161"/>
  <c r="A372"/>
  <c r="L368" l="1"/>
  <c r="K371"/>
  <c r="L369"/>
  <c r="I368"/>
  <c r="I369"/>
  <c r="I371" s="1"/>
  <c r="J368"/>
  <c r="J369"/>
  <c r="J371" s="1"/>
  <c r="H368"/>
  <c r="H369"/>
  <c r="H371" s="1"/>
  <c r="F368"/>
  <c r="F369"/>
  <c r="D368"/>
  <c r="D369"/>
  <c r="E368"/>
  <c r="E369"/>
  <c r="C239" l="1"/>
  <c r="D239"/>
  <c r="E239"/>
  <c r="F239"/>
  <c r="G239"/>
  <c r="H239"/>
  <c r="I239"/>
  <c r="J239"/>
  <c r="K239"/>
  <c r="L239" s="1"/>
  <c r="B239"/>
  <c r="C113"/>
  <c r="D113"/>
  <c r="E113"/>
  <c r="F113"/>
  <c r="G113"/>
  <c r="H113"/>
  <c r="I113"/>
  <c r="J113"/>
  <c r="K113"/>
  <c r="B113"/>
  <c r="A1"/>
  <c r="B230" l="1"/>
  <c r="C230"/>
  <c r="D230"/>
  <c r="E230"/>
  <c r="F230"/>
  <c r="G230"/>
  <c r="H230"/>
  <c r="I230"/>
  <c r="J230"/>
  <c r="K230"/>
  <c r="A230"/>
  <c r="L230" l="1"/>
  <c r="D220"/>
  <c r="E220"/>
  <c r="F220"/>
  <c r="G220"/>
  <c r="H220"/>
  <c r="I220"/>
  <c r="J220"/>
  <c r="K220"/>
  <c r="C220"/>
  <c r="L220" l="1"/>
  <c r="F237"/>
  <c r="F229"/>
  <c r="K237"/>
  <c r="K229"/>
  <c r="G237"/>
  <c r="G229"/>
  <c r="J237"/>
  <c r="J229"/>
  <c r="C237"/>
  <c r="C229"/>
  <c r="C234" s="1"/>
  <c r="H237"/>
  <c r="H229"/>
  <c r="D237"/>
  <c r="D229"/>
  <c r="I237"/>
  <c r="I229"/>
  <c r="E237"/>
  <c r="E229"/>
  <c r="D219"/>
  <c r="E219"/>
  <c r="F219"/>
  <c r="G219"/>
  <c r="H219"/>
  <c r="I219"/>
  <c r="J219"/>
  <c r="K219"/>
  <c r="C219"/>
  <c r="C122"/>
  <c r="D122"/>
  <c r="E122"/>
  <c r="F122"/>
  <c r="G122"/>
  <c r="H122"/>
  <c r="I122"/>
  <c r="J122"/>
  <c r="K122"/>
  <c r="B122"/>
  <c r="C158"/>
  <c r="C156" s="1"/>
  <c r="D158"/>
  <c r="D156" s="1"/>
  <c r="E158"/>
  <c r="E156" s="1"/>
  <c r="F158"/>
  <c r="F156" s="1"/>
  <c r="G158"/>
  <c r="G156" s="1"/>
  <c r="H158"/>
  <c r="H156" s="1"/>
  <c r="I158"/>
  <c r="I156" s="1"/>
  <c r="J158"/>
  <c r="J156" s="1"/>
  <c r="K158"/>
  <c r="K156" s="1"/>
  <c r="B158"/>
  <c r="B156" s="1"/>
  <c r="C157"/>
  <c r="D157"/>
  <c r="E157"/>
  <c r="F157"/>
  <c r="G157"/>
  <c r="H157"/>
  <c r="I157"/>
  <c r="J157"/>
  <c r="K157"/>
  <c r="B157"/>
  <c r="C193"/>
  <c r="C361" s="1"/>
  <c r="D193"/>
  <c r="D361" s="1"/>
  <c r="E193"/>
  <c r="E361" s="1"/>
  <c r="F193"/>
  <c r="F361" s="1"/>
  <c r="G193"/>
  <c r="G361" s="1"/>
  <c r="H193"/>
  <c r="H361" s="1"/>
  <c r="I193"/>
  <c r="I361" s="1"/>
  <c r="J193"/>
  <c r="J361" s="1"/>
  <c r="K193"/>
  <c r="K361" s="1"/>
  <c r="B193"/>
  <c r="B361" s="1"/>
  <c r="C191"/>
  <c r="D191"/>
  <c r="E191"/>
  <c r="F191"/>
  <c r="G191"/>
  <c r="H191"/>
  <c r="I191"/>
  <c r="J191"/>
  <c r="K191"/>
  <c r="B191"/>
  <c r="L229" l="1"/>
  <c r="I234"/>
  <c r="I269"/>
  <c r="H234"/>
  <c r="H269"/>
  <c r="J234"/>
  <c r="J269"/>
  <c r="K234"/>
  <c r="K269"/>
  <c r="E234"/>
  <c r="E269"/>
  <c r="D234"/>
  <c r="D269"/>
  <c r="G234"/>
  <c r="G269"/>
  <c r="F234"/>
  <c r="F269"/>
  <c r="C190"/>
  <c r="C192" s="1"/>
  <c r="D190"/>
  <c r="D192" s="1"/>
  <c r="E190"/>
  <c r="E192" s="1"/>
  <c r="F190"/>
  <c r="F192" s="1"/>
  <c r="G190"/>
  <c r="G192" s="1"/>
  <c r="H190"/>
  <c r="H192" s="1"/>
  <c r="I190"/>
  <c r="I192" s="1"/>
  <c r="J190"/>
  <c r="J192" s="1"/>
  <c r="K190"/>
  <c r="K192" s="1"/>
  <c r="B190"/>
  <c r="B192" s="1"/>
  <c r="C112" l="1"/>
  <c r="D112"/>
  <c r="E112"/>
  <c r="F112"/>
  <c r="G112"/>
  <c r="H112"/>
  <c r="I112"/>
  <c r="J112"/>
  <c r="K112"/>
  <c r="B112"/>
  <c r="C111"/>
  <c r="D111"/>
  <c r="E111"/>
  <c r="F111"/>
  <c r="G111"/>
  <c r="H111"/>
  <c r="I111"/>
  <c r="J111"/>
  <c r="K111"/>
  <c r="B111"/>
  <c r="C424"/>
  <c r="E424"/>
  <c r="F424"/>
  <c r="G424"/>
  <c r="H424"/>
  <c r="I424"/>
  <c r="J424"/>
  <c r="K424"/>
  <c r="B424"/>
  <c r="K428" l="1"/>
  <c r="G428"/>
  <c r="H428"/>
  <c r="I428"/>
  <c r="J428"/>
  <c r="D214"/>
  <c r="D424"/>
  <c r="E428" s="1"/>
  <c r="I214"/>
  <c r="E214"/>
  <c r="J214"/>
  <c r="F214"/>
  <c r="K214"/>
  <c r="G214"/>
  <c r="C214"/>
  <c r="B214"/>
  <c r="H214"/>
  <c r="J114"/>
  <c r="J336" s="1"/>
  <c r="F114"/>
  <c r="F336" s="1"/>
  <c r="B114"/>
  <c r="H114"/>
  <c r="H336" s="1"/>
  <c r="D114"/>
  <c r="D336" s="1"/>
  <c r="I114"/>
  <c r="I336" s="1"/>
  <c r="E114"/>
  <c r="E336" s="1"/>
  <c r="K114"/>
  <c r="K336" s="1"/>
  <c r="G114"/>
  <c r="G336" s="1"/>
  <c r="C114"/>
  <c r="C336" s="1"/>
  <c r="D428" l="1"/>
  <c r="F428"/>
  <c r="I216"/>
  <c r="J218"/>
  <c r="J224" s="1"/>
  <c r="J225" s="1"/>
  <c r="J228" s="1"/>
  <c r="J233" s="1"/>
  <c r="H217"/>
  <c r="H221" s="1"/>
  <c r="H222" s="1"/>
  <c r="H227" s="1"/>
  <c r="H232" s="1"/>
  <c r="H218"/>
  <c r="H224" s="1"/>
  <c r="H225" s="1"/>
  <c r="H228" s="1"/>
  <c r="H233" s="1"/>
  <c r="K216"/>
  <c r="H216"/>
  <c r="J217"/>
  <c r="J221" s="1"/>
  <c r="J222" s="1"/>
  <c r="J227" s="1"/>
  <c r="K218"/>
  <c r="K224" s="1"/>
  <c r="K225" s="1"/>
  <c r="K228" s="1"/>
  <c r="D218"/>
  <c r="D224" s="1"/>
  <c r="D225" s="1"/>
  <c r="D228" s="1"/>
  <c r="D233" s="1"/>
  <c r="K217"/>
  <c r="K221" s="1"/>
  <c r="K222" s="1"/>
  <c r="K227" s="1"/>
  <c r="F218"/>
  <c r="F224" s="1"/>
  <c r="F225" s="1"/>
  <c r="F228" s="1"/>
  <c r="I218"/>
  <c r="I224" s="1"/>
  <c r="I225" s="1"/>
  <c r="I228" s="1"/>
  <c r="J216"/>
  <c r="F217"/>
  <c r="F221" s="1"/>
  <c r="F222" s="1"/>
  <c r="F227" s="1"/>
  <c r="F232" s="1"/>
  <c r="E218"/>
  <c r="E224" s="1"/>
  <c r="E225" s="1"/>
  <c r="E228" s="1"/>
  <c r="G218"/>
  <c r="G224" s="1"/>
  <c r="G225" s="1"/>
  <c r="G228" s="1"/>
  <c r="K215"/>
  <c r="G217"/>
  <c r="G221" s="1"/>
  <c r="G222" s="1"/>
  <c r="G227" s="1"/>
  <c r="I217"/>
  <c r="I221" s="1"/>
  <c r="I222" s="1"/>
  <c r="I227" s="1"/>
  <c r="I337"/>
  <c r="I266" s="1"/>
  <c r="F337"/>
  <c r="F266" s="1"/>
  <c r="K337"/>
  <c r="K266" s="1"/>
  <c r="G337"/>
  <c r="G266" s="1"/>
  <c r="D337"/>
  <c r="D266" s="1"/>
  <c r="J337"/>
  <c r="J266" s="1"/>
  <c r="E337"/>
  <c r="E266" s="1"/>
  <c r="H337"/>
  <c r="H266" s="1"/>
  <c r="C97"/>
  <c r="D97"/>
  <c r="E97"/>
  <c r="F97"/>
  <c r="G97"/>
  <c r="H97"/>
  <c r="I97"/>
  <c r="J97"/>
  <c r="K97"/>
  <c r="L97" s="1"/>
  <c r="B97"/>
  <c r="C82"/>
  <c r="D82"/>
  <c r="E82"/>
  <c r="F82"/>
  <c r="G82"/>
  <c r="H82"/>
  <c r="I82"/>
  <c r="J82"/>
  <c r="K82"/>
  <c r="C1"/>
  <c r="D1"/>
  <c r="E1"/>
  <c r="F1"/>
  <c r="G1"/>
  <c r="H1"/>
  <c r="I1"/>
  <c r="J1"/>
  <c r="K1"/>
  <c r="B1"/>
  <c r="B82"/>
  <c r="C64"/>
  <c r="C172" s="1"/>
  <c r="D64"/>
  <c r="E64"/>
  <c r="E172" s="1"/>
  <c r="F64"/>
  <c r="F172" s="1"/>
  <c r="G64"/>
  <c r="G172" s="1"/>
  <c r="H64"/>
  <c r="H172" s="1"/>
  <c r="I64"/>
  <c r="I172" s="1"/>
  <c r="J64"/>
  <c r="J172" s="1"/>
  <c r="K64"/>
  <c r="K172" s="1"/>
  <c r="C63"/>
  <c r="D63"/>
  <c r="E63"/>
  <c r="F63"/>
  <c r="G63"/>
  <c r="H63"/>
  <c r="I63"/>
  <c r="J63"/>
  <c r="K63"/>
  <c r="C62"/>
  <c r="D62"/>
  <c r="E62"/>
  <c r="F62"/>
  <c r="G62"/>
  <c r="H62"/>
  <c r="I62"/>
  <c r="J62"/>
  <c r="K62"/>
  <c r="C61"/>
  <c r="D61"/>
  <c r="E61"/>
  <c r="F61"/>
  <c r="G61"/>
  <c r="H61"/>
  <c r="I61"/>
  <c r="J61"/>
  <c r="K61"/>
  <c r="C60"/>
  <c r="D60"/>
  <c r="E60"/>
  <c r="F60"/>
  <c r="G60"/>
  <c r="H60"/>
  <c r="I60"/>
  <c r="J60"/>
  <c r="K60"/>
  <c r="C59"/>
  <c r="D59"/>
  <c r="E59"/>
  <c r="F59"/>
  <c r="G59"/>
  <c r="H59"/>
  <c r="I59"/>
  <c r="J59"/>
  <c r="K59"/>
  <c r="C58"/>
  <c r="D58"/>
  <c r="E58"/>
  <c r="F58"/>
  <c r="G58"/>
  <c r="H58"/>
  <c r="I58"/>
  <c r="J58"/>
  <c r="K58"/>
  <c r="C57"/>
  <c r="D57"/>
  <c r="E57"/>
  <c r="F57"/>
  <c r="G57"/>
  <c r="H57"/>
  <c r="I57"/>
  <c r="J57"/>
  <c r="K57"/>
  <c r="C56"/>
  <c r="D56"/>
  <c r="E56"/>
  <c r="F56"/>
  <c r="G56"/>
  <c r="H56"/>
  <c r="I56"/>
  <c r="J56"/>
  <c r="K56"/>
  <c r="C55"/>
  <c r="D55"/>
  <c r="E55"/>
  <c r="F55"/>
  <c r="G55"/>
  <c r="H55"/>
  <c r="I55"/>
  <c r="J55"/>
  <c r="K55"/>
  <c r="C54"/>
  <c r="D54"/>
  <c r="E54"/>
  <c r="F54"/>
  <c r="G54"/>
  <c r="H54"/>
  <c r="I54"/>
  <c r="J54"/>
  <c r="K54"/>
  <c r="C53"/>
  <c r="D53"/>
  <c r="E53"/>
  <c r="F53"/>
  <c r="G53"/>
  <c r="H53"/>
  <c r="I53"/>
  <c r="J53"/>
  <c r="K53"/>
  <c r="C52"/>
  <c r="D52"/>
  <c r="E52"/>
  <c r="F52"/>
  <c r="G52"/>
  <c r="H52"/>
  <c r="I52"/>
  <c r="J52"/>
  <c r="K52"/>
  <c r="C51"/>
  <c r="D51"/>
  <c r="E51"/>
  <c r="F51"/>
  <c r="G51"/>
  <c r="H51"/>
  <c r="I51"/>
  <c r="J51"/>
  <c r="K51"/>
  <c r="B65"/>
  <c r="B64"/>
  <c r="B172" s="1"/>
  <c r="B63"/>
  <c r="B62"/>
  <c r="B61"/>
  <c r="B60"/>
  <c r="B59"/>
  <c r="B58"/>
  <c r="B57"/>
  <c r="B56"/>
  <c r="B55"/>
  <c r="B54"/>
  <c r="B53"/>
  <c r="B52"/>
  <c r="B51"/>
  <c r="K5"/>
  <c r="K6"/>
  <c r="K7"/>
  <c r="K8"/>
  <c r="K9"/>
  <c r="K10"/>
  <c r="K11"/>
  <c r="K12"/>
  <c r="K13"/>
  <c r="K14"/>
  <c r="K15"/>
  <c r="K16"/>
  <c r="K17"/>
  <c r="K18"/>
  <c r="K22"/>
  <c r="K23"/>
  <c r="K24"/>
  <c r="K260" s="1"/>
  <c r="K25"/>
  <c r="K26"/>
  <c r="K27"/>
  <c r="K28"/>
  <c r="K29"/>
  <c r="K30"/>
  <c r="K31"/>
  <c r="K32"/>
  <c r="K437" s="1"/>
  <c r="K33"/>
  <c r="K438" s="1"/>
  <c r="K34"/>
  <c r="K35"/>
  <c r="K36"/>
  <c r="K37"/>
  <c r="K41"/>
  <c r="K42"/>
  <c r="K43"/>
  <c r="K44"/>
  <c r="K46"/>
  <c r="J5"/>
  <c r="J6"/>
  <c r="J7"/>
  <c r="J8"/>
  <c r="J9"/>
  <c r="J10"/>
  <c r="J11"/>
  <c r="J12"/>
  <c r="J13"/>
  <c r="J14"/>
  <c r="J15"/>
  <c r="J16"/>
  <c r="J17"/>
  <c r="J18"/>
  <c r="J22"/>
  <c r="J23"/>
  <c r="J24"/>
  <c r="J260" s="1"/>
  <c r="J25"/>
  <c r="J26"/>
  <c r="J27"/>
  <c r="J28"/>
  <c r="J29"/>
  <c r="J30"/>
  <c r="J31"/>
  <c r="J32"/>
  <c r="J437" s="1"/>
  <c r="J33"/>
  <c r="J438" s="1"/>
  <c r="J34"/>
  <c r="J35"/>
  <c r="J36"/>
  <c r="J37"/>
  <c r="J41"/>
  <c r="J42"/>
  <c r="J43"/>
  <c r="J44"/>
  <c r="J46"/>
  <c r="I5"/>
  <c r="I6"/>
  <c r="I7"/>
  <c r="I8"/>
  <c r="I9"/>
  <c r="I10"/>
  <c r="I11"/>
  <c r="I12"/>
  <c r="I13"/>
  <c r="I14"/>
  <c r="I15"/>
  <c r="I16"/>
  <c r="I17"/>
  <c r="I18"/>
  <c r="I22"/>
  <c r="I23"/>
  <c r="I24"/>
  <c r="I260" s="1"/>
  <c r="I25"/>
  <c r="I26"/>
  <c r="I27"/>
  <c r="I28"/>
  <c r="I29"/>
  <c r="I30"/>
  <c r="I31"/>
  <c r="I32"/>
  <c r="I437" s="1"/>
  <c r="I33"/>
  <c r="I438" s="1"/>
  <c r="I34"/>
  <c r="I35"/>
  <c r="I36"/>
  <c r="I37"/>
  <c r="I41"/>
  <c r="I42"/>
  <c r="I43"/>
  <c r="I44"/>
  <c r="I46"/>
  <c r="H5"/>
  <c r="H6"/>
  <c r="H7"/>
  <c r="H8"/>
  <c r="H9"/>
  <c r="H10"/>
  <c r="H11"/>
  <c r="H12"/>
  <c r="H13"/>
  <c r="H14"/>
  <c r="H15"/>
  <c r="H16"/>
  <c r="H17"/>
  <c r="H18"/>
  <c r="H22"/>
  <c r="H23"/>
  <c r="H24"/>
  <c r="H260" s="1"/>
  <c r="H25"/>
  <c r="H26"/>
  <c r="H27"/>
  <c r="H28"/>
  <c r="H29"/>
  <c r="H30"/>
  <c r="H31"/>
  <c r="H32"/>
  <c r="H437" s="1"/>
  <c r="H33"/>
  <c r="H438" s="1"/>
  <c r="H34"/>
  <c r="H35"/>
  <c r="H36"/>
  <c r="H37"/>
  <c r="H41"/>
  <c r="H42"/>
  <c r="H43"/>
  <c r="H44"/>
  <c r="H46"/>
  <c r="G5"/>
  <c r="G6"/>
  <c r="G7"/>
  <c r="G8"/>
  <c r="G9"/>
  <c r="G10"/>
  <c r="G11"/>
  <c r="G12"/>
  <c r="G13"/>
  <c r="G14"/>
  <c r="G15"/>
  <c r="G16"/>
  <c r="G17"/>
  <c r="G18"/>
  <c r="G22"/>
  <c r="G23"/>
  <c r="G24"/>
  <c r="G260" s="1"/>
  <c r="G25"/>
  <c r="G26"/>
  <c r="G27"/>
  <c r="G28"/>
  <c r="G29"/>
  <c r="G30"/>
  <c r="G31"/>
  <c r="G32"/>
  <c r="G437" s="1"/>
  <c r="G33"/>
  <c r="G438" s="1"/>
  <c r="G34"/>
  <c r="G35"/>
  <c r="G36"/>
  <c r="G37"/>
  <c r="G41"/>
  <c r="G42"/>
  <c r="G43"/>
  <c r="G44"/>
  <c r="G46"/>
  <c r="F5"/>
  <c r="F6"/>
  <c r="F7"/>
  <c r="F8"/>
  <c r="F9"/>
  <c r="F10"/>
  <c r="F11"/>
  <c r="F12"/>
  <c r="F13"/>
  <c r="F14"/>
  <c r="F15"/>
  <c r="F16"/>
  <c r="F17"/>
  <c r="F18"/>
  <c r="F22"/>
  <c r="F23"/>
  <c r="F24"/>
  <c r="F260" s="1"/>
  <c r="F25"/>
  <c r="F26"/>
  <c r="F27"/>
  <c r="F28"/>
  <c r="F29"/>
  <c r="F30"/>
  <c r="F31"/>
  <c r="F32"/>
  <c r="F437" s="1"/>
  <c r="F33"/>
  <c r="F438" s="1"/>
  <c r="F34"/>
  <c r="F35"/>
  <c r="F36"/>
  <c r="F37"/>
  <c r="F41"/>
  <c r="F42"/>
  <c r="F43"/>
  <c r="F44"/>
  <c r="F46"/>
  <c r="E5"/>
  <c r="E6"/>
  <c r="E7"/>
  <c r="E8"/>
  <c r="E9"/>
  <c r="E10"/>
  <c r="E11"/>
  <c r="E12"/>
  <c r="E13"/>
  <c r="E14"/>
  <c r="E15"/>
  <c r="E16"/>
  <c r="E17"/>
  <c r="E18"/>
  <c r="E22"/>
  <c r="E23"/>
  <c r="E24"/>
  <c r="E260" s="1"/>
  <c r="E25"/>
  <c r="E26"/>
  <c r="E27"/>
  <c r="E28"/>
  <c r="E29"/>
  <c r="E30"/>
  <c r="E31"/>
  <c r="E32"/>
  <c r="E437" s="1"/>
  <c r="E33"/>
  <c r="E438" s="1"/>
  <c r="E34"/>
  <c r="E35"/>
  <c r="E36"/>
  <c r="E37"/>
  <c r="E41"/>
  <c r="E42"/>
  <c r="E43"/>
  <c r="E44"/>
  <c r="E46"/>
  <c r="D5"/>
  <c r="D6"/>
  <c r="D7"/>
  <c r="D8"/>
  <c r="D9"/>
  <c r="D10"/>
  <c r="D11"/>
  <c r="D12"/>
  <c r="D13"/>
  <c r="D14"/>
  <c r="D15"/>
  <c r="D16"/>
  <c r="D17"/>
  <c r="D18"/>
  <c r="D22"/>
  <c r="D23"/>
  <c r="D24"/>
  <c r="D260" s="1"/>
  <c r="D25"/>
  <c r="D26"/>
  <c r="D27"/>
  <c r="D28"/>
  <c r="D29"/>
  <c r="D30"/>
  <c r="D31"/>
  <c r="D32"/>
  <c r="D437" s="1"/>
  <c r="D33"/>
  <c r="D438" s="1"/>
  <c r="D34"/>
  <c r="D35"/>
  <c r="D36"/>
  <c r="D37"/>
  <c r="D41"/>
  <c r="D42"/>
  <c r="D43"/>
  <c r="D44"/>
  <c r="D46"/>
  <c r="D4"/>
  <c r="E4"/>
  <c r="E250" s="1"/>
  <c r="F4"/>
  <c r="F250" s="1"/>
  <c r="G4"/>
  <c r="G250" s="1"/>
  <c r="H4"/>
  <c r="H250" s="1"/>
  <c r="I4"/>
  <c r="I250" s="1"/>
  <c r="J4"/>
  <c r="J250" s="1"/>
  <c r="K4"/>
  <c r="K250" s="1"/>
  <c r="C5"/>
  <c r="C6"/>
  <c r="C7"/>
  <c r="C8"/>
  <c r="C9"/>
  <c r="C10"/>
  <c r="C11"/>
  <c r="C12"/>
  <c r="C13"/>
  <c r="C14"/>
  <c r="C15"/>
  <c r="C16"/>
  <c r="C17"/>
  <c r="C18"/>
  <c r="C22"/>
  <c r="C23"/>
  <c r="C24"/>
  <c r="C260" s="1"/>
  <c r="C25"/>
  <c r="C26"/>
  <c r="C27"/>
  <c r="C28"/>
  <c r="C29"/>
  <c r="C30"/>
  <c r="C31"/>
  <c r="C32"/>
  <c r="C437" s="1"/>
  <c r="C33"/>
  <c r="C438" s="1"/>
  <c r="C34"/>
  <c r="C35"/>
  <c r="C36"/>
  <c r="C37"/>
  <c r="C41"/>
  <c r="C42"/>
  <c r="C43"/>
  <c r="C44"/>
  <c r="C46"/>
  <c r="C4"/>
  <c r="C250" s="1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7"/>
  <c r="E418"/>
  <c r="E419"/>
  <c r="E420"/>
  <c r="E421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7"/>
  <c r="D418"/>
  <c r="D419"/>
  <c r="D420"/>
  <c r="D421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7"/>
  <c r="C418"/>
  <c r="C419"/>
  <c r="C420"/>
  <c r="C421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E374"/>
  <c r="E375"/>
  <c r="E376"/>
  <c r="E377"/>
  <c r="E378"/>
  <c r="E379"/>
  <c r="E380"/>
  <c r="E381"/>
  <c r="E382"/>
  <c r="E383"/>
  <c r="E384"/>
  <c r="E385"/>
  <c r="E386"/>
  <c r="E387"/>
  <c r="E373"/>
  <c r="D374"/>
  <c r="D375"/>
  <c r="D376"/>
  <c r="D377"/>
  <c r="D378"/>
  <c r="D379"/>
  <c r="D380"/>
  <c r="D381"/>
  <c r="D382"/>
  <c r="D383"/>
  <c r="D384"/>
  <c r="D385"/>
  <c r="D386"/>
  <c r="D387"/>
  <c r="D373"/>
  <c r="C374"/>
  <c r="C375"/>
  <c r="C376"/>
  <c r="C377"/>
  <c r="C378"/>
  <c r="C379"/>
  <c r="C380"/>
  <c r="C381"/>
  <c r="C382"/>
  <c r="C383"/>
  <c r="C384"/>
  <c r="C385"/>
  <c r="C386"/>
  <c r="C387"/>
  <c r="C373"/>
  <c r="B383"/>
  <c r="B384"/>
  <c r="B385"/>
  <c r="B386"/>
  <c r="B387"/>
  <c r="B374"/>
  <c r="B375"/>
  <c r="B376"/>
  <c r="B377"/>
  <c r="B378"/>
  <c r="B379"/>
  <c r="B380"/>
  <c r="B381"/>
  <c r="B382"/>
  <c r="B373"/>
  <c r="K93" i="6"/>
  <c r="C93"/>
  <c r="D93"/>
  <c r="E93"/>
  <c r="F93"/>
  <c r="G93"/>
  <c r="H93"/>
  <c r="I93"/>
  <c r="J93"/>
  <c r="B93"/>
  <c r="D250" i="5" l="1"/>
  <c r="J281"/>
  <c r="F281"/>
  <c r="D281"/>
  <c r="I281"/>
  <c r="E281"/>
  <c r="K281"/>
  <c r="G281"/>
  <c r="H281"/>
  <c r="E282"/>
  <c r="J282"/>
  <c r="F282"/>
  <c r="K282"/>
  <c r="G282"/>
  <c r="H282"/>
  <c r="D282"/>
  <c r="I282"/>
  <c r="I283"/>
  <c r="J283"/>
  <c r="F283"/>
  <c r="E283"/>
  <c r="K283"/>
  <c r="G283"/>
  <c r="H283"/>
  <c r="D283"/>
  <c r="L82"/>
  <c r="L93" i="6"/>
  <c r="J254" i="5"/>
  <c r="F254"/>
  <c r="H254"/>
  <c r="D254"/>
  <c r="K254"/>
  <c r="G254"/>
  <c r="C254"/>
  <c r="I254"/>
  <c r="E254"/>
  <c r="D347"/>
  <c r="D172"/>
  <c r="I232"/>
  <c r="I267"/>
  <c r="E233"/>
  <c r="E268"/>
  <c r="F233"/>
  <c r="F268"/>
  <c r="J232"/>
  <c r="J267"/>
  <c r="G233"/>
  <c r="G268"/>
  <c r="I233"/>
  <c r="I268"/>
  <c r="K233"/>
  <c r="K268"/>
  <c r="H268"/>
  <c r="J268"/>
  <c r="G232"/>
  <c r="G267"/>
  <c r="K232"/>
  <c r="K267"/>
  <c r="H267"/>
  <c r="I347"/>
  <c r="E347"/>
  <c r="B347"/>
  <c r="J347"/>
  <c r="F347"/>
  <c r="K347"/>
  <c r="G347"/>
  <c r="C347"/>
  <c r="H347"/>
  <c r="K338"/>
  <c r="J339"/>
  <c r="H338"/>
  <c r="G338"/>
  <c r="I339"/>
  <c r="K339"/>
  <c r="I338"/>
  <c r="J338"/>
  <c r="F338"/>
  <c r="K340"/>
  <c r="H339"/>
  <c r="J48"/>
  <c r="F48"/>
  <c r="I48"/>
  <c r="E48"/>
  <c r="K240"/>
  <c r="G240"/>
  <c r="G245" s="1"/>
  <c r="C240"/>
  <c r="C245" s="1"/>
  <c r="I240"/>
  <c r="I245" s="1"/>
  <c r="E240"/>
  <c r="E245" s="1"/>
  <c r="H240"/>
  <c r="H245" s="1"/>
  <c r="D240"/>
  <c r="D245" s="1"/>
  <c r="J240"/>
  <c r="J245" s="1"/>
  <c r="F240"/>
  <c r="F245" s="1"/>
  <c r="K150"/>
  <c r="K83"/>
  <c r="G150"/>
  <c r="G83"/>
  <c r="C150"/>
  <c r="C83"/>
  <c r="H150"/>
  <c r="H83"/>
  <c r="D150"/>
  <c r="D83"/>
  <c r="I150"/>
  <c r="I83"/>
  <c r="E150"/>
  <c r="E83"/>
  <c r="B150"/>
  <c r="B83"/>
  <c r="J150"/>
  <c r="J83"/>
  <c r="F150"/>
  <c r="F83"/>
  <c r="G235"/>
  <c r="G425" s="1"/>
  <c r="D235"/>
  <c r="D425" s="1"/>
  <c r="I235"/>
  <c r="I425" s="1"/>
  <c r="E235"/>
  <c r="E425" s="1"/>
  <c r="K48"/>
  <c r="G48"/>
  <c r="H48"/>
  <c r="D48"/>
  <c r="K235"/>
  <c r="K425" s="1"/>
  <c r="K432" s="1"/>
  <c r="C235"/>
  <c r="C425" s="1"/>
  <c r="H235"/>
  <c r="H425" s="1"/>
  <c r="B235"/>
  <c r="B425" s="1"/>
  <c r="J235"/>
  <c r="J425" s="1"/>
  <c r="J432" s="1"/>
  <c r="F235"/>
  <c r="F425" s="1"/>
  <c r="C48"/>
  <c r="C5" i="1"/>
  <c r="D5"/>
  <c r="E5"/>
  <c r="F5"/>
  <c r="G5"/>
  <c r="H5"/>
  <c r="I5"/>
  <c r="J5"/>
  <c r="K5"/>
  <c r="B5"/>
  <c r="B6" i="6"/>
  <c r="C17" i="2"/>
  <c r="D17"/>
  <c r="E17"/>
  <c r="F17"/>
  <c r="G17"/>
  <c r="H17"/>
  <c r="I17"/>
  <c r="J17"/>
  <c r="K17"/>
  <c r="C18"/>
  <c r="D18"/>
  <c r="E18"/>
  <c r="F18"/>
  <c r="G18"/>
  <c r="H18"/>
  <c r="I18"/>
  <c r="J18"/>
  <c r="K18"/>
  <c r="B17"/>
  <c r="C4"/>
  <c r="D4"/>
  <c r="E4"/>
  <c r="F4"/>
  <c r="G4"/>
  <c r="H4"/>
  <c r="I4"/>
  <c r="J4"/>
  <c r="K4"/>
  <c r="C5"/>
  <c r="D5"/>
  <c r="E5"/>
  <c r="F5"/>
  <c r="G5"/>
  <c r="H5"/>
  <c r="I5"/>
  <c r="J5"/>
  <c r="K5"/>
  <c r="C6"/>
  <c r="D6"/>
  <c r="E6"/>
  <c r="F6"/>
  <c r="G6"/>
  <c r="H6"/>
  <c r="I6"/>
  <c r="J6"/>
  <c r="K6"/>
  <c r="C7"/>
  <c r="D7"/>
  <c r="E7"/>
  <c r="F7"/>
  <c r="G7"/>
  <c r="H7"/>
  <c r="I7"/>
  <c r="J7"/>
  <c r="K7"/>
  <c r="C8"/>
  <c r="D8"/>
  <c r="E8"/>
  <c r="F8"/>
  <c r="G8"/>
  <c r="H8"/>
  <c r="I8"/>
  <c r="J8"/>
  <c r="K8"/>
  <c r="C10"/>
  <c r="D10"/>
  <c r="E10"/>
  <c r="F10"/>
  <c r="G10"/>
  <c r="H10"/>
  <c r="I10"/>
  <c r="J10"/>
  <c r="K10"/>
  <c r="C11"/>
  <c r="D11"/>
  <c r="E11"/>
  <c r="F11"/>
  <c r="G11"/>
  <c r="H11"/>
  <c r="I11"/>
  <c r="J11"/>
  <c r="K11"/>
  <c r="C12"/>
  <c r="D12"/>
  <c r="E12"/>
  <c r="F12"/>
  <c r="G12"/>
  <c r="H12"/>
  <c r="I12"/>
  <c r="J12"/>
  <c r="K12"/>
  <c r="C13"/>
  <c r="D13"/>
  <c r="E13"/>
  <c r="F13"/>
  <c r="G13"/>
  <c r="H13"/>
  <c r="I13"/>
  <c r="J13"/>
  <c r="K13"/>
  <c r="C14"/>
  <c r="D14"/>
  <c r="E14"/>
  <c r="F14"/>
  <c r="G14"/>
  <c r="H14"/>
  <c r="I14"/>
  <c r="J14"/>
  <c r="K14"/>
  <c r="B14"/>
  <c r="B5"/>
  <c r="B4"/>
  <c r="C4" i="4"/>
  <c r="D4"/>
  <c r="E4"/>
  <c r="F4"/>
  <c r="G4"/>
  <c r="H4"/>
  <c r="I4"/>
  <c r="J4"/>
  <c r="K4"/>
  <c r="C5"/>
  <c r="D5"/>
  <c r="E5"/>
  <c r="F5"/>
  <c r="G5"/>
  <c r="H5"/>
  <c r="I5"/>
  <c r="J5"/>
  <c r="K5"/>
  <c r="C6"/>
  <c r="D6"/>
  <c r="E6"/>
  <c r="F6"/>
  <c r="G6"/>
  <c r="H6"/>
  <c r="I6"/>
  <c r="J6"/>
  <c r="K6"/>
  <c r="C7"/>
  <c r="D7"/>
  <c r="E7"/>
  <c r="F7"/>
  <c r="G7"/>
  <c r="H7"/>
  <c r="I7"/>
  <c r="J7"/>
  <c r="K7"/>
  <c r="C4" i="3"/>
  <c r="D4"/>
  <c r="E4"/>
  <c r="F4"/>
  <c r="G4"/>
  <c r="H4"/>
  <c r="I4"/>
  <c r="J4"/>
  <c r="K4"/>
  <c r="C5"/>
  <c r="D5"/>
  <c r="E5"/>
  <c r="F5"/>
  <c r="G5"/>
  <c r="H5"/>
  <c r="I5"/>
  <c r="J5"/>
  <c r="K5"/>
  <c r="C7"/>
  <c r="D7"/>
  <c r="E7"/>
  <c r="F7"/>
  <c r="G7"/>
  <c r="H7"/>
  <c r="I7"/>
  <c r="J7"/>
  <c r="K7"/>
  <c r="C8"/>
  <c r="D8"/>
  <c r="E8"/>
  <c r="F8"/>
  <c r="G8"/>
  <c r="H8"/>
  <c r="I8"/>
  <c r="J8"/>
  <c r="K8"/>
  <c r="C9"/>
  <c r="D9"/>
  <c r="E9"/>
  <c r="F9"/>
  <c r="G9"/>
  <c r="H9"/>
  <c r="I9"/>
  <c r="J9"/>
  <c r="K9"/>
  <c r="C10"/>
  <c r="D10"/>
  <c r="E10"/>
  <c r="F10"/>
  <c r="G10"/>
  <c r="H10"/>
  <c r="I10"/>
  <c r="J10"/>
  <c r="K10"/>
  <c r="C11"/>
  <c r="D11"/>
  <c r="E11"/>
  <c r="F11"/>
  <c r="G11"/>
  <c r="H11"/>
  <c r="I11"/>
  <c r="J11"/>
  <c r="K11"/>
  <c r="C12"/>
  <c r="D12"/>
  <c r="E12"/>
  <c r="F12"/>
  <c r="G12"/>
  <c r="H12"/>
  <c r="I12"/>
  <c r="J12"/>
  <c r="K12"/>
  <c r="B5"/>
  <c r="C18" i="1"/>
  <c r="D18"/>
  <c r="E18"/>
  <c r="F18"/>
  <c r="G18"/>
  <c r="H18"/>
  <c r="I18"/>
  <c r="J18"/>
  <c r="K18"/>
  <c r="B18"/>
  <c r="C4"/>
  <c r="D4"/>
  <c r="E4"/>
  <c r="F4"/>
  <c r="G4"/>
  <c r="H4"/>
  <c r="I4"/>
  <c r="J4"/>
  <c r="K4"/>
  <c r="C7"/>
  <c r="D7"/>
  <c r="E7"/>
  <c r="F7"/>
  <c r="G7"/>
  <c r="H7"/>
  <c r="I7"/>
  <c r="J7"/>
  <c r="K7"/>
  <c r="C8"/>
  <c r="D8"/>
  <c r="E8"/>
  <c r="F8"/>
  <c r="G8"/>
  <c r="H8"/>
  <c r="I8"/>
  <c r="J8"/>
  <c r="K8"/>
  <c r="C9"/>
  <c r="C290" i="5" s="1"/>
  <c r="D9" i="1"/>
  <c r="E9"/>
  <c r="F9"/>
  <c r="F290" i="5" s="1"/>
  <c r="G9" i="1"/>
  <c r="G290" i="5" s="1"/>
  <c r="H9" i="1"/>
  <c r="I9"/>
  <c r="J9"/>
  <c r="J290" i="5" s="1"/>
  <c r="K9" i="1"/>
  <c r="K290" i="5" s="1"/>
  <c r="C10" i="1"/>
  <c r="D10"/>
  <c r="E10"/>
  <c r="F10"/>
  <c r="G10"/>
  <c r="H10"/>
  <c r="I10"/>
  <c r="J10"/>
  <c r="K10"/>
  <c r="C11"/>
  <c r="D11"/>
  <c r="E11"/>
  <c r="F11"/>
  <c r="G11"/>
  <c r="H11"/>
  <c r="I11"/>
  <c r="J11"/>
  <c r="K11"/>
  <c r="C12"/>
  <c r="C13" s="1"/>
  <c r="D12"/>
  <c r="D13" s="1"/>
  <c r="E12"/>
  <c r="E13" s="1"/>
  <c r="F12"/>
  <c r="F13" s="1"/>
  <c r="G12"/>
  <c r="G13" s="1"/>
  <c r="H12"/>
  <c r="H13" s="1"/>
  <c r="I12"/>
  <c r="I13" s="1"/>
  <c r="J12"/>
  <c r="J13" s="1"/>
  <c r="K12"/>
  <c r="K13" s="1"/>
  <c r="C15"/>
  <c r="C292" i="5" s="1"/>
  <c r="D15" i="1"/>
  <c r="D292" i="5" s="1"/>
  <c r="E15" i="1"/>
  <c r="E292" i="5" s="1"/>
  <c r="F15" i="1"/>
  <c r="F292" i="5" s="1"/>
  <c r="G15" i="1"/>
  <c r="G292" i="5" s="1"/>
  <c r="H15" i="1"/>
  <c r="H292" i="5" s="1"/>
  <c r="I15" i="1"/>
  <c r="I292" i="5" s="1"/>
  <c r="J15" i="1"/>
  <c r="J292" i="5" s="1"/>
  <c r="K15" i="1"/>
  <c r="K292" i="5" s="1"/>
  <c r="B15" i="1"/>
  <c r="B7"/>
  <c r="B4"/>
  <c r="A1"/>
  <c r="E1" i="6"/>
  <c r="D290" i="5" l="1"/>
  <c r="I290"/>
  <c r="E290"/>
  <c r="H290"/>
  <c r="J274"/>
  <c r="H255"/>
  <c r="I276"/>
  <c r="E276"/>
  <c r="F274"/>
  <c r="H274"/>
  <c r="D274"/>
  <c r="D278" s="1"/>
  <c r="I255"/>
  <c r="I284"/>
  <c r="E284"/>
  <c r="J284"/>
  <c r="F284"/>
  <c r="K284"/>
  <c r="G284"/>
  <c r="H284"/>
  <c r="D284"/>
  <c r="D255" s="1"/>
  <c r="F276"/>
  <c r="K274"/>
  <c r="G274"/>
  <c r="J276"/>
  <c r="K276"/>
  <c r="G276"/>
  <c r="H276"/>
  <c r="D276"/>
  <c r="I274"/>
  <c r="E274"/>
  <c r="K168"/>
  <c r="G168"/>
  <c r="C168"/>
  <c r="K245"/>
  <c r="L245" s="1"/>
  <c r="L240"/>
  <c r="I88"/>
  <c r="I300" s="1"/>
  <c r="E88"/>
  <c r="E300" s="1"/>
  <c r="H168"/>
  <c r="D168"/>
  <c r="L83"/>
  <c r="E168"/>
  <c r="J168"/>
  <c r="F168"/>
  <c r="I168"/>
  <c r="B168"/>
  <c r="J88"/>
  <c r="J300" s="1"/>
  <c r="F88"/>
  <c r="F300" s="1"/>
  <c r="K88"/>
  <c r="K300" s="1"/>
  <c r="G88"/>
  <c r="G300" s="1"/>
  <c r="C88"/>
  <c r="C300" s="1"/>
  <c r="H88"/>
  <c r="H300" s="1"/>
  <c r="D88"/>
  <c r="D300" s="1"/>
  <c r="H117"/>
  <c r="D117"/>
  <c r="I117"/>
  <c r="E117"/>
  <c r="G115"/>
  <c r="C115"/>
  <c r="H115"/>
  <c r="F116"/>
  <c r="I115"/>
  <c r="E115"/>
  <c r="J117"/>
  <c r="F117"/>
  <c r="D115"/>
  <c r="J116"/>
  <c r="K115"/>
  <c r="J115"/>
  <c r="F115"/>
  <c r="K117"/>
  <c r="G117"/>
  <c r="H116"/>
  <c r="D116"/>
  <c r="I116"/>
  <c r="E116"/>
  <c r="K261"/>
  <c r="K313" s="1"/>
  <c r="K314" s="1"/>
  <c r="G261"/>
  <c r="G313" s="1"/>
  <c r="G314" s="1"/>
  <c r="K116"/>
  <c r="G116"/>
  <c r="C116"/>
  <c r="E255"/>
  <c r="I261"/>
  <c r="I313" s="1"/>
  <c r="I314" s="1"/>
  <c r="E261"/>
  <c r="E313" s="1"/>
  <c r="E314" s="1"/>
  <c r="F255"/>
  <c r="H261"/>
  <c r="H313" s="1"/>
  <c r="H314" s="1"/>
  <c r="D261"/>
  <c r="D313" s="1"/>
  <c r="D314" s="1"/>
  <c r="J261"/>
  <c r="J313" s="1"/>
  <c r="J314" s="1"/>
  <c r="F261"/>
  <c r="F313" s="1"/>
  <c r="F314" s="1"/>
  <c r="J255"/>
  <c r="C255"/>
  <c r="K255"/>
  <c r="G255"/>
  <c r="H271"/>
  <c r="D271"/>
  <c r="F271"/>
  <c r="J271"/>
  <c r="D429"/>
  <c r="D433" s="1"/>
  <c r="G429"/>
  <c r="G433" s="1"/>
  <c r="E432"/>
  <c r="I429"/>
  <c r="I433" s="1"/>
  <c r="G432"/>
  <c r="H429"/>
  <c r="H433" s="1"/>
  <c r="F432"/>
  <c r="F429"/>
  <c r="F433" s="1"/>
  <c r="D432"/>
  <c r="E429"/>
  <c r="E433" s="1"/>
  <c r="J429"/>
  <c r="J433" s="1"/>
  <c r="H432"/>
  <c r="K429"/>
  <c r="K433" s="1"/>
  <c r="I432"/>
  <c r="G271"/>
  <c r="I271"/>
  <c r="E271"/>
  <c r="E241"/>
  <c r="E246" s="1"/>
  <c r="D241"/>
  <c r="D246" s="1"/>
  <c r="I319"/>
  <c r="I262" s="1"/>
  <c r="E319"/>
  <c r="E262" s="1"/>
  <c r="K319"/>
  <c r="K262" s="1"/>
  <c r="G319"/>
  <c r="G262" s="1"/>
  <c r="H319"/>
  <c r="H262" s="1"/>
  <c r="D319"/>
  <c r="D262" s="1"/>
  <c r="J319"/>
  <c r="J262" s="1"/>
  <c r="F319"/>
  <c r="F262" s="1"/>
  <c r="H241"/>
  <c r="H246" s="1"/>
  <c r="I241"/>
  <c r="I246" s="1"/>
  <c r="F241"/>
  <c r="F246" s="1"/>
  <c r="G241"/>
  <c r="G246" s="1"/>
  <c r="J241"/>
  <c r="J246" s="1"/>
  <c r="C241"/>
  <c r="C246" s="1"/>
  <c r="K241"/>
  <c r="K14" i="1"/>
  <c r="I6" i="3"/>
  <c r="G14" i="1"/>
  <c r="H6" i="3"/>
  <c r="D6"/>
  <c r="I14" i="1"/>
  <c r="E14"/>
  <c r="I23" i="2"/>
  <c r="E23"/>
  <c r="J14" i="1"/>
  <c r="J275" i="5" s="1"/>
  <c r="F14" i="1"/>
  <c r="F275" i="5" s="1"/>
  <c r="J23" i="2"/>
  <c r="C14" i="1"/>
  <c r="H14"/>
  <c r="D14"/>
  <c r="E1" i="2"/>
  <c r="E1" i="4"/>
  <c r="E1" i="3"/>
  <c r="J6"/>
  <c r="F6"/>
  <c r="K6"/>
  <c r="G6"/>
  <c r="C6"/>
  <c r="H16" i="2"/>
  <c r="H297" i="5" s="1"/>
  <c r="D16" i="2"/>
  <c r="D297" i="5" s="1"/>
  <c r="K23" i="2"/>
  <c r="G16"/>
  <c r="G297" i="5" s="1"/>
  <c r="F23" i="2"/>
  <c r="C23"/>
  <c r="I16"/>
  <c r="I297" i="5" s="1"/>
  <c r="E16" i="2"/>
  <c r="E297" i="5" s="1"/>
  <c r="K16" i="2"/>
  <c r="K297" i="5" s="1"/>
  <c r="C16" i="2"/>
  <c r="C297" i="5" s="1"/>
  <c r="G23" i="2"/>
  <c r="J16"/>
  <c r="J297" i="5" s="1"/>
  <c r="F16" i="2"/>
  <c r="F297" i="5" s="1"/>
  <c r="E6" i="1"/>
  <c r="E6" i="3"/>
  <c r="H23" i="2"/>
  <c r="D23"/>
  <c r="I6" i="1"/>
  <c r="J6"/>
  <c r="F6"/>
  <c r="K6"/>
  <c r="G6"/>
  <c r="C6"/>
  <c r="H6"/>
  <c r="D6"/>
  <c r="B6"/>
  <c r="B363" i="5" s="1"/>
  <c r="H1" i="1"/>
  <c r="G439" i="5" l="1"/>
  <c r="E439"/>
  <c r="J439"/>
  <c r="H439"/>
  <c r="F439"/>
  <c r="D439"/>
  <c r="K439"/>
  <c r="I439"/>
  <c r="F291"/>
  <c r="F293" s="1"/>
  <c r="K291"/>
  <c r="K293" s="1"/>
  <c r="G291"/>
  <c r="G293" s="1"/>
  <c r="E291"/>
  <c r="E293" s="1"/>
  <c r="J291"/>
  <c r="J293" s="1"/>
  <c r="H291"/>
  <c r="H293" s="1"/>
  <c r="I291"/>
  <c r="I293" s="1"/>
  <c r="D291"/>
  <c r="D293" s="1"/>
  <c r="H166"/>
  <c r="F166"/>
  <c r="D201"/>
  <c r="K197"/>
  <c r="C194"/>
  <c r="G194"/>
  <c r="H275"/>
  <c r="K275"/>
  <c r="H278"/>
  <c r="G278"/>
  <c r="I275"/>
  <c r="I278"/>
  <c r="D275"/>
  <c r="E275"/>
  <c r="G275"/>
  <c r="E278"/>
  <c r="I280"/>
  <c r="K280"/>
  <c r="H280"/>
  <c r="F280"/>
  <c r="E280"/>
  <c r="D280"/>
  <c r="J280"/>
  <c r="G280"/>
  <c r="G93"/>
  <c r="G98" s="1"/>
  <c r="G102" s="1"/>
  <c r="G106" s="1"/>
  <c r="K278"/>
  <c r="J278"/>
  <c r="F278"/>
  <c r="K246"/>
  <c r="L246" s="1"/>
  <c r="L241"/>
  <c r="K271"/>
  <c r="H89"/>
  <c r="H301" s="1"/>
  <c r="H93"/>
  <c r="H98" s="1"/>
  <c r="H102" s="1"/>
  <c r="H199"/>
  <c r="K201"/>
  <c r="L88"/>
  <c r="D89"/>
  <c r="D301" s="1"/>
  <c r="H178"/>
  <c r="H124"/>
  <c r="H302" s="1"/>
  <c r="I308"/>
  <c r="G197"/>
  <c r="G178"/>
  <c r="H121"/>
  <c r="G94"/>
  <c r="G99" s="1"/>
  <c r="G103" s="1"/>
  <c r="G107" s="1"/>
  <c r="H197"/>
  <c r="H201"/>
  <c r="H194"/>
  <c r="D194"/>
  <c r="D251"/>
  <c r="K94"/>
  <c r="K308"/>
  <c r="D124"/>
  <c r="D302" s="1"/>
  <c r="E308"/>
  <c r="G199"/>
  <c r="D178"/>
  <c r="D197"/>
  <c r="G124"/>
  <c r="G302" s="1"/>
  <c r="K89"/>
  <c r="K301" s="1"/>
  <c r="D166"/>
  <c r="G89"/>
  <c r="G301" s="1"/>
  <c r="D93"/>
  <c r="D98" s="1"/>
  <c r="D102" s="1"/>
  <c r="D106" s="1"/>
  <c r="D199"/>
  <c r="H309"/>
  <c r="K124"/>
  <c r="K302" s="1"/>
  <c r="K178"/>
  <c r="D94"/>
  <c r="D99" s="1"/>
  <c r="D103" s="1"/>
  <c r="D107" s="1"/>
  <c r="C124"/>
  <c r="C302" s="1"/>
  <c r="D308"/>
  <c r="H94"/>
  <c r="H99" s="1"/>
  <c r="H103" s="1"/>
  <c r="H107" s="1"/>
  <c r="H308"/>
  <c r="K194"/>
  <c r="H202"/>
  <c r="C201"/>
  <c r="C166"/>
  <c r="K309"/>
  <c r="J166"/>
  <c r="K93"/>
  <c r="K166"/>
  <c r="K199"/>
  <c r="C197"/>
  <c r="C89"/>
  <c r="C301" s="1"/>
  <c r="H251"/>
  <c r="E94"/>
  <c r="E99" s="1"/>
  <c r="E103" s="1"/>
  <c r="E107" s="1"/>
  <c r="E166"/>
  <c r="I94"/>
  <c r="I99" s="1"/>
  <c r="I103" s="1"/>
  <c r="I107" s="1"/>
  <c r="I166"/>
  <c r="G201"/>
  <c r="G166"/>
  <c r="C178"/>
  <c r="C93"/>
  <c r="C98" s="1"/>
  <c r="C102" s="1"/>
  <c r="C106" s="1"/>
  <c r="C94"/>
  <c r="C99" s="1"/>
  <c r="C103" s="1"/>
  <c r="C107" s="1"/>
  <c r="D309"/>
  <c r="C199"/>
  <c r="J94"/>
  <c r="J99" s="1"/>
  <c r="J103" s="1"/>
  <c r="J107" s="1"/>
  <c r="J308"/>
  <c r="F121"/>
  <c r="F201"/>
  <c r="F89"/>
  <c r="F301" s="1"/>
  <c r="F178"/>
  <c r="F309"/>
  <c r="F124"/>
  <c r="F302" s="1"/>
  <c r="F197"/>
  <c r="G309"/>
  <c r="F199"/>
  <c r="F251"/>
  <c r="F194"/>
  <c r="F93"/>
  <c r="F98" s="1"/>
  <c r="F102" s="1"/>
  <c r="I251"/>
  <c r="I124"/>
  <c r="I302" s="1"/>
  <c r="I93"/>
  <c r="I98" s="1"/>
  <c r="I201"/>
  <c r="I199"/>
  <c r="I197"/>
  <c r="I178"/>
  <c r="I194"/>
  <c r="I89"/>
  <c r="I301" s="1"/>
  <c r="I440" s="1"/>
  <c r="I309"/>
  <c r="E201"/>
  <c r="E89"/>
  <c r="E301" s="1"/>
  <c r="E178"/>
  <c r="E194"/>
  <c r="E124"/>
  <c r="E302" s="1"/>
  <c r="E441" s="1"/>
  <c r="E93"/>
  <c r="E98" s="1"/>
  <c r="E102" s="1"/>
  <c r="E199"/>
  <c r="E309"/>
  <c r="E197"/>
  <c r="E251"/>
  <c r="K251"/>
  <c r="J194"/>
  <c r="J93"/>
  <c r="J98" s="1"/>
  <c r="J197"/>
  <c r="J178"/>
  <c r="J309"/>
  <c r="J124"/>
  <c r="J302" s="1"/>
  <c r="J201"/>
  <c r="J89"/>
  <c r="J301" s="1"/>
  <c r="J440" s="1"/>
  <c r="J251"/>
  <c r="J199"/>
  <c r="F308"/>
  <c r="G251"/>
  <c r="F94"/>
  <c r="F99" s="1"/>
  <c r="F103" s="1"/>
  <c r="F107" s="1"/>
  <c r="G308"/>
  <c r="G118"/>
  <c r="G119" s="1"/>
  <c r="E118"/>
  <c r="E119" s="1"/>
  <c r="J118"/>
  <c r="J119" s="1"/>
  <c r="F118"/>
  <c r="F119" s="1"/>
  <c r="D118"/>
  <c r="D119" s="1"/>
  <c r="K118"/>
  <c r="K119" s="1"/>
  <c r="I118"/>
  <c r="I119" s="1"/>
  <c r="H118"/>
  <c r="H119" s="1"/>
  <c r="C86"/>
  <c r="C121"/>
  <c r="D86"/>
  <c r="D121"/>
  <c r="I86"/>
  <c r="I121"/>
  <c r="J86"/>
  <c r="J121"/>
  <c r="G86"/>
  <c r="G121"/>
  <c r="E86"/>
  <c r="E121"/>
  <c r="K86"/>
  <c r="L86" s="1"/>
  <c r="K121"/>
  <c r="D153"/>
  <c r="F434"/>
  <c r="I434"/>
  <c r="K434"/>
  <c r="H434"/>
  <c r="G434"/>
  <c r="J434"/>
  <c r="I19" i="1"/>
  <c r="I171" i="5" s="1"/>
  <c r="I363"/>
  <c r="D19" i="1"/>
  <c r="D171" i="5" s="1"/>
  <c r="D363"/>
  <c r="G19" i="1"/>
  <c r="G171" i="5" s="1"/>
  <c r="G363"/>
  <c r="E19" i="1"/>
  <c r="E171" i="5" s="1"/>
  <c r="E363"/>
  <c r="C19" i="1"/>
  <c r="C171" i="5" s="1"/>
  <c r="C363"/>
  <c r="J19" i="1"/>
  <c r="J171" i="5" s="1"/>
  <c r="J363"/>
  <c r="K19" i="1"/>
  <c r="K171" i="5" s="1"/>
  <c r="K363"/>
  <c r="L363" s="1"/>
  <c r="H19" i="1"/>
  <c r="H171" i="5" s="1"/>
  <c r="H363"/>
  <c r="F19" i="1"/>
  <c r="F171" i="5" s="1"/>
  <c r="F363"/>
  <c r="K329"/>
  <c r="F320"/>
  <c r="H321"/>
  <c r="G320"/>
  <c r="I321"/>
  <c r="J321"/>
  <c r="H320"/>
  <c r="I320"/>
  <c r="K321"/>
  <c r="J320"/>
  <c r="J329"/>
  <c r="K320"/>
  <c r="F24" i="2"/>
  <c r="F120" i="5" s="1"/>
  <c r="F86"/>
  <c r="H24" i="2"/>
  <c r="H120" i="5" s="1"/>
  <c r="H86"/>
  <c r="C394"/>
  <c r="E394"/>
  <c r="D394"/>
  <c r="G24" i="2"/>
  <c r="G120" i="5" s="1"/>
  <c r="E24" i="2"/>
  <c r="E120" i="5" s="1"/>
  <c r="K24" i="2"/>
  <c r="K120" i="5" s="1"/>
  <c r="C24" i="2"/>
  <c r="C120" i="5" s="1"/>
  <c r="I24" i="2"/>
  <c r="I120" i="5" s="1"/>
  <c r="D24" i="2"/>
  <c r="D120" i="5" s="1"/>
  <c r="J24" i="2"/>
  <c r="J120" i="5" s="1"/>
  <c r="C3" i="4"/>
  <c r="D3"/>
  <c r="E3"/>
  <c r="F3"/>
  <c r="G3"/>
  <c r="H3"/>
  <c r="I3"/>
  <c r="J3"/>
  <c r="K3"/>
  <c r="C3" i="2"/>
  <c r="D3"/>
  <c r="E3"/>
  <c r="F3"/>
  <c r="G3"/>
  <c r="H3"/>
  <c r="I3"/>
  <c r="J3"/>
  <c r="K3"/>
  <c r="C3" i="3"/>
  <c r="D3"/>
  <c r="E3"/>
  <c r="F3"/>
  <c r="G3"/>
  <c r="H3"/>
  <c r="I3"/>
  <c r="J3"/>
  <c r="K3"/>
  <c r="C3" i="1"/>
  <c r="D3"/>
  <c r="E3"/>
  <c r="F3"/>
  <c r="G3"/>
  <c r="H3"/>
  <c r="I3"/>
  <c r="J3"/>
  <c r="K3"/>
  <c r="E440" i="5" l="1"/>
  <c r="J441"/>
  <c r="H441"/>
  <c r="K441"/>
  <c r="G440"/>
  <c r="D441"/>
  <c r="H440"/>
  <c r="I441"/>
  <c r="F441"/>
  <c r="G441"/>
  <c r="D440"/>
  <c r="F440"/>
  <c r="K440"/>
  <c r="H270"/>
  <c r="K140"/>
  <c r="G140"/>
  <c r="I145"/>
  <c r="I146"/>
  <c r="H141"/>
  <c r="K145"/>
  <c r="I140"/>
  <c r="K146"/>
  <c r="J141"/>
  <c r="J140"/>
  <c r="K141"/>
  <c r="H145"/>
  <c r="F140"/>
  <c r="F141"/>
  <c r="H146"/>
  <c r="G141"/>
  <c r="H140"/>
  <c r="J145"/>
  <c r="I141"/>
  <c r="J146"/>
  <c r="C91"/>
  <c r="H131"/>
  <c r="H136"/>
  <c r="H135"/>
  <c r="H130"/>
  <c r="K136"/>
  <c r="K135"/>
  <c r="K130"/>
  <c r="K131"/>
  <c r="D91"/>
  <c r="I131"/>
  <c r="I136"/>
  <c r="I135"/>
  <c r="I130"/>
  <c r="F131"/>
  <c r="F130"/>
  <c r="G130"/>
  <c r="G131"/>
  <c r="J136"/>
  <c r="J135"/>
  <c r="J130"/>
  <c r="J131"/>
  <c r="F91"/>
  <c r="J91"/>
  <c r="E91"/>
  <c r="H91"/>
  <c r="I167"/>
  <c r="I252"/>
  <c r="I286"/>
  <c r="E286"/>
  <c r="K286"/>
  <c r="H286"/>
  <c r="J286"/>
  <c r="F286"/>
  <c r="G286"/>
  <c r="D286"/>
  <c r="D202"/>
  <c r="D252"/>
  <c r="J167"/>
  <c r="J252"/>
  <c r="H198"/>
  <c r="H252"/>
  <c r="F167"/>
  <c r="F252"/>
  <c r="K252"/>
  <c r="G198"/>
  <c r="G252"/>
  <c r="E167"/>
  <c r="E252"/>
  <c r="J279"/>
  <c r="E279"/>
  <c r="G279"/>
  <c r="K279"/>
  <c r="F279"/>
  <c r="D279"/>
  <c r="H279"/>
  <c r="I279"/>
  <c r="I91"/>
  <c r="N140"/>
  <c r="N141"/>
  <c r="G91"/>
  <c r="M140"/>
  <c r="M141"/>
  <c r="N125"/>
  <c r="M125"/>
  <c r="N126"/>
  <c r="M126"/>
  <c r="K91"/>
  <c r="K98"/>
  <c r="K102" s="1"/>
  <c r="L93"/>
  <c r="K99"/>
  <c r="K103" s="1"/>
  <c r="K107" s="1"/>
  <c r="L94"/>
  <c r="D167"/>
  <c r="H167"/>
  <c r="H200"/>
  <c r="D200"/>
  <c r="H106"/>
  <c r="D198"/>
  <c r="D253"/>
  <c r="H253"/>
  <c r="H125"/>
  <c r="G202"/>
  <c r="K167"/>
  <c r="L89"/>
  <c r="H126"/>
  <c r="D125"/>
  <c r="D126"/>
  <c r="D270"/>
  <c r="K200"/>
  <c r="K198"/>
  <c r="K202"/>
  <c r="G200"/>
  <c r="G167"/>
  <c r="C202"/>
  <c r="C167"/>
  <c r="C198"/>
  <c r="C200"/>
  <c r="E106"/>
  <c r="E270"/>
  <c r="E202"/>
  <c r="E200"/>
  <c r="E198"/>
  <c r="F106"/>
  <c r="G270"/>
  <c r="F270"/>
  <c r="J202"/>
  <c r="J200"/>
  <c r="J198"/>
  <c r="I202"/>
  <c r="I200"/>
  <c r="I198"/>
  <c r="I125"/>
  <c r="I253"/>
  <c r="I126"/>
  <c r="F125"/>
  <c r="G125"/>
  <c r="G253"/>
  <c r="F253"/>
  <c r="F126"/>
  <c r="G126"/>
  <c r="K253"/>
  <c r="J253"/>
  <c r="K126"/>
  <c r="J125"/>
  <c r="J126"/>
  <c r="K125"/>
  <c r="J102"/>
  <c r="E253"/>
  <c r="E126"/>
  <c r="E125"/>
  <c r="I102"/>
  <c r="F202"/>
  <c r="F200"/>
  <c r="F198"/>
  <c r="G175"/>
  <c r="G258"/>
  <c r="C175"/>
  <c r="E87"/>
  <c r="E176" s="1"/>
  <c r="E258"/>
  <c r="J175"/>
  <c r="J258"/>
  <c r="D175"/>
  <c r="D258"/>
  <c r="K175"/>
  <c r="K258"/>
  <c r="I175"/>
  <c r="I258"/>
  <c r="F175"/>
  <c r="F258"/>
  <c r="H258"/>
  <c r="G87"/>
  <c r="G176" s="1"/>
  <c r="E153"/>
  <c r="K153"/>
  <c r="I87"/>
  <c r="I176" s="1"/>
  <c r="J87"/>
  <c r="J176" s="1"/>
  <c r="J153"/>
  <c r="K87"/>
  <c r="D87"/>
  <c r="D176" s="1"/>
  <c r="E175"/>
  <c r="I153"/>
  <c r="G153"/>
  <c r="C153"/>
  <c r="C87"/>
  <c r="C176" s="1"/>
  <c r="H153"/>
  <c r="H175"/>
  <c r="F349"/>
  <c r="F353" s="1"/>
  <c r="F354" s="1"/>
  <c r="F356"/>
  <c r="F358" s="1"/>
  <c r="K356"/>
  <c r="K358" s="1"/>
  <c r="K349"/>
  <c r="C349"/>
  <c r="C356"/>
  <c r="C358" s="1"/>
  <c r="G356"/>
  <c r="G358" s="1"/>
  <c r="G349"/>
  <c r="I349"/>
  <c r="I353" s="1"/>
  <c r="I354" s="1"/>
  <c r="I356"/>
  <c r="I358" s="1"/>
  <c r="H356"/>
  <c r="H358" s="1"/>
  <c r="H349"/>
  <c r="H353" s="1"/>
  <c r="H354" s="1"/>
  <c r="J349"/>
  <c r="J353" s="1"/>
  <c r="J354" s="1"/>
  <c r="J356"/>
  <c r="J358" s="1"/>
  <c r="E349"/>
  <c r="E353" s="1"/>
  <c r="E354" s="1"/>
  <c r="E356"/>
  <c r="E358" s="1"/>
  <c r="D356"/>
  <c r="D358" s="1"/>
  <c r="D349"/>
  <c r="D353" s="1"/>
  <c r="D354" s="1"/>
  <c r="H329"/>
  <c r="G329"/>
  <c r="E329"/>
  <c r="K334"/>
  <c r="I329"/>
  <c r="K330" s="1"/>
  <c r="F329"/>
  <c r="F153"/>
  <c r="H87"/>
  <c r="F87"/>
  <c r="D395"/>
  <c r="C395"/>
  <c r="E395"/>
  <c r="B7" i="4"/>
  <c r="B6"/>
  <c r="B5"/>
  <c r="B4"/>
  <c r="B3"/>
  <c r="K21" i="2"/>
  <c r="J21"/>
  <c r="I21"/>
  <c r="H21"/>
  <c r="G21"/>
  <c r="F21"/>
  <c r="E21"/>
  <c r="D21"/>
  <c r="C21"/>
  <c r="B18"/>
  <c r="B13"/>
  <c r="B12"/>
  <c r="B11"/>
  <c r="B10"/>
  <c r="B8"/>
  <c r="B7"/>
  <c r="B6"/>
  <c r="B3"/>
  <c r="J14" i="3"/>
  <c r="H14"/>
  <c r="F14"/>
  <c r="D14"/>
  <c r="B12"/>
  <c r="B11"/>
  <c r="B10"/>
  <c r="B9"/>
  <c r="B8"/>
  <c r="B7"/>
  <c r="B4"/>
  <c r="B3"/>
  <c r="L15" i="1"/>
  <c r="L292" i="5" s="1"/>
  <c r="B12" i="1"/>
  <c r="B11"/>
  <c r="B10"/>
  <c r="B9"/>
  <c r="B8"/>
  <c r="B20" i="2"/>
  <c r="B155" i="5" s="1"/>
  <c r="B3" i="1"/>
  <c r="L276" i="5" l="1"/>
  <c r="L280" s="1"/>
  <c r="L91"/>
  <c r="I287"/>
  <c r="E287"/>
  <c r="G287"/>
  <c r="H287"/>
  <c r="J287"/>
  <c r="F287"/>
  <c r="K287"/>
  <c r="D287"/>
  <c r="E388"/>
  <c r="C388"/>
  <c r="D388"/>
  <c r="K176"/>
  <c r="L87"/>
  <c r="B88"/>
  <c r="K106"/>
  <c r="C390"/>
  <c r="E85"/>
  <c r="J270"/>
  <c r="J106"/>
  <c r="E390"/>
  <c r="K270"/>
  <c r="I270"/>
  <c r="I106"/>
  <c r="D390"/>
  <c r="B116"/>
  <c r="C117"/>
  <c r="C118" s="1"/>
  <c r="C119" s="1"/>
  <c r="B115"/>
  <c r="K84"/>
  <c r="E84"/>
  <c r="E154"/>
  <c r="G154"/>
  <c r="K154"/>
  <c r="I84"/>
  <c r="I85"/>
  <c r="I154"/>
  <c r="D85"/>
  <c r="D84"/>
  <c r="G84"/>
  <c r="G85"/>
  <c r="D154"/>
  <c r="J85"/>
  <c r="J84"/>
  <c r="J154"/>
  <c r="C154"/>
  <c r="C84"/>
  <c r="C85"/>
  <c r="K85"/>
  <c r="H154"/>
  <c r="H176"/>
  <c r="F154"/>
  <c r="F176"/>
  <c r="C353"/>
  <c r="C354" s="1"/>
  <c r="G353"/>
  <c r="G354" s="1"/>
  <c r="K353"/>
  <c r="K354" s="1"/>
  <c r="J331"/>
  <c r="H330"/>
  <c r="K331"/>
  <c r="I330"/>
  <c r="J330"/>
  <c r="I331"/>
  <c r="G330"/>
  <c r="B21" i="2"/>
  <c r="F85" i="5"/>
  <c r="H85"/>
  <c r="F84"/>
  <c r="H84"/>
  <c r="B13" i="1"/>
  <c r="C261" i="5" s="1"/>
  <c r="C313" s="1"/>
  <c r="C314" s="1"/>
  <c r="B23" i="2"/>
  <c r="B394" i="5" s="1"/>
  <c r="B16" i="2"/>
  <c r="B297" i="5" s="1"/>
  <c r="B6" i="3"/>
  <c r="B14" s="1"/>
  <c r="E14"/>
  <c r="I14"/>
  <c r="C14"/>
  <c r="G14"/>
  <c r="K14"/>
  <c r="K23" i="1"/>
  <c r="G20" i="2"/>
  <c r="G155" i="5" s="1"/>
  <c r="I20" i="2"/>
  <c r="I155" i="5" s="1"/>
  <c r="K20" i="2"/>
  <c r="K155" i="5" s="1"/>
  <c r="D20" i="2"/>
  <c r="D155" i="5" s="1"/>
  <c r="F20" i="2"/>
  <c r="F155" i="5" s="1"/>
  <c r="H20" i="2"/>
  <c r="H155" i="5" s="1"/>
  <c r="J20" i="2"/>
  <c r="J155" i="5" s="1"/>
  <c r="C20" i="2"/>
  <c r="C155" i="5" s="1"/>
  <c r="E20" i="2"/>
  <c r="E155" i="5" s="1"/>
  <c r="L12" i="1"/>
  <c r="K24"/>
  <c r="L11"/>
  <c r="L10"/>
  <c r="L9"/>
  <c r="L8"/>
  <c r="M8" s="1"/>
  <c r="L7"/>
  <c r="L6"/>
  <c r="L4"/>
  <c r="A1" i="3"/>
  <c r="A1" i="2"/>
  <c r="A1" i="4" s="1"/>
  <c r="H23" i="1"/>
  <c r="I24"/>
  <c r="I23"/>
  <c r="J24"/>
  <c r="J23"/>
  <c r="B19"/>
  <c r="B166" i="5" l="1"/>
  <c r="B300"/>
  <c r="C439" s="1"/>
  <c r="C291"/>
  <c r="C293" s="1"/>
  <c r="M9" i="1"/>
  <c r="L290" i="5"/>
  <c r="L291" s="1"/>
  <c r="L293" s="1"/>
  <c r="K147"/>
  <c r="K142"/>
  <c r="G132"/>
  <c r="F142"/>
  <c r="J148"/>
  <c r="J143"/>
  <c r="I147"/>
  <c r="I142"/>
  <c r="I132"/>
  <c r="H147"/>
  <c r="H142"/>
  <c r="K132"/>
  <c r="J147"/>
  <c r="J142"/>
  <c r="G142"/>
  <c r="I148"/>
  <c r="I143"/>
  <c r="H148"/>
  <c r="H143"/>
  <c r="G133"/>
  <c r="F143"/>
  <c r="K148"/>
  <c r="K143"/>
  <c r="G143"/>
  <c r="K133"/>
  <c r="K138"/>
  <c r="J132"/>
  <c r="I133"/>
  <c r="I138"/>
  <c r="H132"/>
  <c r="J138"/>
  <c r="J133"/>
  <c r="H133"/>
  <c r="J137"/>
  <c r="E95"/>
  <c r="E100" s="1"/>
  <c r="E104" s="1"/>
  <c r="E108" s="1"/>
  <c r="E96"/>
  <c r="E101" s="1"/>
  <c r="E105" s="1"/>
  <c r="E109" s="1"/>
  <c r="I137"/>
  <c r="K137"/>
  <c r="L23" i="1"/>
  <c r="M23" s="1"/>
  <c r="M4" s="1"/>
  <c r="L4" i="5"/>
  <c r="L281" s="1"/>
  <c r="L13" i="1"/>
  <c r="L17" i="5"/>
  <c r="L282" s="1"/>
  <c r="N143"/>
  <c r="M143"/>
  <c r="N128"/>
  <c r="M128"/>
  <c r="N142"/>
  <c r="M142"/>
  <c r="M127"/>
  <c r="N127"/>
  <c r="E257"/>
  <c r="K95"/>
  <c r="L84"/>
  <c r="L85"/>
  <c r="E392"/>
  <c r="D392"/>
  <c r="C392"/>
  <c r="B201"/>
  <c r="B197"/>
  <c r="B178"/>
  <c r="B194"/>
  <c r="B93"/>
  <c r="B98" s="1"/>
  <c r="C309"/>
  <c r="B89"/>
  <c r="B301" s="1"/>
  <c r="C440" s="1"/>
  <c r="B124"/>
  <c r="B302" s="1"/>
  <c r="C441" s="1"/>
  <c r="B199"/>
  <c r="C251"/>
  <c r="B94"/>
  <c r="B99" s="1"/>
  <c r="B103" s="1"/>
  <c r="B107" s="1"/>
  <c r="F256"/>
  <c r="E151"/>
  <c r="K151"/>
  <c r="E256"/>
  <c r="C96"/>
  <c r="C101" s="1"/>
  <c r="C105" s="1"/>
  <c r="C109" s="1"/>
  <c r="K242"/>
  <c r="J256"/>
  <c r="G151"/>
  <c r="G256"/>
  <c r="I96"/>
  <c r="I101" s="1"/>
  <c r="I105" s="1"/>
  <c r="I109" s="1"/>
  <c r="I257"/>
  <c r="F243"/>
  <c r="F248" s="1"/>
  <c r="F257"/>
  <c r="K96"/>
  <c r="K257"/>
  <c r="G96"/>
  <c r="G101" s="1"/>
  <c r="G105" s="1"/>
  <c r="G109" s="1"/>
  <c r="G257"/>
  <c r="F128"/>
  <c r="D257"/>
  <c r="D95"/>
  <c r="D100" s="1"/>
  <c r="D104" s="1"/>
  <c r="D108" s="1"/>
  <c r="D256"/>
  <c r="I151"/>
  <c r="I256"/>
  <c r="H256"/>
  <c r="H257"/>
  <c r="J257"/>
  <c r="K256"/>
  <c r="D242"/>
  <c r="D247" s="1"/>
  <c r="E243"/>
  <c r="E248" s="1"/>
  <c r="J243"/>
  <c r="J248" s="1"/>
  <c r="E242"/>
  <c r="E247" s="1"/>
  <c r="I95"/>
  <c r="I100" s="1"/>
  <c r="I104" s="1"/>
  <c r="K128"/>
  <c r="J95"/>
  <c r="J100" s="1"/>
  <c r="H243"/>
  <c r="H248" s="1"/>
  <c r="G95"/>
  <c r="G100" s="1"/>
  <c r="G104" s="1"/>
  <c r="G108" s="1"/>
  <c r="D243"/>
  <c r="D248" s="1"/>
  <c r="J151"/>
  <c r="K127"/>
  <c r="K243"/>
  <c r="F127"/>
  <c r="C95"/>
  <c r="C100" s="1"/>
  <c r="C104" s="1"/>
  <c r="C108" s="1"/>
  <c r="J96"/>
  <c r="J101" s="1"/>
  <c r="J105" s="1"/>
  <c r="J109" s="1"/>
  <c r="J242"/>
  <c r="J247" s="1"/>
  <c r="D151"/>
  <c r="E128"/>
  <c r="G242"/>
  <c r="G247" s="1"/>
  <c r="D96"/>
  <c r="D101" s="1"/>
  <c r="D105" s="1"/>
  <c r="D109" s="1"/>
  <c r="H24" i="1"/>
  <c r="B171" i="5"/>
  <c r="B86"/>
  <c r="B153" s="1"/>
  <c r="B121"/>
  <c r="C151"/>
  <c r="E127"/>
  <c r="C308"/>
  <c r="B14" i="1"/>
  <c r="C319" i="5"/>
  <c r="C262" s="1"/>
  <c r="H151"/>
  <c r="H242"/>
  <c r="H247" s="1"/>
  <c r="F151"/>
  <c r="F242"/>
  <c r="F247" s="1"/>
  <c r="G243"/>
  <c r="G248" s="1"/>
  <c r="I243"/>
  <c r="I248" s="1"/>
  <c r="I242"/>
  <c r="I247" s="1"/>
  <c r="J127"/>
  <c r="G128"/>
  <c r="H128"/>
  <c r="B24" i="2"/>
  <c r="B120" i="5" s="1"/>
  <c r="I128"/>
  <c r="J128"/>
  <c r="H96"/>
  <c r="H101" s="1"/>
  <c r="H105" s="1"/>
  <c r="H109" s="1"/>
  <c r="F96"/>
  <c r="F101" s="1"/>
  <c r="F105" s="1"/>
  <c r="F109" s="1"/>
  <c r="I127"/>
  <c r="H95"/>
  <c r="H100" s="1"/>
  <c r="H104" s="1"/>
  <c r="H108" s="1"/>
  <c r="G127"/>
  <c r="H127"/>
  <c r="F95"/>
  <c r="F100" s="1"/>
  <c r="F104" s="1"/>
  <c r="F108" s="1"/>
  <c r="L19" i="1"/>
  <c r="L24" s="1"/>
  <c r="M24" s="1"/>
  <c r="L5"/>
  <c r="N11"/>
  <c r="M11"/>
  <c r="N9"/>
  <c r="N8"/>
  <c r="E140" i="5" l="1"/>
  <c r="G145"/>
  <c r="G146"/>
  <c r="E141"/>
  <c r="N23" i="1"/>
  <c r="N4" s="1"/>
  <c r="B167" i="5"/>
  <c r="C252"/>
  <c r="L14" i="1"/>
  <c r="H25" s="1"/>
  <c r="L274" i="5"/>
  <c r="L278" s="1"/>
  <c r="L140"/>
  <c r="L141"/>
  <c r="C253"/>
  <c r="L125"/>
  <c r="L126"/>
  <c r="K248"/>
  <c r="K100"/>
  <c r="K104" s="1"/>
  <c r="K108" s="1"/>
  <c r="C393" s="1"/>
  <c r="L95"/>
  <c r="K101"/>
  <c r="K105" s="1"/>
  <c r="K109" s="1"/>
  <c r="L96"/>
  <c r="K247"/>
  <c r="B388"/>
  <c r="B102"/>
  <c r="B202"/>
  <c r="B200"/>
  <c r="B198"/>
  <c r="B175"/>
  <c r="C258"/>
  <c r="J104"/>
  <c r="J108" s="1"/>
  <c r="B87"/>
  <c r="B154" s="1"/>
  <c r="D329"/>
  <c r="G321"/>
  <c r="K322"/>
  <c r="E320"/>
  <c r="B395"/>
  <c r="I108"/>
  <c r="N24" i="1"/>
  <c r="M6"/>
  <c r="N6" l="1"/>
  <c r="N5" s="1"/>
  <c r="L25"/>
  <c r="L275" i="5"/>
  <c r="L279" s="1"/>
  <c r="I25" i="1"/>
  <c r="K25"/>
  <c r="J25"/>
  <c r="D389" i="5"/>
  <c r="C391"/>
  <c r="E389"/>
  <c r="D393"/>
  <c r="E393"/>
  <c r="D391"/>
  <c r="C389"/>
  <c r="B106"/>
  <c r="B392" s="1"/>
  <c r="B390"/>
  <c r="C270"/>
  <c r="E391"/>
  <c r="B176"/>
  <c r="B85"/>
  <c r="B84"/>
  <c r="K332"/>
  <c r="H331"/>
  <c r="F330"/>
  <c r="M10" i="1"/>
  <c r="M12" s="1"/>
  <c r="M13" s="1"/>
  <c r="N10"/>
  <c r="N12" s="1"/>
  <c r="N13" s="1"/>
  <c r="M5"/>
  <c r="M25" l="1"/>
  <c r="M14" s="1"/>
  <c r="M15" s="1"/>
  <c r="G148" i="5"/>
  <c r="E143"/>
  <c r="E142"/>
  <c r="G147"/>
  <c r="H138"/>
  <c r="F133"/>
  <c r="F132"/>
  <c r="H137"/>
  <c r="N25" i="1"/>
  <c r="N14" s="1"/>
  <c r="N15" s="1"/>
  <c r="L128" i="5"/>
  <c r="L143"/>
  <c r="L127"/>
  <c r="L142"/>
  <c r="C243"/>
  <c r="C257"/>
  <c r="D127"/>
  <c r="C256"/>
  <c r="B151"/>
  <c r="C242"/>
  <c r="B95"/>
  <c r="B100" s="1"/>
  <c r="B389" s="1"/>
  <c r="B96"/>
  <c r="B101" s="1"/>
  <c r="B105" s="1"/>
  <c r="B109" s="1"/>
  <c r="D128"/>
  <c r="C248" l="1"/>
  <c r="L248" s="1"/>
  <c r="L243"/>
  <c r="C247"/>
  <c r="L247" s="1"/>
  <c r="L242"/>
  <c r="B104"/>
  <c r="B391" s="1"/>
  <c r="B108" l="1"/>
  <c r="B393" s="1"/>
</calcChain>
</file>

<file path=xl/sharedStrings.xml><?xml version="1.0" encoding="utf-8"?>
<sst xmlns="http://schemas.openxmlformats.org/spreadsheetml/2006/main" count="550" uniqueCount="340">
  <si>
    <t>COMPANY NAME</t>
  </si>
  <si>
    <t>SCREENER.IN</t>
  </si>
  <si>
    <t>Narration</t>
  </si>
  <si>
    <t>Trailing</t>
  </si>
  <si>
    <t>Best Case</t>
  </si>
  <si>
    <t>Worst Case</t>
  </si>
  <si>
    <t>Sales</t>
  </si>
  <si>
    <t>Expenses</t>
  </si>
  <si>
    <t>Operating Profit</t>
  </si>
  <si>
    <t>Other Income</t>
  </si>
  <si>
    <t>Depreciation</t>
  </si>
  <si>
    <t>Interest</t>
  </si>
  <si>
    <t>Profit before tax</t>
  </si>
  <si>
    <t>Tax</t>
  </si>
  <si>
    <t>Net profit</t>
  </si>
  <si>
    <t>RATIOS:</t>
  </si>
  <si>
    <t>Price to earning</t>
  </si>
  <si>
    <t>Dividend Payout</t>
  </si>
  <si>
    <t>OPM</t>
  </si>
  <si>
    <t>TRENDS:</t>
  </si>
  <si>
    <t>BEST</t>
  </si>
  <si>
    <t>WORST</t>
  </si>
  <si>
    <t>Sales Growth</t>
  </si>
  <si>
    <t>Price to Earning</t>
  </si>
  <si>
    <t>Equity Share Capital</t>
  </si>
  <si>
    <t>Reserves</t>
  </si>
  <si>
    <t>Total</t>
  </si>
  <si>
    <t>Net Block</t>
  </si>
  <si>
    <t>Capital Work in Progress</t>
  </si>
  <si>
    <t>Investments</t>
  </si>
  <si>
    <t>Working Capital</t>
  </si>
  <si>
    <t>Face Value</t>
  </si>
  <si>
    <t>Cash from Operating Activity</t>
  </si>
  <si>
    <t>Cash from Investing Activity</t>
  </si>
  <si>
    <t>Cash from Financing Activity</t>
  </si>
  <si>
    <t>Net Cash Flow</t>
  </si>
  <si>
    <t>PLEASE DO NOT MAKE ANY CHANGES TO THIS SHEET</t>
  </si>
  <si>
    <t>PROFIT &amp; LOSS</t>
  </si>
  <si>
    <t>Report Date</t>
  </si>
  <si>
    <t>Quarters</t>
  </si>
  <si>
    <t>BALANCE SHEET</t>
  </si>
  <si>
    <t>CASH FLOW:</t>
  </si>
  <si>
    <t>Number of shares</t>
  </si>
  <si>
    <t>Current Price</t>
  </si>
  <si>
    <t>Debtors</t>
  </si>
  <si>
    <t>Inventory</t>
  </si>
  <si>
    <t>Debtor Days</t>
  </si>
  <si>
    <t>Inventory Turnover</t>
  </si>
  <si>
    <t>EPS</t>
  </si>
  <si>
    <t>Price</t>
  </si>
  <si>
    <t>Return on Equity</t>
  </si>
  <si>
    <t>Return on Capital Emp</t>
  </si>
  <si>
    <t>LATEST VERSION</t>
  </si>
  <si>
    <t>CURRENT VERSION</t>
  </si>
  <si>
    <t>VINATI ORGANICS LTD</t>
  </si>
  <si>
    <t>META</t>
  </si>
  <si>
    <t>10 YEARS</t>
  </si>
  <si>
    <t>7 YEARS</t>
  </si>
  <si>
    <t>5 YEARS</t>
  </si>
  <si>
    <t>3 YEARS</t>
  </si>
  <si>
    <t>RECENT</t>
  </si>
  <si>
    <t>Dividend Amount</t>
  </si>
  <si>
    <t>Borrowings</t>
  </si>
  <si>
    <t>Other Liabilities</t>
  </si>
  <si>
    <t>Other Assets</t>
  </si>
  <si>
    <t>No. of Equity Shares</t>
  </si>
  <si>
    <t>New Bonus Shares</t>
  </si>
  <si>
    <t>DERIVED:</t>
  </si>
  <si>
    <t>PRICE:</t>
  </si>
  <si>
    <t>Receivables</t>
  </si>
  <si>
    <t>Market Capitalization</t>
  </si>
  <si>
    <t>Raw Material Cost</t>
  </si>
  <si>
    <t>Change in Inventory</t>
  </si>
  <si>
    <t>Power and Fuel</t>
  </si>
  <si>
    <t>Other Mfr. Exp</t>
  </si>
  <si>
    <t>Employee Cost</t>
  </si>
  <si>
    <t>Selling and admin</t>
  </si>
  <si>
    <t>Other Expenses</t>
  </si>
  <si>
    <t>Cash &amp; Bank</t>
  </si>
  <si>
    <t>Face value</t>
  </si>
  <si>
    <t>Adjusted Equity Shares in Cr</t>
  </si>
  <si>
    <t>10 YR CAGR</t>
  </si>
  <si>
    <t>5 YR CAGR</t>
  </si>
  <si>
    <t>3 YR CAGR</t>
  </si>
  <si>
    <t>1 YR CAGR</t>
  </si>
  <si>
    <t>EBIT</t>
  </si>
  <si>
    <t>EBIT/Invested Capital 1</t>
  </si>
  <si>
    <t>EBIT/Invested Capital 2</t>
  </si>
  <si>
    <t>ROIC 1</t>
  </si>
  <si>
    <t>ROIC 2</t>
  </si>
  <si>
    <t>EPA1</t>
  </si>
  <si>
    <t>EPA2</t>
  </si>
  <si>
    <t>EPA1/Sales</t>
  </si>
  <si>
    <t>EPA2/Sales</t>
  </si>
  <si>
    <t>ROE</t>
  </si>
  <si>
    <t>ROCE</t>
  </si>
  <si>
    <t>NOPLAT</t>
  </si>
  <si>
    <t>ROIIC 1</t>
  </si>
  <si>
    <t>ROIIC 2</t>
  </si>
  <si>
    <t>Year On Year Growth %</t>
  </si>
  <si>
    <t>EBIT/Invested Capital 3</t>
  </si>
  <si>
    <t>ROIC 3</t>
  </si>
  <si>
    <t>EPA 3</t>
  </si>
  <si>
    <t>EPA3/Sales</t>
  </si>
  <si>
    <t>ROIIC 3</t>
  </si>
  <si>
    <t>Fixed Asset Turns</t>
  </si>
  <si>
    <t>Total Asset Turns</t>
  </si>
  <si>
    <t>Capital Turns 1</t>
  </si>
  <si>
    <t>Capital Turns 2</t>
  </si>
  <si>
    <t>Financial Leverage</t>
  </si>
  <si>
    <t>Long term debt/Earning</t>
  </si>
  <si>
    <t>Current liablility/Earning</t>
  </si>
  <si>
    <t>Total liability/Earning</t>
  </si>
  <si>
    <t>Debt/Equity</t>
  </si>
  <si>
    <t>Interest Coverage</t>
  </si>
  <si>
    <t>Inventory Days</t>
  </si>
  <si>
    <t>Inventory turnover</t>
  </si>
  <si>
    <t>WC1 (Current Assets -Current Liabilities)</t>
  </si>
  <si>
    <t>WC 2(Without Cash)</t>
  </si>
  <si>
    <t>Debtors turnover</t>
  </si>
  <si>
    <t>ROA</t>
  </si>
  <si>
    <t>Fixed Asset/Sales</t>
  </si>
  <si>
    <t>Fixed Asset/Sales 10 yrs</t>
  </si>
  <si>
    <t>Fixed Asset/Sales 7 yrs</t>
  </si>
  <si>
    <t>Fixed Asset/Sales 5 yrs</t>
  </si>
  <si>
    <t>Fixed Asset/Sales 3 yrs</t>
  </si>
  <si>
    <t>YoY Increase in Sales</t>
  </si>
  <si>
    <t>Capex</t>
  </si>
  <si>
    <t>Growth Capex-5Yr</t>
  </si>
  <si>
    <t>Maintenance Capex-5yr</t>
  </si>
  <si>
    <t>Growth Capex-3Yr</t>
  </si>
  <si>
    <t>Maintenance Capex-3yr</t>
  </si>
  <si>
    <t>OE5Yr/Sales</t>
  </si>
  <si>
    <t>OE3Yr/Sales</t>
  </si>
  <si>
    <t>Defensive earnings2</t>
  </si>
  <si>
    <t>Defensive earnings1</t>
  </si>
  <si>
    <t>Capex/Depriciation</t>
  </si>
  <si>
    <t>Owners Earning with capex</t>
  </si>
  <si>
    <t>Owners Earning 5Yr Maintenace Capex</t>
  </si>
  <si>
    <t>Owners Earning 3 Yr  Maintenace Capex</t>
  </si>
  <si>
    <t>OE/Sales</t>
  </si>
  <si>
    <t>NPM</t>
  </si>
  <si>
    <t>Margins % of Sales</t>
  </si>
  <si>
    <t>invested Capital1(Equity + Long Debt)</t>
  </si>
  <si>
    <t>invested Capital2(Equity + Long Debt-Cash)</t>
  </si>
  <si>
    <t>invested Capital3(Net Block + Work in Progress + WC w/o cash)</t>
  </si>
  <si>
    <t>invested Capital4(Net Block  + WC w/o cash)</t>
  </si>
  <si>
    <t>EBIT/Invested Capital 4</t>
  </si>
  <si>
    <t>ROIC 4</t>
  </si>
  <si>
    <t>EPA 2</t>
  </si>
  <si>
    <t>EPA 4</t>
  </si>
  <si>
    <t>EPA 1</t>
  </si>
  <si>
    <t>EPA4/Sales</t>
  </si>
  <si>
    <t>Decomposition of ROE</t>
  </si>
  <si>
    <t>Net Profit</t>
  </si>
  <si>
    <t>ROIIC 4</t>
  </si>
  <si>
    <t>Efficiency Ratio</t>
  </si>
  <si>
    <t>Working Capital1/Sales</t>
  </si>
  <si>
    <t>Working Capital2/Sales</t>
  </si>
  <si>
    <t>Financial Health</t>
  </si>
  <si>
    <t>Increase in Invested Capital 1</t>
  </si>
  <si>
    <t>Increase in Invested Capital 2</t>
  </si>
  <si>
    <t>Increase in Invested Capital 3</t>
  </si>
  <si>
    <t>Defensive earnings3</t>
  </si>
  <si>
    <t>Increase in Invested Capital 4</t>
  </si>
  <si>
    <t>Defensive earnings4</t>
  </si>
  <si>
    <t>Sum of Operating cashFlow - 3 Years</t>
  </si>
  <si>
    <t>PAT</t>
  </si>
  <si>
    <t>Operating CashFlow</t>
  </si>
  <si>
    <t>Sum of PAT - 3 Years</t>
  </si>
  <si>
    <t>Sum of PAT - 5 Years</t>
  </si>
  <si>
    <t>Sum of Operating cashFlow - 5 Years</t>
  </si>
  <si>
    <t>Accounting For Value Parameters:-</t>
  </si>
  <si>
    <t>YoY Growth in Book Value</t>
  </si>
  <si>
    <t>YoY Growth in Residual earnings</t>
  </si>
  <si>
    <t>Residual Earning ( 10% Charge)</t>
  </si>
  <si>
    <t>PAT / Book Value</t>
  </si>
  <si>
    <t>Increase in Book Value</t>
  </si>
  <si>
    <t>Retained Earning</t>
  </si>
  <si>
    <t>Retained Earning - Increase in Book Value</t>
  </si>
  <si>
    <t>Retained Earning / Increase in Book Value</t>
  </si>
  <si>
    <t>Reserves / Equity Share Capital</t>
  </si>
  <si>
    <t>Residual Earning ( 10% Charge) with continuing value</t>
  </si>
  <si>
    <t>BV Growth Rate - 3 Year Avg</t>
  </si>
  <si>
    <t>BV Growth Rate - 5 Year Avg</t>
  </si>
  <si>
    <t>BV Growth Rate - 9 Year Avg</t>
  </si>
  <si>
    <t>Discounted R.E.</t>
  </si>
  <si>
    <t>YoY Growth PAT</t>
  </si>
  <si>
    <t>PAT Growth Rate - 3 Year Avg</t>
  </si>
  <si>
    <t>PAT Growth Rate - 5 Year Avg</t>
  </si>
  <si>
    <t>PAT Growth Rate - 9 Year Avg</t>
  </si>
  <si>
    <t>Intrinsic Value</t>
  </si>
  <si>
    <t>YoY Growth in RE</t>
  </si>
  <si>
    <t>RE Growth Rate - 3 Year Avg</t>
  </si>
  <si>
    <t>RE Growth Rate - 5 Year Avg</t>
  </si>
  <si>
    <t>RE Growth Rate - 8 Year Avg</t>
  </si>
  <si>
    <t>Continuing Value</t>
  </si>
  <si>
    <t>PAT Growth rate</t>
  </si>
  <si>
    <t>OP Growth rate</t>
  </si>
  <si>
    <t>OP</t>
  </si>
  <si>
    <t>Earning Leverage</t>
  </si>
  <si>
    <t>interest expense</t>
  </si>
  <si>
    <t>Interest Expense Growth Rate</t>
  </si>
  <si>
    <t>Debt to Equity</t>
  </si>
  <si>
    <t>Debt + Equity(Operating Assets)</t>
  </si>
  <si>
    <t>Rate of Return on operation</t>
  </si>
  <si>
    <t>Growth rate of ROE due to leverage</t>
  </si>
  <si>
    <t>Growth rate for earnings due to leverage</t>
  </si>
  <si>
    <t>interest/debt-Borrowing Cost</t>
  </si>
  <si>
    <t>Operating Leverage</t>
  </si>
  <si>
    <t>Delta Sales</t>
  </si>
  <si>
    <t>Delta EBIT</t>
  </si>
  <si>
    <t>Delta EPS</t>
  </si>
  <si>
    <t>SSGR</t>
  </si>
  <si>
    <t>Delta PAT</t>
  </si>
  <si>
    <t>Delta RE</t>
  </si>
  <si>
    <t>Delta Owners Earning 5Yr Maintenace Capex</t>
  </si>
  <si>
    <t>Delta Owners Earning 3 Yr  Maintenace Capex</t>
  </si>
  <si>
    <t>Delta Owners Earning with capex</t>
  </si>
  <si>
    <t>Delta EPA</t>
  </si>
  <si>
    <t>Delta NOPLAT</t>
  </si>
  <si>
    <t>Delta DE</t>
  </si>
  <si>
    <t>Delta Dividend</t>
  </si>
  <si>
    <t>Delta Retained Earning</t>
  </si>
  <si>
    <t>Retained Earning Previous Year</t>
  </si>
  <si>
    <t>Depriciation/Net Block</t>
  </si>
  <si>
    <t>DPR</t>
  </si>
  <si>
    <t>Dep 3 Year</t>
  </si>
  <si>
    <t>NFAT 3 Year</t>
  </si>
  <si>
    <t>NPM 3 Year</t>
  </si>
  <si>
    <t>DPR 3 Year</t>
  </si>
  <si>
    <t>SSGR 3 Year</t>
  </si>
  <si>
    <t>Gross Margin</t>
  </si>
  <si>
    <t>Sales &amp; Admin Expenses / Sales</t>
  </si>
  <si>
    <t>EBIT/Total Assets</t>
  </si>
  <si>
    <t>Sales/Total Assets</t>
  </si>
  <si>
    <t>CFO/Total Assets</t>
  </si>
  <si>
    <t>Current Ratio</t>
  </si>
  <si>
    <t>ROCE (W/o Cash)</t>
  </si>
  <si>
    <t>WC / Total Assets</t>
  </si>
  <si>
    <t>WCw/oCASH /Total Assets</t>
  </si>
  <si>
    <t>Retained Earning/Total Assets</t>
  </si>
  <si>
    <t>Total Accurals / Total Assets</t>
  </si>
  <si>
    <t>Asset Quality Index</t>
  </si>
  <si>
    <t>Net Block/Total Asset</t>
  </si>
  <si>
    <t>(Net Block+Cash)/Total Asset</t>
  </si>
  <si>
    <t>Equity/Total Asset</t>
  </si>
  <si>
    <t>Operating Expenses/Sales</t>
  </si>
  <si>
    <t>GP/Total Asset</t>
  </si>
  <si>
    <t>SSGR 5 Year</t>
  </si>
  <si>
    <t>Balance Sheet Items :- % of Total Asset</t>
  </si>
  <si>
    <t>CFO/Interest</t>
  </si>
  <si>
    <t>Fixed Asset Turn (NFAT)</t>
  </si>
  <si>
    <t>Delta Invested Capital 1</t>
  </si>
  <si>
    <t>Delta Invested Capital 2</t>
  </si>
  <si>
    <t>Delta Invested Capital 3</t>
  </si>
  <si>
    <t>Delta Invested Capital 4</t>
  </si>
  <si>
    <t>Delta WC</t>
  </si>
  <si>
    <t>Book Value or Equity</t>
  </si>
  <si>
    <t>Delta Book value or Equity</t>
  </si>
  <si>
    <t>Delta Net Block</t>
  </si>
  <si>
    <t>Delta Debt</t>
  </si>
  <si>
    <t>RNOA</t>
  </si>
  <si>
    <t>NFO/CSE(Debt /Equity)</t>
  </si>
  <si>
    <t>RNOA-NBC</t>
  </si>
  <si>
    <t>NBC(Net Borrowing Cost)</t>
  </si>
  <si>
    <t>ROE(RNOA+(NFO/CSE)*(RNOA-NBC)</t>
  </si>
  <si>
    <t>BookValue/RetainedEarning</t>
  </si>
  <si>
    <t>RetainedEarning/BookValue</t>
  </si>
  <si>
    <t>BookValue/EPS</t>
  </si>
  <si>
    <t>EPS/BookValue</t>
  </si>
  <si>
    <t>Float</t>
  </si>
  <si>
    <t>Operational Assets - Debt - Equity</t>
  </si>
  <si>
    <t>Assets</t>
  </si>
  <si>
    <t>Debt</t>
  </si>
  <si>
    <t>Equity</t>
  </si>
  <si>
    <t>Operational Assets(Assets - Investment - Cash)</t>
  </si>
  <si>
    <t>EBITDA</t>
  </si>
  <si>
    <t>Debt/EBIT</t>
  </si>
  <si>
    <t>Cash From Operations/EBIT</t>
  </si>
  <si>
    <t>EBIT/Operating Asset</t>
  </si>
  <si>
    <t>Debt/EBITDA(Less than 3)</t>
  </si>
  <si>
    <t>Cash From Operations/EBITDA(Greater than 33%)</t>
  </si>
  <si>
    <t>EBITDA/Operating Asset(Greater than 30%)</t>
  </si>
  <si>
    <t>Debt/Cash from operations</t>
  </si>
  <si>
    <t>EBIT/Sales</t>
  </si>
  <si>
    <t>EBITDA/Sales</t>
  </si>
  <si>
    <t>Other Income / Sales</t>
  </si>
  <si>
    <t>10 Year CAGR %</t>
  </si>
  <si>
    <t>PBT</t>
  </si>
  <si>
    <t>5 Year CAGR %</t>
  </si>
  <si>
    <t>3 Year CAGR %</t>
  </si>
  <si>
    <t>% Increase in EPS</t>
  </si>
  <si>
    <t>% Increase in PE</t>
  </si>
  <si>
    <t>% Incrrease in Price</t>
  </si>
  <si>
    <t>Cummulative Increase in EPS</t>
  </si>
  <si>
    <t>Cummulative Increase in PE</t>
  </si>
  <si>
    <t>Cummulative Increase in Price</t>
  </si>
  <si>
    <t>Cummulative Increase in Sales</t>
  </si>
  <si>
    <t>Cummulative Increase in NP</t>
  </si>
  <si>
    <t>Cummulative Increase in Operating Cashflow</t>
  </si>
  <si>
    <t>Cumulative increase in Invested Capital 1</t>
  </si>
  <si>
    <t>Cummulative Increase in Book Value</t>
  </si>
  <si>
    <t>Delta EBITDA /Operating Profit</t>
  </si>
  <si>
    <t>Cummulative Increase in EBIT</t>
  </si>
  <si>
    <t>Cummulative Increase in EBITDA / OP</t>
  </si>
  <si>
    <t>ROIIC 1 (3 Year)</t>
  </si>
  <si>
    <t>ROIIC 2 (3 Year)</t>
  </si>
  <si>
    <t>ROIIC 3 (3 Year)</t>
  </si>
  <si>
    <t>ROIIC 4 (3 Year)</t>
  </si>
  <si>
    <t>ROIIC 1 (5 Year)</t>
  </si>
  <si>
    <t>ROIIC 2 (5 Year)</t>
  </si>
  <si>
    <t>ROIIC 3 (5 Year)</t>
  </si>
  <si>
    <t>ROIIC 4 (5 Year)</t>
  </si>
  <si>
    <t>Reinvestment Rate (3 Year)</t>
  </si>
  <si>
    <t>Reinvestment Rate (5 Year)</t>
  </si>
  <si>
    <t>Cost of Capital</t>
  </si>
  <si>
    <t>Steady State Valuation</t>
  </si>
  <si>
    <t>Steady State Valuation/Market Capitalization</t>
  </si>
  <si>
    <t>Fixed Asset/Assets</t>
  </si>
  <si>
    <t>WC/Assets</t>
  </si>
  <si>
    <t>Fixed Cost</t>
  </si>
  <si>
    <t>Variable Cost</t>
  </si>
  <si>
    <t>VC/sales</t>
  </si>
  <si>
    <t>FC/Sales</t>
  </si>
  <si>
    <t>NP</t>
  </si>
  <si>
    <t>DeltaVC</t>
  </si>
  <si>
    <t>DEltaFC</t>
  </si>
  <si>
    <t>DeltaNP</t>
  </si>
  <si>
    <t>Delta EDITDA</t>
  </si>
  <si>
    <t>Delta Debtors</t>
  </si>
  <si>
    <t>Delta Inventory</t>
  </si>
  <si>
    <t>ROIIC &amp; Reinvestment Rate</t>
  </si>
  <si>
    <t>Owners Earning &amp; Defensive Earning</t>
  </si>
  <si>
    <t>Delta:-</t>
  </si>
  <si>
    <t>Leverage</t>
  </si>
  <si>
    <t>Receivables/Total Asset</t>
  </si>
  <si>
    <t>Inventory/Total Asset</t>
  </si>
  <si>
    <t>Cash &amp; Bank/Total Asset</t>
  </si>
  <si>
    <t>Important Ratio:-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</si>
</sst>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_ &quot;Rs.&quot;\ * #,##0.00_ ;_ &quot;Rs.&quot;\ * \-#,##0.00_ ;_ &quot;Rs.&quot;\ * &quot;-&quot;??_ ;_ @_ "/>
    <numFmt numFmtId="165" formatCode="_(* #,##0.00_);_(* \(#,##0.00\);_(* &quot;-&quot;??_);_(@_)"/>
    <numFmt numFmtId="166" formatCode="[$-409]mmm\-yy;@"/>
    <numFmt numFmtId="167" formatCode="0.0"/>
    <numFmt numFmtId="168" formatCode="0.0%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name val="Calibri"/>
      <family val="2"/>
      <charset val="1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0275D8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27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25">
    <xf numFmtId="0" fontId="0" fillId="0" borderId="0" xfId="0"/>
    <xf numFmtId="43" fontId="1" fillId="0" borderId="0" xfId="1" applyFont="1" applyBorder="1"/>
    <xf numFmtId="0" fontId="1" fillId="0" borderId="0" xfId="0" applyFont="1" applyFill="1" applyBorder="1"/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43" fontId="0" fillId="0" borderId="0" xfId="1" applyFont="1" applyBorder="1"/>
    <xf numFmtId="0" fontId="0" fillId="0" borderId="0" xfId="0" applyFont="1" applyBorder="1"/>
    <xf numFmtId="10" fontId="0" fillId="0" borderId="0" xfId="0" applyNumberFormat="1" applyFont="1" applyBorder="1"/>
    <xf numFmtId="0" fontId="1" fillId="0" borderId="0" xfId="0" applyFont="1" applyBorder="1"/>
    <xf numFmtId="43" fontId="3" fillId="0" borderId="0" xfId="1" applyFont="1" applyBorder="1"/>
    <xf numFmtId="9" fontId="3" fillId="0" borderId="0" xfId="1" applyNumberFormat="1" applyFont="1" applyBorder="1"/>
    <xf numFmtId="0" fontId="0" fillId="0" borderId="0" xfId="0" applyBorder="1"/>
    <xf numFmtId="43" fontId="2" fillId="2" borderId="0" xfId="3" applyNumberFormat="1" applyFont="1" applyBorder="1"/>
    <xf numFmtId="43" fontId="2" fillId="3" borderId="0" xfId="4" applyNumberFormat="1" applyFont="1" applyBorder="1"/>
    <xf numFmtId="9" fontId="1" fillId="0" borderId="0" xfId="6" applyFont="1" applyBorder="1"/>
    <xf numFmtId="0" fontId="2" fillId="5" borderId="0" xfId="0" applyFont="1" applyFill="1" applyBorder="1"/>
    <xf numFmtId="166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0" borderId="0" xfId="0" applyFill="1" applyBorder="1"/>
    <xf numFmtId="43" fontId="0" fillId="0" borderId="0" xfId="1" applyNumberFormat="1" applyFont="1" applyBorder="1" applyAlignment="1">
      <alignment horizontal="center"/>
    </xf>
    <xf numFmtId="43" fontId="1" fillId="0" borderId="0" xfId="1" applyNumberFormat="1" applyFont="1" applyBorder="1" applyAlignment="1">
      <alignment horizontal="center"/>
    </xf>
    <xf numFmtId="43" fontId="0" fillId="0" borderId="0" xfId="1" applyNumberFormat="1" applyFont="1" applyBorder="1"/>
    <xf numFmtId="10" fontId="1" fillId="0" borderId="0" xfId="0" applyNumberFormat="1" applyFont="1" applyBorder="1"/>
    <xf numFmtId="166" fontId="2" fillId="5" borderId="0" xfId="1" applyNumberFormat="1" applyFont="1" applyFill="1" applyBorder="1"/>
    <xf numFmtId="166" fontId="7" fillId="0" borderId="0" xfId="1" applyNumberFormat="1" applyFont="1" applyFill="1" applyBorder="1"/>
    <xf numFmtId="0" fontId="0" fillId="0" borderId="0" xfId="0" applyBorder="1" applyAlignment="1">
      <alignment horizontal="left"/>
    </xf>
    <xf numFmtId="0" fontId="0" fillId="0" borderId="0" xfId="0" applyFont="1" applyFill="1" applyBorder="1"/>
    <xf numFmtId="0" fontId="7" fillId="0" borderId="0" xfId="0" applyFont="1" applyFill="1" applyBorder="1"/>
    <xf numFmtId="165" fontId="0" fillId="0" borderId="0" xfId="1" applyNumberFormat="1" applyFont="1" applyBorder="1"/>
    <xf numFmtId="10" fontId="0" fillId="0" borderId="0" xfId="6" applyNumberFormat="1" applyFont="1" applyBorder="1"/>
    <xf numFmtId="43" fontId="0" fillId="0" borderId="0" xfId="0" applyNumberFormat="1" applyBorder="1"/>
    <xf numFmtId="2" fontId="0" fillId="0" borderId="0" xfId="0" applyNumberFormat="1" applyBorder="1"/>
    <xf numFmtId="43" fontId="3" fillId="0" borderId="0" xfId="1" applyFont="1" applyFill="1" applyBorder="1"/>
    <xf numFmtId="9" fontId="0" fillId="0" borderId="0" xfId="6" applyFont="1" applyBorder="1"/>
    <xf numFmtId="168" fontId="0" fillId="0" borderId="0" xfId="6" applyNumberFormat="1" applyFont="1" applyBorder="1"/>
    <xf numFmtId="2" fontId="0" fillId="0" borderId="0" xfId="6" applyNumberFormat="1" applyFont="1" applyBorder="1" applyAlignment="1">
      <alignment horizontal="right"/>
    </xf>
    <xf numFmtId="10" fontId="0" fillId="0" borderId="0" xfId="6" applyNumberFormat="1" applyFont="1" applyFill="1" applyBorder="1"/>
    <xf numFmtId="43" fontId="0" fillId="8" borderId="1" xfId="1" applyNumberFormat="1" applyFont="1" applyFill="1" applyBorder="1"/>
    <xf numFmtId="14" fontId="0" fillId="8" borderId="1" xfId="0" applyNumberFormat="1" applyFill="1" applyBorder="1"/>
    <xf numFmtId="43" fontId="3" fillId="0" borderId="1" xfId="1" applyFont="1" applyBorder="1"/>
    <xf numFmtId="0" fontId="0" fillId="0" borderId="1" xfId="0" applyBorder="1"/>
    <xf numFmtId="10" fontId="0" fillId="0" borderId="1" xfId="6" applyNumberFormat="1" applyFont="1" applyBorder="1"/>
    <xf numFmtId="43" fontId="1" fillId="0" borderId="1" xfId="1" applyFont="1" applyBorder="1"/>
    <xf numFmtId="0" fontId="0" fillId="0" borderId="1" xfId="0" applyBorder="1" applyAlignment="1">
      <alignment horizontal="left"/>
    </xf>
    <xf numFmtId="43" fontId="3" fillId="7" borderId="1" xfId="1" applyFont="1" applyFill="1" applyBorder="1"/>
    <xf numFmtId="10" fontId="0" fillId="7" borderId="1" xfId="6" applyNumberFormat="1" applyFont="1" applyFill="1" applyBorder="1"/>
    <xf numFmtId="10" fontId="0" fillId="7" borderId="1" xfId="6" applyNumberFormat="1" applyFont="1" applyFill="1" applyBorder="1" applyAlignment="1">
      <alignment horizontal="left"/>
    </xf>
    <xf numFmtId="43" fontId="0" fillId="7" borderId="1" xfId="1" applyFont="1" applyFill="1" applyBorder="1"/>
    <xf numFmtId="43" fontId="0" fillId="0" borderId="1" xfId="1" applyFont="1" applyBorder="1"/>
    <xf numFmtId="10" fontId="0" fillId="0" borderId="1" xfId="6" applyNumberFormat="1" applyFont="1" applyBorder="1" applyAlignment="1">
      <alignment horizontal="left"/>
    </xf>
    <xf numFmtId="0" fontId="1" fillId="0" borderId="1" xfId="0" applyFont="1" applyBorder="1"/>
    <xf numFmtId="43" fontId="0" fillId="0" borderId="1" xfId="0" applyNumberFormat="1" applyBorder="1"/>
    <xf numFmtId="2" fontId="0" fillId="0" borderId="1" xfId="0" applyNumberFormat="1" applyBorder="1"/>
    <xf numFmtId="2" fontId="0" fillId="0" borderId="1" xfId="7" applyNumberFormat="1" applyFont="1" applyBorder="1"/>
    <xf numFmtId="0" fontId="12" fillId="0" borderId="1" xfId="0" applyFont="1" applyBorder="1" applyAlignment="1">
      <alignment horizontal="right"/>
    </xf>
    <xf numFmtId="43" fontId="0" fillId="0" borderId="1" xfId="1" applyFont="1" applyBorder="1" applyAlignment="1">
      <alignment horizontal="right"/>
    </xf>
    <xf numFmtId="10" fontId="0" fillId="0" borderId="1" xfId="0" applyNumberFormat="1" applyBorder="1"/>
    <xf numFmtId="43" fontId="0" fillId="0" borderId="1" xfId="1" applyNumberFormat="1" applyFont="1" applyBorder="1"/>
    <xf numFmtId="0" fontId="8" fillId="0" borderId="1" xfId="0" applyFont="1" applyBorder="1" applyAlignment="1">
      <alignment horizontal="right"/>
    </xf>
    <xf numFmtId="10" fontId="8" fillId="0" borderId="1" xfId="6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0" fillId="0" borderId="1" xfId="6" applyNumberFormat="1" applyFont="1" applyBorder="1"/>
    <xf numFmtId="0" fontId="8" fillId="6" borderId="1" xfId="0" applyFont="1" applyFill="1" applyBorder="1" applyAlignment="1">
      <alignment horizontal="right"/>
    </xf>
    <xf numFmtId="167" fontId="0" fillId="0" borderId="1" xfId="0" applyNumberFormat="1" applyBorder="1"/>
    <xf numFmtId="0" fontId="10" fillId="0" borderId="1" xfId="0" applyFont="1" applyBorder="1"/>
    <xf numFmtId="2" fontId="0" fillId="0" borderId="1" xfId="0" applyNumberFormat="1" applyBorder="1" applyAlignment="1">
      <alignment horizontal="left"/>
    </xf>
    <xf numFmtId="43" fontId="0" fillId="0" borderId="1" xfId="0" applyNumberFormat="1" applyBorder="1" applyAlignment="1">
      <alignment horizontal="left"/>
    </xf>
    <xf numFmtId="10" fontId="0" fillId="0" borderId="1" xfId="0" applyNumberFormat="1" applyBorder="1" applyAlignment="1">
      <alignment horizontal="left"/>
    </xf>
    <xf numFmtId="10" fontId="0" fillId="0" borderId="1" xfId="6" applyNumberFormat="1" applyFont="1" applyFill="1" applyBorder="1"/>
    <xf numFmtId="0" fontId="0" fillId="0" borderId="1" xfId="0" applyFill="1" applyBorder="1"/>
    <xf numFmtId="43" fontId="1" fillId="0" borderId="1" xfId="0" applyNumberFormat="1" applyFont="1" applyBorder="1"/>
    <xf numFmtId="9" fontId="0" fillId="0" borderId="1" xfId="6" applyFont="1" applyBorder="1"/>
    <xf numFmtId="168" fontId="0" fillId="0" borderId="1" xfId="6" applyNumberFormat="1" applyFont="1" applyBorder="1"/>
    <xf numFmtId="2" fontId="0" fillId="0" borderId="1" xfId="1" applyNumberFormat="1" applyFont="1" applyBorder="1"/>
    <xf numFmtId="43" fontId="0" fillId="0" borderId="1" xfId="6" applyNumberFormat="1" applyFont="1" applyBorder="1"/>
    <xf numFmtId="166" fontId="2" fillId="5" borderId="1" xfId="1" applyNumberFormat="1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43" fontId="0" fillId="0" borderId="0" xfId="0" applyNumberFormat="1" applyFill="1" applyBorder="1"/>
    <xf numFmtId="2" fontId="0" fillId="0" borderId="0" xfId="6" applyNumberFormat="1" applyFont="1" applyFill="1" applyBorder="1"/>
    <xf numFmtId="9" fontId="0" fillId="0" borderId="0" xfId="6" applyFont="1" applyFill="1" applyBorder="1"/>
    <xf numFmtId="168" fontId="0" fillId="0" borderId="0" xfId="6" applyNumberFormat="1" applyFont="1" applyFill="1" applyBorder="1"/>
    <xf numFmtId="2" fontId="0" fillId="0" borderId="0" xfId="0" applyNumberFormat="1" applyFill="1" applyBorder="1"/>
    <xf numFmtId="10" fontId="0" fillId="7" borderId="1" xfId="0" applyNumberFormat="1" applyFill="1" applyBorder="1"/>
    <xf numFmtId="0" fontId="0" fillId="7" borderId="1" xfId="0" applyFill="1" applyBorder="1"/>
    <xf numFmtId="0" fontId="0" fillId="7" borderId="1" xfId="0" applyFill="1" applyBorder="1" applyAlignment="1">
      <alignment horizontal="left"/>
    </xf>
    <xf numFmtId="2" fontId="0" fillId="7" borderId="1" xfId="0" applyNumberFormat="1" applyFill="1" applyBorder="1" applyAlignment="1">
      <alignment horizontal="left"/>
    </xf>
    <xf numFmtId="2" fontId="0" fillId="7" borderId="1" xfId="0" applyNumberFormat="1" applyFill="1" applyBorder="1"/>
    <xf numFmtId="43" fontId="0" fillId="7" borderId="1" xfId="0" applyNumberFormat="1" applyFill="1" applyBorder="1" applyAlignment="1">
      <alignment horizontal="left"/>
    </xf>
    <xf numFmtId="2" fontId="0" fillId="7" borderId="1" xfId="6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2" fontId="0" fillId="0" borderId="1" xfId="1" applyNumberFormat="1" applyFont="1" applyFill="1" applyBorder="1"/>
    <xf numFmtId="43" fontId="0" fillId="0" borderId="1" xfId="1" applyFont="1" applyFill="1" applyBorder="1"/>
    <xf numFmtId="2" fontId="0" fillId="0" borderId="1" xfId="6" applyNumberFormat="1" applyFont="1" applyFill="1" applyBorder="1"/>
    <xf numFmtId="2" fontId="0" fillId="0" borderId="1" xfId="6" applyNumberFormat="1" applyFont="1" applyFill="1" applyBorder="1" applyAlignment="1">
      <alignment horizontal="right"/>
    </xf>
    <xf numFmtId="2" fontId="0" fillId="0" borderId="0" xfId="6" applyNumberFormat="1" applyFont="1" applyFill="1" applyBorder="1" applyAlignment="1">
      <alignment horizontal="right"/>
    </xf>
    <xf numFmtId="10" fontId="0" fillId="0" borderId="1" xfId="6" applyNumberFormat="1" applyFont="1" applyFill="1" applyBorder="1" applyAlignment="1">
      <alignment horizontal="right"/>
    </xf>
    <xf numFmtId="10" fontId="0" fillId="0" borderId="0" xfId="6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top"/>
    </xf>
    <xf numFmtId="167" fontId="0" fillId="0" borderId="1" xfId="0" applyNumberFormat="1" applyFill="1" applyBorder="1" applyAlignment="1">
      <alignment horizontal="left" vertical="top"/>
    </xf>
    <xf numFmtId="10" fontId="8" fillId="9" borderId="1" xfId="6" applyNumberFormat="1" applyFont="1" applyFill="1" applyBorder="1" applyAlignment="1">
      <alignment horizontal="right"/>
    </xf>
    <xf numFmtId="10" fontId="1" fillId="0" borderId="0" xfId="6" applyNumberFormat="1" applyFont="1" applyBorder="1"/>
    <xf numFmtId="10" fontId="7" fillId="10" borderId="0" xfId="6" applyNumberFormat="1" applyFont="1" applyFill="1" applyBorder="1"/>
    <xf numFmtId="10" fontId="3" fillId="0" borderId="0" xfId="6" applyNumberFormat="1" applyFont="1" applyBorder="1"/>
    <xf numFmtId="10" fontId="0" fillId="0" borderId="0" xfId="0" applyNumberFormat="1" applyBorder="1"/>
    <xf numFmtId="10" fontId="0" fillId="0" borderId="0" xfId="6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3" fontId="0" fillId="0" borderId="0" xfId="0" applyNumberFormat="1" applyBorder="1" applyAlignment="1">
      <alignment horizontal="right"/>
    </xf>
    <xf numFmtId="10" fontId="0" fillId="0" borderId="0" xfId="6" applyNumberFormat="1" applyFont="1" applyBorder="1" applyAlignment="1">
      <alignment horizontal="left"/>
    </xf>
    <xf numFmtId="2" fontId="0" fillId="0" borderId="0" xfId="6" applyNumberFormat="1" applyFont="1" applyBorder="1"/>
    <xf numFmtId="43" fontId="4" fillId="0" borderId="0" xfId="2" applyNumberFormat="1" applyBorder="1" applyAlignment="1" applyProtection="1">
      <alignment horizontal="center"/>
    </xf>
    <xf numFmtId="43" fontId="2" fillId="4" borderId="0" xfId="5" applyNumberFormat="1" applyFont="1" applyBorder="1" applyAlignment="1">
      <alignment horizontal="center"/>
    </xf>
    <xf numFmtId="43" fontId="14" fillId="10" borderId="1" xfId="1" applyFont="1" applyFill="1" applyBorder="1"/>
    <xf numFmtId="43" fontId="1" fillId="10" borderId="1" xfId="1" applyFont="1" applyFill="1" applyBorder="1"/>
    <xf numFmtId="43" fontId="7" fillId="10" borderId="1" xfId="1" applyFont="1" applyFill="1" applyBorder="1"/>
    <xf numFmtId="43" fontId="11" fillId="10" borderId="1" xfId="1" applyFont="1" applyFill="1" applyBorder="1"/>
    <xf numFmtId="43" fontId="0" fillId="10" borderId="1" xfId="1" applyFont="1" applyFill="1" applyBorder="1"/>
    <xf numFmtId="0" fontId="1" fillId="10" borderId="1" xfId="0" applyFont="1" applyFill="1" applyBorder="1"/>
    <xf numFmtId="0" fontId="8" fillId="11" borderId="1" xfId="0" applyFont="1" applyFill="1" applyBorder="1" applyAlignment="1">
      <alignment horizontal="left" vertical="top"/>
    </xf>
    <xf numFmtId="43" fontId="0" fillId="10" borderId="0" xfId="1" applyFont="1" applyFill="1" applyBorder="1"/>
    <xf numFmtId="2" fontId="0" fillId="10" borderId="1" xfId="6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0" fontId="7" fillId="0" borderId="0" xfId="6" applyNumberFormat="1" applyFont="1" applyFill="1" applyBorder="1"/>
    <xf numFmtId="14" fontId="0" fillId="0" borderId="0" xfId="0" applyNumberFormat="1" applyFill="1" applyBorder="1"/>
    <xf numFmtId="0" fontId="8" fillId="7" borderId="1" xfId="0" applyFont="1" applyFill="1" applyBorder="1" applyAlignment="1">
      <alignment horizontal="right"/>
    </xf>
  </cellXfs>
  <cellStyles count="8">
    <cellStyle name="60% - Accent1" xfId="3" builtinId="32"/>
    <cellStyle name="60% - Accent3" xfId="4" builtinId="40"/>
    <cellStyle name="Accent6" xfId="5" builtinId="49"/>
    <cellStyle name="Comma" xfId="1" builtinId="3"/>
    <cellStyle name="Currency" xfId="7" builtinId="4"/>
    <cellStyle name="Hyperlink" xfId="2" builtinId="8"/>
    <cellStyle name="Normal" xfId="0" builtinId="0"/>
    <cellStyle name="Percent" xfId="6" builtinId="5"/>
  </cellStyles>
  <dxfs count="31"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border diagonalUp="0" diagonalDown="0" outline="0">
        <left style="thin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  <colors>
    <mruColors>
      <color rgb="FF027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Customization!$A$278</c:f>
              <c:strCache>
                <c:ptCount val="1"/>
                <c:pt idx="0">
                  <c:v>Cummulative Increase in EPS</c:v>
                </c:pt>
              </c:strCache>
            </c:strRef>
          </c:tx>
          <c:cat>
            <c:strRef>
              <c:f>'Profit &amp; Loss'!$D$3:$L$3</c:f>
              <c:strCache>
                <c:ptCount val="9"/>
                <c:pt idx="0">
                  <c:v>Mar-09</c:v>
                </c:pt>
                <c:pt idx="1">
                  <c:v>Mar-10</c:v>
                </c:pt>
                <c:pt idx="2">
                  <c:v>Mar-11</c:v>
                </c:pt>
                <c:pt idx="3">
                  <c:v>Mar-12</c:v>
                </c:pt>
                <c:pt idx="4">
                  <c:v>Mar-13</c:v>
                </c:pt>
                <c:pt idx="5">
                  <c:v>Mar-14</c:v>
                </c:pt>
                <c:pt idx="6">
                  <c:v>Mar-15</c:v>
                </c:pt>
                <c:pt idx="7">
                  <c:v>Mar-16</c:v>
                </c:pt>
                <c:pt idx="8">
                  <c:v>Trailing</c:v>
                </c:pt>
              </c:strCache>
            </c:strRef>
          </c:cat>
          <c:val>
            <c:numRef>
              <c:f>Customization!$D$278:$L$278</c:f>
            </c:numRef>
          </c:val>
        </c:ser>
        <c:ser>
          <c:idx val="1"/>
          <c:order val="1"/>
          <c:tx>
            <c:strRef>
              <c:f>Customization!$A$280</c:f>
              <c:strCache>
                <c:ptCount val="1"/>
                <c:pt idx="0">
                  <c:v>Cummulative Increase in Price</c:v>
                </c:pt>
              </c:strCache>
            </c:strRef>
          </c:tx>
          <c:cat>
            <c:strRef>
              <c:f>'Profit &amp; Loss'!$D$3:$L$3</c:f>
              <c:strCache>
                <c:ptCount val="9"/>
                <c:pt idx="0">
                  <c:v>Mar-09</c:v>
                </c:pt>
                <c:pt idx="1">
                  <c:v>Mar-10</c:v>
                </c:pt>
                <c:pt idx="2">
                  <c:v>Mar-11</c:v>
                </c:pt>
                <c:pt idx="3">
                  <c:v>Mar-12</c:v>
                </c:pt>
                <c:pt idx="4">
                  <c:v>Mar-13</c:v>
                </c:pt>
                <c:pt idx="5">
                  <c:v>Mar-14</c:v>
                </c:pt>
                <c:pt idx="6">
                  <c:v>Mar-15</c:v>
                </c:pt>
                <c:pt idx="7">
                  <c:v>Mar-16</c:v>
                </c:pt>
                <c:pt idx="8">
                  <c:v>Trailing</c:v>
                </c:pt>
              </c:strCache>
            </c:strRef>
          </c:cat>
          <c:val>
            <c:numRef>
              <c:f>Customization!$D$280:$L$280</c:f>
            </c:numRef>
          </c:val>
        </c:ser>
        <c:ser>
          <c:idx val="2"/>
          <c:order val="2"/>
          <c:tx>
            <c:strRef>
              <c:f>Customization!$A$279</c:f>
              <c:strCache>
                <c:ptCount val="1"/>
                <c:pt idx="0">
                  <c:v>Cummulative Increase in PE</c:v>
                </c:pt>
              </c:strCache>
            </c:strRef>
          </c:tx>
          <c:cat>
            <c:strRef>
              <c:f>'Profit &amp; Loss'!$D$3:$L$3</c:f>
              <c:strCache>
                <c:ptCount val="9"/>
                <c:pt idx="0">
                  <c:v>Mar-09</c:v>
                </c:pt>
                <c:pt idx="1">
                  <c:v>Mar-10</c:v>
                </c:pt>
                <c:pt idx="2">
                  <c:v>Mar-11</c:v>
                </c:pt>
                <c:pt idx="3">
                  <c:v>Mar-12</c:v>
                </c:pt>
                <c:pt idx="4">
                  <c:v>Mar-13</c:v>
                </c:pt>
                <c:pt idx="5">
                  <c:v>Mar-14</c:v>
                </c:pt>
                <c:pt idx="6">
                  <c:v>Mar-15</c:v>
                </c:pt>
                <c:pt idx="7">
                  <c:v>Mar-16</c:v>
                </c:pt>
                <c:pt idx="8">
                  <c:v>Trailing</c:v>
                </c:pt>
              </c:strCache>
            </c:strRef>
          </c:cat>
          <c:val>
            <c:numRef>
              <c:f>Customization!$E$279:$L$279</c:f>
            </c:numRef>
          </c:val>
        </c:ser>
        <c:ser>
          <c:idx val="3"/>
          <c:order val="3"/>
          <c:tx>
            <c:strRef>
              <c:f>Customization!$A$281</c:f>
              <c:strCache>
                <c:ptCount val="1"/>
                <c:pt idx="0">
                  <c:v>Cummulative Increase in Sales</c:v>
                </c:pt>
              </c:strCache>
            </c:strRef>
          </c:tx>
          <c:val>
            <c:numRef>
              <c:f>Customization!$D$281:$L$281</c:f>
            </c:numRef>
          </c:val>
        </c:ser>
        <c:ser>
          <c:idx val="4"/>
          <c:order val="4"/>
          <c:tx>
            <c:strRef>
              <c:f>Customization!$A$283</c:f>
              <c:strCache>
                <c:ptCount val="1"/>
                <c:pt idx="0">
                  <c:v>Cummulative Increase in Operating Cashflow</c:v>
                </c:pt>
              </c:strCache>
            </c:strRef>
          </c:tx>
          <c:val>
            <c:numRef>
              <c:f>Customization!$D$283:$K$283</c:f>
            </c:numRef>
          </c:val>
        </c:ser>
        <c:ser>
          <c:idx val="5"/>
          <c:order val="5"/>
          <c:tx>
            <c:strRef>
              <c:f>Customization!$A$284</c:f>
              <c:strCache>
                <c:ptCount val="1"/>
                <c:pt idx="0">
                  <c:v>Cumulative increase in Invested Capital 1</c:v>
                </c:pt>
              </c:strCache>
            </c:strRef>
          </c:tx>
          <c:val>
            <c:numRef>
              <c:f>Customization!$D$284:$K$284</c:f>
            </c:numRef>
          </c:val>
        </c:ser>
        <c:ser>
          <c:idx val="6"/>
          <c:order val="6"/>
          <c:tx>
            <c:strRef>
              <c:f>Customization!$A$285</c:f>
              <c:strCache>
                <c:ptCount val="1"/>
                <c:pt idx="0">
                  <c:v>Cummulative Increase in Book Value</c:v>
                </c:pt>
              </c:strCache>
            </c:strRef>
          </c:tx>
          <c:val>
            <c:numRef>
              <c:f>Customization!$D$285:$K$285</c:f>
            </c:numRef>
          </c:val>
        </c:ser>
        <c:ser>
          <c:idx val="7"/>
          <c:order val="7"/>
          <c:tx>
            <c:strRef>
              <c:f>Customization!$A$286</c:f>
              <c:strCache>
                <c:ptCount val="1"/>
                <c:pt idx="0">
                  <c:v>Cummulative Increase in EBIT</c:v>
                </c:pt>
              </c:strCache>
            </c:strRef>
          </c:tx>
          <c:val>
            <c:numRef>
              <c:f>Customization!$D$286:$K$286</c:f>
            </c:numRef>
          </c:val>
        </c:ser>
        <c:ser>
          <c:idx val="8"/>
          <c:order val="8"/>
          <c:tx>
            <c:strRef>
              <c:f>Customization!$A$287</c:f>
              <c:strCache>
                <c:ptCount val="1"/>
                <c:pt idx="0">
                  <c:v>Cummulative Increase in EBITDA / OP</c:v>
                </c:pt>
              </c:strCache>
            </c:strRef>
          </c:tx>
          <c:val>
            <c:numRef>
              <c:f>Customization!$D$287:$K$287</c:f>
            </c:numRef>
          </c:val>
        </c:ser>
        <c:marker val="1"/>
        <c:axId val="40619392"/>
        <c:axId val="40629376"/>
      </c:lineChart>
      <c:catAx>
        <c:axId val="4061939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40629376"/>
        <c:crosses val="autoZero"/>
        <c:auto val="1"/>
        <c:lblAlgn val="ctr"/>
        <c:lblOffset val="100"/>
      </c:catAx>
      <c:valAx>
        <c:axId val="40629376"/>
        <c:scaling>
          <c:orientation val="minMax"/>
        </c:scaling>
        <c:axPos val="l"/>
        <c:majorGridlines/>
        <c:minorGridlines/>
        <c:numFmt formatCode="0.0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4061939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30480</xdr:rowOff>
    </xdr:from>
    <xdr:to>
      <xdr:col>15</xdr:col>
      <xdr:colOff>434340</xdr:colOff>
      <xdr:row>30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Annual" displayName="Annual" ref="A3:N19" headerRowCount="0" totalsRowShown="0" headerRowDxfId="30">
  <tableColumns count="14">
    <tableColumn id="1" name="Column1" headerRowDxfId="29" dataDxfId="28"/>
    <tableColumn id="2" name="Column2" headerRowDxfId="27"/>
    <tableColumn id="3" name="Column3" headerRowDxfId="26"/>
    <tableColumn id="4" name="Column4" headerRowDxfId="25"/>
    <tableColumn id="5" name="Column5" headerRowDxfId="24"/>
    <tableColumn id="6" name="Column6" headerRowDxfId="23"/>
    <tableColumn id="7" name="Column7" headerRowDxfId="22"/>
    <tableColumn id="8" name="Column8" headerRowDxfId="21"/>
    <tableColumn id="9" name="Column9" headerRowDxfId="20"/>
    <tableColumn id="10" name="Column10" headerRowDxfId="19"/>
    <tableColumn id="11" name="Column11" headerRowDxfId="18"/>
    <tableColumn id="12" name="Column12" headerRowDxfId="17"/>
    <tableColumn id="13" name="Column13" headerRowDxfId="16" dataDxfId="15"/>
    <tableColumn id="14" name="Column14" headerRowDxfId="14" dataDxfId="13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Quarters" displayName="Quarters" ref="A3:K14" headerRowCount="0" totalsRowShown="0" headerRowDxfId="12">
  <tableColumns count="11">
    <tableColumn id="1" name="Column1" headerRowDxfId="11"/>
    <tableColumn id="2" name="Column2" headerRowDxfId="10"/>
    <tableColumn id="3" name="Column3" headerRowDxfId="9"/>
    <tableColumn id="4" name="Column4" headerRowDxfId="8"/>
    <tableColumn id="5" name="Column5" headerRowDxfId="7"/>
    <tableColumn id="6" name="Column6" headerRowDxfId="6"/>
    <tableColumn id="7" name="Column7" headerRowDxfId="5"/>
    <tableColumn id="8" name="Column8" headerRowDxfId="4"/>
    <tableColumn id="9" name="Column9" headerRowDxfId="3"/>
    <tableColumn id="10" name="Column10" headerRowDxfId="2"/>
    <tableColumn id="11" name="Column11" headerRowDxfId="1"/>
  </tableColumns>
  <tableStyleInfo name="TableStyleLight1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reener.i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creener.i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creener.i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creener.in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creener.in/excel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25"/>
  <sheetViews>
    <sheetView zoomScaleSheetLayoutView="100" workbookViewId="0">
      <pane xSplit="1" ySplit="4" topLeftCell="B5" activePane="bottomRight" state="frozen"/>
      <selection activeCell="I2" sqref="I2"/>
      <selection pane="topRight" activeCell="I2" sqref="I2"/>
      <selection pane="bottomLeft" activeCell="I2" sqref="I2"/>
      <selection pane="bottomRight" activeCell="B5" sqref="B5"/>
    </sheetView>
  </sheetViews>
  <sheetFormatPr defaultColWidth="9.140625" defaultRowHeight="15"/>
  <cols>
    <col min="1" max="1" width="20.7109375" style="6" customWidth="1"/>
    <col min="2" max="6" width="13.5703125" style="6" customWidth="1"/>
    <col min="7" max="7" width="14.85546875" style="6" bestFit="1" customWidth="1"/>
    <col min="8" max="11" width="13.5703125" style="6" customWidth="1"/>
    <col min="12" max="12" width="13.28515625" style="6" customWidth="1"/>
    <col min="13" max="14" width="12.140625" style="6" customWidth="1"/>
    <col min="15" max="16384" width="9.140625" style="6"/>
  </cols>
  <sheetData>
    <row r="1" spans="1:14" s="8" customFormat="1">
      <c r="A1" s="8" t="str">
        <f>'Data Sheet'!B1</f>
        <v>VINATI ORGANICS LTD</v>
      </c>
      <c r="H1" t="str">
        <f>UPDATE</f>
        <v>A NEW VERSION OF THE WORKSHEET IS AVAILABLE</v>
      </c>
      <c r="J1" s="3"/>
      <c r="K1" s="3"/>
      <c r="M1" s="8" t="s">
        <v>1</v>
      </c>
    </row>
    <row r="3" spans="1:14" s="2" customFormat="1">
      <c r="A3" s="15" t="s">
        <v>2</v>
      </c>
      <c r="B3" s="16">
        <f>'Data Sheet'!B16</f>
        <v>39172</v>
      </c>
      <c r="C3" s="16">
        <f>'Data Sheet'!C16</f>
        <v>39538</v>
      </c>
      <c r="D3" s="16">
        <f>'Data Sheet'!D16</f>
        <v>39903</v>
      </c>
      <c r="E3" s="16">
        <f>'Data Sheet'!E16</f>
        <v>40268</v>
      </c>
      <c r="F3" s="16">
        <f>'Data Sheet'!F16</f>
        <v>40633</v>
      </c>
      <c r="G3" s="16">
        <f>'Data Sheet'!G16</f>
        <v>40999</v>
      </c>
      <c r="H3" s="16">
        <f>'Data Sheet'!H16</f>
        <v>41364</v>
      </c>
      <c r="I3" s="16">
        <f>'Data Sheet'!I16</f>
        <v>41729</v>
      </c>
      <c r="J3" s="16">
        <f>'Data Sheet'!J16</f>
        <v>42094</v>
      </c>
      <c r="K3" s="16">
        <f>'Data Sheet'!K16</f>
        <v>42460</v>
      </c>
      <c r="L3" s="17" t="s">
        <v>3</v>
      </c>
      <c r="M3" s="17" t="s">
        <v>4</v>
      </c>
      <c r="N3" s="17" t="s">
        <v>5</v>
      </c>
    </row>
    <row r="4" spans="1:14" s="8" customFormat="1">
      <c r="A4" s="8" t="s">
        <v>6</v>
      </c>
      <c r="B4" s="1">
        <f>'Data Sheet'!B17</f>
        <v>82.05</v>
      </c>
      <c r="C4" s="1">
        <f>'Data Sheet'!C17</f>
        <v>146.33000000000001</v>
      </c>
      <c r="D4" s="1">
        <f>'Data Sheet'!D17</f>
        <v>190.5</v>
      </c>
      <c r="E4" s="1">
        <f>'Data Sheet'!E17</f>
        <v>232.1</v>
      </c>
      <c r="F4" s="1">
        <f>'Data Sheet'!F17</f>
        <v>322.64999999999998</v>
      </c>
      <c r="G4" s="1">
        <f>'Data Sheet'!G17</f>
        <v>447.46</v>
      </c>
      <c r="H4" s="1">
        <f>'Data Sheet'!H17</f>
        <v>552.86</v>
      </c>
      <c r="I4" s="1">
        <f>'Data Sheet'!I17</f>
        <v>696.13</v>
      </c>
      <c r="J4" s="1">
        <f>'Data Sheet'!J17</f>
        <v>771.73</v>
      </c>
      <c r="K4" s="1">
        <f>'Data Sheet'!K17</f>
        <v>630.95000000000005</v>
      </c>
      <c r="L4" s="1">
        <f>SUM(Quarters!H4:K4)</f>
        <v>632.8599999999999</v>
      </c>
      <c r="M4" s="1">
        <f>$K4+M23*K4</f>
        <v>659.35838956139662</v>
      </c>
      <c r="N4" s="1">
        <f>$K4+N23*L4</f>
        <v>632.86578191615808</v>
      </c>
    </row>
    <row r="5" spans="1:14">
      <c r="A5" s="6" t="s">
        <v>7</v>
      </c>
      <c r="B5" s="1">
        <f>SUM('Data Sheet'!B18:B24)</f>
        <v>72.69</v>
      </c>
      <c r="C5" s="1">
        <f>SUM('Data Sheet'!C18:C24)</f>
        <v>124.75999999999999</v>
      </c>
      <c r="D5" s="1">
        <f>SUM('Data Sheet'!D18:D24)</f>
        <v>156.25999999999996</v>
      </c>
      <c r="E5" s="1">
        <f>SUM('Data Sheet'!E18:E24)</f>
        <v>189.63000000000002</v>
      </c>
      <c r="F5" s="1">
        <f>SUM('Data Sheet'!F18:F24)</f>
        <v>261.77</v>
      </c>
      <c r="G5" s="1">
        <f>SUM('Data Sheet'!G18:G24)</f>
        <v>364.75</v>
      </c>
      <c r="H5" s="1">
        <f>SUM('Data Sheet'!H18:H24)</f>
        <v>440.56</v>
      </c>
      <c r="I5" s="1">
        <f>SUM('Data Sheet'!I18:I24)</f>
        <v>541.55999999999995</v>
      </c>
      <c r="J5" s="1">
        <f>SUM('Data Sheet'!J18:J24)</f>
        <v>578.65</v>
      </c>
      <c r="K5" s="1">
        <f>SUM('Data Sheet'!K18:K24)</f>
        <v>422.68</v>
      </c>
      <c r="L5" s="9">
        <f>SUM(Quarters!H5:K5)</f>
        <v>426.1</v>
      </c>
      <c r="M5" s="9">
        <f t="shared" ref="M5:N5" si="0">M4-M6</f>
        <v>443.94117149466092</v>
      </c>
      <c r="N5" s="9">
        <f t="shared" si="0"/>
        <v>489.99253547325168</v>
      </c>
    </row>
    <row r="6" spans="1:14" s="8" customFormat="1">
      <c r="A6" s="8" t="s">
        <v>8</v>
      </c>
      <c r="B6" s="1">
        <f>B4-B5</f>
        <v>9.36</v>
      </c>
      <c r="C6" s="1">
        <f t="shared" ref="C6:K6" si="1">C4-C5</f>
        <v>21.570000000000022</v>
      </c>
      <c r="D6" s="1">
        <f t="shared" si="1"/>
        <v>34.240000000000038</v>
      </c>
      <c r="E6" s="1">
        <f t="shared" si="1"/>
        <v>42.46999999999997</v>
      </c>
      <c r="F6" s="1">
        <f t="shared" si="1"/>
        <v>60.879999999999995</v>
      </c>
      <c r="G6" s="1">
        <f t="shared" si="1"/>
        <v>82.70999999999998</v>
      </c>
      <c r="H6" s="1">
        <f t="shared" si="1"/>
        <v>112.30000000000001</v>
      </c>
      <c r="I6" s="1">
        <f t="shared" si="1"/>
        <v>154.57000000000005</v>
      </c>
      <c r="J6" s="1">
        <f t="shared" si="1"/>
        <v>193.08000000000004</v>
      </c>
      <c r="K6" s="1">
        <f t="shared" si="1"/>
        <v>208.27000000000004</v>
      </c>
      <c r="L6" s="1">
        <f>SUM(Quarters!H6:K6)</f>
        <v>206.75999999999996</v>
      </c>
      <c r="M6" s="1">
        <f>M4*M24</f>
        <v>215.41721806673573</v>
      </c>
      <c r="N6" s="1">
        <f>N4*N24</f>
        <v>142.87324644290644</v>
      </c>
    </row>
    <row r="7" spans="1:14">
      <c r="A7" s="6" t="s">
        <v>9</v>
      </c>
      <c r="B7" s="9">
        <f>'Data Sheet'!B25</f>
        <v>1.89</v>
      </c>
      <c r="C7" s="9">
        <f>'Data Sheet'!C25</f>
        <v>4.03</v>
      </c>
      <c r="D7" s="9">
        <f>'Data Sheet'!D25</f>
        <v>5.32</v>
      </c>
      <c r="E7" s="9">
        <f>'Data Sheet'!E25</f>
        <v>8.4499999999999993</v>
      </c>
      <c r="F7" s="9">
        <f>'Data Sheet'!F25</f>
        <v>6.35</v>
      </c>
      <c r="G7" s="9">
        <f>'Data Sheet'!G25</f>
        <v>2.83</v>
      </c>
      <c r="H7" s="9">
        <f>'Data Sheet'!H25</f>
        <v>3.76</v>
      </c>
      <c r="I7" s="9">
        <f>'Data Sheet'!I25</f>
        <v>9.17</v>
      </c>
      <c r="J7" s="9">
        <f>'Data Sheet'!J25</f>
        <v>9.14</v>
      </c>
      <c r="K7" s="9">
        <f>'Data Sheet'!K25</f>
        <v>6.16</v>
      </c>
      <c r="L7" s="9">
        <f>SUM(Quarters!H7:K7)</f>
        <v>6.16</v>
      </c>
      <c r="M7" s="9">
        <v>0</v>
      </c>
      <c r="N7" s="9">
        <v>0</v>
      </c>
    </row>
    <row r="8" spans="1:14">
      <c r="A8" s="6" t="s">
        <v>10</v>
      </c>
      <c r="B8" s="9">
        <f>'Data Sheet'!B26</f>
        <v>2.71</v>
      </c>
      <c r="C8" s="9">
        <f>'Data Sheet'!C26</f>
        <v>2.93</v>
      </c>
      <c r="D8" s="9">
        <f>'Data Sheet'!D26</f>
        <v>3.25</v>
      </c>
      <c r="E8" s="9">
        <f>'Data Sheet'!E26</f>
        <v>4.93</v>
      </c>
      <c r="F8" s="9">
        <f>'Data Sheet'!F26</f>
        <v>6.45</v>
      </c>
      <c r="G8" s="9">
        <f>'Data Sheet'!G26</f>
        <v>7.03</v>
      </c>
      <c r="H8" s="9">
        <f>'Data Sheet'!H26</f>
        <v>9.9499999999999993</v>
      </c>
      <c r="I8" s="9">
        <f>'Data Sheet'!I26</f>
        <v>15.32</v>
      </c>
      <c r="J8" s="9">
        <f>'Data Sheet'!J26</f>
        <v>17.66</v>
      </c>
      <c r="K8" s="9">
        <f>'Data Sheet'!K26</f>
        <v>18.52</v>
      </c>
      <c r="L8" s="9">
        <f>SUM(Quarters!H8:K8)</f>
        <v>18.52</v>
      </c>
      <c r="M8" s="9">
        <f>+$L8</f>
        <v>18.52</v>
      </c>
      <c r="N8" s="9">
        <f>+$L8</f>
        <v>18.52</v>
      </c>
    </row>
    <row r="9" spans="1:14">
      <c r="A9" s="6" t="s">
        <v>11</v>
      </c>
      <c r="B9" s="9">
        <f>'Data Sheet'!B27</f>
        <v>1.97</v>
      </c>
      <c r="C9" s="9">
        <f>'Data Sheet'!C27</f>
        <v>3.26</v>
      </c>
      <c r="D9" s="9">
        <f>'Data Sheet'!D27</f>
        <v>3.29</v>
      </c>
      <c r="E9" s="9">
        <f>'Data Sheet'!E27</f>
        <v>4.42</v>
      </c>
      <c r="F9" s="9">
        <f>'Data Sheet'!F27</f>
        <v>7.12</v>
      </c>
      <c r="G9" s="9">
        <f>'Data Sheet'!G27</f>
        <v>9.19</v>
      </c>
      <c r="H9" s="9">
        <f>'Data Sheet'!H27</f>
        <v>11.54</v>
      </c>
      <c r="I9" s="9">
        <f>'Data Sheet'!I27</f>
        <v>18.149999999999999</v>
      </c>
      <c r="J9" s="9">
        <f>'Data Sheet'!J27</f>
        <v>9.76</v>
      </c>
      <c r="K9" s="9">
        <f>'Data Sheet'!K27</f>
        <v>7.86</v>
      </c>
      <c r="L9" s="9">
        <f>SUM(Quarters!H9:K9)</f>
        <v>7.8599999999999994</v>
      </c>
      <c r="M9" s="9">
        <f>+$L9</f>
        <v>7.8599999999999994</v>
      </c>
      <c r="N9" s="9">
        <f>+$L9</f>
        <v>7.8599999999999994</v>
      </c>
    </row>
    <row r="10" spans="1:14">
      <c r="A10" s="6" t="s">
        <v>12</v>
      </c>
      <c r="B10" s="9">
        <f>'Data Sheet'!B28</f>
        <v>5.53</v>
      </c>
      <c r="C10" s="9">
        <f>'Data Sheet'!C28</f>
        <v>23.15</v>
      </c>
      <c r="D10" s="9">
        <f>'Data Sheet'!D28</f>
        <v>31.88</v>
      </c>
      <c r="E10" s="9">
        <f>'Data Sheet'!E28</f>
        <v>51.79</v>
      </c>
      <c r="F10" s="9">
        <f>'Data Sheet'!F28</f>
        <v>62.5</v>
      </c>
      <c r="G10" s="9">
        <f>'Data Sheet'!G28</f>
        <v>81.599999999999994</v>
      </c>
      <c r="H10" s="9">
        <f>'Data Sheet'!H28</f>
        <v>102.61</v>
      </c>
      <c r="I10" s="9">
        <f>'Data Sheet'!I28</f>
        <v>128.59</v>
      </c>
      <c r="J10" s="9">
        <f>'Data Sheet'!J28</f>
        <v>173.5</v>
      </c>
      <c r="K10" s="9">
        <f>'Data Sheet'!K28</f>
        <v>186.56</v>
      </c>
      <c r="L10" s="9">
        <f>SUM(Quarters!H10:K10)</f>
        <v>186.56</v>
      </c>
      <c r="M10" s="9">
        <f>M6+M7-SUM(M8:M9)</f>
        <v>189.03721806673573</v>
      </c>
      <c r="N10" s="9">
        <f>N6+N7-SUM(N8:N9)</f>
        <v>116.49324644290644</v>
      </c>
    </row>
    <row r="11" spans="1:14">
      <c r="A11" s="6" t="s">
        <v>13</v>
      </c>
      <c r="B11" s="9">
        <f>'Data Sheet'!B29</f>
        <v>2.02</v>
      </c>
      <c r="C11" s="9">
        <f>'Data Sheet'!C29</f>
        <v>7.95</v>
      </c>
      <c r="D11" s="9">
        <f>'Data Sheet'!D29</f>
        <v>6.75</v>
      </c>
      <c r="E11" s="9">
        <f>'Data Sheet'!E29</f>
        <v>11.75</v>
      </c>
      <c r="F11" s="9">
        <f>'Data Sheet'!F29</f>
        <v>10.53</v>
      </c>
      <c r="G11" s="9">
        <f>'Data Sheet'!G29</f>
        <v>26.79</v>
      </c>
      <c r="H11" s="9">
        <f>'Data Sheet'!H29</f>
        <v>33.94</v>
      </c>
      <c r="I11" s="9">
        <f>'Data Sheet'!I29</f>
        <v>42.43</v>
      </c>
      <c r="J11" s="9">
        <f>'Data Sheet'!J29</f>
        <v>57.7</v>
      </c>
      <c r="K11" s="9">
        <f>'Data Sheet'!K29</f>
        <v>54.99</v>
      </c>
      <c r="L11" s="9">
        <f>SUM(Quarters!H11:K11)</f>
        <v>54.99</v>
      </c>
      <c r="M11" s="10">
        <f>IF($L10&gt;0,$L11/$L10,0)</f>
        <v>0.29475771869639794</v>
      </c>
      <c r="N11" s="10">
        <f>IF($L10&gt;0,$L11/$L10,0)</f>
        <v>0.29475771869639794</v>
      </c>
    </row>
    <row r="12" spans="1:14" s="8" customFormat="1">
      <c r="A12" s="8" t="s">
        <v>14</v>
      </c>
      <c r="B12" s="1">
        <f>'Data Sheet'!B30</f>
        <v>3.51</v>
      </c>
      <c r="C12" s="1">
        <f>'Data Sheet'!C30</f>
        <v>15.2</v>
      </c>
      <c r="D12" s="1">
        <f>'Data Sheet'!D30</f>
        <v>25.13</v>
      </c>
      <c r="E12" s="1">
        <f>'Data Sheet'!E30</f>
        <v>40.04</v>
      </c>
      <c r="F12" s="1">
        <f>'Data Sheet'!F30</f>
        <v>51.97</v>
      </c>
      <c r="G12" s="1">
        <f>'Data Sheet'!G30</f>
        <v>54.81</v>
      </c>
      <c r="H12" s="1">
        <f>'Data Sheet'!H30</f>
        <v>68.66</v>
      </c>
      <c r="I12" s="1">
        <f>'Data Sheet'!I30</f>
        <v>86.15</v>
      </c>
      <c r="J12" s="1">
        <f>'Data Sheet'!J30</f>
        <v>115.79</v>
      </c>
      <c r="K12" s="1">
        <f>'Data Sheet'!K30</f>
        <v>131.57</v>
      </c>
      <c r="L12" s="1">
        <f>SUM(Quarters!H12:K12)</f>
        <v>131.57</v>
      </c>
      <c r="M12" s="1">
        <f>M10-M11*M10</f>
        <v>133.31703892067122</v>
      </c>
      <c r="N12" s="1">
        <f>N10-N11*N10</f>
        <v>82.155962877858059</v>
      </c>
    </row>
    <row r="13" spans="1:14">
      <c r="A13" s="11" t="s">
        <v>48</v>
      </c>
      <c r="B13" s="9">
        <f>IF('Data Sheet'!B93&gt;0,B12/'Data Sheet'!B93,0)</f>
        <v>1.0663831080054684</v>
      </c>
      <c r="C13" s="9">
        <f>IF('Data Sheet'!C93&gt;0,C12/'Data Sheet'!C93,0)</f>
        <v>3.078636893007241</v>
      </c>
      <c r="D13" s="9">
        <f>IF('Data Sheet'!D93&gt;0,D12/'Data Sheet'!D93,0)</f>
        <v>5.0898779685047346</v>
      </c>
      <c r="E13" s="9">
        <f>IF('Data Sheet'!E93&gt;0,E12/'Data Sheet'!E93,0)</f>
        <v>8.1097777102638116</v>
      </c>
      <c r="F13" s="9">
        <f>IF('Data Sheet'!F93&gt;0,F12/'Data Sheet'!F93,0)</f>
        <v>10.526102587472783</v>
      </c>
      <c r="G13" s="9">
        <f>IF('Data Sheet'!G93&gt;0,G12/'Data Sheet'!G93,0)</f>
        <v>11.101321585903085</v>
      </c>
      <c r="H13" s="9">
        <f>IF('Data Sheet'!H93&gt;0,H12/'Data Sheet'!H93,0)</f>
        <v>13.906526912755076</v>
      </c>
      <c r="I13" s="9">
        <f>IF('Data Sheet'!I93&gt;0,I12/'Data Sheet'!I93,0)</f>
        <v>17.448984758721963</v>
      </c>
      <c r="J13" s="9">
        <f>IF('Data Sheet'!J93&gt;0,J12/'Data Sheet'!J93,0)</f>
        <v>22.443826227526976</v>
      </c>
      <c r="K13" s="9">
        <f>IF('Data Sheet'!K93&gt;0,K12/'Data Sheet'!K93,0)</f>
        <v>25.502497769718666</v>
      </c>
      <c r="L13" s="9">
        <f>IF('Data Sheet'!$B6&gt;0,'Profit &amp; Loss'!L12/'Data Sheet'!$B6,0)</f>
        <v>25.502533440292517</v>
      </c>
      <c r="M13" s="9">
        <f>IF('Data Sheet'!$B6&gt;0,'Profit &amp; Loss'!M12/'Data Sheet'!$B6,0)</f>
        <v>25.841166247892353</v>
      </c>
      <c r="N13" s="9">
        <f>IF('Data Sheet'!$B6&gt;0,'Profit &amp; Loss'!N12/'Data Sheet'!$B6,0)</f>
        <v>15.924490313992596</v>
      </c>
    </row>
    <row r="14" spans="1:14">
      <c r="A14" s="6" t="s">
        <v>16</v>
      </c>
      <c r="B14" s="9">
        <f>IF(B15&gt;0,B15/B13,"")</f>
        <v>4.6793689458689469</v>
      </c>
      <c r="C14" s="9">
        <f t="shared" ref="C14:K14" si="2">IF(C15&gt;0,C15/C13,"")</f>
        <v>5.193857072368421</v>
      </c>
      <c r="D14" s="9">
        <f t="shared" si="2"/>
        <v>3.137599781138082</v>
      </c>
      <c r="E14" s="9">
        <f t="shared" si="2"/>
        <v>9.4934784590409578</v>
      </c>
      <c r="F14" s="9">
        <f t="shared" si="2"/>
        <v>7.0643430825476239</v>
      </c>
      <c r="G14" s="9">
        <f t="shared" si="2"/>
        <v>7.9630158730158724</v>
      </c>
      <c r="H14" s="9">
        <f t="shared" si="2"/>
        <v>7.3203036702592481</v>
      </c>
      <c r="I14" s="9">
        <f t="shared" si="2"/>
        <v>15.680568456181078</v>
      </c>
      <c r="J14" s="9">
        <f t="shared" si="2"/>
        <v>27.06178500237499</v>
      </c>
      <c r="K14" s="9">
        <f t="shared" si="2"/>
        <v>16.683463864672799</v>
      </c>
      <c r="L14" s="9">
        <f t="shared" ref="L14" si="3">IF(L13&gt;0,L15/L13,0)</f>
        <v>20.370525195713313</v>
      </c>
      <c r="M14" s="9">
        <f>M25</f>
        <v>20.370525195713313</v>
      </c>
      <c r="N14" s="9">
        <f>N25</f>
        <v>11.331664491198303</v>
      </c>
    </row>
    <row r="15" spans="1:14" s="8" customFormat="1">
      <c r="A15" s="8" t="s">
        <v>49</v>
      </c>
      <c r="B15" s="1">
        <f>'Data Sheet'!B90</f>
        <v>4.99</v>
      </c>
      <c r="C15" s="1">
        <f>'Data Sheet'!C90</f>
        <v>15.99</v>
      </c>
      <c r="D15" s="1">
        <f>'Data Sheet'!D90</f>
        <v>15.97</v>
      </c>
      <c r="E15" s="1">
        <f>'Data Sheet'!E90</f>
        <v>76.989999999999995</v>
      </c>
      <c r="F15" s="1">
        <f>'Data Sheet'!F90</f>
        <v>74.36</v>
      </c>
      <c r="G15" s="1">
        <f>'Data Sheet'!G90</f>
        <v>88.4</v>
      </c>
      <c r="H15" s="1">
        <f>'Data Sheet'!H90</f>
        <v>101.8</v>
      </c>
      <c r="I15" s="1">
        <f>'Data Sheet'!I90</f>
        <v>273.61</v>
      </c>
      <c r="J15" s="1">
        <f>'Data Sheet'!J90</f>
        <v>607.37</v>
      </c>
      <c r="K15" s="1">
        <f>'Data Sheet'!K90</f>
        <v>425.47</v>
      </c>
      <c r="L15" s="1">
        <f>'Data Sheet'!B8</f>
        <v>519.5</v>
      </c>
      <c r="M15" s="12">
        <f>M13*M14</f>
        <v>526.39812813930769</v>
      </c>
      <c r="N15" s="13">
        <f>N13*N14</f>
        <v>180.45098143150122</v>
      </c>
    </row>
    <row r="17" spans="1:14" s="8" customFormat="1">
      <c r="A17" s="8" t="s">
        <v>15</v>
      </c>
    </row>
    <row r="18" spans="1:14">
      <c r="A18" s="6" t="s">
        <v>17</v>
      </c>
      <c r="B18" s="7">
        <f>IF('Data Sheet'!B30&gt;0, 'Data Sheet'!B31/'Data Sheet'!B30, 0)</f>
        <v>0.2250712250712251</v>
      </c>
      <c r="C18" s="7">
        <f>IF('Data Sheet'!C30&gt;0, 'Data Sheet'!C31/'Data Sheet'!C30, 0)</f>
        <v>0.12960526315789475</v>
      </c>
      <c r="D18" s="7">
        <f>IF('Data Sheet'!D30&gt;0, 'Data Sheet'!D31/'Data Sheet'!D30, 0)</f>
        <v>9.828889773179468E-2</v>
      </c>
      <c r="E18" s="7">
        <f>IF('Data Sheet'!E30&gt;0, 'Data Sheet'!E31/'Data Sheet'!E30, 0)</f>
        <v>0.12337662337662339</v>
      </c>
      <c r="F18" s="7">
        <f>IF('Data Sheet'!F30&gt;0, 'Data Sheet'!F31/'Data Sheet'!F30, 0)</f>
        <v>0.1235328073888782</v>
      </c>
      <c r="G18" s="7">
        <f>IF('Data Sheet'!G30&gt;0, 'Data Sheet'!G31/'Data Sheet'!G30, 0)</f>
        <v>0.18025907681080094</v>
      </c>
      <c r="H18" s="7">
        <f>IF('Data Sheet'!H30&gt;0, 'Data Sheet'!H31/'Data Sheet'!H30, 0)</f>
        <v>0.17972618700844742</v>
      </c>
      <c r="I18" s="7">
        <f>IF('Data Sheet'!I30&gt;0, 'Data Sheet'!I31/'Data Sheet'!I30, 0)</f>
        <v>0.17190946024376089</v>
      </c>
      <c r="J18" s="7">
        <f>IF('Data Sheet'!J30&gt;0, 'Data Sheet'!J31/'Data Sheet'!J30, 0)</f>
        <v>0.15597201830900767</v>
      </c>
      <c r="K18" s="7">
        <f>IF('Data Sheet'!K30&gt;0, 'Data Sheet'!K31/'Data Sheet'!K30, 0)</f>
        <v>0.15687466747738849</v>
      </c>
    </row>
    <row r="19" spans="1:14">
      <c r="A19" s="6" t="s">
        <v>18</v>
      </c>
      <c r="B19" s="7">
        <f t="shared" ref="B19:L19" si="4">IF(B6&gt;0,B6/B4,0)</f>
        <v>0.11407678244972577</v>
      </c>
      <c r="C19" s="7">
        <f t="shared" ref="C19:K19" si="5">IF(C6&gt;0,C6/C4,0)</f>
        <v>0.14740654684616974</v>
      </c>
      <c r="D19" s="7">
        <f t="shared" si="5"/>
        <v>0.17973753280839916</v>
      </c>
      <c r="E19" s="7">
        <f t="shared" si="5"/>
        <v>0.18298147350280039</v>
      </c>
      <c r="F19" s="7">
        <f t="shared" si="5"/>
        <v>0.18868743220207657</v>
      </c>
      <c r="G19" s="7">
        <f t="shared" si="5"/>
        <v>0.18484333795199567</v>
      </c>
      <c r="H19" s="7">
        <f t="shared" si="5"/>
        <v>0.2031255652425569</v>
      </c>
      <c r="I19" s="7">
        <f t="shared" si="5"/>
        <v>0.22204185999741435</v>
      </c>
      <c r="J19" s="7">
        <f t="shared" si="5"/>
        <v>0.25019112902180818</v>
      </c>
      <c r="K19" s="7">
        <f t="shared" si="5"/>
        <v>0.33008954750772646</v>
      </c>
      <c r="L19" s="7">
        <f t="shared" si="4"/>
        <v>0.32670732863508517</v>
      </c>
    </row>
    <row r="20" spans="1:14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4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4" s="2" customFormat="1">
      <c r="A22" s="15"/>
      <c r="B22" s="16"/>
      <c r="C22" s="16"/>
      <c r="D22" s="16"/>
      <c r="E22" s="16"/>
      <c r="F22" s="16"/>
      <c r="G22" s="16" t="s">
        <v>19</v>
      </c>
      <c r="H22" s="16" t="s">
        <v>56</v>
      </c>
      <c r="I22" s="16" t="s">
        <v>57</v>
      </c>
      <c r="J22" s="16" t="s">
        <v>58</v>
      </c>
      <c r="K22" s="16" t="s">
        <v>59</v>
      </c>
      <c r="L22" s="17" t="s">
        <v>60</v>
      </c>
      <c r="M22" s="17" t="s">
        <v>20</v>
      </c>
      <c r="N22" s="17" t="s">
        <v>21</v>
      </c>
    </row>
    <row r="23" spans="1:14" s="8" customFormat="1">
      <c r="A23" s="6"/>
      <c r="B23" s="6"/>
      <c r="C23" s="6"/>
      <c r="D23" s="6"/>
      <c r="E23" s="6"/>
      <c r="F23" s="6"/>
      <c r="G23" s="6" t="s">
        <v>22</v>
      </c>
      <c r="H23" s="7">
        <f>IF(B4=0,"",POWER($K4/B4,1/9)-1)</f>
        <v>0.25439741691942785</v>
      </c>
      <c r="I23" s="7">
        <f>IF(D4=0,"",POWER($K4/D4,1/7)-1)</f>
        <v>0.18658811738527881</v>
      </c>
      <c r="J23" s="7">
        <f>IF(F4=0,"",POWER($K4/F4,1/5)-1)</f>
        <v>0.14354340884172401</v>
      </c>
      <c r="K23" s="7">
        <f>IF(H4=0,"",POWER($K4/H4, 1/3)-1)</f>
        <v>4.5024787322920368E-2</v>
      </c>
      <c r="L23" s="7">
        <f>IF(ISERROR(MAX(IF(J4=0,"",(K4-J4)/J4),IF(K4=0,"",(L4-K4)/K4))),"",MAX(IF(J4=0,"",(K4-J4)/J4),IF(K4=0,"",(L4-K4)/K4)))</f>
        <v>3.0271812346459375E-3</v>
      </c>
      <c r="M23" s="22">
        <f>MAX(K23:L23)</f>
        <v>4.5024787322920368E-2</v>
      </c>
      <c r="N23" s="22">
        <f>MIN(H23:L23)</f>
        <v>3.0271812346459375E-3</v>
      </c>
    </row>
    <row r="24" spans="1:14">
      <c r="G24" s="6" t="s">
        <v>18</v>
      </c>
      <c r="H24" s="7">
        <f>IF(SUM(B4:$K$4)=0,"",SUMPRODUCT(B19:$K$19,B4:$K$4)/SUM(B4:$K$4))</f>
        <v>0.22575599838929869</v>
      </c>
      <c r="I24" s="7">
        <f>IF(SUM(E4:$K$4)=0,"",SUMPRODUCT(E19:$K$19,E4:$K$4)/SUM(E4:$K$4))</f>
        <v>0.23380078163486484</v>
      </c>
      <c r="J24" s="7">
        <f>IF(SUM(G4:$K$4)=0,"",SUMPRODUCT(G19:$K$19,G4:$K$4)/SUM(G4:$K$4))</f>
        <v>0.24230348517164496</v>
      </c>
      <c r="K24" s="7">
        <f>IF(SUM(I4:$K$4)=0, "", SUMPRODUCT(I19:$K$19,I4:$K$4)/SUM(I4:$K$4))</f>
        <v>0.26487390473649353</v>
      </c>
      <c r="L24" s="7">
        <f>L19</f>
        <v>0.32670732863508517</v>
      </c>
      <c r="M24" s="22">
        <f>MAX(K24:L24)</f>
        <v>0.32670732863508517</v>
      </c>
      <c r="N24" s="22">
        <f>MIN(H24:L24)</f>
        <v>0.22575599838929869</v>
      </c>
    </row>
    <row r="25" spans="1:14">
      <c r="G25" s="6" t="s">
        <v>23</v>
      </c>
      <c r="H25" s="9">
        <f>IF(ISERROR(AVERAGEIF(B14:$L14,"&gt;0")),"",AVERAGEIF(B14:$L14,"&gt;0"))</f>
        <v>11.331664491198303</v>
      </c>
      <c r="I25" s="9">
        <f>IF(ISERROR(AVERAGEIF(E14:$L14,"&gt;0")),"",AVERAGEIF(E14:$L14,"&gt;0"))</f>
        <v>13.954685450475734</v>
      </c>
      <c r="J25" s="9">
        <f>IF(ISERROR(AVERAGEIF(G14:$L14,"&gt;0")),"",AVERAGEIF(G14:$L14,"&gt;0"))</f>
        <v>15.846610343702883</v>
      </c>
      <c r="K25" s="9">
        <f>IF(ISERROR(AVERAGEIF(I14:$L14,"&gt;0")),"",AVERAGEIF(I14:$L14,"&gt;0"))</f>
        <v>19.949085629735546</v>
      </c>
      <c r="L25" s="9">
        <f>L14</f>
        <v>20.370525195713313</v>
      </c>
      <c r="M25" s="1">
        <f>MAX(K25:L25)</f>
        <v>20.370525195713313</v>
      </c>
      <c r="N25" s="1">
        <f>MIN(H25:L25)</f>
        <v>11.331664491198303</v>
      </c>
    </row>
  </sheetData>
  <hyperlinks>
    <hyperlink ref="M1" r:id="rId1"/>
  </hyperlinks>
  <printOptions gridLines="1"/>
  <pageMargins left="0.7" right="0.7" top="0.75" bottom="0.75" header="0.3" footer="0.3"/>
  <pageSetup paperSize="9" orientation="landscape" horizontalDpi="300" verticalDpi="3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22"/>
  <sheetViews>
    <sheetView workbookViewId="0">
      <selection activeCell="K12" sqref="K12"/>
    </sheetView>
  </sheetViews>
  <sheetFormatPr defaultColWidth="9.140625" defaultRowHeight="15"/>
  <cols>
    <col min="1" max="1" width="20.7109375" style="6" customWidth="1"/>
    <col min="2" max="11" width="13.5703125" style="6" bestFit="1" customWidth="1"/>
    <col min="12" max="16384" width="9.140625" style="6"/>
  </cols>
  <sheetData>
    <row r="1" spans="1:11" s="8" customFormat="1">
      <c r="A1" s="8" t="str">
        <f>'Profit &amp; Loss'!A1</f>
        <v>VINATI ORGANICS LTD</v>
      </c>
      <c r="E1" t="str">
        <f>UPDATE</f>
        <v>A NEW VERSION OF THE WORKSHEET IS AVAILABLE</v>
      </c>
      <c r="J1" s="4" t="s">
        <v>1</v>
      </c>
      <c r="K1" s="4"/>
    </row>
    <row r="3" spans="1:11" s="2" customFormat="1">
      <c r="A3" s="15" t="s">
        <v>2</v>
      </c>
      <c r="B3" s="16">
        <f>'Data Sheet'!B41</f>
        <v>41639</v>
      </c>
      <c r="C3" s="16">
        <f>'Data Sheet'!C41</f>
        <v>41729</v>
      </c>
      <c r="D3" s="16">
        <f>'Data Sheet'!D41</f>
        <v>41820</v>
      </c>
      <c r="E3" s="16">
        <f>'Data Sheet'!E41</f>
        <v>41912</v>
      </c>
      <c r="F3" s="16">
        <f>'Data Sheet'!F41</f>
        <v>42004</v>
      </c>
      <c r="G3" s="16">
        <f>'Data Sheet'!G41</f>
        <v>42094</v>
      </c>
      <c r="H3" s="16">
        <f>'Data Sheet'!H41</f>
        <v>42185</v>
      </c>
      <c r="I3" s="16">
        <f>'Data Sheet'!I41</f>
        <v>42277</v>
      </c>
      <c r="J3" s="16">
        <f>'Data Sheet'!J41</f>
        <v>42369</v>
      </c>
      <c r="K3" s="16">
        <f>'Data Sheet'!K41</f>
        <v>42460</v>
      </c>
    </row>
    <row r="4" spans="1:11" s="8" customFormat="1">
      <c r="A4" s="8" t="s">
        <v>6</v>
      </c>
      <c r="B4" s="1">
        <f>'Data Sheet'!B42</f>
        <v>176.1</v>
      </c>
      <c r="C4" s="1">
        <f>'Data Sheet'!C42</f>
        <v>195.27</v>
      </c>
      <c r="D4" s="1">
        <f>'Data Sheet'!D42</f>
        <v>198.3</v>
      </c>
      <c r="E4" s="1">
        <f>'Data Sheet'!E42</f>
        <v>196.39</v>
      </c>
      <c r="F4" s="1">
        <f>'Data Sheet'!F42</f>
        <v>202.07</v>
      </c>
      <c r="G4" s="1">
        <f>'Data Sheet'!G42</f>
        <v>174.97</v>
      </c>
      <c r="H4" s="1">
        <f>'Data Sheet'!H42</f>
        <v>163.38999999999999</v>
      </c>
      <c r="I4" s="1">
        <f>'Data Sheet'!I42</f>
        <v>162.88999999999999</v>
      </c>
      <c r="J4" s="1">
        <f>'Data Sheet'!J42</f>
        <v>152.19</v>
      </c>
      <c r="K4" s="1">
        <f>'Data Sheet'!K42</f>
        <v>154.38999999999999</v>
      </c>
    </row>
    <row r="5" spans="1:11">
      <c r="A5" s="6" t="s">
        <v>7</v>
      </c>
      <c r="B5" s="1">
        <f>'Data Sheet'!B43</f>
        <v>136.25</v>
      </c>
      <c r="C5" s="1">
        <f>'Data Sheet'!C43</f>
        <v>150.06</v>
      </c>
      <c r="D5" s="1">
        <f>'Data Sheet'!D43</f>
        <v>157.83000000000001</v>
      </c>
      <c r="E5" s="1">
        <f>'Data Sheet'!E43</f>
        <v>147.76</v>
      </c>
      <c r="F5" s="1">
        <f>'Data Sheet'!F43</f>
        <v>148.99</v>
      </c>
      <c r="G5" s="1">
        <f>'Data Sheet'!G43</f>
        <v>125.38</v>
      </c>
      <c r="H5" s="1">
        <f>'Data Sheet'!H43</f>
        <v>110.24</v>
      </c>
      <c r="I5" s="1">
        <f>'Data Sheet'!I43</f>
        <v>110.52</v>
      </c>
      <c r="J5" s="1">
        <f>'Data Sheet'!J43</f>
        <v>101.68</v>
      </c>
      <c r="K5" s="1">
        <f>'Data Sheet'!K43</f>
        <v>103.66</v>
      </c>
    </row>
    <row r="6" spans="1:11" s="8" customFormat="1">
      <c r="A6" s="8" t="s">
        <v>8</v>
      </c>
      <c r="B6" s="1">
        <f>B4-B5</f>
        <v>39.849999999999994</v>
      </c>
      <c r="C6" s="1">
        <f t="shared" ref="C6:K6" si="0">C4-C5</f>
        <v>45.210000000000008</v>
      </c>
      <c r="D6" s="1">
        <f t="shared" si="0"/>
        <v>40.47</v>
      </c>
      <c r="E6" s="1">
        <f t="shared" si="0"/>
        <v>48.629999999999995</v>
      </c>
      <c r="F6" s="1">
        <f t="shared" si="0"/>
        <v>53.079999999999984</v>
      </c>
      <c r="G6" s="1">
        <f t="shared" si="0"/>
        <v>49.59</v>
      </c>
      <c r="H6" s="1">
        <f t="shared" si="0"/>
        <v>53.149999999999991</v>
      </c>
      <c r="I6" s="1">
        <f t="shared" si="0"/>
        <v>52.36999999999999</v>
      </c>
      <c r="J6" s="1">
        <f t="shared" si="0"/>
        <v>50.509999999999991</v>
      </c>
      <c r="K6" s="1">
        <f t="shared" si="0"/>
        <v>50.72999999999999</v>
      </c>
    </row>
    <row r="7" spans="1:11">
      <c r="A7" s="6" t="s">
        <v>9</v>
      </c>
      <c r="B7" s="9">
        <f>'Data Sheet'!B44</f>
        <v>2.2200000000000002</v>
      </c>
      <c r="C7" s="9">
        <f>'Data Sheet'!C44</f>
        <v>3.52</v>
      </c>
      <c r="D7" s="9">
        <f>'Data Sheet'!D44</f>
        <v>2.16</v>
      </c>
      <c r="E7" s="9">
        <f>'Data Sheet'!E44</f>
        <v>2.1</v>
      </c>
      <c r="F7" s="9">
        <f>'Data Sheet'!F44</f>
        <v>1.42</v>
      </c>
      <c r="G7" s="9">
        <f>'Data Sheet'!G44</f>
        <v>3.47</v>
      </c>
      <c r="H7" s="9">
        <f>'Data Sheet'!H44</f>
        <v>1.1299999999999999</v>
      </c>
      <c r="I7" s="9">
        <f>'Data Sheet'!I44</f>
        <v>1.56</v>
      </c>
      <c r="J7" s="9">
        <f>'Data Sheet'!J44</f>
        <v>1.47</v>
      </c>
      <c r="K7" s="9">
        <f>'Data Sheet'!K44</f>
        <v>2</v>
      </c>
    </row>
    <row r="8" spans="1:11">
      <c r="A8" s="6" t="s">
        <v>10</v>
      </c>
      <c r="B8" s="9">
        <f>'Data Sheet'!B45</f>
        <v>4.0199999999999996</v>
      </c>
      <c r="C8" s="9">
        <f>'Data Sheet'!C45</f>
        <v>3.95</v>
      </c>
      <c r="D8" s="9">
        <f>'Data Sheet'!D45</f>
        <v>4.3099999999999996</v>
      </c>
      <c r="E8" s="9">
        <f>'Data Sheet'!E45</f>
        <v>4.45</v>
      </c>
      <c r="F8" s="9">
        <f>'Data Sheet'!F45</f>
        <v>4.5</v>
      </c>
      <c r="G8" s="9">
        <f>'Data Sheet'!G45</f>
        <v>4.4000000000000004</v>
      </c>
      <c r="H8" s="9">
        <f>'Data Sheet'!H45</f>
        <v>4.5599999999999996</v>
      </c>
      <c r="I8" s="9">
        <f>'Data Sheet'!I45</f>
        <v>4.62</v>
      </c>
      <c r="J8" s="9">
        <f>'Data Sheet'!J45</f>
        <v>4.63</v>
      </c>
      <c r="K8" s="9">
        <f>'Data Sheet'!K45</f>
        <v>4.71</v>
      </c>
    </row>
    <row r="9" spans="1:11">
      <c r="A9" s="6" t="s">
        <v>11</v>
      </c>
      <c r="B9" s="9">
        <f>'Data Sheet'!B46</f>
        <v>4.3099999999999996</v>
      </c>
      <c r="C9" s="9">
        <f>'Data Sheet'!C46</f>
        <v>4.18</v>
      </c>
      <c r="D9" s="9">
        <f>'Data Sheet'!D46</f>
        <v>2.5299999999999998</v>
      </c>
      <c r="E9" s="9">
        <f>'Data Sheet'!E46</f>
        <v>3.69</v>
      </c>
      <c r="F9" s="9">
        <f>'Data Sheet'!F46</f>
        <v>2.77</v>
      </c>
      <c r="G9" s="9">
        <f>'Data Sheet'!G46</f>
        <v>0.77</v>
      </c>
      <c r="H9" s="9">
        <f>'Data Sheet'!H46</f>
        <v>2.46</v>
      </c>
      <c r="I9" s="9">
        <f>'Data Sheet'!I46</f>
        <v>2.2200000000000002</v>
      </c>
      <c r="J9" s="9">
        <f>'Data Sheet'!J46</f>
        <v>2</v>
      </c>
      <c r="K9" s="9">
        <f>'Data Sheet'!K46</f>
        <v>1.18</v>
      </c>
    </row>
    <row r="10" spans="1:11">
      <c r="A10" s="6" t="s">
        <v>12</v>
      </c>
      <c r="B10" s="9">
        <f>'Data Sheet'!B47</f>
        <v>33.74</v>
      </c>
      <c r="C10" s="9">
        <f>'Data Sheet'!C47</f>
        <v>40.61</v>
      </c>
      <c r="D10" s="9">
        <f>'Data Sheet'!D47</f>
        <v>35.79</v>
      </c>
      <c r="E10" s="9">
        <f>'Data Sheet'!E47</f>
        <v>42.59</v>
      </c>
      <c r="F10" s="9">
        <f>'Data Sheet'!F47</f>
        <v>47.23</v>
      </c>
      <c r="G10" s="9">
        <f>'Data Sheet'!G47</f>
        <v>47.89</v>
      </c>
      <c r="H10" s="9">
        <f>'Data Sheet'!H47</f>
        <v>47.26</v>
      </c>
      <c r="I10" s="9">
        <f>'Data Sheet'!I47</f>
        <v>47.1</v>
      </c>
      <c r="J10" s="9">
        <f>'Data Sheet'!J47</f>
        <v>45.36</v>
      </c>
      <c r="K10" s="9">
        <f>'Data Sheet'!K47</f>
        <v>46.84</v>
      </c>
    </row>
    <row r="11" spans="1:11">
      <c r="A11" s="6" t="s">
        <v>13</v>
      </c>
      <c r="B11" s="9">
        <f>'Data Sheet'!B48</f>
        <v>10.52</v>
      </c>
      <c r="C11" s="9">
        <f>'Data Sheet'!C48</f>
        <v>12.99</v>
      </c>
      <c r="D11" s="9">
        <f>'Data Sheet'!D48</f>
        <v>11.67</v>
      </c>
      <c r="E11" s="9">
        <f>'Data Sheet'!E48</f>
        <v>14.16</v>
      </c>
      <c r="F11" s="9">
        <f>'Data Sheet'!F48</f>
        <v>16.41</v>
      </c>
      <c r="G11" s="9">
        <f>'Data Sheet'!G48</f>
        <v>15.46</v>
      </c>
      <c r="H11" s="9">
        <f>'Data Sheet'!H48</f>
        <v>16.22</v>
      </c>
      <c r="I11" s="9">
        <f>'Data Sheet'!I48</f>
        <v>16.03</v>
      </c>
      <c r="J11" s="9">
        <f>'Data Sheet'!J48</f>
        <v>15.18</v>
      </c>
      <c r="K11" s="9">
        <f>'Data Sheet'!K48</f>
        <v>7.56</v>
      </c>
    </row>
    <row r="12" spans="1:11" s="8" customFormat="1">
      <c r="A12" s="8" t="s">
        <v>14</v>
      </c>
      <c r="B12" s="1">
        <f>'Data Sheet'!B49</f>
        <v>23.23</v>
      </c>
      <c r="C12" s="1">
        <f>'Data Sheet'!C49</f>
        <v>27.62</v>
      </c>
      <c r="D12" s="1">
        <f>'Data Sheet'!D49</f>
        <v>24.11</v>
      </c>
      <c r="E12" s="1">
        <f>'Data Sheet'!E49</f>
        <v>28.43</v>
      </c>
      <c r="F12" s="1">
        <f>'Data Sheet'!F49</f>
        <v>30.83</v>
      </c>
      <c r="G12" s="1">
        <f>'Data Sheet'!G49</f>
        <v>32.43</v>
      </c>
      <c r="H12" s="1">
        <f>'Data Sheet'!H49</f>
        <v>31.04</v>
      </c>
      <c r="I12" s="1">
        <f>'Data Sheet'!I49</f>
        <v>31.07</v>
      </c>
      <c r="J12" s="1">
        <f>'Data Sheet'!J49</f>
        <v>30.18</v>
      </c>
      <c r="K12" s="1">
        <f>'Data Sheet'!K49</f>
        <v>39.28</v>
      </c>
    </row>
    <row r="14" spans="1:11" s="8" customFormat="1">
      <c r="A14" s="2" t="s">
        <v>18</v>
      </c>
      <c r="B14" s="14">
        <f>IF(B4&gt;0,B6/B4,"")</f>
        <v>0.22629187961385575</v>
      </c>
      <c r="C14" s="14">
        <f t="shared" ref="C14:K14" si="1">IF(C4&gt;0,C6/C4,"")</f>
        <v>0.23152557996620068</v>
      </c>
      <c r="D14" s="14">
        <f t="shared" si="1"/>
        <v>0.20408472012102874</v>
      </c>
      <c r="E14" s="14">
        <f t="shared" si="1"/>
        <v>0.24761953256275776</v>
      </c>
      <c r="F14" s="14">
        <f t="shared" si="1"/>
        <v>0.26268124907210366</v>
      </c>
      <c r="G14" s="14">
        <f t="shared" si="1"/>
        <v>0.28342001485969026</v>
      </c>
      <c r="H14" s="14">
        <f t="shared" si="1"/>
        <v>0.32529530571026377</v>
      </c>
      <c r="I14" s="14">
        <f t="shared" si="1"/>
        <v>0.32150531033212593</v>
      </c>
      <c r="J14" s="14">
        <f t="shared" si="1"/>
        <v>0.33188777186411716</v>
      </c>
      <c r="K14" s="14">
        <f t="shared" si="1"/>
        <v>0.32858345747781587</v>
      </c>
    </row>
    <row r="22" s="27" customFormat="1"/>
  </sheetData>
  <hyperlinks>
    <hyperlink ref="J1" r:id="rId1"/>
  </hyperlinks>
  <printOptions gridLines="1"/>
  <pageMargins left="0.7" right="0.7" top="0.75" bottom="0.75" header="0.3" footer="0.3"/>
  <pageSetup paperSize="9" scale="83" orientation="landscape" horizontalDpi="300" verticalDpi="30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25"/>
  <sheetViews>
    <sheetView workbookViewId="0">
      <pane xSplit="1" ySplit="3" topLeftCell="B4" activePane="bottomRight" state="frozen"/>
      <selection activeCell="C4" sqref="C4"/>
      <selection pane="topRight" activeCell="C4" sqref="C4"/>
      <selection pane="bottomLeft" activeCell="C4" sqref="C4"/>
      <selection pane="bottomRight" activeCell="A6" sqref="A6:XFD6"/>
    </sheetView>
  </sheetViews>
  <sheetFormatPr defaultColWidth="9.140625" defaultRowHeight="15"/>
  <cols>
    <col min="1" max="1" width="22.85546875" style="11" bestFit="1" customWidth="1"/>
    <col min="2" max="2" width="13.5703125" style="11" customWidth="1"/>
    <col min="3" max="11" width="15.5703125" style="11" customWidth="1"/>
    <col min="12" max="16384" width="9.140625" style="11"/>
  </cols>
  <sheetData>
    <row r="1" spans="1:11" s="8" customFormat="1">
      <c r="A1" s="8" t="str">
        <f>'Profit &amp; Loss'!A1</f>
        <v>VINATI ORGANICS LTD</v>
      </c>
      <c r="E1" t="str">
        <f>UPDATE</f>
        <v>A NEW VERSION OF THE WORKSHEET IS AVAILABLE</v>
      </c>
      <c r="G1"/>
      <c r="J1" s="4" t="s">
        <v>1</v>
      </c>
      <c r="K1" s="4"/>
    </row>
    <row r="2" spans="1:11">
      <c r="G2" s="8"/>
      <c r="H2" s="8"/>
    </row>
    <row r="3" spans="1:11" s="18" customFormat="1">
      <c r="A3" s="15" t="s">
        <v>2</v>
      </c>
      <c r="B3" s="16">
        <f>'Data Sheet'!B56</f>
        <v>39172</v>
      </c>
      <c r="C3" s="16">
        <f>'Data Sheet'!C56</f>
        <v>39538</v>
      </c>
      <c r="D3" s="16">
        <f>'Data Sheet'!D56</f>
        <v>39903</v>
      </c>
      <c r="E3" s="16">
        <f>'Data Sheet'!E56</f>
        <v>40268</v>
      </c>
      <c r="F3" s="16">
        <f>'Data Sheet'!F56</f>
        <v>40633</v>
      </c>
      <c r="G3" s="16">
        <f>'Data Sheet'!G56</f>
        <v>40999</v>
      </c>
      <c r="H3" s="16">
        <f>'Data Sheet'!H56</f>
        <v>41364</v>
      </c>
      <c r="I3" s="16">
        <f>'Data Sheet'!I56</f>
        <v>41729</v>
      </c>
      <c r="J3" s="16">
        <f>'Data Sheet'!J56</f>
        <v>42094</v>
      </c>
      <c r="K3" s="16">
        <f>'Data Sheet'!K56</f>
        <v>42460</v>
      </c>
    </row>
    <row r="4" spans="1:11">
      <c r="A4" s="6" t="s">
        <v>24</v>
      </c>
      <c r="B4" s="19">
        <f>'Data Sheet'!B57</f>
        <v>6.58</v>
      </c>
      <c r="C4" s="19">
        <f>'Data Sheet'!C57</f>
        <v>9.8699999999999992</v>
      </c>
      <c r="D4" s="19">
        <f>'Data Sheet'!D57</f>
        <v>9.8699999999999992</v>
      </c>
      <c r="E4" s="19">
        <f>'Data Sheet'!E57</f>
        <v>9.8699999999999992</v>
      </c>
      <c r="F4" s="19">
        <f>'Data Sheet'!F57</f>
        <v>9.8699999999999992</v>
      </c>
      <c r="G4" s="19">
        <f>'Data Sheet'!G57</f>
        <v>9.8699999999999992</v>
      </c>
      <c r="H4" s="19">
        <f>'Data Sheet'!H57</f>
        <v>9.8699999999999992</v>
      </c>
      <c r="I4" s="19">
        <f>'Data Sheet'!I57</f>
        <v>9.8699999999999992</v>
      </c>
      <c r="J4" s="19">
        <f>'Data Sheet'!J57</f>
        <v>10.32</v>
      </c>
      <c r="K4" s="19">
        <f>'Data Sheet'!K57</f>
        <v>10.32</v>
      </c>
    </row>
    <row r="5" spans="1:11" s="6" customFormat="1">
      <c r="A5" s="6" t="s">
        <v>25</v>
      </c>
      <c r="B5" s="19">
        <f>'Data Sheet'!B58</f>
        <v>23.32</v>
      </c>
      <c r="C5" s="19">
        <f>'Data Sheet'!C58</f>
        <v>32.79</v>
      </c>
      <c r="D5" s="19">
        <f>'Data Sheet'!D58</f>
        <v>55.03</v>
      </c>
      <c r="E5" s="19">
        <f>'Data Sheet'!E58</f>
        <v>89.31</v>
      </c>
      <c r="F5" s="19">
        <f>'Data Sheet'!F58</f>
        <v>133.82</v>
      </c>
      <c r="G5" s="19">
        <f>'Data Sheet'!G58</f>
        <v>177.15</v>
      </c>
      <c r="H5" s="19">
        <f>'Data Sheet'!H58</f>
        <v>231.37</v>
      </c>
      <c r="I5" s="19">
        <f>'Data Sheet'!I58</f>
        <v>300.2</v>
      </c>
      <c r="J5" s="19">
        <f>'Data Sheet'!J58</f>
        <v>423.73</v>
      </c>
      <c r="K5" s="19">
        <f>'Data Sheet'!K58</f>
        <v>530.46</v>
      </c>
    </row>
    <row r="6" spans="1:11">
      <c r="A6" s="11" t="s">
        <v>62</v>
      </c>
      <c r="B6" s="19">
        <f>'Data Sheet'!B59</f>
        <v>25.69</v>
      </c>
      <c r="C6" s="19">
        <f>'Data Sheet'!C59</f>
        <v>34.29</v>
      </c>
      <c r="D6" s="19">
        <f>'Data Sheet'!D59</f>
        <v>50.96</v>
      </c>
      <c r="E6" s="19">
        <f>'Data Sheet'!E59</f>
        <v>63.12</v>
      </c>
      <c r="F6" s="19">
        <f>'Data Sheet'!F59</f>
        <v>76.959999999999994</v>
      </c>
      <c r="G6" s="19">
        <f>'Data Sheet'!G59</f>
        <v>172.69</v>
      </c>
      <c r="H6" s="19">
        <f>'Data Sheet'!H59</f>
        <v>237.26</v>
      </c>
      <c r="I6" s="19">
        <f>'Data Sheet'!I59</f>
        <v>161.58000000000001</v>
      </c>
      <c r="J6" s="19">
        <f>'Data Sheet'!J59</f>
        <v>65.3</v>
      </c>
      <c r="K6" s="19">
        <f>'Data Sheet'!K59</f>
        <v>42.07</v>
      </c>
    </row>
    <row r="7" spans="1:11" s="6" customFormat="1">
      <c r="A7" s="11" t="s">
        <v>63</v>
      </c>
      <c r="B7" s="19">
        <f>'Data Sheet'!B60</f>
        <v>16.62</v>
      </c>
      <c r="C7" s="19">
        <f>'Data Sheet'!C60</f>
        <v>21.16</v>
      </c>
      <c r="D7" s="19">
        <f>'Data Sheet'!D60</f>
        <v>21.72</v>
      </c>
      <c r="E7" s="19">
        <f>'Data Sheet'!E60</f>
        <v>23</v>
      </c>
      <c r="F7" s="19">
        <f>'Data Sheet'!F60</f>
        <v>37.520000000000003</v>
      </c>
      <c r="G7" s="19">
        <f>'Data Sheet'!G60</f>
        <v>45.11</v>
      </c>
      <c r="H7" s="19">
        <f>'Data Sheet'!H60</f>
        <v>67.13</v>
      </c>
      <c r="I7" s="19">
        <f>'Data Sheet'!I60</f>
        <v>80.930000000000007</v>
      </c>
      <c r="J7" s="19">
        <f>'Data Sheet'!J60</f>
        <v>100.36</v>
      </c>
      <c r="K7" s="19">
        <f>'Data Sheet'!K60</f>
        <v>104.67</v>
      </c>
    </row>
    <row r="8" spans="1:11" s="8" customFormat="1">
      <c r="A8" s="8" t="s">
        <v>26</v>
      </c>
      <c r="B8" s="20">
        <f>'Data Sheet'!B61</f>
        <v>72.209999999999994</v>
      </c>
      <c r="C8" s="20">
        <f>'Data Sheet'!C61</f>
        <v>98.11</v>
      </c>
      <c r="D8" s="20">
        <f>'Data Sheet'!D61</f>
        <v>137.58000000000001</v>
      </c>
      <c r="E8" s="20">
        <f>'Data Sheet'!E61</f>
        <v>185.3</v>
      </c>
      <c r="F8" s="20">
        <f>'Data Sheet'!F61</f>
        <v>258.17</v>
      </c>
      <c r="G8" s="20">
        <f>'Data Sheet'!G61</f>
        <v>404.82</v>
      </c>
      <c r="H8" s="20">
        <f>'Data Sheet'!H61</f>
        <v>545.63</v>
      </c>
      <c r="I8" s="20">
        <f>'Data Sheet'!I61</f>
        <v>552.58000000000004</v>
      </c>
      <c r="J8" s="20">
        <f>'Data Sheet'!J61</f>
        <v>599.71</v>
      </c>
      <c r="K8" s="20">
        <f>'Data Sheet'!K61</f>
        <v>687.52</v>
      </c>
    </row>
    <row r="9" spans="1:11" s="8" customFormat="1"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>
      <c r="A10" s="6" t="s">
        <v>27</v>
      </c>
      <c r="B10" s="19">
        <f>'Data Sheet'!B62</f>
        <v>35.99</v>
      </c>
      <c r="C10" s="19">
        <f>'Data Sheet'!C62</f>
        <v>40.85</v>
      </c>
      <c r="D10" s="19">
        <f>'Data Sheet'!D62</f>
        <v>44.69</v>
      </c>
      <c r="E10" s="19">
        <f>'Data Sheet'!E62</f>
        <v>79.63</v>
      </c>
      <c r="F10" s="19">
        <f>'Data Sheet'!F62</f>
        <v>111.17</v>
      </c>
      <c r="G10" s="19">
        <f>'Data Sheet'!G62</f>
        <v>144.31</v>
      </c>
      <c r="H10" s="19">
        <f>'Data Sheet'!H62</f>
        <v>290.13</v>
      </c>
      <c r="I10" s="19">
        <f>'Data Sheet'!I62</f>
        <v>304.19</v>
      </c>
      <c r="J10" s="19">
        <f>'Data Sheet'!J62</f>
        <v>327.25</v>
      </c>
      <c r="K10" s="19">
        <f>'Data Sheet'!K62</f>
        <v>381.89</v>
      </c>
    </row>
    <row r="11" spans="1:11">
      <c r="A11" s="6" t="s">
        <v>28</v>
      </c>
      <c r="B11" s="19">
        <f>'Data Sheet'!B63</f>
        <v>1.63</v>
      </c>
      <c r="C11" s="19">
        <f>'Data Sheet'!C63</f>
        <v>10.91</v>
      </c>
      <c r="D11" s="19">
        <f>'Data Sheet'!D63</f>
        <v>43.43</v>
      </c>
      <c r="E11" s="19">
        <f>'Data Sheet'!E63</f>
        <v>38.36</v>
      </c>
      <c r="F11" s="19">
        <f>'Data Sheet'!F63</f>
        <v>36.04</v>
      </c>
      <c r="G11" s="19">
        <f>'Data Sheet'!G63</f>
        <v>56.75</v>
      </c>
      <c r="H11" s="19">
        <f>'Data Sheet'!H63</f>
        <v>14.05</v>
      </c>
      <c r="I11" s="19">
        <f>'Data Sheet'!I63</f>
        <v>10.09</v>
      </c>
      <c r="J11" s="19">
        <f>'Data Sheet'!J63</f>
        <v>20.02</v>
      </c>
      <c r="K11" s="19">
        <f>'Data Sheet'!K63</f>
        <v>24.83</v>
      </c>
    </row>
    <row r="12" spans="1:11">
      <c r="A12" s="6" t="s">
        <v>29</v>
      </c>
      <c r="B12" s="19">
        <f>'Data Sheet'!B64</f>
        <v>0</v>
      </c>
      <c r="C12" s="19">
        <f>'Data Sheet'!C64</f>
        <v>0</v>
      </c>
      <c r="D12" s="19">
        <f>'Data Sheet'!D64</f>
        <v>0</v>
      </c>
      <c r="E12" s="19">
        <f>'Data Sheet'!E64</f>
        <v>0</v>
      </c>
      <c r="F12" s="19">
        <f>'Data Sheet'!F64</f>
        <v>3.16</v>
      </c>
      <c r="G12" s="19">
        <f>'Data Sheet'!G64</f>
        <v>7.9</v>
      </c>
      <c r="H12" s="19">
        <f>'Data Sheet'!H64</f>
        <v>12.77</v>
      </c>
      <c r="I12" s="19">
        <f>'Data Sheet'!I64</f>
        <v>2.74</v>
      </c>
      <c r="J12" s="19">
        <f>'Data Sheet'!J64</f>
        <v>2.74</v>
      </c>
      <c r="K12" s="19">
        <f>'Data Sheet'!K64</f>
        <v>2.74</v>
      </c>
    </row>
    <row r="13" spans="1:11">
      <c r="A13" s="11" t="s">
        <v>64</v>
      </c>
      <c r="B13" s="19">
        <f>'Data Sheet'!B65</f>
        <v>34.590000000000003</v>
      </c>
      <c r="C13" s="19">
        <f>'Data Sheet'!C65</f>
        <v>46.35</v>
      </c>
      <c r="D13" s="19">
        <f>'Data Sheet'!D65</f>
        <v>49.46</v>
      </c>
      <c r="E13" s="19">
        <f>'Data Sheet'!E65</f>
        <v>67.31</v>
      </c>
      <c r="F13" s="19">
        <f>'Data Sheet'!F65</f>
        <v>107.8</v>
      </c>
      <c r="G13" s="19">
        <f>'Data Sheet'!G65</f>
        <v>195.86</v>
      </c>
      <c r="H13" s="19">
        <f>'Data Sheet'!H65</f>
        <v>228.68</v>
      </c>
      <c r="I13" s="19">
        <f>'Data Sheet'!I65</f>
        <v>235.56</v>
      </c>
      <c r="J13" s="19">
        <f>'Data Sheet'!J65</f>
        <v>249.7</v>
      </c>
      <c r="K13" s="19">
        <f>'Data Sheet'!K65</f>
        <v>278.06</v>
      </c>
    </row>
    <row r="14" spans="1:11" s="8" customFormat="1">
      <c r="A14" s="8" t="s">
        <v>26</v>
      </c>
      <c r="B14" s="19">
        <f>'Data Sheet'!B66</f>
        <v>72.209999999999994</v>
      </c>
      <c r="C14" s="19">
        <f>'Data Sheet'!C66</f>
        <v>98.11</v>
      </c>
      <c r="D14" s="19">
        <f>'Data Sheet'!D66</f>
        <v>137.58000000000001</v>
      </c>
      <c r="E14" s="19">
        <f>'Data Sheet'!E66</f>
        <v>185.3</v>
      </c>
      <c r="F14" s="19">
        <f>'Data Sheet'!F66</f>
        <v>258.17</v>
      </c>
      <c r="G14" s="19">
        <f>'Data Sheet'!G66</f>
        <v>404.82</v>
      </c>
      <c r="H14" s="19">
        <f>'Data Sheet'!H66</f>
        <v>545.63</v>
      </c>
      <c r="I14" s="19">
        <f>'Data Sheet'!I66</f>
        <v>552.58000000000004</v>
      </c>
      <c r="J14" s="19">
        <f>'Data Sheet'!J66</f>
        <v>599.71</v>
      </c>
      <c r="K14" s="19">
        <f>'Data Sheet'!K66</f>
        <v>687.52</v>
      </c>
    </row>
    <row r="15" spans="1:11">
      <c r="A15" s="6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>
      <c r="A16" s="26" t="s">
        <v>30</v>
      </c>
      <c r="B16" s="21">
        <f>B13-B7</f>
        <v>17.970000000000002</v>
      </c>
      <c r="C16" s="21">
        <f t="shared" ref="C16:K16" si="0">C13-C7</f>
        <v>25.19</v>
      </c>
      <c r="D16" s="21">
        <f t="shared" si="0"/>
        <v>27.740000000000002</v>
      </c>
      <c r="E16" s="21">
        <f t="shared" si="0"/>
        <v>44.31</v>
      </c>
      <c r="F16" s="21">
        <f t="shared" si="0"/>
        <v>70.28</v>
      </c>
      <c r="G16" s="21">
        <f t="shared" si="0"/>
        <v>150.75</v>
      </c>
      <c r="H16" s="21">
        <f t="shared" si="0"/>
        <v>161.55000000000001</v>
      </c>
      <c r="I16" s="21">
        <f t="shared" si="0"/>
        <v>154.63</v>
      </c>
      <c r="J16" s="21">
        <f t="shared" si="0"/>
        <v>149.33999999999997</v>
      </c>
      <c r="K16" s="21">
        <f t="shared" si="0"/>
        <v>173.39</v>
      </c>
    </row>
    <row r="17" spans="1:11">
      <c r="A17" s="11" t="s">
        <v>44</v>
      </c>
      <c r="B17" s="21">
        <f>'Data Sheet'!B67</f>
        <v>19.7</v>
      </c>
      <c r="C17" s="21">
        <f>'Data Sheet'!C67</f>
        <v>22.07</v>
      </c>
      <c r="D17" s="21">
        <f>'Data Sheet'!D67</f>
        <v>27.92</v>
      </c>
      <c r="E17" s="21">
        <f>'Data Sheet'!E67</f>
        <v>35.869999999999997</v>
      </c>
      <c r="F17" s="21">
        <f>'Data Sheet'!F67</f>
        <v>51.92</v>
      </c>
      <c r="G17" s="21">
        <f>'Data Sheet'!G67</f>
        <v>85.68</v>
      </c>
      <c r="H17" s="21">
        <f>'Data Sheet'!H67</f>
        <v>113.19</v>
      </c>
      <c r="I17" s="21">
        <f>'Data Sheet'!I67</f>
        <v>115.05</v>
      </c>
      <c r="J17" s="21">
        <f>'Data Sheet'!J67</f>
        <v>129.1</v>
      </c>
      <c r="K17" s="21">
        <f>'Data Sheet'!K67</f>
        <v>114.82</v>
      </c>
    </row>
    <row r="18" spans="1:11">
      <c r="A18" s="11" t="s">
        <v>45</v>
      </c>
      <c r="B18" s="21">
        <f>'Data Sheet'!B68</f>
        <v>8.2100000000000009</v>
      </c>
      <c r="C18" s="21">
        <f>'Data Sheet'!C68</f>
        <v>12.12</v>
      </c>
      <c r="D18" s="21">
        <f>'Data Sheet'!D68</f>
        <v>12.06</v>
      </c>
      <c r="E18" s="21">
        <f>'Data Sheet'!E68</f>
        <v>18.89</v>
      </c>
      <c r="F18" s="21">
        <f>'Data Sheet'!F68</f>
        <v>35.01</v>
      </c>
      <c r="G18" s="21">
        <f>'Data Sheet'!G68</f>
        <v>43.02</v>
      </c>
      <c r="H18" s="21">
        <f>'Data Sheet'!H68</f>
        <v>54.64</v>
      </c>
      <c r="I18" s="21">
        <f>'Data Sheet'!I68</f>
        <v>46.63</v>
      </c>
      <c r="J18" s="21">
        <f>'Data Sheet'!J68</f>
        <v>54.49</v>
      </c>
      <c r="K18" s="21">
        <f>'Data Sheet'!K68</f>
        <v>44.7</v>
      </c>
    </row>
    <row r="20" spans="1:11">
      <c r="A20" s="11" t="s">
        <v>46</v>
      </c>
      <c r="B20" s="5">
        <f>IF('Profit &amp; Loss'!B4&gt;0,'Balance Sheet'!B17/('Profit &amp; Loss'!B4/365),0)</f>
        <v>87.635588056063384</v>
      </c>
      <c r="C20" s="5">
        <f>IF('Profit &amp; Loss'!C4&gt;0,'Balance Sheet'!C17/('Profit &amp; Loss'!C4/365),0)</f>
        <v>55.050570628032524</v>
      </c>
      <c r="D20" s="5">
        <f>IF('Profit &amp; Loss'!D4&gt;0,'Balance Sheet'!D17/('Profit &amp; Loss'!D4/365),0)</f>
        <v>53.495013123359584</v>
      </c>
      <c r="E20" s="5">
        <f>IF('Profit &amp; Loss'!E4&gt;0,'Balance Sheet'!E17/('Profit &amp; Loss'!E4/365),0)</f>
        <v>56.409090909090907</v>
      </c>
      <c r="F20" s="5">
        <f>IF('Profit &amp; Loss'!F4&gt;0,'Balance Sheet'!F17/('Profit &amp; Loss'!F4/365),0)</f>
        <v>58.734852006818535</v>
      </c>
      <c r="G20" s="5">
        <f>IF('Profit &amp; Loss'!G4&gt;0,'Balance Sheet'!G17/('Profit &amp; Loss'!G4/365),0)</f>
        <v>69.890493004961357</v>
      </c>
      <c r="H20" s="5">
        <f>IF('Profit &amp; Loss'!H4&gt;0,'Balance Sheet'!H17/('Profit &amp; Loss'!H4/365),0)</f>
        <v>74.728412256267404</v>
      </c>
      <c r="I20" s="5">
        <f>IF('Profit &amp; Loss'!I4&gt;0,'Balance Sheet'!I17/('Profit &amp; Loss'!I4/365),0)</f>
        <v>60.32386192234209</v>
      </c>
      <c r="J20" s="5">
        <f>IF('Profit &amp; Loss'!J4&gt;0,'Balance Sheet'!J17/('Profit &amp; Loss'!J4/365),0)</f>
        <v>61.059567465305221</v>
      </c>
      <c r="K20" s="5">
        <f>IF('Profit &amp; Loss'!K4&gt;0,'Balance Sheet'!K17/('Profit &amp; Loss'!K4/365),0)</f>
        <v>66.422537443537507</v>
      </c>
    </row>
    <row r="21" spans="1:11">
      <c r="A21" s="11" t="s">
        <v>47</v>
      </c>
      <c r="B21" s="5">
        <f>IF('Balance Sheet'!B18&gt;0,'Profit &amp; Loss'!B4/'Balance Sheet'!B18,0)</f>
        <v>9.9939098660170504</v>
      </c>
      <c r="C21" s="5">
        <f>IF('Balance Sheet'!C18&gt;0,'Profit &amp; Loss'!C4/'Balance Sheet'!C18,0)</f>
        <v>12.073432343234325</v>
      </c>
      <c r="D21" s="5">
        <f>IF('Balance Sheet'!D18&gt;0,'Profit &amp; Loss'!D4/'Balance Sheet'!D18,0)</f>
        <v>15.796019900497512</v>
      </c>
      <c r="E21" s="5">
        <f>IF('Balance Sheet'!E18&gt;0,'Profit &amp; Loss'!E4/'Balance Sheet'!E18,0)</f>
        <v>12.286924298570671</v>
      </c>
      <c r="F21" s="5">
        <f>IF('Balance Sheet'!F18&gt;0,'Profit &amp; Loss'!F4/'Balance Sheet'!F18,0)</f>
        <v>9.2159383033419022</v>
      </c>
      <c r="G21" s="5">
        <f>IF('Balance Sheet'!G18&gt;0,'Profit &amp; Loss'!G4/'Balance Sheet'!G18,0)</f>
        <v>10.401208740120873</v>
      </c>
      <c r="H21" s="5">
        <f>IF('Balance Sheet'!H18&gt;0,'Profit &amp; Loss'!H4/'Balance Sheet'!H18,0)</f>
        <v>10.118228404099561</v>
      </c>
      <c r="I21" s="5">
        <f>IF('Balance Sheet'!I18&gt;0,'Profit &amp; Loss'!I4/'Balance Sheet'!I18,0)</f>
        <v>14.928801200943598</v>
      </c>
      <c r="J21" s="5">
        <f>IF('Balance Sheet'!J18&gt;0,'Profit &amp; Loss'!J4/'Balance Sheet'!J18,0)</f>
        <v>14.162782161864563</v>
      </c>
      <c r="K21" s="5">
        <f>IF('Balance Sheet'!K18&gt;0,'Profit &amp; Loss'!K4/'Balance Sheet'!K18,0)</f>
        <v>14.115212527964205</v>
      </c>
    </row>
    <row r="23" spans="1:11" s="8" customFormat="1">
      <c r="A23" s="8" t="s">
        <v>50</v>
      </c>
      <c r="B23" s="14">
        <f>IF(SUM('Balance Sheet'!B4:B5)&gt;0,'Profit &amp; Loss'!B12/SUM('Balance Sheet'!B4:B5),"")</f>
        <v>0.11739130434782609</v>
      </c>
      <c r="C23" s="14">
        <f>IF(SUM('Balance Sheet'!C4:C5)&gt;0,'Profit &amp; Loss'!C12/SUM('Balance Sheet'!C4:C5),"")</f>
        <v>0.35630567276136899</v>
      </c>
      <c r="D23" s="14">
        <f>IF(SUM('Balance Sheet'!D4:D5)&gt;0,'Profit &amp; Loss'!D12/SUM('Balance Sheet'!D4:D5),"")</f>
        <v>0.38721109399075498</v>
      </c>
      <c r="E23" s="14">
        <f>IF(SUM('Balance Sheet'!E4:E5)&gt;0,'Profit &amp; Loss'!E12/SUM('Balance Sheet'!E4:E5),"")</f>
        <v>0.40371042548900987</v>
      </c>
      <c r="F23" s="14">
        <f>IF(SUM('Balance Sheet'!F4:F5)&gt;0,'Profit &amp; Loss'!F12/SUM('Balance Sheet'!F4:F5),"")</f>
        <v>0.36168139745284988</v>
      </c>
      <c r="G23" s="14">
        <f>IF(SUM('Balance Sheet'!G4:G5)&gt;0,'Profit &amp; Loss'!G12/SUM('Balance Sheet'!G4:G5),"")</f>
        <v>0.29307025986525503</v>
      </c>
      <c r="H23" s="14">
        <f>IF(SUM('Balance Sheet'!H4:H5)&gt;0,'Profit &amp; Loss'!H12/SUM('Balance Sheet'!H4:H5),"")</f>
        <v>0.28461283369258827</v>
      </c>
      <c r="I23" s="14">
        <f>IF(SUM('Balance Sheet'!I4:I5)&gt;0,'Profit &amp; Loss'!I12/SUM('Balance Sheet'!I4:I5),"")</f>
        <v>0.27784048763182512</v>
      </c>
      <c r="J23" s="14">
        <f>IF(SUM('Balance Sheet'!J4:J5)&gt;0,'Profit &amp; Loss'!J12/SUM('Balance Sheet'!J4:J5),"")</f>
        <v>0.26676650155512038</v>
      </c>
      <c r="K23" s="14">
        <f>IF(SUM('Balance Sheet'!K4:K5)&gt;0,'Profit &amp; Loss'!K12/SUM('Balance Sheet'!K4:K5),"")</f>
        <v>0.24329671955323787</v>
      </c>
    </row>
    <row r="24" spans="1:11" s="8" customFormat="1">
      <c r="A24" s="8" t="s">
        <v>51</v>
      </c>
      <c r="B24" s="14">
        <f>IF(('Balance Sheet'!B10+'Balance Sheet'!B16)&gt;0,('Profit &amp; Loss'!B6-'Profit &amp; Loss'!B8-'Profit &amp; Loss'!B11)/('Balance Sheet'!B10+'Balance Sheet'!B16),"")</f>
        <v>8.5804299481097079E-2</v>
      </c>
      <c r="C24" s="14">
        <f>IF(('Balance Sheet'!C10+'Balance Sheet'!C16)&gt;0,('Profit &amp; Loss'!C6-'Profit &amp; Loss'!C8-'Profit &amp; Loss'!C11)/('Balance Sheet'!C10+'Balance Sheet'!C16),"")</f>
        <v>0.16187159297395551</v>
      </c>
      <c r="D24" s="14">
        <f>IF(('Balance Sheet'!D10+'Balance Sheet'!D16)&gt;0,('Profit &amp; Loss'!D6-'Profit &amp; Loss'!D8-'Profit &amp; Loss'!D11)/('Balance Sheet'!D10+'Balance Sheet'!D16),"")</f>
        <v>0.33466795526715498</v>
      </c>
      <c r="E24" s="14">
        <f>IF(('Balance Sheet'!E10+'Balance Sheet'!E16)&gt;0,('Profit &amp; Loss'!E6-'Profit &amp; Loss'!E8-'Profit &amp; Loss'!E11)/('Balance Sheet'!E10+'Balance Sheet'!E16),"")</f>
        <v>0.20808455704373061</v>
      </c>
      <c r="F24" s="14">
        <f>IF(('Balance Sheet'!F10+'Balance Sheet'!F16)&gt;0,('Profit &amp; Loss'!F6-'Profit &amp; Loss'!F8-'Profit &amp; Loss'!F11)/('Balance Sheet'!F10+'Balance Sheet'!F16),"")</f>
        <v>0.24193992835491868</v>
      </c>
      <c r="G24" s="14">
        <f>IF(('Balance Sheet'!G10+'Balance Sheet'!G16)&gt;0,('Profit &amp; Loss'!G6-'Profit &amp; Loss'!G8-'Profit &amp; Loss'!G11)/('Balance Sheet'!G10+'Balance Sheet'!G16),"")</f>
        <v>0.16569511285840161</v>
      </c>
      <c r="H24" s="14">
        <f>IF(('Balance Sheet'!H10+'Balance Sheet'!H16)&gt;0,('Profit &amp; Loss'!H6-'Profit &amp; Loss'!H8-'Profit &amp; Loss'!H11)/('Balance Sheet'!H10+'Balance Sheet'!H16),"")</f>
        <v>0.15145678356358486</v>
      </c>
      <c r="I24" s="14">
        <f>IF(('Balance Sheet'!I10+'Balance Sheet'!I16)&gt;0,('Profit &amp; Loss'!I6-'Profit &amp; Loss'!I8-'Profit &amp; Loss'!I11)/('Balance Sheet'!I10+'Balance Sheet'!I16),"")</f>
        <v>0.21101957194542534</v>
      </c>
      <c r="J24" s="14">
        <f>IF(('Balance Sheet'!J10+'Balance Sheet'!J16)&gt;0,('Profit &amp; Loss'!J6-'Profit &amp; Loss'!J8-'Profit &amp; Loss'!J11)/('Balance Sheet'!J10+'Balance Sheet'!J16),"")</f>
        <v>0.24700476300383989</v>
      </c>
      <c r="K24" s="14">
        <f>IF(('Balance Sheet'!K10+'Balance Sheet'!K16)&gt;0,('Profit &amp; Loss'!K6-'Profit &amp; Loss'!K8-'Profit &amp; Loss'!K11)/('Balance Sheet'!K10+'Balance Sheet'!K16),"")</f>
        <v>0.24268837343322291</v>
      </c>
    </row>
    <row r="25" spans="1:11" s="18" customFormat="1"/>
  </sheetData>
  <hyperlinks>
    <hyperlink ref="J1" r:id="rId1"/>
  </hyperlinks>
  <printOptions gridLines="1"/>
  <pageMargins left="0.7" right="0.7" top="0.75" bottom="0.75" header="0.3" footer="0.3"/>
  <pageSetup paperSize="9"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4"/>
  <sheetViews>
    <sheetView workbookViewId="0">
      <selection activeCell="K7" sqref="K7"/>
    </sheetView>
  </sheetViews>
  <sheetFormatPr defaultColWidth="9.140625" defaultRowHeight="15"/>
  <cols>
    <col min="1" max="1" width="26.85546875" style="6" bestFit="1" customWidth="1"/>
    <col min="2" max="6" width="13.5703125" style="6" customWidth="1"/>
    <col min="7" max="11" width="13.5703125" style="6" bestFit="1" customWidth="1"/>
    <col min="12" max="16384" width="9.140625" style="6"/>
  </cols>
  <sheetData>
    <row r="1" spans="1:11" s="8" customFormat="1">
      <c r="A1" s="8" t="str">
        <f>'Balance Sheet'!A1</f>
        <v>VINATI ORGANICS LTD</v>
      </c>
      <c r="E1" t="str">
        <f>UPDATE</f>
        <v>A NEW VERSION OF THE WORKSHEET IS AVAILABLE</v>
      </c>
      <c r="F1"/>
      <c r="J1" s="4" t="s">
        <v>1</v>
      </c>
      <c r="K1" s="4"/>
    </row>
    <row r="3" spans="1:11" s="2" customFormat="1">
      <c r="A3" s="15" t="s">
        <v>2</v>
      </c>
      <c r="B3" s="16">
        <f>'Data Sheet'!B81</f>
        <v>39172</v>
      </c>
      <c r="C3" s="16">
        <f>'Data Sheet'!C81</f>
        <v>39538</v>
      </c>
      <c r="D3" s="16">
        <f>'Data Sheet'!D81</f>
        <v>39903</v>
      </c>
      <c r="E3" s="16">
        <f>'Data Sheet'!E81</f>
        <v>40268</v>
      </c>
      <c r="F3" s="16">
        <f>'Data Sheet'!F81</f>
        <v>40633</v>
      </c>
      <c r="G3" s="16">
        <f>'Data Sheet'!G81</f>
        <v>40999</v>
      </c>
      <c r="H3" s="16">
        <f>'Data Sheet'!H81</f>
        <v>41364</v>
      </c>
      <c r="I3" s="16">
        <f>'Data Sheet'!I81</f>
        <v>41729</v>
      </c>
      <c r="J3" s="16">
        <f>'Data Sheet'!J81</f>
        <v>42094</v>
      </c>
      <c r="K3" s="16">
        <f>'Data Sheet'!K81</f>
        <v>42460</v>
      </c>
    </row>
    <row r="4" spans="1:11" s="8" customFormat="1">
      <c r="A4" s="8" t="s">
        <v>32</v>
      </c>
      <c r="B4" s="1">
        <f>'Data Sheet'!B82</f>
        <v>1.56</v>
      </c>
      <c r="C4" s="1">
        <f>'Data Sheet'!C82</f>
        <v>12.26</v>
      </c>
      <c r="D4" s="1">
        <f>'Data Sheet'!D82</f>
        <v>29.68</v>
      </c>
      <c r="E4" s="1">
        <f>'Data Sheet'!E82</f>
        <v>28.77</v>
      </c>
      <c r="F4" s="1">
        <f>'Data Sheet'!F82</f>
        <v>31.31</v>
      </c>
      <c r="G4" s="1">
        <f>'Data Sheet'!G82</f>
        <v>19.75</v>
      </c>
      <c r="H4" s="1">
        <f>'Data Sheet'!H82</f>
        <v>92.1</v>
      </c>
      <c r="I4" s="1">
        <f>'Data Sheet'!I82</f>
        <v>131.46</v>
      </c>
      <c r="J4" s="1">
        <f>'Data Sheet'!J82</f>
        <v>112.56</v>
      </c>
      <c r="K4" s="1">
        <f>'Data Sheet'!K82</f>
        <v>167.49</v>
      </c>
    </row>
    <row r="5" spans="1:11">
      <c r="A5" s="6" t="s">
        <v>33</v>
      </c>
      <c r="B5" s="9">
        <f>'Data Sheet'!B83</f>
        <v>-3.29</v>
      </c>
      <c r="C5" s="9">
        <f>'Data Sheet'!C83</f>
        <v>-17.11</v>
      </c>
      <c r="D5" s="9">
        <f>'Data Sheet'!D83</f>
        <v>-39.61</v>
      </c>
      <c r="E5" s="9">
        <f>'Data Sheet'!E83</f>
        <v>-34.82</v>
      </c>
      <c r="F5" s="9">
        <f>'Data Sheet'!F83</f>
        <v>-38.51</v>
      </c>
      <c r="G5" s="9">
        <f>'Data Sheet'!G83</f>
        <v>-61.25</v>
      </c>
      <c r="H5" s="9">
        <f>'Data Sheet'!H83</f>
        <v>-112.58</v>
      </c>
      <c r="I5" s="9">
        <f>'Data Sheet'!I83</f>
        <v>-9.0399999999999991</v>
      </c>
      <c r="J5" s="9">
        <f>'Data Sheet'!J83</f>
        <v>-53.49</v>
      </c>
      <c r="K5" s="9">
        <f>'Data Sheet'!K83</f>
        <v>-72.19</v>
      </c>
    </row>
    <row r="6" spans="1:11">
      <c r="A6" s="6" t="s">
        <v>34</v>
      </c>
      <c r="B6" s="9">
        <f>'Data Sheet'!B84</f>
        <v>1.23</v>
      </c>
      <c r="C6" s="9">
        <f>'Data Sheet'!C84</f>
        <v>5.34</v>
      </c>
      <c r="D6" s="9">
        <f>'Data Sheet'!D84</f>
        <v>10.45</v>
      </c>
      <c r="E6" s="9">
        <f>'Data Sheet'!E84</f>
        <v>5.95</v>
      </c>
      <c r="F6" s="9">
        <f>'Data Sheet'!F84</f>
        <v>7.35</v>
      </c>
      <c r="G6" s="9">
        <f>'Data Sheet'!G84</f>
        <v>71.510000000000005</v>
      </c>
      <c r="H6" s="9">
        <f>'Data Sheet'!H84</f>
        <v>22.3</v>
      </c>
      <c r="I6" s="9">
        <f>'Data Sheet'!I84</f>
        <v>-113.49</v>
      </c>
      <c r="J6" s="9">
        <f>'Data Sheet'!J84</f>
        <v>-74.63</v>
      </c>
      <c r="K6" s="9">
        <f>'Data Sheet'!K84</f>
        <v>-50.22</v>
      </c>
    </row>
    <row r="7" spans="1:11" s="8" customFormat="1">
      <c r="A7" s="8" t="s">
        <v>35</v>
      </c>
      <c r="B7" s="1">
        <f>'Data Sheet'!B85</f>
        <v>-0.5</v>
      </c>
      <c r="C7" s="1">
        <f>'Data Sheet'!C85</f>
        <v>0.49</v>
      </c>
      <c r="D7" s="1">
        <f>'Data Sheet'!D85</f>
        <v>0.52</v>
      </c>
      <c r="E7" s="1">
        <f>'Data Sheet'!E85</f>
        <v>-0.1</v>
      </c>
      <c r="F7" s="1">
        <f>'Data Sheet'!F85</f>
        <v>0.15</v>
      </c>
      <c r="G7" s="1">
        <f>'Data Sheet'!G85</f>
        <v>30.01</v>
      </c>
      <c r="H7" s="1">
        <f>'Data Sheet'!H85</f>
        <v>1.82</v>
      </c>
      <c r="I7" s="1">
        <f>'Data Sheet'!I85</f>
        <v>8.93</v>
      </c>
      <c r="J7" s="1">
        <f>'Data Sheet'!J85</f>
        <v>-15.56</v>
      </c>
      <c r="K7" s="1">
        <f>'Data Sheet'!K85</f>
        <v>45.09</v>
      </c>
    </row>
    <row r="8" spans="1:11">
      <c r="A8" s="26"/>
      <c r="B8" s="9"/>
      <c r="C8" s="9"/>
      <c r="D8" s="9"/>
      <c r="E8" s="9"/>
      <c r="F8" s="9"/>
      <c r="G8" s="9"/>
      <c r="H8" s="9"/>
      <c r="I8" s="9"/>
      <c r="J8" s="9"/>
      <c r="K8" s="9"/>
    </row>
    <row r="24" s="26" customFormat="1"/>
  </sheetData>
  <hyperlinks>
    <hyperlink ref="J1" r:id="rId1"/>
  </hyperlinks>
  <printOptions gridLines="1"/>
  <pageMargins left="0.7" right="0.7" top="0.75" bottom="0.75" header="0.3" footer="0.3"/>
  <pageSetup paperSize="9" orientation="landscape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533"/>
  <sheetViews>
    <sheetView tabSelected="1" zoomScale="112" zoomScaleNormal="112" workbookViewId="0">
      <pane xSplit="1" ySplit="1" topLeftCell="B432" activePane="bottomRight" state="frozen"/>
      <selection pane="topRight" activeCell="B1" sqref="B1"/>
      <selection pane="bottomLeft" activeCell="A4" sqref="A4"/>
      <selection pane="bottomRight" activeCell="B189" sqref="B189"/>
    </sheetView>
  </sheetViews>
  <sheetFormatPr defaultColWidth="9.140625" defaultRowHeight="15"/>
  <cols>
    <col min="1" max="1" width="40.85546875" style="8" customWidth="1"/>
    <col min="2" max="2" width="11" style="11" customWidth="1"/>
    <col min="3" max="3" width="13.28515625" style="25" customWidth="1"/>
    <col min="4" max="4" width="12.85546875" style="11" bestFit="1" customWidth="1"/>
    <col min="5" max="5" width="13.42578125" style="11" bestFit="1" customWidth="1"/>
    <col min="6" max="7" width="12.5703125" style="11" bestFit="1" customWidth="1"/>
    <col min="8" max="8" width="12.42578125" style="11" bestFit="1" customWidth="1"/>
    <col min="9" max="11" width="13.42578125" style="11" bestFit="1" customWidth="1"/>
    <col min="12" max="12" width="14.42578125" style="11" hidden="1" customWidth="1"/>
    <col min="13" max="14" width="13.28515625" style="11" hidden="1" customWidth="1"/>
    <col min="15" max="16384" width="9.140625" style="11"/>
  </cols>
  <sheetData>
    <row r="1" spans="1:14" s="123" customFormat="1">
      <c r="A1" s="37" t="str">
        <f>'Data Sheet'!B1</f>
        <v>VINATI ORGANICS LTD</v>
      </c>
      <c r="B1" s="38">
        <f>'Data Sheet'!B56</f>
        <v>39172</v>
      </c>
      <c r="C1" s="38">
        <f>'Data Sheet'!C56</f>
        <v>39538</v>
      </c>
      <c r="D1" s="38">
        <f>'Data Sheet'!D56</f>
        <v>39903</v>
      </c>
      <c r="E1" s="38">
        <f>'Data Sheet'!E56</f>
        <v>40268</v>
      </c>
      <c r="F1" s="38">
        <f>'Data Sheet'!F56</f>
        <v>40633</v>
      </c>
      <c r="G1" s="38">
        <f>'Data Sheet'!G56</f>
        <v>40999</v>
      </c>
      <c r="H1" s="38">
        <f>'Data Sheet'!H56</f>
        <v>41364</v>
      </c>
      <c r="I1" s="38">
        <f>'Data Sheet'!I56</f>
        <v>41729</v>
      </c>
      <c r="J1" s="38">
        <f>'Data Sheet'!J56</f>
        <v>42094</v>
      </c>
      <c r="K1" s="38">
        <f>'Data Sheet'!K56</f>
        <v>42460</v>
      </c>
      <c r="L1" s="122" t="s">
        <v>288</v>
      </c>
      <c r="M1" s="122" t="s">
        <v>290</v>
      </c>
      <c r="N1" s="122" t="s">
        <v>291</v>
      </c>
    </row>
    <row r="2" spans="1:14">
      <c r="A2" s="112" t="s">
        <v>99</v>
      </c>
      <c r="B2" s="40"/>
      <c r="C2" s="43"/>
      <c r="D2" s="41"/>
      <c r="E2" s="40"/>
      <c r="F2" s="40"/>
      <c r="G2" s="40"/>
      <c r="H2" s="40"/>
      <c r="I2" s="40"/>
      <c r="J2" s="40"/>
      <c r="K2" s="40"/>
    </row>
    <row r="3" spans="1:14">
      <c r="A3" s="42" t="s">
        <v>37</v>
      </c>
      <c r="B3" s="40"/>
      <c r="C3" s="43"/>
      <c r="D3" s="41"/>
      <c r="E3" s="40"/>
      <c r="F3" s="40"/>
      <c r="G3" s="40"/>
      <c r="H3" s="40"/>
      <c r="I3" s="40"/>
      <c r="J3" s="40"/>
      <c r="K3" s="40"/>
    </row>
    <row r="4" spans="1:14">
      <c r="A4" s="44" t="s">
        <v>6</v>
      </c>
      <c r="B4" s="45"/>
      <c r="C4" s="46">
        <f>('Data Sheet'!C17-'Data Sheet'!B17)/'Data Sheet'!B17</f>
        <v>0.78342474101157855</v>
      </c>
      <c r="D4" s="46">
        <f>('Data Sheet'!D17-'Data Sheet'!C17)/'Data Sheet'!C17</f>
        <v>0.30185197840497496</v>
      </c>
      <c r="E4" s="46">
        <f>('Data Sheet'!E17-'Data Sheet'!D17)/'Data Sheet'!D17</f>
        <v>0.21837270341207346</v>
      </c>
      <c r="F4" s="46">
        <f>('Data Sheet'!F17-'Data Sheet'!E17)/'Data Sheet'!E17</f>
        <v>0.39013356311934505</v>
      </c>
      <c r="G4" s="46">
        <f>('Data Sheet'!G17-'Data Sheet'!F17)/'Data Sheet'!F17</f>
        <v>0.38682783201611659</v>
      </c>
      <c r="H4" s="46">
        <f>('Data Sheet'!H17-'Data Sheet'!G17)/'Data Sheet'!G17</f>
        <v>0.23555178116479694</v>
      </c>
      <c r="I4" s="46">
        <f>('Data Sheet'!I17-'Data Sheet'!H17)/'Data Sheet'!H17</f>
        <v>0.25914336360018808</v>
      </c>
      <c r="J4" s="46">
        <f>('Data Sheet'!J17-'Data Sheet'!I17)/'Data Sheet'!I17</f>
        <v>0.1086004050967492</v>
      </c>
      <c r="K4" s="46">
        <f>('Data Sheet'!K17-'Data Sheet'!J17)/'Data Sheet'!J17</f>
        <v>-0.18242131315356402</v>
      </c>
      <c r="L4" s="46">
        <f>(Annual[[#This Row],[Column12]]-Annual[[#This Row],[Column11]])/Annual[[#This Row],[Column11]]</f>
        <v>3.0271812346459375E-3</v>
      </c>
    </row>
    <row r="5" spans="1:14">
      <c r="A5" s="47" t="s">
        <v>71</v>
      </c>
      <c r="B5" s="45"/>
      <c r="C5" s="46">
        <f>('Data Sheet'!C18-'Data Sheet'!B18)/'Data Sheet'!B18</f>
        <v>0.76148636280431992</v>
      </c>
      <c r="D5" s="46">
        <f>('Data Sheet'!D18-'Data Sheet'!C18)/'Data Sheet'!C18</f>
        <v>0.26104125532578187</v>
      </c>
      <c r="E5" s="46">
        <f>('Data Sheet'!E18-'Data Sheet'!D18)/'Data Sheet'!D18</f>
        <v>0.13671199011124849</v>
      </c>
      <c r="F5" s="46">
        <f>('Data Sheet'!F18-'Data Sheet'!E18)/'Data Sheet'!E18</f>
        <v>0.36167899086559385</v>
      </c>
      <c r="G5" s="46">
        <f>('Data Sheet'!G18-'Data Sheet'!F18)/'Data Sheet'!F18</f>
        <v>0.45775435233988171</v>
      </c>
      <c r="H5" s="46">
        <f>('Data Sheet'!H18-'Data Sheet'!G18)/'Data Sheet'!G18</f>
        <v>0.24118914575800746</v>
      </c>
      <c r="I5" s="46">
        <f>('Data Sheet'!I18-'Data Sheet'!H18)/'Data Sheet'!H18</f>
        <v>0.22983669265852569</v>
      </c>
      <c r="J5" s="46">
        <f>('Data Sheet'!J18-'Data Sheet'!I18)/'Data Sheet'!I18</f>
        <v>9.0750311034548781E-2</v>
      </c>
      <c r="K5" s="46">
        <f>('Data Sheet'!K18-'Data Sheet'!J18)/'Data Sheet'!J18</f>
        <v>-0.35168571365899665</v>
      </c>
    </row>
    <row r="6" spans="1:14" hidden="1">
      <c r="A6" s="48" t="s">
        <v>72</v>
      </c>
      <c r="B6" s="41"/>
      <c r="C6" s="49">
        <f>('Data Sheet'!C19-'Data Sheet'!B19)/'Data Sheet'!B19</f>
        <v>-4.5961538461538458</v>
      </c>
      <c r="D6" s="49">
        <f>('Data Sheet'!D19-'Data Sheet'!C19)/'Data Sheet'!C19</f>
        <v>-1.3048128342245988</v>
      </c>
      <c r="E6" s="49">
        <f>('Data Sheet'!E19-'Data Sheet'!D19)/'Data Sheet'!D19</f>
        <v>-9.9649122807017569</v>
      </c>
      <c r="F6" s="49">
        <f>('Data Sheet'!F19-'Data Sheet'!E19)/'Data Sheet'!E19</f>
        <v>-0.13502935420743647</v>
      </c>
      <c r="G6" s="49">
        <f>('Data Sheet'!G19-'Data Sheet'!F19)/'Data Sheet'!F19</f>
        <v>0.38914027149321262</v>
      </c>
      <c r="H6" s="49">
        <f>('Data Sheet'!H19-'Data Sheet'!G19)/'Data Sheet'!G19</f>
        <v>-0.2296416938110748</v>
      </c>
      <c r="I6" s="49">
        <f>('Data Sheet'!I19-'Data Sheet'!H19)/'Data Sheet'!H19</f>
        <v>-1.1797040169133191</v>
      </c>
      <c r="J6" s="49">
        <f>('Data Sheet'!J19-'Data Sheet'!I19)/'Data Sheet'!I19</f>
        <v>-0.23529411764705876</v>
      </c>
      <c r="K6" s="49">
        <f>('Data Sheet'!K19-'Data Sheet'!J19)/'Data Sheet'!J19</f>
        <v>0.1538461538461538</v>
      </c>
    </row>
    <row r="7" spans="1:14">
      <c r="A7" s="48" t="s">
        <v>73</v>
      </c>
      <c r="B7" s="41"/>
      <c r="C7" s="49">
        <f>('Data Sheet'!C20-'Data Sheet'!B20)/'Data Sheet'!B20</f>
        <v>0.67601246105919</v>
      </c>
      <c r="D7" s="49">
        <f>('Data Sheet'!D20-'Data Sheet'!C20)/'Data Sheet'!C20</f>
        <v>0.41263940520446091</v>
      </c>
      <c r="E7" s="49">
        <f>('Data Sheet'!E20-'Data Sheet'!D20)/'Data Sheet'!D20</f>
        <v>0.58026315789473693</v>
      </c>
      <c r="F7" s="49">
        <f>('Data Sheet'!F20-'Data Sheet'!E20)/'Data Sheet'!E20</f>
        <v>0.66278101582014981</v>
      </c>
      <c r="G7" s="49">
        <f>('Data Sheet'!G20-'Data Sheet'!F20)/'Data Sheet'!F20</f>
        <v>0.25488232348522782</v>
      </c>
      <c r="H7" s="49">
        <f>('Data Sheet'!H20-'Data Sheet'!G20)/'Data Sheet'!G20</f>
        <v>0.23224261771747809</v>
      </c>
      <c r="I7" s="49">
        <f>('Data Sheet'!I20-'Data Sheet'!H20)/'Data Sheet'!H20</f>
        <v>0.16839378238341968</v>
      </c>
      <c r="J7" s="49">
        <f>('Data Sheet'!J20-'Data Sheet'!I20)/'Data Sheet'!I20</f>
        <v>-0.13165188470066519</v>
      </c>
      <c r="K7" s="49">
        <f>('Data Sheet'!K20-'Data Sheet'!J20)/'Data Sheet'!J20</f>
        <v>-3.1918289179693621E-4</v>
      </c>
    </row>
    <row r="8" spans="1:14">
      <c r="A8" s="48" t="s">
        <v>74</v>
      </c>
      <c r="B8" s="41"/>
      <c r="C8" s="49">
        <f>('Data Sheet'!C21-'Data Sheet'!B21)/'Data Sheet'!B21</f>
        <v>9.7633136094674583E-2</v>
      </c>
      <c r="D8" s="49">
        <f>('Data Sheet'!D21-'Data Sheet'!C21)/'Data Sheet'!C21</f>
        <v>0.33423180592991919</v>
      </c>
      <c r="E8" s="49">
        <f>('Data Sheet'!E21-'Data Sheet'!D21)/'Data Sheet'!D21</f>
        <v>0.86868686868686862</v>
      </c>
      <c r="F8" s="49">
        <f>('Data Sheet'!F21-'Data Sheet'!E21)/'Data Sheet'!E21</f>
        <v>0.6032432432432433</v>
      </c>
      <c r="G8" s="49">
        <f>('Data Sheet'!G21-'Data Sheet'!F21)/'Data Sheet'!F21</f>
        <v>0.20633850303438978</v>
      </c>
      <c r="H8" s="49">
        <f>('Data Sheet'!H21-'Data Sheet'!G21)/'Data Sheet'!G21</f>
        <v>-9.7261039686976067E-2</v>
      </c>
      <c r="I8" s="49">
        <f>('Data Sheet'!I21-'Data Sheet'!H21)/'Data Sheet'!H21</f>
        <v>0.39009287925696601</v>
      </c>
      <c r="J8" s="49">
        <f>('Data Sheet'!J21-'Data Sheet'!I21)/'Data Sheet'!I21</f>
        <v>0.20757238307349668</v>
      </c>
      <c r="K8" s="49">
        <f>('Data Sheet'!K21-'Data Sheet'!J21)/'Data Sheet'!J21</f>
        <v>0.22611582441903366</v>
      </c>
    </row>
    <row r="9" spans="1:14">
      <c r="A9" s="48" t="s">
        <v>75</v>
      </c>
      <c r="B9" s="41"/>
      <c r="C9" s="49">
        <f>('Data Sheet'!C22-'Data Sheet'!B22)/'Data Sheet'!B22</f>
        <v>0.22529644268774718</v>
      </c>
      <c r="D9" s="49">
        <f>('Data Sheet'!D22-'Data Sheet'!C22)/'Data Sheet'!C22</f>
        <v>0.42580645161290315</v>
      </c>
      <c r="E9" s="49">
        <f>('Data Sheet'!E22-'Data Sheet'!D22)/'Data Sheet'!D22</f>
        <v>0.29977375565610864</v>
      </c>
      <c r="F9" s="49">
        <f>('Data Sheet'!F22-'Data Sheet'!E22)/'Data Sheet'!E22</f>
        <v>0.29416884247171443</v>
      </c>
      <c r="G9" s="49">
        <f>('Data Sheet'!G22-'Data Sheet'!F22)/'Data Sheet'!F22</f>
        <v>0.2320107599193007</v>
      </c>
      <c r="H9" s="49">
        <f>('Data Sheet'!H22-'Data Sheet'!G22)/'Data Sheet'!G22</f>
        <v>0.23307860262008731</v>
      </c>
      <c r="I9" s="49">
        <f>('Data Sheet'!I22-'Data Sheet'!H22)/'Data Sheet'!H22</f>
        <v>0.21425409473218238</v>
      </c>
      <c r="J9" s="49">
        <f>('Data Sheet'!J22-'Data Sheet'!I22)/'Data Sheet'!I22</f>
        <v>0.16296026248632881</v>
      </c>
      <c r="K9" s="49">
        <f>('Data Sheet'!K22-'Data Sheet'!J22)/'Data Sheet'!J22</f>
        <v>0.12507836990595619</v>
      </c>
    </row>
    <row r="10" spans="1:14">
      <c r="A10" s="47" t="s">
        <v>76</v>
      </c>
      <c r="B10" s="45"/>
      <c r="C10" s="46">
        <f>('Data Sheet'!C23-'Data Sheet'!B23)/'Data Sheet'!B23</f>
        <v>0.70416666666666672</v>
      </c>
      <c r="D10" s="46">
        <f>('Data Sheet'!D23-'Data Sheet'!C23)/'Data Sheet'!C23</f>
        <v>0.33863080684596575</v>
      </c>
      <c r="E10" s="46">
        <f>('Data Sheet'!E23-'Data Sheet'!D23)/'Data Sheet'!D23</f>
        <v>-2.1004566210045539E-2</v>
      </c>
      <c r="F10" s="46">
        <f>('Data Sheet'!F23-'Data Sheet'!E23)/'Data Sheet'!E23</f>
        <v>0.44869402985074613</v>
      </c>
      <c r="G10" s="46">
        <f>('Data Sheet'!G23-'Data Sheet'!F23)/'Data Sheet'!F23</f>
        <v>0.11783644558918224</v>
      </c>
      <c r="H10" s="46">
        <f>('Data Sheet'!H23-'Data Sheet'!G23)/'Data Sheet'!G23</f>
        <v>0.31970046082949316</v>
      </c>
      <c r="I10" s="46">
        <f>('Data Sheet'!I23-'Data Sheet'!H23)/'Data Sheet'!H23</f>
        <v>0.14316892186817989</v>
      </c>
      <c r="J10" s="46">
        <f>('Data Sheet'!J23-'Data Sheet'!I23)/'Data Sheet'!I23</f>
        <v>-0.10462008400152738</v>
      </c>
      <c r="K10" s="46">
        <f>('Data Sheet'!K23-'Data Sheet'!J23)/'Data Sheet'!J23</f>
        <v>-0.2857142857142857</v>
      </c>
    </row>
    <row r="11" spans="1:14" hidden="1">
      <c r="A11" s="48" t="s">
        <v>77</v>
      </c>
      <c r="B11" s="41"/>
      <c r="C11" s="49">
        <f>('Data Sheet'!C24-'Data Sheet'!B24)/'Data Sheet'!B24</f>
        <v>0.49765258215962449</v>
      </c>
      <c r="D11" s="49">
        <f>('Data Sheet'!D24-'Data Sheet'!C24)/'Data Sheet'!C24</f>
        <v>-1.5673981191222514E-2</v>
      </c>
      <c r="E11" s="49">
        <f>('Data Sheet'!E24-'Data Sheet'!D24)/'Data Sheet'!D24</f>
        <v>-9.5541401273886144E-3</v>
      </c>
      <c r="F11" s="49">
        <f>('Data Sheet'!F24-'Data Sheet'!E24)/'Data Sheet'!E24</f>
        <v>0.38906752411575579</v>
      </c>
      <c r="G11" s="49">
        <f>('Data Sheet'!G24-'Data Sheet'!F24)/'Data Sheet'!F24</f>
        <v>0.42824074074074064</v>
      </c>
      <c r="H11" s="49">
        <f>('Data Sheet'!H24-'Data Sheet'!G24)/'Data Sheet'!G24</f>
        <v>-0.44084278768233381</v>
      </c>
      <c r="I11" s="49">
        <f>('Data Sheet'!I24-'Data Sheet'!H24)/'Data Sheet'!H24</f>
        <v>2.5652173913043481</v>
      </c>
      <c r="J11" s="49">
        <f>('Data Sheet'!J24-'Data Sheet'!I24)/'Data Sheet'!I24</f>
        <v>-0.21788617886178874</v>
      </c>
      <c r="K11" s="49">
        <f>('Data Sheet'!K24-'Data Sheet'!J24)/'Data Sheet'!J24</f>
        <v>0.10914760914760924</v>
      </c>
    </row>
    <row r="12" spans="1:14" hidden="1">
      <c r="A12" s="39" t="s">
        <v>9</v>
      </c>
      <c r="B12" s="41"/>
      <c r="C12" s="49">
        <f>('Data Sheet'!C25-'Data Sheet'!B25)/'Data Sheet'!B25</f>
        <v>1.1322751322751325</v>
      </c>
      <c r="D12" s="49">
        <f>('Data Sheet'!D25-'Data Sheet'!C25)/'Data Sheet'!C25</f>
        <v>0.32009925558312652</v>
      </c>
      <c r="E12" s="49">
        <f>('Data Sheet'!E25-'Data Sheet'!D25)/'Data Sheet'!D25</f>
        <v>0.58834586466165395</v>
      </c>
      <c r="F12" s="49">
        <f>('Data Sheet'!F25-'Data Sheet'!E25)/'Data Sheet'!E25</f>
        <v>-0.24852071005917159</v>
      </c>
      <c r="G12" s="49">
        <f>('Data Sheet'!G25-'Data Sheet'!F25)/'Data Sheet'!F25</f>
        <v>-0.55433070866141732</v>
      </c>
      <c r="H12" s="49">
        <f>('Data Sheet'!H25-'Data Sheet'!G25)/'Data Sheet'!G25</f>
        <v>0.32862190812720837</v>
      </c>
      <c r="I12" s="49">
        <f>('Data Sheet'!I25-'Data Sheet'!H25)/'Data Sheet'!H25</f>
        <v>1.4388297872340428</v>
      </c>
      <c r="J12" s="49">
        <f>('Data Sheet'!J25-'Data Sheet'!I25)/'Data Sheet'!I25</f>
        <v>-3.271537622682591E-3</v>
      </c>
      <c r="K12" s="49">
        <f>('Data Sheet'!K25-'Data Sheet'!J25)/'Data Sheet'!J25</f>
        <v>-0.32603938730853393</v>
      </c>
    </row>
    <row r="13" spans="1:14" hidden="1">
      <c r="A13" s="39" t="s">
        <v>10</v>
      </c>
      <c r="B13" s="41"/>
      <c r="C13" s="49">
        <f>('Data Sheet'!C26-'Data Sheet'!B26)/'Data Sheet'!B26</f>
        <v>8.1180811808118161E-2</v>
      </c>
      <c r="D13" s="49">
        <f>('Data Sheet'!D26-'Data Sheet'!C26)/'Data Sheet'!C26</f>
        <v>0.10921501706484636</v>
      </c>
      <c r="E13" s="49">
        <f>('Data Sheet'!E26-'Data Sheet'!D26)/'Data Sheet'!D26</f>
        <v>0.51692307692307682</v>
      </c>
      <c r="F13" s="49">
        <f>('Data Sheet'!F26-'Data Sheet'!E26)/'Data Sheet'!E26</f>
        <v>0.30831643002028408</v>
      </c>
      <c r="G13" s="49">
        <f>('Data Sheet'!G26-'Data Sheet'!F26)/'Data Sheet'!F26</f>
        <v>8.9922480620155051E-2</v>
      </c>
      <c r="H13" s="49">
        <f>('Data Sheet'!H26-'Data Sheet'!G26)/'Data Sheet'!G26</f>
        <v>0.41536273115220468</v>
      </c>
      <c r="I13" s="49">
        <f>('Data Sheet'!I26-'Data Sheet'!H26)/'Data Sheet'!H26</f>
        <v>0.53969849246231172</v>
      </c>
      <c r="J13" s="49">
        <f>('Data Sheet'!J26-'Data Sheet'!I26)/'Data Sheet'!I26</f>
        <v>0.1527415143603133</v>
      </c>
      <c r="K13" s="49">
        <f>('Data Sheet'!K26-'Data Sheet'!J26)/'Data Sheet'!J26</f>
        <v>4.8697621744054329E-2</v>
      </c>
    </row>
    <row r="14" spans="1:14" hidden="1">
      <c r="A14" s="39" t="s">
        <v>11</v>
      </c>
      <c r="B14" s="41"/>
      <c r="C14" s="49">
        <f>('Data Sheet'!C27-'Data Sheet'!B27)/'Data Sheet'!B27</f>
        <v>0.65482233502538068</v>
      </c>
      <c r="D14" s="49">
        <f>('Data Sheet'!D27-'Data Sheet'!C27)/'Data Sheet'!C27</f>
        <v>9.2024539877301383E-3</v>
      </c>
      <c r="E14" s="49">
        <f>('Data Sheet'!E27-'Data Sheet'!D27)/'Data Sheet'!D27</f>
        <v>0.34346504559270513</v>
      </c>
      <c r="F14" s="49">
        <f>('Data Sheet'!F27-'Data Sheet'!E27)/'Data Sheet'!E27</f>
        <v>0.61085972850678738</v>
      </c>
      <c r="G14" s="49">
        <f>('Data Sheet'!G27-'Data Sheet'!F27)/'Data Sheet'!F27</f>
        <v>0.29073033707865159</v>
      </c>
      <c r="H14" s="49">
        <f>('Data Sheet'!H27-'Data Sheet'!G27)/'Data Sheet'!G27</f>
        <v>0.25571273122959737</v>
      </c>
      <c r="I14" s="49">
        <f>('Data Sheet'!I27-'Data Sheet'!H27)/'Data Sheet'!H27</f>
        <v>0.57279029462738296</v>
      </c>
      <c r="J14" s="49">
        <f>('Data Sheet'!J27-'Data Sheet'!I27)/'Data Sheet'!I27</f>
        <v>-0.46225895316804405</v>
      </c>
      <c r="K14" s="49">
        <f>('Data Sheet'!K27-'Data Sheet'!J27)/'Data Sheet'!J27</f>
        <v>-0.19467213114754092</v>
      </c>
    </row>
    <row r="15" spans="1:14" hidden="1">
      <c r="A15" s="39" t="s">
        <v>12</v>
      </c>
      <c r="B15" s="41"/>
      <c r="C15" s="49">
        <f>('Data Sheet'!C28-'Data Sheet'!B28)/'Data Sheet'!B28</f>
        <v>3.1862567811934897</v>
      </c>
      <c r="D15" s="49">
        <f>('Data Sheet'!D28-'Data Sheet'!C28)/'Data Sheet'!C28</f>
        <v>0.37710583153347738</v>
      </c>
      <c r="E15" s="49">
        <f>('Data Sheet'!E28-'Data Sheet'!D28)/'Data Sheet'!D28</f>
        <v>0.62452948557089083</v>
      </c>
      <c r="F15" s="49">
        <f>('Data Sheet'!F28-'Data Sheet'!E28)/'Data Sheet'!E28</f>
        <v>0.20679667889553971</v>
      </c>
      <c r="G15" s="49">
        <f>('Data Sheet'!G28-'Data Sheet'!F28)/'Data Sheet'!F28</f>
        <v>0.30559999999999993</v>
      </c>
      <c r="H15" s="49">
        <f>('Data Sheet'!H28-'Data Sheet'!G28)/'Data Sheet'!G28</f>
        <v>0.25747549019607852</v>
      </c>
      <c r="I15" s="49">
        <f>('Data Sheet'!I28-'Data Sheet'!H28)/'Data Sheet'!H28</f>
        <v>0.25319169671571978</v>
      </c>
      <c r="J15" s="49">
        <f>('Data Sheet'!J28-'Data Sheet'!I28)/'Data Sheet'!I28</f>
        <v>0.34924955284236719</v>
      </c>
      <c r="K15" s="49">
        <f>('Data Sheet'!K28-'Data Sheet'!J28)/'Data Sheet'!J28</f>
        <v>7.5273775216138344E-2</v>
      </c>
    </row>
    <row r="16" spans="1:14" hidden="1">
      <c r="A16" s="39" t="s">
        <v>13</v>
      </c>
      <c r="B16" s="41"/>
      <c r="C16" s="49">
        <f>('Data Sheet'!C29-'Data Sheet'!B29)/'Data Sheet'!B29</f>
        <v>2.9356435643564356</v>
      </c>
      <c r="D16" s="49">
        <f>('Data Sheet'!D29-'Data Sheet'!C29)/'Data Sheet'!C29</f>
        <v>-0.15094339622641512</v>
      </c>
      <c r="E16" s="49">
        <f>('Data Sheet'!E29-'Data Sheet'!D29)/'Data Sheet'!D29</f>
        <v>0.7407407407407407</v>
      </c>
      <c r="F16" s="49">
        <f>('Data Sheet'!F29-'Data Sheet'!E29)/'Data Sheet'!E29</f>
        <v>-0.10382978723404261</v>
      </c>
      <c r="G16" s="49">
        <f>('Data Sheet'!G29-'Data Sheet'!F29)/'Data Sheet'!F29</f>
        <v>1.5441595441595442</v>
      </c>
      <c r="H16" s="49">
        <f>('Data Sheet'!H29-'Data Sheet'!G29)/'Data Sheet'!G29</f>
        <v>0.26689063083240011</v>
      </c>
      <c r="I16" s="49">
        <f>('Data Sheet'!I29-'Data Sheet'!H29)/'Data Sheet'!H29</f>
        <v>0.25014731879787866</v>
      </c>
      <c r="J16" s="49">
        <f>('Data Sheet'!J29-'Data Sheet'!I29)/'Data Sheet'!I29</f>
        <v>0.35988687249587564</v>
      </c>
      <c r="K16" s="49">
        <f>('Data Sheet'!K29-'Data Sheet'!J29)/'Data Sheet'!J29</f>
        <v>-4.6967071057192389E-2</v>
      </c>
    </row>
    <row r="17" spans="1:12">
      <c r="A17" s="44" t="s">
        <v>14</v>
      </c>
      <c r="B17" s="45"/>
      <c r="C17" s="46">
        <f>('Data Sheet'!C30-'Data Sheet'!B30)/'Data Sheet'!B30</f>
        <v>3.3304843304843303</v>
      </c>
      <c r="D17" s="46">
        <f>('Data Sheet'!D30-'Data Sheet'!C30)/'Data Sheet'!C30</f>
        <v>0.65328947368421053</v>
      </c>
      <c r="E17" s="46">
        <f>('Data Sheet'!E30-'Data Sheet'!D30)/'Data Sheet'!D30</f>
        <v>0.59331476323119781</v>
      </c>
      <c r="F17" s="46">
        <f>('Data Sheet'!F30-'Data Sheet'!E30)/'Data Sheet'!E30</f>
        <v>0.29795204795204794</v>
      </c>
      <c r="G17" s="46">
        <f>('Data Sheet'!G30-'Data Sheet'!F30)/'Data Sheet'!F30</f>
        <v>5.4646911679815342E-2</v>
      </c>
      <c r="H17" s="46">
        <f>('Data Sheet'!H30-'Data Sheet'!G30)/'Data Sheet'!G30</f>
        <v>0.25269111476008016</v>
      </c>
      <c r="I17" s="46">
        <f>('Data Sheet'!I30-'Data Sheet'!H30)/'Data Sheet'!H30</f>
        <v>0.2547334692688612</v>
      </c>
      <c r="J17" s="46">
        <f>('Data Sheet'!J30-'Data Sheet'!I30)/'Data Sheet'!I30</f>
        <v>0.34405107370864768</v>
      </c>
      <c r="K17" s="46">
        <f>('Data Sheet'!K30-'Data Sheet'!J30)/'Data Sheet'!J30</f>
        <v>0.13628119872182387</v>
      </c>
      <c r="L17" s="29">
        <f>('Profit &amp; Loss'!L12-'Profit &amp; Loss'!K12)/'Profit &amp; Loss'!K12</f>
        <v>0</v>
      </c>
    </row>
    <row r="18" spans="1:12">
      <c r="A18" s="39" t="s">
        <v>61</v>
      </c>
      <c r="B18" s="41"/>
      <c r="C18" s="49">
        <f>('Data Sheet'!C31-'Data Sheet'!B31)/'Data Sheet'!B31</f>
        <v>1.4936708860759491</v>
      </c>
      <c r="D18" s="49">
        <f>('Data Sheet'!D31-'Data Sheet'!C31)/'Data Sheet'!C31</f>
        <v>0.25380710659898487</v>
      </c>
      <c r="E18" s="49">
        <f>('Data Sheet'!E31-'Data Sheet'!D31)/'Data Sheet'!D31</f>
        <v>1</v>
      </c>
      <c r="F18" s="49">
        <f>('Data Sheet'!F31-'Data Sheet'!E31)/'Data Sheet'!E31</f>
        <v>0.29959514170040474</v>
      </c>
      <c r="G18" s="49">
        <f>('Data Sheet'!G31-'Data Sheet'!F31)/'Data Sheet'!F31</f>
        <v>0.53894080996884752</v>
      </c>
      <c r="H18" s="49">
        <f>('Data Sheet'!H31-'Data Sheet'!G31)/'Data Sheet'!G31</f>
        <v>0.24898785425101203</v>
      </c>
      <c r="I18" s="49">
        <f>('Data Sheet'!I31-'Data Sheet'!H31)/'Data Sheet'!H31</f>
        <v>0.20016207455429502</v>
      </c>
      <c r="J18" s="49">
        <f>('Data Sheet'!J31-'Data Sheet'!I31)/'Data Sheet'!I31</f>
        <v>0.21944632005401743</v>
      </c>
      <c r="K18" s="49">
        <f>('Data Sheet'!K31-'Data Sheet'!J31)/'Data Sheet'!J31</f>
        <v>0.14285714285714296</v>
      </c>
    </row>
    <row r="19" spans="1:12">
      <c r="A19" s="39"/>
      <c r="B19" s="41"/>
      <c r="C19" s="49"/>
      <c r="D19" s="49"/>
      <c r="E19" s="49"/>
      <c r="F19" s="49"/>
      <c r="G19" s="49"/>
      <c r="H19" s="49"/>
      <c r="I19" s="49"/>
      <c r="J19" s="49"/>
      <c r="K19" s="49"/>
    </row>
    <row r="20" spans="1:12" hidden="1">
      <c r="A20" s="113" t="s">
        <v>99</v>
      </c>
      <c r="B20" s="41"/>
      <c r="C20" s="49"/>
      <c r="D20" s="49"/>
      <c r="E20" s="49"/>
      <c r="F20" s="49"/>
      <c r="G20" s="49"/>
      <c r="H20" s="49"/>
      <c r="I20" s="49"/>
      <c r="J20" s="49"/>
      <c r="K20" s="49"/>
    </row>
    <row r="21" spans="1:12" hidden="1">
      <c r="A21" s="42" t="s">
        <v>40</v>
      </c>
      <c r="B21" s="41"/>
      <c r="C21" s="49"/>
      <c r="D21" s="49"/>
      <c r="E21" s="49"/>
      <c r="F21" s="49"/>
      <c r="G21" s="49"/>
      <c r="H21" s="49"/>
      <c r="I21" s="49"/>
      <c r="J21" s="49"/>
      <c r="K21" s="49"/>
    </row>
    <row r="22" spans="1:12" hidden="1">
      <c r="A22" s="39" t="s">
        <v>24</v>
      </c>
      <c r="B22" s="41"/>
      <c r="C22" s="49">
        <f>('Data Sheet'!C57-'Data Sheet'!B57)/'Data Sheet'!B57</f>
        <v>0.49999999999999989</v>
      </c>
      <c r="D22" s="49">
        <f>('Data Sheet'!D57-'Data Sheet'!C57)/'Data Sheet'!C57</f>
        <v>0</v>
      </c>
      <c r="E22" s="49">
        <f>('Data Sheet'!E57-'Data Sheet'!D57)/'Data Sheet'!D57</f>
        <v>0</v>
      </c>
      <c r="F22" s="49">
        <f>('Data Sheet'!F57-'Data Sheet'!E57)/'Data Sheet'!E57</f>
        <v>0</v>
      </c>
      <c r="G22" s="49">
        <f>('Data Sheet'!G57-'Data Sheet'!F57)/'Data Sheet'!F57</f>
        <v>0</v>
      </c>
      <c r="H22" s="49">
        <f>('Data Sheet'!H57-'Data Sheet'!G57)/'Data Sheet'!G57</f>
        <v>0</v>
      </c>
      <c r="I22" s="49">
        <f>('Data Sheet'!I57-'Data Sheet'!H57)/'Data Sheet'!H57</f>
        <v>0</v>
      </c>
      <c r="J22" s="49">
        <f>('Data Sheet'!J57-'Data Sheet'!I57)/'Data Sheet'!I57</f>
        <v>4.5592705167173363E-2</v>
      </c>
      <c r="K22" s="49">
        <f>('Data Sheet'!K57-'Data Sheet'!J57)/'Data Sheet'!J57</f>
        <v>0</v>
      </c>
    </row>
    <row r="23" spans="1:12" hidden="1">
      <c r="A23" s="44" t="s">
        <v>25</v>
      </c>
      <c r="B23" s="45"/>
      <c r="C23" s="46">
        <f>('Data Sheet'!C58-'Data Sheet'!B58)/'Data Sheet'!B58</f>
        <v>0.40608919382504283</v>
      </c>
      <c r="D23" s="46">
        <f>('Data Sheet'!D58-'Data Sheet'!C58)/'Data Sheet'!C58</f>
        <v>0.67825556572125656</v>
      </c>
      <c r="E23" s="46">
        <f>('Data Sheet'!E58-'Data Sheet'!D58)/'Data Sheet'!D58</f>
        <v>0.62293294566600033</v>
      </c>
      <c r="F23" s="46">
        <f>('Data Sheet'!F58-'Data Sheet'!E58)/'Data Sheet'!E58</f>
        <v>0.49837644160788253</v>
      </c>
      <c r="G23" s="46">
        <f>('Data Sheet'!G58-'Data Sheet'!F58)/'Data Sheet'!F58</f>
        <v>0.32379315498430739</v>
      </c>
      <c r="H23" s="46">
        <f>('Data Sheet'!H58-'Data Sheet'!G58)/'Data Sheet'!G58</f>
        <v>0.30606830369743154</v>
      </c>
      <c r="I23" s="46">
        <f>('Data Sheet'!I58-'Data Sheet'!H58)/'Data Sheet'!H58</f>
        <v>0.29748887064010021</v>
      </c>
      <c r="J23" s="46">
        <f>('Data Sheet'!J58-'Data Sheet'!I58)/'Data Sheet'!I58</f>
        <v>0.41149233844103944</v>
      </c>
      <c r="K23" s="46">
        <f>('Data Sheet'!K58-'Data Sheet'!J58)/'Data Sheet'!J58</f>
        <v>0.25188209473013479</v>
      </c>
    </row>
    <row r="24" spans="1:12" hidden="1">
      <c r="A24" s="39" t="s">
        <v>62</v>
      </c>
      <c r="B24" s="41"/>
      <c r="C24" s="49">
        <f>('Data Sheet'!C59-'Data Sheet'!B59)/'Data Sheet'!B59</f>
        <v>0.33476060724017115</v>
      </c>
      <c r="D24" s="49">
        <f>('Data Sheet'!D59-'Data Sheet'!C59)/'Data Sheet'!C59</f>
        <v>0.48614756488772243</v>
      </c>
      <c r="E24" s="49">
        <f>('Data Sheet'!E59-'Data Sheet'!D59)/'Data Sheet'!D59</f>
        <v>0.23861852433280997</v>
      </c>
      <c r="F24" s="49">
        <f>('Data Sheet'!F59-'Data Sheet'!E59)/'Data Sheet'!E59</f>
        <v>0.2192648922686945</v>
      </c>
      <c r="G24" s="49">
        <f>('Data Sheet'!G59-'Data Sheet'!F59)/'Data Sheet'!F59</f>
        <v>1.2438929313929314</v>
      </c>
      <c r="H24" s="49">
        <f>('Data Sheet'!H59-'Data Sheet'!G59)/'Data Sheet'!G59</f>
        <v>0.37390700098442292</v>
      </c>
      <c r="I24" s="49">
        <f>('Data Sheet'!I59-'Data Sheet'!H59)/'Data Sheet'!H59</f>
        <v>-0.31897496417432347</v>
      </c>
      <c r="J24" s="49">
        <f>('Data Sheet'!J59-'Data Sheet'!I59)/'Data Sheet'!I59</f>
        <v>-0.59586582497833895</v>
      </c>
      <c r="K24" s="49">
        <f>('Data Sheet'!K59-'Data Sheet'!J59)/'Data Sheet'!J59</f>
        <v>-0.35574272588055128</v>
      </c>
    </row>
    <row r="25" spans="1:12" hidden="1">
      <c r="A25" s="39" t="s">
        <v>63</v>
      </c>
      <c r="B25" s="41"/>
      <c r="C25" s="49">
        <f>('Data Sheet'!C60-'Data Sheet'!B60)/'Data Sheet'!B60</f>
        <v>0.27316486161251496</v>
      </c>
      <c r="D25" s="49">
        <f>('Data Sheet'!D60-'Data Sheet'!C60)/'Data Sheet'!C60</f>
        <v>2.6465028355387464E-2</v>
      </c>
      <c r="E25" s="49">
        <f>('Data Sheet'!E60-'Data Sheet'!D60)/'Data Sheet'!D60</f>
        <v>5.893186003683247E-2</v>
      </c>
      <c r="F25" s="49">
        <f>('Data Sheet'!F60-'Data Sheet'!E60)/'Data Sheet'!E60</f>
        <v>0.63130434782608713</v>
      </c>
      <c r="G25" s="49">
        <f>('Data Sheet'!G60-'Data Sheet'!F60)/'Data Sheet'!F60</f>
        <v>0.20229211087420032</v>
      </c>
      <c r="H25" s="49">
        <f>('Data Sheet'!H60-'Data Sheet'!G60)/'Data Sheet'!G60</f>
        <v>0.48814010197295493</v>
      </c>
      <c r="I25" s="49">
        <f>('Data Sheet'!I60-'Data Sheet'!H60)/'Data Sheet'!H60</f>
        <v>0.20557127960673338</v>
      </c>
      <c r="J25" s="49">
        <f>('Data Sheet'!J60-'Data Sheet'!I60)/'Data Sheet'!I60</f>
        <v>0.2400840232299517</v>
      </c>
      <c r="K25" s="49">
        <f>('Data Sheet'!K60-'Data Sheet'!J60)/'Data Sheet'!J60</f>
        <v>4.2945396572339603E-2</v>
      </c>
    </row>
    <row r="26" spans="1:12" hidden="1">
      <c r="A26" s="42" t="s">
        <v>26</v>
      </c>
      <c r="B26" s="41"/>
      <c r="C26" s="49">
        <f>('Data Sheet'!C61-'Data Sheet'!B61)/'Data Sheet'!B61</f>
        <v>0.35867608364492465</v>
      </c>
      <c r="D26" s="49">
        <f>('Data Sheet'!D61-'Data Sheet'!C61)/'Data Sheet'!C61</f>
        <v>0.40230353684639703</v>
      </c>
      <c r="E26" s="49">
        <f>('Data Sheet'!E61-'Data Sheet'!D61)/'Data Sheet'!D61</f>
        <v>0.34685274022386969</v>
      </c>
      <c r="F26" s="49">
        <f>('Data Sheet'!F61-'Data Sheet'!E61)/'Data Sheet'!E61</f>
        <v>0.39325418240690774</v>
      </c>
      <c r="G26" s="49">
        <f>('Data Sheet'!G61-'Data Sheet'!F61)/'Data Sheet'!F61</f>
        <v>0.56803656505403399</v>
      </c>
      <c r="H26" s="49">
        <f>('Data Sheet'!H61-'Data Sheet'!G61)/'Data Sheet'!G61</f>
        <v>0.3478336050590386</v>
      </c>
      <c r="I26" s="49">
        <f>('Data Sheet'!I61-'Data Sheet'!H61)/'Data Sheet'!H61</f>
        <v>1.2737569415171537E-2</v>
      </c>
      <c r="J26" s="49">
        <f>('Data Sheet'!J61-'Data Sheet'!I61)/'Data Sheet'!I61</f>
        <v>8.5290817619168249E-2</v>
      </c>
      <c r="K26" s="49">
        <f>('Data Sheet'!K61-'Data Sheet'!J61)/'Data Sheet'!J61</f>
        <v>0.14642077003885201</v>
      </c>
    </row>
    <row r="27" spans="1:12" hidden="1">
      <c r="A27" s="39" t="s">
        <v>27</v>
      </c>
      <c r="B27" s="41"/>
      <c r="C27" s="49">
        <f>('Data Sheet'!C62-'Data Sheet'!B62)/'Data Sheet'!B62</f>
        <v>0.13503751041956097</v>
      </c>
      <c r="D27" s="49">
        <f>('Data Sheet'!D62-'Data Sheet'!C62)/'Data Sheet'!C62</f>
        <v>9.4002447980416057E-2</v>
      </c>
      <c r="E27" s="49">
        <f>('Data Sheet'!E62-'Data Sheet'!D62)/'Data Sheet'!D62</f>
        <v>0.78183038711121056</v>
      </c>
      <c r="F27" s="49">
        <f>('Data Sheet'!F62-'Data Sheet'!E62)/'Data Sheet'!E62</f>
        <v>0.39608187868893641</v>
      </c>
      <c r="G27" s="49">
        <f>('Data Sheet'!G62-'Data Sheet'!F62)/'Data Sheet'!F62</f>
        <v>0.29810200593685349</v>
      </c>
      <c r="H27" s="49">
        <f>('Data Sheet'!H62-'Data Sheet'!G62)/'Data Sheet'!G62</f>
        <v>1.0104635853371213</v>
      </c>
      <c r="I27" s="49">
        <f>('Data Sheet'!I62-'Data Sheet'!H62)/'Data Sheet'!H62</f>
        <v>4.8461034708578925E-2</v>
      </c>
      <c r="J27" s="49">
        <f>('Data Sheet'!J62-'Data Sheet'!I62)/'Data Sheet'!I62</f>
        <v>7.580788323087545E-2</v>
      </c>
      <c r="K27" s="49">
        <f>('Data Sheet'!K62-'Data Sheet'!J62)/'Data Sheet'!J62</f>
        <v>0.16696715049656222</v>
      </c>
    </row>
    <row r="28" spans="1:12" hidden="1">
      <c r="A28" s="39" t="s">
        <v>28</v>
      </c>
      <c r="B28" s="41"/>
      <c r="C28" s="49">
        <f>('Data Sheet'!C63-'Data Sheet'!B63)/'Data Sheet'!B63</f>
        <v>5.6932515337423322</v>
      </c>
      <c r="D28" s="49">
        <f>('Data Sheet'!D63-'Data Sheet'!C63)/'Data Sheet'!C63</f>
        <v>2.9807516040329967</v>
      </c>
      <c r="E28" s="49">
        <f>('Data Sheet'!E63-'Data Sheet'!D63)/'Data Sheet'!D63</f>
        <v>-0.11673958093483768</v>
      </c>
      <c r="F28" s="49">
        <f>('Data Sheet'!F63-'Data Sheet'!E63)/'Data Sheet'!E63</f>
        <v>-6.0479666319082387E-2</v>
      </c>
      <c r="G28" s="49">
        <f>('Data Sheet'!G63-'Data Sheet'!F63)/'Data Sheet'!F63</f>
        <v>0.57463928967813549</v>
      </c>
      <c r="H28" s="49">
        <f>('Data Sheet'!H63-'Data Sheet'!G63)/'Data Sheet'!G63</f>
        <v>-0.75242290748898688</v>
      </c>
      <c r="I28" s="49">
        <f>('Data Sheet'!I63-'Data Sheet'!H63)/'Data Sheet'!H63</f>
        <v>-0.28185053380782921</v>
      </c>
      <c r="J28" s="49">
        <f>('Data Sheet'!J63-'Data Sheet'!I63)/'Data Sheet'!I63</f>
        <v>0.98414271555996036</v>
      </c>
      <c r="K28" s="49">
        <f>('Data Sheet'!K63-'Data Sheet'!J63)/'Data Sheet'!J63</f>
        <v>0.2402597402597402</v>
      </c>
    </row>
    <row r="29" spans="1:12" hidden="1">
      <c r="A29" s="39" t="s">
        <v>29</v>
      </c>
      <c r="B29" s="41"/>
      <c r="C29" s="49" t="e">
        <f>('Data Sheet'!C64-'Data Sheet'!B64)/'Data Sheet'!B64</f>
        <v>#DIV/0!</v>
      </c>
      <c r="D29" s="49" t="e">
        <f>('Data Sheet'!D64-'Data Sheet'!C64)/'Data Sheet'!C64</f>
        <v>#DIV/0!</v>
      </c>
      <c r="E29" s="49" t="e">
        <f>('Data Sheet'!E64-'Data Sheet'!D64)/'Data Sheet'!D64</f>
        <v>#DIV/0!</v>
      </c>
      <c r="F29" s="49" t="e">
        <f>('Data Sheet'!F64-'Data Sheet'!E64)/'Data Sheet'!E64</f>
        <v>#DIV/0!</v>
      </c>
      <c r="G29" s="49">
        <f>('Data Sheet'!G64-'Data Sheet'!F64)/'Data Sheet'!F64</f>
        <v>1.5</v>
      </c>
      <c r="H29" s="49">
        <f>('Data Sheet'!H64-'Data Sheet'!G64)/'Data Sheet'!G64</f>
        <v>0.61645569620253149</v>
      </c>
      <c r="I29" s="49">
        <f>('Data Sheet'!I64-'Data Sheet'!H64)/'Data Sheet'!H64</f>
        <v>-0.78543461237274859</v>
      </c>
      <c r="J29" s="49">
        <f>('Data Sheet'!J64-'Data Sheet'!I64)/'Data Sheet'!I64</f>
        <v>0</v>
      </c>
      <c r="K29" s="49">
        <f>('Data Sheet'!K64-'Data Sheet'!J64)/'Data Sheet'!J64</f>
        <v>0</v>
      </c>
    </row>
    <row r="30" spans="1:12" hidden="1">
      <c r="A30" s="39" t="s">
        <v>64</v>
      </c>
      <c r="B30" s="41"/>
      <c r="C30" s="49">
        <f>('Data Sheet'!C65-'Data Sheet'!B65)/'Data Sheet'!B65</f>
        <v>0.33998265394622712</v>
      </c>
      <c r="D30" s="49">
        <f>('Data Sheet'!D65-'Data Sheet'!C65)/'Data Sheet'!C65</f>
        <v>6.709816612729233E-2</v>
      </c>
      <c r="E30" s="49">
        <f>('Data Sheet'!E65-'Data Sheet'!D65)/'Data Sheet'!D65</f>
        <v>0.3608976951071573</v>
      </c>
      <c r="F30" s="49">
        <f>('Data Sheet'!F65-'Data Sheet'!E65)/'Data Sheet'!E65</f>
        <v>0.60154508988263244</v>
      </c>
      <c r="G30" s="49">
        <f>('Data Sheet'!G65-'Data Sheet'!F65)/'Data Sheet'!F65</f>
        <v>0.8168831168831171</v>
      </c>
      <c r="H30" s="49">
        <f>('Data Sheet'!H65-'Data Sheet'!G65)/'Data Sheet'!G65</f>
        <v>0.167568671500051</v>
      </c>
      <c r="I30" s="49">
        <f>('Data Sheet'!I65-'Data Sheet'!H65)/'Data Sheet'!H65</f>
        <v>3.0085709288088139E-2</v>
      </c>
      <c r="J30" s="49">
        <f>('Data Sheet'!J65-'Data Sheet'!I65)/'Data Sheet'!I65</f>
        <v>6.0027169298692416E-2</v>
      </c>
      <c r="K30" s="49">
        <f>('Data Sheet'!K65-'Data Sheet'!J65)/'Data Sheet'!J65</f>
        <v>0.11357629154985989</v>
      </c>
    </row>
    <row r="31" spans="1:12" hidden="1">
      <c r="A31" s="42" t="s">
        <v>26</v>
      </c>
      <c r="B31" s="41"/>
      <c r="C31" s="49">
        <f>('Data Sheet'!C66-'Data Sheet'!B66)/'Data Sheet'!B66</f>
        <v>0.35867608364492465</v>
      </c>
      <c r="D31" s="49">
        <f>('Data Sheet'!D66-'Data Sheet'!C66)/'Data Sheet'!C66</f>
        <v>0.40230353684639703</v>
      </c>
      <c r="E31" s="49">
        <f>('Data Sheet'!E66-'Data Sheet'!D66)/'Data Sheet'!D66</f>
        <v>0.34685274022386969</v>
      </c>
      <c r="F31" s="49">
        <f>('Data Sheet'!F66-'Data Sheet'!E66)/'Data Sheet'!E66</f>
        <v>0.39325418240690774</v>
      </c>
      <c r="G31" s="49">
        <f>('Data Sheet'!G66-'Data Sheet'!F66)/'Data Sheet'!F66</f>
        <v>0.56803656505403399</v>
      </c>
      <c r="H31" s="49">
        <f>('Data Sheet'!H66-'Data Sheet'!G66)/'Data Sheet'!G66</f>
        <v>0.3478336050590386</v>
      </c>
      <c r="I31" s="49">
        <f>('Data Sheet'!I66-'Data Sheet'!H66)/'Data Sheet'!H66</f>
        <v>1.2737569415171537E-2</v>
      </c>
      <c r="J31" s="49">
        <f>('Data Sheet'!J66-'Data Sheet'!I66)/'Data Sheet'!I66</f>
        <v>8.5290817619168249E-2</v>
      </c>
      <c r="K31" s="49">
        <f>('Data Sheet'!K66-'Data Sheet'!J66)/'Data Sheet'!J66</f>
        <v>0.14642077003885201</v>
      </c>
    </row>
    <row r="32" spans="1:12" hidden="1">
      <c r="A32" s="44" t="s">
        <v>69</v>
      </c>
      <c r="B32" s="45"/>
      <c r="C32" s="46">
        <f>('Data Sheet'!C67-'Data Sheet'!B67)/'Data Sheet'!B67</f>
        <v>0.12030456852791883</v>
      </c>
      <c r="D32" s="46">
        <f>('Data Sheet'!D67-'Data Sheet'!C67)/'Data Sheet'!C67</f>
        <v>0.26506570004531044</v>
      </c>
      <c r="E32" s="46">
        <f>('Data Sheet'!E67-'Data Sheet'!D67)/'Data Sheet'!D67</f>
        <v>0.28474212034383939</v>
      </c>
      <c r="F32" s="46">
        <f>('Data Sheet'!F67-'Data Sheet'!E67)/'Data Sheet'!E67</f>
        <v>0.44744912182882646</v>
      </c>
      <c r="G32" s="46">
        <f>('Data Sheet'!G67-'Data Sheet'!F67)/'Data Sheet'!F67</f>
        <v>0.65023112480739609</v>
      </c>
      <c r="H32" s="46">
        <f>('Data Sheet'!H67-'Data Sheet'!G67)/'Data Sheet'!G67</f>
        <v>0.32107843137254888</v>
      </c>
      <c r="I32" s="46">
        <f>('Data Sheet'!I67-'Data Sheet'!H67)/'Data Sheet'!H67</f>
        <v>1.643254704479194E-2</v>
      </c>
      <c r="J32" s="46">
        <f>('Data Sheet'!J67-'Data Sheet'!I67)/'Data Sheet'!I67</f>
        <v>0.12212081703607125</v>
      </c>
      <c r="K32" s="46">
        <f>('Data Sheet'!K67-'Data Sheet'!J67)/'Data Sheet'!J67</f>
        <v>-0.11061192873741287</v>
      </c>
    </row>
    <row r="33" spans="1:12" hidden="1">
      <c r="A33" s="44" t="s">
        <v>45</v>
      </c>
      <c r="B33" s="45"/>
      <c r="C33" s="46">
        <f>('Data Sheet'!C68-'Data Sheet'!B68)/'Data Sheet'!B68</f>
        <v>0.47624847746650401</v>
      </c>
      <c r="D33" s="46">
        <f>('Data Sheet'!D68-'Data Sheet'!C68)/'Data Sheet'!C68</f>
        <v>-4.9504950495048456E-3</v>
      </c>
      <c r="E33" s="46">
        <f>('Data Sheet'!E68-'Data Sheet'!D68)/'Data Sheet'!D68</f>
        <v>0.56633499170812607</v>
      </c>
      <c r="F33" s="46">
        <f>('Data Sheet'!F68-'Data Sheet'!E68)/'Data Sheet'!E68</f>
        <v>0.85336156696664889</v>
      </c>
      <c r="G33" s="46">
        <f>('Data Sheet'!G68-'Data Sheet'!F68)/'Data Sheet'!F68</f>
        <v>0.22879177377892046</v>
      </c>
      <c r="H33" s="46">
        <f>('Data Sheet'!H68-'Data Sheet'!G68)/'Data Sheet'!G68</f>
        <v>0.27010692701069261</v>
      </c>
      <c r="I33" s="46">
        <f>('Data Sheet'!I68-'Data Sheet'!H68)/'Data Sheet'!H68</f>
        <v>-0.14659590043923862</v>
      </c>
      <c r="J33" s="46">
        <f>('Data Sheet'!J68-'Data Sheet'!I68)/'Data Sheet'!I68</f>
        <v>0.16856101222389017</v>
      </c>
      <c r="K33" s="46">
        <f>('Data Sheet'!K68-'Data Sheet'!J68)/'Data Sheet'!J68</f>
        <v>-0.17966599376032297</v>
      </c>
    </row>
    <row r="34" spans="1:12" hidden="1">
      <c r="A34" s="48" t="s">
        <v>78</v>
      </c>
      <c r="B34" s="41"/>
      <c r="C34" s="49">
        <f>('Data Sheet'!C69-'Data Sheet'!B69)/'Data Sheet'!B69</f>
        <v>0.55681818181818188</v>
      </c>
      <c r="D34" s="49">
        <f>('Data Sheet'!D69-'Data Sheet'!C69)/'Data Sheet'!C69</f>
        <v>0.37956204379562025</v>
      </c>
      <c r="E34" s="49">
        <f>('Data Sheet'!E69-'Data Sheet'!D69)/'Data Sheet'!D69</f>
        <v>-5.2910052910052845E-2</v>
      </c>
      <c r="F34" s="49">
        <f>('Data Sheet'!F69-'Data Sheet'!E69)/'Data Sheet'!E69</f>
        <v>8.3798882681564199E-2</v>
      </c>
      <c r="G34" s="49">
        <f>('Data Sheet'!G69-'Data Sheet'!F69)/'Data Sheet'!F69</f>
        <v>15.469072164948454</v>
      </c>
      <c r="H34" s="49">
        <f>('Data Sheet'!H69-'Data Sheet'!G69)/'Data Sheet'!G69</f>
        <v>5.6964006259781028E-2</v>
      </c>
      <c r="I34" s="49">
        <f>('Data Sheet'!I69-'Data Sheet'!H69)/'Data Sheet'!H69</f>
        <v>0.26443588984305594</v>
      </c>
      <c r="J34" s="49">
        <f>('Data Sheet'!J69-'Data Sheet'!I69)/'Data Sheet'!I69</f>
        <v>-0.36440281030444965</v>
      </c>
      <c r="K34" s="49">
        <f>('Data Sheet'!K69-'Data Sheet'!J69)/'Data Sheet'!J69</f>
        <v>1.6613854089904201</v>
      </c>
    </row>
    <row r="35" spans="1:12" hidden="1">
      <c r="A35" s="48" t="s">
        <v>65</v>
      </c>
      <c r="B35" s="41"/>
      <c r="C35" s="49">
        <f>('Data Sheet'!C70-'Data Sheet'!B70)/'Data Sheet'!B70</f>
        <v>0.5</v>
      </c>
      <c r="D35" s="49">
        <f>('Data Sheet'!D70-'Data Sheet'!C70)/'Data Sheet'!C70</f>
        <v>0</v>
      </c>
      <c r="E35" s="49">
        <f>('Data Sheet'!E70-'Data Sheet'!D70)/'Data Sheet'!D70</f>
        <v>4</v>
      </c>
      <c r="F35" s="49">
        <f>('Data Sheet'!F70-'Data Sheet'!E70)/'Data Sheet'!E70</f>
        <v>0</v>
      </c>
      <c r="G35" s="49">
        <f>('Data Sheet'!G70-'Data Sheet'!F70)/'Data Sheet'!F70</f>
        <v>0</v>
      </c>
      <c r="H35" s="49">
        <f>('Data Sheet'!H70-'Data Sheet'!G70)/'Data Sheet'!G70</f>
        <v>0</v>
      </c>
      <c r="I35" s="49">
        <f>('Data Sheet'!I70-'Data Sheet'!H70)/'Data Sheet'!H70</f>
        <v>0</v>
      </c>
      <c r="J35" s="49">
        <f>('Data Sheet'!J70-'Data Sheet'!I70)/'Data Sheet'!I70</f>
        <v>4.4934427059597958E-2</v>
      </c>
      <c r="K35" s="49">
        <f>('Data Sheet'!K70-'Data Sheet'!J70)/'Data Sheet'!J70</f>
        <v>0</v>
      </c>
    </row>
    <row r="36" spans="1:12" hidden="1">
      <c r="A36" s="48" t="s">
        <v>66</v>
      </c>
      <c r="B36" s="41"/>
      <c r="C36" s="49" t="e">
        <f>('Data Sheet'!C71-'Data Sheet'!B71)/'Data Sheet'!B71</f>
        <v>#DIV/0!</v>
      </c>
      <c r="D36" s="49" t="e">
        <f>('Data Sheet'!D71-'Data Sheet'!C71)/'Data Sheet'!C71</f>
        <v>#DIV/0!</v>
      </c>
      <c r="E36" s="49" t="e">
        <f>('Data Sheet'!E71-'Data Sheet'!D71)/'Data Sheet'!D71</f>
        <v>#DIV/0!</v>
      </c>
      <c r="F36" s="49" t="e">
        <f>('Data Sheet'!F71-'Data Sheet'!E71)/'Data Sheet'!E71</f>
        <v>#DIV/0!</v>
      </c>
      <c r="G36" s="49" t="e">
        <f>('Data Sheet'!G71-'Data Sheet'!F71)/'Data Sheet'!F71</f>
        <v>#DIV/0!</v>
      </c>
      <c r="H36" s="49" t="e">
        <f>('Data Sheet'!H71-'Data Sheet'!G71)/'Data Sheet'!G71</f>
        <v>#DIV/0!</v>
      </c>
      <c r="I36" s="49" t="e">
        <f>('Data Sheet'!I71-'Data Sheet'!H71)/'Data Sheet'!H71</f>
        <v>#DIV/0!</v>
      </c>
      <c r="J36" s="49" t="e">
        <f>('Data Sheet'!J71-'Data Sheet'!I71)/'Data Sheet'!I71</f>
        <v>#DIV/0!</v>
      </c>
      <c r="K36" s="49" t="e">
        <f>('Data Sheet'!K71-'Data Sheet'!J71)/'Data Sheet'!J71</f>
        <v>#DIV/0!</v>
      </c>
    </row>
    <row r="37" spans="1:12" hidden="1">
      <c r="A37" s="48" t="s">
        <v>79</v>
      </c>
      <c r="B37" s="41"/>
      <c r="C37" s="49">
        <f>('Data Sheet'!C72-'Data Sheet'!B72)/'Data Sheet'!B72</f>
        <v>0</v>
      </c>
      <c r="D37" s="49">
        <f>('Data Sheet'!D72-'Data Sheet'!C72)/'Data Sheet'!C72</f>
        <v>0</v>
      </c>
      <c r="E37" s="49">
        <f>('Data Sheet'!E72-'Data Sheet'!D72)/'Data Sheet'!D72</f>
        <v>-0.8</v>
      </c>
      <c r="F37" s="49">
        <f>('Data Sheet'!F72-'Data Sheet'!E72)/'Data Sheet'!E72</f>
        <v>0</v>
      </c>
      <c r="G37" s="49">
        <f>('Data Sheet'!G72-'Data Sheet'!F72)/'Data Sheet'!F72</f>
        <v>0</v>
      </c>
      <c r="H37" s="49">
        <f>('Data Sheet'!H72-'Data Sheet'!G72)/'Data Sheet'!G72</f>
        <v>0</v>
      </c>
      <c r="I37" s="49">
        <f>('Data Sheet'!I72-'Data Sheet'!H72)/'Data Sheet'!H72</f>
        <v>0</v>
      </c>
      <c r="J37" s="49">
        <f>('Data Sheet'!J72-'Data Sheet'!I72)/'Data Sheet'!I72</f>
        <v>0</v>
      </c>
      <c r="K37" s="49">
        <f>('Data Sheet'!K72-'Data Sheet'!J72)/'Data Sheet'!J72</f>
        <v>0</v>
      </c>
    </row>
    <row r="38" spans="1:12" hidden="1">
      <c r="A38" s="48"/>
      <c r="B38" s="41"/>
      <c r="C38" s="49"/>
      <c r="D38" s="49"/>
      <c r="E38" s="49"/>
      <c r="F38" s="49"/>
      <c r="G38" s="49"/>
      <c r="H38" s="49"/>
      <c r="I38" s="49"/>
      <c r="J38" s="49"/>
      <c r="K38" s="49"/>
    </row>
    <row r="39" spans="1:12" hidden="1">
      <c r="A39" s="113" t="s">
        <v>99</v>
      </c>
      <c r="B39" s="41"/>
      <c r="C39" s="49"/>
      <c r="D39" s="49"/>
      <c r="E39" s="49"/>
      <c r="F39" s="49"/>
      <c r="G39" s="49"/>
      <c r="H39" s="49"/>
      <c r="I39" s="49"/>
      <c r="J39" s="49"/>
      <c r="K39" s="49"/>
    </row>
    <row r="40" spans="1:12" hidden="1">
      <c r="A40" s="42" t="s">
        <v>41</v>
      </c>
      <c r="B40" s="41"/>
      <c r="C40" s="49"/>
      <c r="D40" s="49"/>
      <c r="E40" s="49"/>
      <c r="F40" s="49"/>
      <c r="G40" s="49"/>
      <c r="H40" s="49"/>
      <c r="I40" s="49"/>
      <c r="J40" s="49"/>
      <c r="K40" s="49"/>
    </row>
    <row r="41" spans="1:12" hidden="1">
      <c r="A41" s="39" t="s">
        <v>32</v>
      </c>
      <c r="B41" s="41"/>
      <c r="C41" s="49">
        <f>('Data Sheet'!C82-'Data Sheet'!B82)/'Data Sheet'!B82</f>
        <v>6.8589743589743586</v>
      </c>
      <c r="D41" s="49">
        <f>('Data Sheet'!D82-'Data Sheet'!C82)/'Data Sheet'!C82</f>
        <v>1.4208809135399676</v>
      </c>
      <c r="E41" s="49">
        <f>('Data Sheet'!E82-'Data Sheet'!D82)/'Data Sheet'!D82</f>
        <v>-3.066037735849057E-2</v>
      </c>
      <c r="F41" s="49">
        <f>('Data Sheet'!F82-'Data Sheet'!E82)/'Data Sheet'!E82</f>
        <v>8.8286409454292641E-2</v>
      </c>
      <c r="G41" s="49">
        <f>('Data Sheet'!G82-'Data Sheet'!F82)/'Data Sheet'!F82</f>
        <v>-0.36921111465985307</v>
      </c>
      <c r="H41" s="49">
        <f>('Data Sheet'!H82-'Data Sheet'!G82)/'Data Sheet'!G82</f>
        <v>3.6632911392405059</v>
      </c>
      <c r="I41" s="49">
        <f>('Data Sheet'!I82-'Data Sheet'!H82)/'Data Sheet'!H82</f>
        <v>0.42736156351791549</v>
      </c>
      <c r="J41" s="49">
        <f>('Data Sheet'!J82-'Data Sheet'!I82)/'Data Sheet'!I82</f>
        <v>-0.14376996805111825</v>
      </c>
      <c r="K41" s="49">
        <f>('Data Sheet'!K82-'Data Sheet'!J82)/'Data Sheet'!J82</f>
        <v>0.48800639658848621</v>
      </c>
      <c r="L41" s="104"/>
    </row>
    <row r="42" spans="1:12" hidden="1">
      <c r="A42" s="39" t="s">
        <v>33</v>
      </c>
      <c r="B42" s="41"/>
      <c r="C42" s="49">
        <f>('Data Sheet'!C83-'Data Sheet'!B83)/'Data Sheet'!B83</f>
        <v>4.2006079027355625</v>
      </c>
      <c r="D42" s="49">
        <f>('Data Sheet'!D83-'Data Sheet'!C83)/'Data Sheet'!C83</f>
        <v>1.3150204558737582</v>
      </c>
      <c r="E42" s="49">
        <f>('Data Sheet'!E83-'Data Sheet'!D83)/'Data Sheet'!D83</f>
        <v>-0.1209290583186064</v>
      </c>
      <c r="F42" s="49">
        <f>('Data Sheet'!F83-'Data Sheet'!E83)/'Data Sheet'!E83</f>
        <v>0.10597357840321647</v>
      </c>
      <c r="G42" s="49">
        <f>('Data Sheet'!G83-'Data Sheet'!F83)/'Data Sheet'!F83</f>
        <v>0.59049597507141005</v>
      </c>
      <c r="H42" s="49">
        <f>('Data Sheet'!H83-'Data Sheet'!G83)/'Data Sheet'!G83</f>
        <v>0.8380408163265306</v>
      </c>
      <c r="I42" s="49">
        <f>('Data Sheet'!I83-'Data Sheet'!H83)/'Data Sheet'!H83</f>
        <v>-0.91970154556759631</v>
      </c>
      <c r="J42" s="49">
        <f>('Data Sheet'!J83-'Data Sheet'!I83)/'Data Sheet'!I83</f>
        <v>4.9170353982300892</v>
      </c>
      <c r="K42" s="49">
        <f>('Data Sheet'!K83-'Data Sheet'!J83)/'Data Sheet'!J83</f>
        <v>0.34959805571134783</v>
      </c>
    </row>
    <row r="43" spans="1:12" hidden="1">
      <c r="A43" s="39" t="s">
        <v>34</v>
      </c>
      <c r="B43" s="41"/>
      <c r="C43" s="49">
        <f>('Data Sheet'!C84-'Data Sheet'!B84)/'Data Sheet'!B84</f>
        <v>3.3414634146341458</v>
      </c>
      <c r="D43" s="49">
        <f>('Data Sheet'!D84-'Data Sheet'!C84)/'Data Sheet'!C84</f>
        <v>0.95692883895131076</v>
      </c>
      <c r="E43" s="49">
        <f>('Data Sheet'!E84-'Data Sheet'!D84)/'Data Sheet'!D84</f>
        <v>-0.43062200956937796</v>
      </c>
      <c r="F43" s="49">
        <f>('Data Sheet'!F84-'Data Sheet'!E84)/'Data Sheet'!E84</f>
        <v>0.23529411764705874</v>
      </c>
      <c r="G43" s="49">
        <f>('Data Sheet'!G84-'Data Sheet'!F84)/'Data Sheet'!F84</f>
        <v>8.7292517006802743</v>
      </c>
      <c r="H43" s="49">
        <f>('Data Sheet'!H84-'Data Sheet'!G84)/'Data Sheet'!G84</f>
        <v>-0.68815550272689141</v>
      </c>
      <c r="I43" s="49">
        <f>('Data Sheet'!I84-'Data Sheet'!H84)/'Data Sheet'!H84</f>
        <v>-6.0892376681614344</v>
      </c>
      <c r="J43" s="49">
        <f>('Data Sheet'!J84-'Data Sheet'!I84)/'Data Sheet'!I84</f>
        <v>-0.34240902282139396</v>
      </c>
      <c r="K43" s="49">
        <f>('Data Sheet'!K84-'Data Sheet'!J84)/'Data Sheet'!J84</f>
        <v>-0.32708026262896955</v>
      </c>
    </row>
    <row r="44" spans="1:12" hidden="1">
      <c r="A44" s="39" t="s">
        <v>35</v>
      </c>
      <c r="B44" s="41"/>
      <c r="C44" s="49">
        <f>('Data Sheet'!C85-'Data Sheet'!B85)/'Data Sheet'!B85</f>
        <v>-1.98</v>
      </c>
      <c r="D44" s="49">
        <f>('Data Sheet'!D85-'Data Sheet'!C85)/'Data Sheet'!C85</f>
        <v>6.1224489795918421E-2</v>
      </c>
      <c r="E44" s="49">
        <f>('Data Sheet'!E85-'Data Sheet'!D85)/'Data Sheet'!D85</f>
        <v>-1.1923076923076923</v>
      </c>
      <c r="F44" s="49">
        <f>('Data Sheet'!F85-'Data Sheet'!E85)/'Data Sheet'!E85</f>
        <v>-2.5</v>
      </c>
      <c r="G44" s="49">
        <f>('Data Sheet'!G85-'Data Sheet'!F85)/'Data Sheet'!F85</f>
        <v>199.06666666666669</v>
      </c>
      <c r="H44" s="49">
        <f>('Data Sheet'!H85-'Data Sheet'!G85)/'Data Sheet'!G85</f>
        <v>-0.93935354881706101</v>
      </c>
      <c r="I44" s="49">
        <f>('Data Sheet'!I85-'Data Sheet'!H85)/'Data Sheet'!H85</f>
        <v>3.906593406593406</v>
      </c>
      <c r="J44" s="49">
        <f>('Data Sheet'!J85-'Data Sheet'!I85)/'Data Sheet'!I85</f>
        <v>-2.7424412094064952</v>
      </c>
      <c r="K44" s="49">
        <f>('Data Sheet'!K85-'Data Sheet'!J85)/'Data Sheet'!J85</f>
        <v>-3.8978149100257071</v>
      </c>
    </row>
    <row r="45" spans="1:12" hidden="1">
      <c r="A45" s="39"/>
      <c r="B45" s="41"/>
      <c r="C45" s="49"/>
      <c r="D45" s="49"/>
      <c r="E45" s="49"/>
      <c r="F45" s="49"/>
      <c r="G45" s="49"/>
      <c r="H45" s="49"/>
      <c r="I45" s="49"/>
      <c r="J45" s="49"/>
      <c r="K45" s="49"/>
    </row>
    <row r="46" spans="1:12" hidden="1">
      <c r="A46" s="42" t="s">
        <v>68</v>
      </c>
      <c r="B46" s="41"/>
      <c r="C46" s="49">
        <f>('Data Sheet'!C90-'Data Sheet'!B90)/'Data Sheet'!B90</f>
        <v>2.2044088176352705</v>
      </c>
      <c r="D46" s="49">
        <f>('Data Sheet'!D90-'Data Sheet'!C90)/'Data Sheet'!C90</f>
        <v>-1.25078173858659E-3</v>
      </c>
      <c r="E46" s="49">
        <f>('Data Sheet'!E90-'Data Sheet'!D90)/'Data Sheet'!D90</f>
        <v>3.8209142141515335</v>
      </c>
      <c r="F46" s="49">
        <f>('Data Sheet'!F90-'Data Sheet'!E90)/'Data Sheet'!E90</f>
        <v>-3.4160280555916293E-2</v>
      </c>
      <c r="G46" s="49">
        <f>('Data Sheet'!G90-'Data Sheet'!F90)/'Data Sheet'!F90</f>
        <v>0.18881118881118888</v>
      </c>
      <c r="H46" s="49">
        <f>('Data Sheet'!H90-'Data Sheet'!G90)/'Data Sheet'!G90</f>
        <v>0.15158371040723972</v>
      </c>
      <c r="I46" s="49">
        <f>('Data Sheet'!I90-'Data Sheet'!H90)/'Data Sheet'!H90</f>
        <v>1.6877210216110021</v>
      </c>
      <c r="J46" s="49">
        <f>('Data Sheet'!J90-'Data Sheet'!I90)/'Data Sheet'!I90</f>
        <v>1.2198384561967763</v>
      </c>
      <c r="K46" s="49">
        <f>('Data Sheet'!K90-'Data Sheet'!J90)/'Data Sheet'!J90</f>
        <v>-0.29948795627047758</v>
      </c>
    </row>
    <row r="47" spans="1:12" hidden="1">
      <c r="A47" s="42" t="s">
        <v>67</v>
      </c>
      <c r="B47" s="41"/>
      <c r="C47" s="49"/>
      <c r="D47" s="49"/>
      <c r="E47" s="49"/>
      <c r="F47" s="49"/>
      <c r="G47" s="49"/>
      <c r="H47" s="49"/>
      <c r="I47" s="49"/>
      <c r="J47" s="49"/>
      <c r="K47" s="49"/>
    </row>
    <row r="48" spans="1:12" hidden="1">
      <c r="A48" s="48" t="s">
        <v>80</v>
      </c>
      <c r="B48" s="41"/>
      <c r="C48" s="49">
        <f>('Data Sheet'!C93-'Data Sheet'!B93)/'Data Sheet'!B93</f>
        <v>0.49999999999999989</v>
      </c>
      <c r="D48" s="49">
        <f>('Data Sheet'!D93-'Data Sheet'!C93)/'Data Sheet'!C93</f>
        <v>0</v>
      </c>
      <c r="E48" s="49">
        <f>('Data Sheet'!E93-'Data Sheet'!D93)/'Data Sheet'!D93</f>
        <v>0</v>
      </c>
      <c r="F48" s="49">
        <f>('Data Sheet'!F93-'Data Sheet'!E93)/'Data Sheet'!E93</f>
        <v>0</v>
      </c>
      <c r="G48" s="49">
        <f>('Data Sheet'!G93-'Data Sheet'!F93)/'Data Sheet'!F93</f>
        <v>0</v>
      </c>
      <c r="H48" s="49">
        <f>('Data Sheet'!H93-'Data Sheet'!G93)/'Data Sheet'!G93</f>
        <v>0</v>
      </c>
      <c r="I48" s="49">
        <f>('Data Sheet'!I93-'Data Sheet'!H93)/'Data Sheet'!H93</f>
        <v>0</v>
      </c>
      <c r="J48" s="49">
        <f>('Data Sheet'!J93-'Data Sheet'!I93)/'Data Sheet'!I93</f>
        <v>4.4934427059598096E-2</v>
      </c>
      <c r="K48" s="49">
        <f>('Data Sheet'!K93-'Data Sheet'!J93)/'Data Sheet'!J93</f>
        <v>0</v>
      </c>
    </row>
    <row r="49" spans="1:12" hidden="1">
      <c r="A49" s="48"/>
      <c r="B49" s="40"/>
      <c r="C49" s="43"/>
      <c r="D49" s="40"/>
      <c r="E49" s="40"/>
      <c r="F49" s="40"/>
      <c r="G49" s="40"/>
      <c r="H49" s="40"/>
      <c r="I49" s="40"/>
      <c r="J49" s="40"/>
      <c r="K49" s="40"/>
    </row>
    <row r="50" spans="1:12" hidden="1">
      <c r="A50" s="50" t="s">
        <v>142</v>
      </c>
      <c r="B50" s="40"/>
      <c r="C50" s="43"/>
      <c r="D50" s="40"/>
      <c r="E50" s="40"/>
      <c r="F50" s="40"/>
      <c r="G50" s="40"/>
      <c r="H50" s="40"/>
      <c r="I50" s="40"/>
      <c r="J50" s="40"/>
      <c r="K50" s="40"/>
    </row>
    <row r="51" spans="1:12" hidden="1">
      <c r="A51" s="39" t="s">
        <v>6</v>
      </c>
      <c r="B51" s="41">
        <f>'Data Sheet'!B17/'Data Sheet'!B17</f>
        <v>1</v>
      </c>
      <c r="C51" s="41">
        <f>'Data Sheet'!C17/'Data Sheet'!C17</f>
        <v>1</v>
      </c>
      <c r="D51" s="41">
        <f>'Data Sheet'!D17/'Data Sheet'!D17</f>
        <v>1</v>
      </c>
      <c r="E51" s="41">
        <f>'Data Sheet'!E17/'Data Sheet'!E17</f>
        <v>1</v>
      </c>
      <c r="F51" s="41">
        <f>'Data Sheet'!F17/'Data Sheet'!F17</f>
        <v>1</v>
      </c>
      <c r="G51" s="41">
        <f>'Data Sheet'!G17/'Data Sheet'!G17</f>
        <v>1</v>
      </c>
      <c r="H51" s="41">
        <f>'Data Sheet'!H17/'Data Sheet'!H17</f>
        <v>1</v>
      </c>
      <c r="I51" s="41">
        <f>'Data Sheet'!I17/'Data Sheet'!I17</f>
        <v>1</v>
      </c>
      <c r="J51" s="41">
        <f>'Data Sheet'!J17/'Data Sheet'!J17</f>
        <v>1</v>
      </c>
      <c r="K51" s="41">
        <f>'Data Sheet'!K17/'Data Sheet'!K17</f>
        <v>1</v>
      </c>
      <c r="L51" s="29"/>
    </row>
    <row r="52" spans="1:12" hidden="1">
      <c r="A52" s="47" t="s">
        <v>71</v>
      </c>
      <c r="B52" s="45">
        <f>'Data Sheet'!B18/'Data Sheet'!B17</f>
        <v>0.6658135283363803</v>
      </c>
      <c r="C52" s="45">
        <f>'Data Sheet'!C18/'Data Sheet'!C17</f>
        <v>0.65762318048247115</v>
      </c>
      <c r="D52" s="45">
        <f>'Data Sheet'!D18/'Data Sheet'!D17</f>
        <v>0.63700787401574799</v>
      </c>
      <c r="E52" s="45">
        <f>'Data Sheet'!E18/'Data Sheet'!E17</f>
        <v>0.59431279620853084</v>
      </c>
      <c r="F52" s="45">
        <f>'Data Sheet'!F18/'Data Sheet'!F17</f>
        <v>0.58214783821478389</v>
      </c>
      <c r="G52" s="45">
        <f>'Data Sheet'!G18/'Data Sheet'!G17</f>
        <v>0.61192061860278013</v>
      </c>
      <c r="H52" s="45">
        <f>'Data Sheet'!H18/'Data Sheet'!H17</f>
        <v>0.61471258546467467</v>
      </c>
      <c r="I52" s="45">
        <f>'Data Sheet'!I18/'Data Sheet'!I17</f>
        <v>0.60040509674917042</v>
      </c>
      <c r="J52" s="45">
        <f>'Data Sheet'!J18/'Data Sheet'!J17</f>
        <v>0.59073769323468051</v>
      </c>
      <c r="K52" s="45">
        <f>'Data Sheet'!K18/'Data Sheet'!K17</f>
        <v>0.46843648466597987</v>
      </c>
      <c r="L52" s="29"/>
    </row>
    <row r="53" spans="1:12" hidden="1">
      <c r="A53" s="48" t="s">
        <v>72</v>
      </c>
      <c r="B53" s="41">
        <f>'Data Sheet'!B19/'Data Sheet'!B17</f>
        <v>-6.3375990249847662E-3</v>
      </c>
      <c r="C53" s="41">
        <f>'Data Sheet'!C19/'Data Sheet'!C17</f>
        <v>1.2779334381193193E-2</v>
      </c>
      <c r="D53" s="41">
        <f>'Data Sheet'!D19/'Data Sheet'!D17</f>
        <v>-2.9921259842519681E-3</v>
      </c>
      <c r="E53" s="41">
        <f>'Data Sheet'!E19/'Data Sheet'!E17</f>
        <v>2.2016372253339078E-2</v>
      </c>
      <c r="F53" s="41">
        <f>'Data Sheet'!F19/'Data Sheet'!F17</f>
        <v>1.3699054703238804E-2</v>
      </c>
      <c r="G53" s="41">
        <f>'Data Sheet'!G19/'Data Sheet'!G17</f>
        <v>1.3721896929334466E-2</v>
      </c>
      <c r="H53" s="41">
        <f>'Data Sheet'!H19/'Data Sheet'!H17</f>
        <v>8.5555113410266618E-3</v>
      </c>
      <c r="I53" s="41">
        <f>'Data Sheet'!I19/'Data Sheet'!I17</f>
        <v>-1.2210363006909628E-3</v>
      </c>
      <c r="J53" s="41">
        <f>'Data Sheet'!J19/'Data Sheet'!J17</f>
        <v>-8.4226348593419978E-4</v>
      </c>
      <c r="K53" s="41">
        <f>'Data Sheet'!K19/'Data Sheet'!K17</f>
        <v>-1.1886837308820032E-3</v>
      </c>
      <c r="L53" s="29"/>
    </row>
    <row r="54" spans="1:12" hidden="1">
      <c r="A54" s="48" t="s">
        <v>73</v>
      </c>
      <c r="B54" s="41">
        <f>'Data Sheet'!B20/'Data Sheet'!B17</f>
        <v>3.9122486288848263E-2</v>
      </c>
      <c r="C54" s="41">
        <f>'Data Sheet'!C20/'Data Sheet'!C17</f>
        <v>3.6766213353379346E-2</v>
      </c>
      <c r="D54" s="41">
        <f>'Data Sheet'!D20/'Data Sheet'!D17</f>
        <v>3.9895013123359579E-2</v>
      </c>
      <c r="E54" s="41">
        <f>'Data Sheet'!E20/'Data Sheet'!E17</f>
        <v>5.1744937526928048E-2</v>
      </c>
      <c r="F54" s="41">
        <f>'Data Sheet'!F20/'Data Sheet'!F17</f>
        <v>6.1893692856035951E-2</v>
      </c>
      <c r="G54" s="41">
        <f>'Data Sheet'!G20/'Data Sheet'!G17</f>
        <v>5.6005006034058911E-2</v>
      </c>
      <c r="H54" s="41">
        <f>'Data Sheet'!H20/'Data Sheet'!H17</f>
        <v>5.5855008501248055E-2</v>
      </c>
      <c r="I54" s="41">
        <f>'Data Sheet'!I20/'Data Sheet'!I17</f>
        <v>5.1829399681094047E-2</v>
      </c>
      <c r="J54" s="41">
        <f>'Data Sheet'!J20/'Data Sheet'!J17</f>
        <v>4.0597100022028425E-2</v>
      </c>
      <c r="K54" s="41">
        <f>'Data Sheet'!K20/'Data Sheet'!K17</f>
        <v>4.9639432601632456E-2</v>
      </c>
      <c r="L54" s="29"/>
    </row>
    <row r="55" spans="1:12" hidden="1">
      <c r="A55" s="48" t="s">
        <v>74</v>
      </c>
      <c r="B55" s="41">
        <f>'Data Sheet'!B21/'Data Sheet'!B17</f>
        <v>4.1194393662400977E-2</v>
      </c>
      <c r="C55" s="41">
        <f>'Data Sheet'!C21/'Data Sheet'!C17</f>
        <v>2.5353652702795049E-2</v>
      </c>
      <c r="D55" s="41">
        <f>'Data Sheet'!D21/'Data Sheet'!D17</f>
        <v>2.5984251968503937E-2</v>
      </c>
      <c r="E55" s="41">
        <f>'Data Sheet'!E21/'Data Sheet'!E17</f>
        <v>3.9853511417492458E-2</v>
      </c>
      <c r="F55" s="41">
        <f>'Data Sheet'!F21/'Data Sheet'!F17</f>
        <v>4.5963117929645129E-2</v>
      </c>
      <c r="G55" s="41">
        <f>'Data Sheet'!G21/'Data Sheet'!G17</f>
        <v>3.9981227372279091E-2</v>
      </c>
      <c r="H55" s="41">
        <f>'Data Sheet'!H21/'Data Sheet'!H17</f>
        <v>2.9211735339869042E-2</v>
      </c>
      <c r="I55" s="41">
        <f>'Data Sheet'!I21/'Data Sheet'!I17</f>
        <v>3.2249723471190726E-2</v>
      </c>
      <c r="J55" s="41">
        <f>'Data Sheet'!J21/'Data Sheet'!J17</f>
        <v>3.5128866313347933E-2</v>
      </c>
      <c r="K55" s="41">
        <f>'Data Sheet'!K21/'Data Sheet'!K17</f>
        <v>5.2682462952690384E-2</v>
      </c>
      <c r="L55" s="29"/>
    </row>
    <row r="56" spans="1:12" hidden="1">
      <c r="A56" s="48" t="s">
        <v>75</v>
      </c>
      <c r="B56" s="41">
        <f>'Data Sheet'!B22/'Data Sheet'!B17</f>
        <v>6.1669713589274831E-2</v>
      </c>
      <c r="C56" s="41">
        <f>'Data Sheet'!C22/'Data Sheet'!C17</f>
        <v>4.2369985648875827E-2</v>
      </c>
      <c r="D56" s="41">
        <f>'Data Sheet'!D22/'Data Sheet'!D17</f>
        <v>4.6404199475065619E-2</v>
      </c>
      <c r="E56" s="41">
        <f>'Data Sheet'!E22/'Data Sheet'!E17</f>
        <v>4.950452391210685E-2</v>
      </c>
      <c r="F56" s="41">
        <f>'Data Sheet'!F22/'Data Sheet'!F17</f>
        <v>4.6087091275375795E-2</v>
      </c>
      <c r="G56" s="41">
        <f>'Data Sheet'!G22/'Data Sheet'!G17</f>
        <v>4.0942207124659187E-2</v>
      </c>
      <c r="H56" s="41">
        <f>'Data Sheet'!H22/'Data Sheet'!H17</f>
        <v>4.0860253952175955E-2</v>
      </c>
      <c r="I56" s="41">
        <f>'Data Sheet'!I22/'Data Sheet'!I17</f>
        <v>3.9403559679944834E-2</v>
      </c>
      <c r="J56" s="41">
        <f>'Data Sheet'!J22/'Data Sheet'!J17</f>
        <v>4.1335700309693801E-2</v>
      </c>
      <c r="K56" s="41">
        <f>'Data Sheet'!K22/'Data Sheet'!K17</f>
        <v>5.6882478801806795E-2</v>
      </c>
      <c r="L56" s="29"/>
    </row>
    <row r="57" spans="1:12" hidden="1">
      <c r="A57" s="47" t="s">
        <v>76</v>
      </c>
      <c r="B57" s="45">
        <f>'Data Sheet'!B23/'Data Sheet'!B17</f>
        <v>5.850091407678245E-2</v>
      </c>
      <c r="C57" s="45">
        <f>'Data Sheet'!C23/'Data Sheet'!C17</f>
        <v>5.590104558190391E-2</v>
      </c>
      <c r="D57" s="45">
        <f>'Data Sheet'!D23/'Data Sheet'!D17</f>
        <v>5.748031496062992E-2</v>
      </c>
      <c r="E57" s="45">
        <f>'Data Sheet'!E23/'Data Sheet'!E17</f>
        <v>4.6186988367083161E-2</v>
      </c>
      <c r="F57" s="45">
        <f>'Data Sheet'!F23/'Data Sheet'!F17</f>
        <v>4.8132651479931815E-2</v>
      </c>
      <c r="G57" s="45">
        <f>'Data Sheet'!G23/'Data Sheet'!G17</f>
        <v>3.8796763956554778E-2</v>
      </c>
      <c r="H57" s="45">
        <f>'Data Sheet'!H23/'Data Sheet'!H17</f>
        <v>4.1439062330427233E-2</v>
      </c>
      <c r="I57" s="45">
        <f>'Data Sheet'!I23/'Data Sheet'!I17</f>
        <v>3.7622283194230964E-2</v>
      </c>
      <c r="J57" s="45">
        <f>'Data Sheet'!J23/'Data Sheet'!J17</f>
        <v>3.0386274992549207E-2</v>
      </c>
      <c r="K57" s="45">
        <f>'Data Sheet'!K23/'Data Sheet'!K17</f>
        <v>2.6547269989698072E-2</v>
      </c>
      <c r="L57" s="29"/>
    </row>
    <row r="58" spans="1:12" hidden="1">
      <c r="A58" s="48" t="s">
        <v>77</v>
      </c>
      <c r="B58" s="41">
        <f>'Data Sheet'!B24/'Data Sheet'!B17</f>
        <v>2.5959780621572212E-2</v>
      </c>
      <c r="C58" s="41">
        <f>'Data Sheet'!C24/'Data Sheet'!C17</f>
        <v>2.1800041003211916E-2</v>
      </c>
      <c r="D58" s="41">
        <f>'Data Sheet'!D24/'Data Sheet'!D17</f>
        <v>1.6482939632545931E-2</v>
      </c>
      <c r="E58" s="41">
        <f>'Data Sheet'!E24/'Data Sheet'!E17</f>
        <v>1.3399396811719087E-2</v>
      </c>
      <c r="F58" s="41">
        <f>'Data Sheet'!F24/'Data Sheet'!F17</f>
        <v>1.3389121338912137E-2</v>
      </c>
      <c r="G58" s="41">
        <f>'Data Sheet'!G24/'Data Sheet'!G17</f>
        <v>1.3788942028337728E-2</v>
      </c>
      <c r="H58" s="41">
        <f>'Data Sheet'!H24/'Data Sheet'!H17</f>
        <v>6.2402778280215608E-3</v>
      </c>
      <c r="I58" s="41">
        <f>'Data Sheet'!I24/'Data Sheet'!I17</f>
        <v>1.7669113527645698E-2</v>
      </c>
      <c r="J58" s="41">
        <f>'Data Sheet'!J24/'Data Sheet'!J17</f>
        <v>1.2465499591826155E-2</v>
      </c>
      <c r="K58" s="41">
        <f>'Data Sheet'!K24/'Data Sheet'!K17</f>
        <v>1.6911007211347966E-2</v>
      </c>
      <c r="L58" s="29"/>
    </row>
    <row r="59" spans="1:12" hidden="1">
      <c r="A59" s="39" t="s">
        <v>9</v>
      </c>
      <c r="B59" s="41">
        <f>'Data Sheet'!B25/'Data Sheet'!B17</f>
        <v>2.3034734917733089E-2</v>
      </c>
      <c r="C59" s="41">
        <f>'Data Sheet'!C25/'Data Sheet'!C17</f>
        <v>2.7540490671769287E-2</v>
      </c>
      <c r="D59" s="41">
        <f>'Data Sheet'!D25/'Data Sheet'!D17</f>
        <v>2.7926509186351707E-2</v>
      </c>
      <c r="E59" s="41">
        <f>'Data Sheet'!E25/'Data Sheet'!E17</f>
        <v>3.6406721240844458E-2</v>
      </c>
      <c r="F59" s="41">
        <f>'Data Sheet'!F25/'Data Sheet'!F17</f>
        <v>1.968076863474353E-2</v>
      </c>
      <c r="G59" s="41">
        <f>'Data Sheet'!G25/'Data Sheet'!G17</f>
        <v>6.3245876726411307E-3</v>
      </c>
      <c r="H59" s="41">
        <f>'Data Sheet'!H25/'Data Sheet'!H17</f>
        <v>6.8009984444524826E-3</v>
      </c>
      <c r="I59" s="41">
        <f>'Data Sheet'!I25/'Data Sheet'!I17</f>
        <v>1.3172826914513094E-2</v>
      </c>
      <c r="J59" s="41">
        <f>'Data Sheet'!J25/'Data Sheet'!J17</f>
        <v>1.184352040221321E-2</v>
      </c>
      <c r="K59" s="41">
        <f>'Data Sheet'!K25/'Data Sheet'!K17</f>
        <v>9.7630557096441868E-3</v>
      </c>
      <c r="L59" s="29"/>
    </row>
    <row r="60" spans="1:12" hidden="1">
      <c r="A60" s="39" t="s">
        <v>10</v>
      </c>
      <c r="B60" s="41">
        <f>'Data Sheet'!B26/'Data Sheet'!B17</f>
        <v>3.3028641072516761E-2</v>
      </c>
      <c r="C60" s="41">
        <f>'Data Sheet'!C26/'Data Sheet'!C17</f>
        <v>2.002323515342035E-2</v>
      </c>
      <c r="D60" s="41">
        <f>'Data Sheet'!D26/'Data Sheet'!D17</f>
        <v>1.7060367454068241E-2</v>
      </c>
      <c r="E60" s="41">
        <f>'Data Sheet'!E26/'Data Sheet'!E17</f>
        <v>2.1240844463593277E-2</v>
      </c>
      <c r="F60" s="41">
        <f>'Data Sheet'!F26/'Data Sheet'!F17</f>
        <v>1.9990701999070201E-2</v>
      </c>
      <c r="G60" s="41">
        <f>'Data Sheet'!G26/'Data Sheet'!G17</f>
        <v>1.5710901533097933E-2</v>
      </c>
      <c r="H60" s="41">
        <f>'Data Sheet'!H26/'Data Sheet'!H17</f>
        <v>1.7997323011250586E-2</v>
      </c>
      <c r="I60" s="41">
        <f>'Data Sheet'!I26/'Data Sheet'!I17</f>
        <v>2.2007383678335945E-2</v>
      </c>
      <c r="J60" s="41">
        <f>'Data Sheet'!J26/'Data Sheet'!J17</f>
        <v>2.2883651017843027E-2</v>
      </c>
      <c r="K60" s="41">
        <f>'Data Sheet'!K26/'Data Sheet'!K17</f>
        <v>2.9352563594579599E-2</v>
      </c>
      <c r="L60" s="29"/>
    </row>
    <row r="61" spans="1:12" hidden="1">
      <c r="A61" s="39" t="s">
        <v>11</v>
      </c>
      <c r="B61" s="41">
        <f>'Data Sheet'!B27/'Data Sheet'!B17</f>
        <v>2.4009750152346132E-2</v>
      </c>
      <c r="C61" s="41">
        <f>'Data Sheet'!C27/'Data Sheet'!C17</f>
        <v>2.2278411808925029E-2</v>
      </c>
      <c r="D61" s="41">
        <f>'Data Sheet'!D27/'Data Sheet'!D17</f>
        <v>1.727034120734908E-2</v>
      </c>
      <c r="E61" s="41">
        <f>'Data Sheet'!E27/'Data Sheet'!E17</f>
        <v>1.9043515725980183E-2</v>
      </c>
      <c r="F61" s="41">
        <f>'Data Sheet'!F27/'Data Sheet'!F17</f>
        <v>2.2067255540058891E-2</v>
      </c>
      <c r="G61" s="41">
        <f>'Data Sheet'!G27/'Data Sheet'!G17</f>
        <v>2.0538148661332856E-2</v>
      </c>
      <c r="H61" s="41">
        <f>'Data Sheet'!H27/'Data Sheet'!H17</f>
        <v>2.0873277140686611E-2</v>
      </c>
      <c r="I61" s="41">
        <f>'Data Sheet'!I27/'Data Sheet'!I17</f>
        <v>2.6072716302989383E-2</v>
      </c>
      <c r="J61" s="41">
        <f>'Data Sheet'!J27/'Data Sheet'!J17</f>
        <v>1.2646910188796599E-2</v>
      </c>
      <c r="K61" s="41">
        <f>'Data Sheet'!K27/'Data Sheet'!K17</f>
        <v>1.2457405499643394E-2</v>
      </c>
      <c r="L61" s="29"/>
    </row>
    <row r="62" spans="1:12" hidden="1">
      <c r="A62" s="39" t="s">
        <v>12</v>
      </c>
      <c r="B62" s="41">
        <f>'Data Sheet'!B28/'Data Sheet'!B17</f>
        <v>6.7397928092626458E-2</v>
      </c>
      <c r="C62" s="41">
        <f>'Data Sheet'!C28/'Data Sheet'!C17</f>
        <v>0.15820405931797987</v>
      </c>
      <c r="D62" s="41">
        <f>'Data Sheet'!D28/'Data Sheet'!D17</f>
        <v>0.1673490813648294</v>
      </c>
      <c r="E62" s="41">
        <f>'Data Sheet'!E28/'Data Sheet'!E17</f>
        <v>0.22313657906074968</v>
      </c>
      <c r="F62" s="41">
        <f>'Data Sheet'!F28/'Data Sheet'!F17</f>
        <v>0.19370835270416861</v>
      </c>
      <c r="G62" s="41">
        <f>'Data Sheet'!G28/'Data Sheet'!G17</f>
        <v>0.18236266928887498</v>
      </c>
      <c r="H62" s="41">
        <f>'Data Sheet'!H28/'Data Sheet'!H17</f>
        <v>0.18559852403863544</v>
      </c>
      <c r="I62" s="41">
        <f>'Data Sheet'!I28/'Data Sheet'!I17</f>
        <v>0.18472124459511874</v>
      </c>
      <c r="J62" s="41">
        <f>'Data Sheet'!J28/'Data Sheet'!J17</f>
        <v>0.22481956124551333</v>
      </c>
      <c r="K62" s="41">
        <f>'Data Sheet'!K28/'Data Sheet'!K17</f>
        <v>0.29568111577779538</v>
      </c>
      <c r="L62" s="29"/>
    </row>
    <row r="63" spans="1:12" hidden="1">
      <c r="A63" s="39" t="s">
        <v>13</v>
      </c>
      <c r="B63" s="41">
        <f>'Data Sheet'!B29/'Data Sheet'!B17</f>
        <v>2.4619134673979283E-2</v>
      </c>
      <c r="C63" s="41">
        <f>'Data Sheet'!C29/'Data Sheet'!C17</f>
        <v>5.4329255791703682E-2</v>
      </c>
      <c r="D63" s="41">
        <f>'Data Sheet'!D29/'Data Sheet'!D17</f>
        <v>3.5433070866141732E-2</v>
      </c>
      <c r="E63" s="41">
        <f>'Data Sheet'!E29/'Data Sheet'!E17</f>
        <v>5.0624730719517452E-2</v>
      </c>
      <c r="F63" s="41">
        <f>'Data Sheet'!F29/'Data Sheet'!F17</f>
        <v>3.2635983263598324E-2</v>
      </c>
      <c r="G63" s="41">
        <f>'Data Sheet'!G29/'Data Sheet'!G17</f>
        <v>5.9871273409913738E-2</v>
      </c>
      <c r="H63" s="41">
        <f>'Data Sheet'!H29/'Data Sheet'!H17</f>
        <v>6.1389863618275871E-2</v>
      </c>
      <c r="I63" s="41">
        <f>'Data Sheet'!I29/'Data Sheet'!I17</f>
        <v>6.0951259103903005E-2</v>
      </c>
      <c r="J63" s="41">
        <f>'Data Sheet'!J29/'Data Sheet'!J17</f>
        <v>7.4767081751389741E-2</v>
      </c>
      <c r="K63" s="41">
        <f>'Data Sheet'!K29/'Data Sheet'!K17</f>
        <v>8.7154291148268476E-2</v>
      </c>
      <c r="L63" s="29"/>
    </row>
    <row r="64" spans="1:12" hidden="1">
      <c r="A64" s="44" t="s">
        <v>14</v>
      </c>
      <c r="B64" s="45">
        <f>'Data Sheet'!B30/'Data Sheet'!B17</f>
        <v>4.2778793418647168E-2</v>
      </c>
      <c r="C64" s="45">
        <f>'Data Sheet'!C30/'Data Sheet'!C17</f>
        <v>0.1038748035262762</v>
      </c>
      <c r="D64" s="45">
        <f>'Data Sheet'!D30/'Data Sheet'!D17</f>
        <v>0.13191601049868765</v>
      </c>
      <c r="E64" s="45">
        <f>'Data Sheet'!E30/'Data Sheet'!E17</f>
        <v>0.17251184834123223</v>
      </c>
      <c r="F64" s="45">
        <f>'Data Sheet'!F30/'Data Sheet'!F17</f>
        <v>0.1610723694405703</v>
      </c>
      <c r="G64" s="45">
        <f>'Data Sheet'!G30/'Data Sheet'!G17</f>
        <v>0.12249139587896125</v>
      </c>
      <c r="H64" s="45">
        <f>'Data Sheet'!H30/'Data Sheet'!H17</f>
        <v>0.12419057265853922</v>
      </c>
      <c r="I64" s="45">
        <f>'Data Sheet'!I30/'Data Sheet'!I17</f>
        <v>0.12375562035826643</v>
      </c>
      <c r="J64" s="45">
        <f>'Data Sheet'!J30/'Data Sheet'!J17</f>
        <v>0.15003952159434</v>
      </c>
      <c r="K64" s="45">
        <f>'Data Sheet'!K30/'Data Sheet'!K17</f>
        <v>0.20852682462952687</v>
      </c>
      <c r="L64" s="29"/>
    </row>
    <row r="65" spans="1:12" hidden="1">
      <c r="A65" s="39" t="s">
        <v>61</v>
      </c>
      <c r="B65" s="41">
        <f>'Data Sheet'!B31/'Data Sheet'!B17</f>
        <v>9.6282754418037797E-3</v>
      </c>
      <c r="C65" s="41">
        <f>'Data Sheet'!C31/'Data Sheet'!C17</f>
        <v>1.346272124649764E-2</v>
      </c>
      <c r="D65" s="41">
        <f>'Data Sheet'!D31/'Data Sheet'!D17</f>
        <v>1.2965879265091865E-2</v>
      </c>
      <c r="E65" s="41">
        <f>'Data Sheet'!E31/'Data Sheet'!E17</f>
        <v>2.128392934080138E-2</v>
      </c>
      <c r="F65" s="41">
        <f>'Data Sheet'!F31/'Data Sheet'!F17</f>
        <v>1.9897721989772202E-2</v>
      </c>
      <c r="G65" s="41">
        <f>'Data Sheet'!G31/'Data Sheet'!G17</f>
        <v>2.2080185938407906E-2</v>
      </c>
      <c r="H65" s="41">
        <f>'Data Sheet'!H31/'Data Sheet'!H17</f>
        <v>2.2320298086314798E-2</v>
      </c>
      <c r="I65" s="41">
        <f>'Data Sheet'!I31/'Data Sheet'!I17</f>
        <v>2.1274761897921365E-2</v>
      </c>
      <c r="J65" s="41">
        <f>'Data Sheet'!J31/'Data Sheet'!J17</f>
        <v>2.340196700918715E-2</v>
      </c>
      <c r="K65" s="41">
        <f>'Data Sheet'!K31/'Data Sheet'!K17</f>
        <v>3.271257627387273E-2</v>
      </c>
      <c r="L65" s="29"/>
    </row>
    <row r="66" spans="1:12" hidden="1">
      <c r="A66" s="3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29"/>
    </row>
    <row r="67" spans="1:12">
      <c r="A67" s="113" t="s">
        <v>250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29"/>
    </row>
    <row r="68" spans="1:12" hidden="1">
      <c r="A68" s="39" t="s">
        <v>24</v>
      </c>
      <c r="B68" s="41">
        <f>'Data Sheet'!B57/'Data Sheet'!B61</f>
        <v>9.1123113142224071E-2</v>
      </c>
      <c r="C68" s="41">
        <f>'Data Sheet'!C57/'Data Sheet'!C61</f>
        <v>0.10060136581388238</v>
      </c>
      <c r="D68" s="41">
        <f>'Data Sheet'!D57/'Data Sheet'!D61</f>
        <v>7.1740078499781937E-2</v>
      </c>
      <c r="E68" s="41">
        <f>'Data Sheet'!E57/'Data Sheet'!E61</f>
        <v>5.3264975715056659E-2</v>
      </c>
      <c r="F68" s="41">
        <f>'Data Sheet'!F57/'Data Sheet'!F61</f>
        <v>3.8230623232753606E-2</v>
      </c>
      <c r="G68" s="41">
        <f>'Data Sheet'!G57/'Data Sheet'!G61</f>
        <v>2.4381206462131315E-2</v>
      </c>
      <c r="H68" s="41">
        <f>'Data Sheet'!H57/'Data Sheet'!H61</f>
        <v>1.8089181313344208E-2</v>
      </c>
      <c r="I68" s="41">
        <f>'Data Sheet'!I57/'Data Sheet'!I61</f>
        <v>1.7861667088928296E-2</v>
      </c>
      <c r="J68" s="41">
        <f>'Data Sheet'!J57/'Data Sheet'!J61</f>
        <v>1.7208317353387469E-2</v>
      </c>
      <c r="K68" s="41">
        <f>'Data Sheet'!K57/'Data Sheet'!K61</f>
        <v>1.5010472422620434E-2</v>
      </c>
      <c r="L68" s="29"/>
    </row>
    <row r="69" spans="1:12" hidden="1">
      <c r="A69" s="39" t="s">
        <v>25</v>
      </c>
      <c r="B69" s="41">
        <f>'Data Sheet'!B58/'Data Sheet'!B61</f>
        <v>0.3229469602548124</v>
      </c>
      <c r="C69" s="41">
        <f>'Data Sheet'!C58/'Data Sheet'!C61</f>
        <v>0.3342166955458159</v>
      </c>
      <c r="D69" s="41">
        <f>'Data Sheet'!D58/'Data Sheet'!D61</f>
        <v>0.39998546300334348</v>
      </c>
      <c r="E69" s="41">
        <f>'Data Sheet'!E58/'Data Sheet'!E61</f>
        <v>0.48197517539125739</v>
      </c>
      <c r="F69" s="41">
        <f>'Data Sheet'!F58/'Data Sheet'!F61</f>
        <v>0.51834062826819527</v>
      </c>
      <c r="G69" s="41">
        <f>'Data Sheet'!G58/'Data Sheet'!G61</f>
        <v>0.4376018971394694</v>
      </c>
      <c r="H69" s="41">
        <f>'Data Sheet'!H58/'Data Sheet'!H61</f>
        <v>0.42404193317816102</v>
      </c>
      <c r="I69" s="41">
        <f>'Data Sheet'!I58/'Data Sheet'!I61</f>
        <v>0.54326975279597522</v>
      </c>
      <c r="J69" s="41">
        <f>'Data Sheet'!J58/'Data Sheet'!J61</f>
        <v>0.70655816978206132</v>
      </c>
      <c r="K69" s="41">
        <f>'Data Sheet'!K58/'Data Sheet'!K61</f>
        <v>0.771555736560391</v>
      </c>
      <c r="L69" s="29"/>
    </row>
    <row r="70" spans="1:12" hidden="1">
      <c r="A70" s="44" t="s">
        <v>62</v>
      </c>
      <c r="B70" s="45">
        <f>'Data Sheet'!B59/'Data Sheet'!B61</f>
        <v>0.35576789918293872</v>
      </c>
      <c r="C70" s="45">
        <f>'Data Sheet'!C59/'Data Sheet'!C61</f>
        <v>0.34950565691570684</v>
      </c>
      <c r="D70" s="45">
        <f>'Data Sheet'!D59/'Data Sheet'!D61</f>
        <v>0.37040267480738476</v>
      </c>
      <c r="E70" s="45">
        <f>'Data Sheet'!E59/'Data Sheet'!E61</f>
        <v>0.34063680518078787</v>
      </c>
      <c r="F70" s="45">
        <f>'Data Sheet'!F59/'Data Sheet'!F61</f>
        <v>0.29809815238021453</v>
      </c>
      <c r="G70" s="45">
        <f>'Data Sheet'!G59/'Data Sheet'!G61</f>
        <v>0.42658465490835434</v>
      </c>
      <c r="H70" s="45">
        <f>'Data Sheet'!H59/'Data Sheet'!H61</f>
        <v>0.43483679416454374</v>
      </c>
      <c r="I70" s="45">
        <f>'Data Sheet'!I59/'Data Sheet'!I61</f>
        <v>0.2924101487567411</v>
      </c>
      <c r="J70" s="45">
        <f>'Data Sheet'!J59/'Data Sheet'!J61</f>
        <v>0.10888596154808156</v>
      </c>
      <c r="K70" s="45">
        <f>'Data Sheet'!K59/'Data Sheet'!K61</f>
        <v>6.1190947172445893E-2</v>
      </c>
      <c r="L70" s="29"/>
    </row>
    <row r="71" spans="1:12" hidden="1">
      <c r="A71" s="39" t="s">
        <v>63</v>
      </c>
      <c r="B71" s="41">
        <f>'Data Sheet'!B60/'Data Sheet'!B61</f>
        <v>0.23016202742002495</v>
      </c>
      <c r="C71" s="41">
        <f>'Data Sheet'!C60/'Data Sheet'!C61</f>
        <v>0.21567628172459485</v>
      </c>
      <c r="D71" s="41">
        <f>'Data Sheet'!D60/'Data Sheet'!D61</f>
        <v>0.15787178368948973</v>
      </c>
      <c r="E71" s="41">
        <f>'Data Sheet'!E60/'Data Sheet'!E61</f>
        <v>0.12412304371289799</v>
      </c>
      <c r="F71" s="41">
        <f>'Data Sheet'!F60/'Data Sheet'!F61</f>
        <v>0.14533059611883642</v>
      </c>
      <c r="G71" s="41">
        <f>'Data Sheet'!G60/'Data Sheet'!G61</f>
        <v>0.11143224149004496</v>
      </c>
      <c r="H71" s="41">
        <f>'Data Sheet'!H60/'Data Sheet'!H61</f>
        <v>0.12303209134395102</v>
      </c>
      <c r="I71" s="41">
        <f>'Data Sheet'!I60/'Data Sheet'!I61</f>
        <v>0.14645843135835535</v>
      </c>
      <c r="J71" s="41">
        <f>'Data Sheet'!J60/'Data Sheet'!J61</f>
        <v>0.16734755131646961</v>
      </c>
      <c r="K71" s="41">
        <f>'Data Sheet'!K60/'Data Sheet'!K61</f>
        <v>0.1522428438445427</v>
      </c>
      <c r="L71" s="29"/>
    </row>
    <row r="72" spans="1:12" hidden="1">
      <c r="A72" s="42" t="s">
        <v>26</v>
      </c>
      <c r="B72" s="41">
        <f>'Data Sheet'!B61/'Data Sheet'!B61</f>
        <v>1</v>
      </c>
      <c r="C72" s="41">
        <f>'Data Sheet'!C61/'Data Sheet'!C61</f>
        <v>1</v>
      </c>
      <c r="D72" s="41">
        <f>'Data Sheet'!D61/'Data Sheet'!D61</f>
        <v>1</v>
      </c>
      <c r="E72" s="41">
        <f>'Data Sheet'!E61/'Data Sheet'!E61</f>
        <v>1</v>
      </c>
      <c r="F72" s="41">
        <f>'Data Sheet'!F61/'Data Sheet'!F61</f>
        <v>1</v>
      </c>
      <c r="G72" s="41">
        <f>'Data Sheet'!G61/'Data Sheet'!G61</f>
        <v>1</v>
      </c>
      <c r="H72" s="41">
        <f>'Data Sheet'!H61/'Data Sheet'!H61</f>
        <v>1</v>
      </c>
      <c r="I72" s="41">
        <f>'Data Sheet'!I61/'Data Sheet'!I61</f>
        <v>1</v>
      </c>
      <c r="J72" s="41">
        <f>'Data Sheet'!J61/'Data Sheet'!J61</f>
        <v>1</v>
      </c>
      <c r="K72" s="41">
        <f>'Data Sheet'!K61/'Data Sheet'!K61</f>
        <v>1</v>
      </c>
      <c r="L72" s="29"/>
    </row>
    <row r="73" spans="1:12" hidden="1">
      <c r="A73" s="39" t="s">
        <v>27</v>
      </c>
      <c r="B73" s="41">
        <f>'Data Sheet'!B62/'Data Sheet'!B66</f>
        <v>0.49840742279462685</v>
      </c>
      <c r="C73" s="41">
        <f>'Data Sheet'!C62/'Data Sheet'!C66</f>
        <v>0.4163693813066966</v>
      </c>
      <c r="D73" s="41">
        <f>'Data Sheet'!D62/'Data Sheet'!D66</f>
        <v>0.3248291902892862</v>
      </c>
      <c r="E73" s="41">
        <f>'Data Sheet'!E62/'Data Sheet'!E66</f>
        <v>0.42973556395035073</v>
      </c>
      <c r="F73" s="41">
        <f>'Data Sheet'!F62/'Data Sheet'!F66</f>
        <v>0.43060773908664829</v>
      </c>
      <c r="G73" s="41">
        <f>'Data Sheet'!G62/'Data Sheet'!G66</f>
        <v>0.3564794229534114</v>
      </c>
      <c r="H73" s="41">
        <f>'Data Sheet'!H62/'Data Sheet'!H66</f>
        <v>0.53173395890988395</v>
      </c>
      <c r="I73" s="41">
        <f>'Data Sheet'!I62/'Data Sheet'!I66</f>
        <v>0.55049042672554194</v>
      </c>
      <c r="J73" s="41">
        <f>'Data Sheet'!J62/'Data Sheet'!J66</f>
        <v>0.54568041219922958</v>
      </c>
      <c r="K73" s="41">
        <f>'Data Sheet'!K62/'Data Sheet'!K66</f>
        <v>0.55546020479404234</v>
      </c>
      <c r="L73" s="29"/>
    </row>
    <row r="74" spans="1:12" hidden="1">
      <c r="A74" s="39" t="s">
        <v>28</v>
      </c>
      <c r="B74" s="41">
        <f>'Data Sheet'!B63/'Data Sheet'!B66</f>
        <v>2.2573050823985599E-2</v>
      </c>
      <c r="C74" s="41">
        <f>'Data Sheet'!C63/'Data Sheet'!C66</f>
        <v>0.11120171236367343</v>
      </c>
      <c r="D74" s="41">
        <f>'Data Sheet'!D63/'Data Sheet'!D66</f>
        <v>0.31567088239569702</v>
      </c>
      <c r="E74" s="41">
        <f>'Data Sheet'!E63/'Data Sheet'!E66</f>
        <v>0.20701565029681596</v>
      </c>
      <c r="F74" s="41">
        <f>'Data Sheet'!F63/'Data Sheet'!F66</f>
        <v>0.13959793934229384</v>
      </c>
      <c r="G74" s="41">
        <f>'Data Sheet'!G63/'Data Sheet'!G66</f>
        <v>0.14018576157304483</v>
      </c>
      <c r="H74" s="41">
        <f>'Data Sheet'!H63/'Data Sheet'!H66</f>
        <v>2.575005040045452E-2</v>
      </c>
      <c r="I74" s="41">
        <f>'Data Sheet'!I63/'Data Sheet'!I66</f>
        <v>1.8259799486047269E-2</v>
      </c>
      <c r="J74" s="41">
        <f>'Data Sheet'!J63/'Data Sheet'!J66</f>
        <v>3.3382801687482283E-2</v>
      </c>
      <c r="K74" s="41">
        <f>'Data Sheet'!K63/'Data Sheet'!K66</f>
        <v>3.6115313009076097E-2</v>
      </c>
      <c r="L74" s="29"/>
    </row>
    <row r="75" spans="1:12" hidden="1">
      <c r="A75" s="39" t="s">
        <v>29</v>
      </c>
      <c r="B75" s="41">
        <f>'Data Sheet'!B64/'Data Sheet'!B66</f>
        <v>0</v>
      </c>
      <c r="C75" s="41">
        <f>'Data Sheet'!C64/'Data Sheet'!C66</f>
        <v>0</v>
      </c>
      <c r="D75" s="41">
        <f>'Data Sheet'!D64/'Data Sheet'!D66</f>
        <v>0</v>
      </c>
      <c r="E75" s="41">
        <f>'Data Sheet'!E64/'Data Sheet'!E66</f>
        <v>0</v>
      </c>
      <c r="F75" s="41">
        <f>'Data Sheet'!F64/'Data Sheet'!F66</f>
        <v>1.2239996901266608E-2</v>
      </c>
      <c r="G75" s="41">
        <f>'Data Sheet'!G64/'Data Sheet'!G66</f>
        <v>1.9514846104441482E-2</v>
      </c>
      <c r="H75" s="41">
        <f>'Data Sheet'!H64/'Data Sheet'!H66</f>
        <v>2.3404138335502079E-2</v>
      </c>
      <c r="I75" s="41">
        <f>'Data Sheet'!I64/'Data Sheet'!I66</f>
        <v>4.9585580368453437E-3</v>
      </c>
      <c r="J75" s="41">
        <f>'Data Sheet'!J64/'Data Sheet'!J66</f>
        <v>4.568874956228844E-3</v>
      </c>
      <c r="K75" s="41">
        <f>'Data Sheet'!K64/'Data Sheet'!K66</f>
        <v>3.9853386083313945E-3</v>
      </c>
      <c r="L75" s="29"/>
    </row>
    <row r="76" spans="1:12" hidden="1">
      <c r="A76" s="39" t="s">
        <v>64</v>
      </c>
      <c r="B76" s="41">
        <f>'Data Sheet'!B65/'Data Sheet'!B66</f>
        <v>0.47901952638138773</v>
      </c>
      <c r="C76" s="41">
        <f>'Data Sheet'!C65/'Data Sheet'!C66</f>
        <v>0.47242890632963003</v>
      </c>
      <c r="D76" s="41">
        <f>'Data Sheet'!D65/'Data Sheet'!D66</f>
        <v>0.35949992731501668</v>
      </c>
      <c r="E76" s="41">
        <f>'Data Sheet'!E65/'Data Sheet'!E66</f>
        <v>0.36324878575283326</v>
      </c>
      <c r="F76" s="41">
        <f>'Data Sheet'!F65/'Data Sheet'!F66</f>
        <v>0.4175543246697912</v>
      </c>
      <c r="G76" s="41">
        <f>'Data Sheet'!G65/'Data Sheet'!G66</f>
        <v>0.48381996936910238</v>
      </c>
      <c r="H76" s="41">
        <f>'Data Sheet'!H65/'Data Sheet'!H66</f>
        <v>0.41911185235415943</v>
      </c>
      <c r="I76" s="41">
        <f>'Data Sheet'!I65/'Data Sheet'!I66</f>
        <v>0.42629121575156537</v>
      </c>
      <c r="J76" s="41">
        <f>'Data Sheet'!J65/'Data Sheet'!J66</f>
        <v>0.41636791115705918</v>
      </c>
      <c r="K76" s="41">
        <f>'Data Sheet'!K65/'Data Sheet'!K66</f>
        <v>0.40443914358855015</v>
      </c>
      <c r="L76" s="29"/>
    </row>
    <row r="77" spans="1:12" hidden="1">
      <c r="A77" s="42" t="s">
        <v>26</v>
      </c>
      <c r="B77" s="41">
        <f>'Data Sheet'!B66/'Data Sheet'!B66</f>
        <v>1</v>
      </c>
      <c r="C77" s="41">
        <f>'Data Sheet'!C66/'Data Sheet'!C66</f>
        <v>1</v>
      </c>
      <c r="D77" s="41">
        <f>'Data Sheet'!D66/'Data Sheet'!D66</f>
        <v>1</v>
      </c>
      <c r="E77" s="41">
        <f>'Data Sheet'!E66/'Data Sheet'!E66</f>
        <v>1</v>
      </c>
      <c r="F77" s="41">
        <f>'Data Sheet'!F66/'Data Sheet'!F66</f>
        <v>1</v>
      </c>
      <c r="G77" s="41">
        <f>'Data Sheet'!G66/'Data Sheet'!G66</f>
        <v>1</v>
      </c>
      <c r="H77" s="41">
        <f>'Data Sheet'!H66/'Data Sheet'!H66</f>
        <v>1</v>
      </c>
      <c r="I77" s="41">
        <f>'Data Sheet'!I66/'Data Sheet'!I66</f>
        <v>1</v>
      </c>
      <c r="J77" s="41">
        <f>'Data Sheet'!J66/'Data Sheet'!J66</f>
        <v>1</v>
      </c>
      <c r="K77" s="41">
        <f>'Data Sheet'!K66/'Data Sheet'!K66</f>
        <v>1</v>
      </c>
      <c r="L77" s="29"/>
    </row>
    <row r="78" spans="1:12">
      <c r="A78" s="47" t="s">
        <v>336</v>
      </c>
      <c r="B78" s="45">
        <f>'Data Sheet'!B67/'Data Sheet'!B61</f>
        <v>0.27281539952915113</v>
      </c>
      <c r="C78" s="45">
        <f>'Data Sheet'!C67/'Data Sheet'!C61</f>
        <v>0.224951584955662</v>
      </c>
      <c r="D78" s="45">
        <f>'Data Sheet'!D67/'Data Sheet'!D61</f>
        <v>0.20293647332461112</v>
      </c>
      <c r="E78" s="45">
        <f>'Data Sheet'!E67/'Data Sheet'!E61</f>
        <v>0.19357798165137613</v>
      </c>
      <c r="F78" s="45">
        <f>'Data Sheet'!F67/'Data Sheet'!F61</f>
        <v>0.20110779718789945</v>
      </c>
      <c r="G78" s="45">
        <f>'Data Sheet'!G67/'Data Sheet'!G61</f>
        <v>0.21164962205424634</v>
      </c>
      <c r="H78" s="45">
        <f>'Data Sheet'!H67/'Data Sheet'!H61</f>
        <v>0.20744827080622399</v>
      </c>
      <c r="I78" s="45">
        <f>'Data Sheet'!I67/'Data Sheet'!I61</f>
        <v>0.2082051467660791</v>
      </c>
      <c r="J78" s="45">
        <f>'Data Sheet'!J67/'Data Sheet'!J61</f>
        <v>0.21527071417851959</v>
      </c>
      <c r="K78" s="45">
        <f>'Data Sheet'!K67/'Data Sheet'!K61</f>
        <v>0.16700605073306957</v>
      </c>
      <c r="L78" s="29"/>
    </row>
    <row r="79" spans="1:12">
      <c r="A79" s="47" t="s">
        <v>337</v>
      </c>
      <c r="B79" s="45">
        <f>'Data Sheet'!B68/'Data Sheet'!B66</f>
        <v>0.11369616396620968</v>
      </c>
      <c r="C79" s="45">
        <f>'Data Sheet'!C68/'Data Sheet'!C66</f>
        <v>0.12353480786871877</v>
      </c>
      <c r="D79" s="45">
        <f>'Data Sheet'!D68/'Data Sheet'!D66</f>
        <v>8.7658089838639333E-2</v>
      </c>
      <c r="E79" s="45">
        <f>'Data Sheet'!E68/'Data Sheet'!E66</f>
        <v>0.10194279546681058</v>
      </c>
      <c r="F79" s="45">
        <f>'Data Sheet'!F68/'Data Sheet'!F66</f>
        <v>0.13560832009915946</v>
      </c>
      <c r="G79" s="45">
        <f>'Data Sheet'!G68/'Data Sheet'!G66</f>
        <v>0.10626945309026235</v>
      </c>
      <c r="H79" s="45">
        <f>'Data Sheet'!H68/'Data Sheet'!H66</f>
        <v>0.1001411212726573</v>
      </c>
      <c r="I79" s="45">
        <f>'Data Sheet'!I68/'Data Sheet'!I66</f>
        <v>8.4385971262079695E-2</v>
      </c>
      <c r="J79" s="45">
        <f>'Data Sheet'!J68/'Data Sheet'!J66</f>
        <v>9.0860582614930546E-2</v>
      </c>
      <c r="K79" s="45">
        <f>'Data Sheet'!K68/'Data Sheet'!K66</f>
        <v>6.5016290435187349E-2</v>
      </c>
      <c r="L79" s="29"/>
    </row>
    <row r="80" spans="1:12">
      <c r="A80" s="48" t="s">
        <v>338</v>
      </c>
      <c r="B80" s="41">
        <f>'Data Sheet'!B69/'Data Sheet'!B66</f>
        <v>1.2186677745464619E-2</v>
      </c>
      <c r="C80" s="41">
        <f>'Data Sheet'!C69/'Data Sheet'!C66</f>
        <v>1.3963918051167059E-2</v>
      </c>
      <c r="D80" s="41">
        <f>'Data Sheet'!D69/'Data Sheet'!D66</f>
        <v>1.3737461840383774E-2</v>
      </c>
      <c r="E80" s="41">
        <f>'Data Sheet'!E69/'Data Sheet'!E66</f>
        <v>9.6600107933081485E-3</v>
      </c>
      <c r="F80" s="41">
        <f>'Data Sheet'!F69/'Data Sheet'!F66</f>
        <v>7.5144284773598783E-3</v>
      </c>
      <c r="G80" s="41">
        <f>'Data Sheet'!G69/'Data Sheet'!G66</f>
        <v>7.8923966207203197E-2</v>
      </c>
      <c r="H80" s="41">
        <f>'Data Sheet'!H69/'Data Sheet'!H66</f>
        <v>6.189175815112806E-2</v>
      </c>
      <c r="I80" s="41">
        <f>'Data Sheet'!I69/'Data Sheet'!I66</f>
        <v>7.7273878895363565E-2</v>
      </c>
      <c r="J80" s="41">
        <f>'Data Sheet'!J69/'Data Sheet'!J66</f>
        <v>4.5255206683230229E-2</v>
      </c>
      <c r="K80" s="41">
        <f>'Data Sheet'!K69/'Data Sheet'!K66</f>
        <v>0.10505876192692577</v>
      </c>
      <c r="L80" s="29"/>
    </row>
    <row r="81" spans="1:12">
      <c r="A81" s="114" t="s">
        <v>339</v>
      </c>
      <c r="B81" s="40"/>
      <c r="C81" s="43"/>
      <c r="D81" s="40"/>
      <c r="E81" s="40"/>
      <c r="F81" s="40"/>
      <c r="G81" s="40"/>
      <c r="H81" s="40"/>
      <c r="I81" s="40"/>
      <c r="J81" s="40"/>
      <c r="K81" s="40"/>
    </row>
    <row r="82" spans="1:12">
      <c r="A82" s="48" t="s">
        <v>143</v>
      </c>
      <c r="B82" s="40">
        <f>SUM('Data Sheet'!B57,'Data Sheet'!B58,'Data Sheet'!B59)</f>
        <v>55.59</v>
      </c>
      <c r="C82" s="40">
        <f>SUM('Data Sheet'!C57,'Data Sheet'!C58,'Data Sheet'!C59)</f>
        <v>76.949999999999989</v>
      </c>
      <c r="D82" s="40">
        <f>SUM('Data Sheet'!D57,'Data Sheet'!D58,'Data Sheet'!D59)</f>
        <v>115.86000000000001</v>
      </c>
      <c r="E82" s="40">
        <f>SUM('Data Sheet'!E57,'Data Sheet'!E58,'Data Sheet'!E59)</f>
        <v>162.30000000000001</v>
      </c>
      <c r="F82" s="40">
        <f>SUM('Data Sheet'!F57,'Data Sheet'!F58,'Data Sheet'!F59)</f>
        <v>220.64999999999998</v>
      </c>
      <c r="G82" s="40">
        <f>SUM('Data Sheet'!G57,'Data Sheet'!G58,'Data Sheet'!G59)</f>
        <v>359.71000000000004</v>
      </c>
      <c r="H82" s="40">
        <f>SUM('Data Sheet'!H57,'Data Sheet'!H58,'Data Sheet'!H59)</f>
        <v>478.5</v>
      </c>
      <c r="I82" s="40">
        <f>SUM('Data Sheet'!I57,'Data Sheet'!I58,'Data Sheet'!I59)</f>
        <v>471.65</v>
      </c>
      <c r="J82" s="40">
        <f>SUM('Data Sheet'!J57,'Data Sheet'!J58,'Data Sheet'!J59)</f>
        <v>499.35</v>
      </c>
      <c r="K82" s="40">
        <f>SUM('Data Sheet'!K57,'Data Sheet'!K58,'Data Sheet'!K59)</f>
        <v>582.85000000000014</v>
      </c>
      <c r="L82" s="29">
        <f>POWER(K82/C82,1/9)-1</f>
        <v>0.25229126980051952</v>
      </c>
    </row>
    <row r="83" spans="1:12">
      <c r="A83" s="48" t="s">
        <v>144</v>
      </c>
      <c r="B83" s="40">
        <f>B82-'Data Sheet'!B69</f>
        <v>54.71</v>
      </c>
      <c r="C83" s="40">
        <f>C82-'Data Sheet'!C69</f>
        <v>75.579999999999984</v>
      </c>
      <c r="D83" s="40">
        <f>D82-'Data Sheet'!D69</f>
        <v>113.97000000000001</v>
      </c>
      <c r="E83" s="40">
        <f>E82-'Data Sheet'!E69</f>
        <v>160.51000000000002</v>
      </c>
      <c r="F83" s="40">
        <f>F82-'Data Sheet'!F69</f>
        <v>218.70999999999998</v>
      </c>
      <c r="G83" s="40">
        <f>G82-'Data Sheet'!G69</f>
        <v>327.76000000000005</v>
      </c>
      <c r="H83" s="40">
        <f>H82-'Data Sheet'!H69</f>
        <v>444.73</v>
      </c>
      <c r="I83" s="40">
        <f>I82-'Data Sheet'!I69</f>
        <v>428.95</v>
      </c>
      <c r="J83" s="40">
        <f>J82-'Data Sheet'!J69</f>
        <v>472.21000000000004</v>
      </c>
      <c r="K83" s="40">
        <f>K82-'Data Sheet'!K69</f>
        <v>510.62000000000012</v>
      </c>
      <c r="L83" s="29">
        <f t="shared" ref="L83:L97" si="0">POWER(K83/C83,1/9)-1</f>
        <v>0.23648223628136211</v>
      </c>
    </row>
    <row r="84" spans="1:12">
      <c r="A84" s="48" t="s">
        <v>145</v>
      </c>
      <c r="B84" s="51">
        <f>'Data Sheet'!B62+'Data Sheet'!B63+Customization!B87</f>
        <v>54.710000000000008</v>
      </c>
      <c r="C84" s="51">
        <f>'Data Sheet'!C62+'Data Sheet'!C63+Customization!C87</f>
        <v>75.580000000000013</v>
      </c>
      <c r="D84" s="51">
        <f>'Data Sheet'!D62+'Data Sheet'!D63+Customization!D87</f>
        <v>113.97</v>
      </c>
      <c r="E84" s="51">
        <f>'Data Sheet'!E62+'Data Sheet'!E63+Customization!E87</f>
        <v>160.51</v>
      </c>
      <c r="F84" s="51">
        <f>'Data Sheet'!F62+'Data Sheet'!F63+Customization!F87</f>
        <v>215.55</v>
      </c>
      <c r="G84" s="51">
        <f>'Data Sheet'!G62+'Data Sheet'!G63+Customization!G87</f>
        <v>319.86</v>
      </c>
      <c r="H84" s="51">
        <f>'Data Sheet'!H62+'Data Sheet'!H63+Customization!H87</f>
        <v>431.96000000000004</v>
      </c>
      <c r="I84" s="51">
        <f>'Data Sheet'!I62+'Data Sheet'!I63+Customization!I87</f>
        <v>426.21</v>
      </c>
      <c r="J84" s="51">
        <f>'Data Sheet'!J62+'Data Sheet'!J63+Customization!J87</f>
        <v>469.46999999999997</v>
      </c>
      <c r="K84" s="51">
        <f>'Data Sheet'!K62+'Data Sheet'!K63+Customization!K87</f>
        <v>507.87999999999994</v>
      </c>
      <c r="L84" s="29">
        <f t="shared" si="0"/>
        <v>0.23574325041177935</v>
      </c>
    </row>
    <row r="85" spans="1:12">
      <c r="A85" s="48" t="s">
        <v>146</v>
      </c>
      <c r="B85" s="51">
        <f>'Data Sheet'!B62+Customization!B87</f>
        <v>53.080000000000005</v>
      </c>
      <c r="C85" s="51">
        <f>'Data Sheet'!C62+Customization!C87</f>
        <v>64.67</v>
      </c>
      <c r="D85" s="51">
        <f>'Data Sheet'!D62+Customization!D87</f>
        <v>70.539999999999992</v>
      </c>
      <c r="E85" s="51">
        <f>'Data Sheet'!E62+Customization!E87</f>
        <v>122.15</v>
      </c>
      <c r="F85" s="51">
        <f>'Data Sheet'!F62+Customization!F87</f>
        <v>179.51</v>
      </c>
      <c r="G85" s="51">
        <f>'Data Sheet'!G62+Customization!G87</f>
        <v>263.11</v>
      </c>
      <c r="H85" s="51">
        <f>'Data Sheet'!H62+Customization!H87</f>
        <v>417.90999999999997</v>
      </c>
      <c r="I85" s="51">
        <f>'Data Sheet'!I62+Customization!I87</f>
        <v>416.12</v>
      </c>
      <c r="J85" s="51">
        <f>'Data Sheet'!J62+Customization!J87</f>
        <v>449.45</v>
      </c>
      <c r="K85" s="51">
        <f>'Data Sheet'!K62+Customization!K87</f>
        <v>483.04999999999995</v>
      </c>
      <c r="L85" s="29">
        <f t="shared" si="0"/>
        <v>0.25035154813032534</v>
      </c>
    </row>
    <row r="86" spans="1:12">
      <c r="A86" s="48" t="s">
        <v>117</v>
      </c>
      <c r="B86" s="51">
        <f>'Balance Sheet'!B16</f>
        <v>17.970000000000002</v>
      </c>
      <c r="C86" s="51">
        <f>'Balance Sheet'!C16</f>
        <v>25.19</v>
      </c>
      <c r="D86" s="51">
        <f>'Balance Sheet'!D16</f>
        <v>27.740000000000002</v>
      </c>
      <c r="E86" s="51">
        <f>'Balance Sheet'!E16</f>
        <v>44.31</v>
      </c>
      <c r="F86" s="51">
        <f>'Balance Sheet'!F16</f>
        <v>70.28</v>
      </c>
      <c r="G86" s="51">
        <f>'Balance Sheet'!G16</f>
        <v>150.75</v>
      </c>
      <c r="H86" s="51">
        <f>'Balance Sheet'!H16</f>
        <v>161.55000000000001</v>
      </c>
      <c r="I86" s="51">
        <f>'Balance Sheet'!I16</f>
        <v>154.63</v>
      </c>
      <c r="J86" s="51">
        <f>'Balance Sheet'!J16</f>
        <v>149.33999999999997</v>
      </c>
      <c r="K86" s="51">
        <f>'Balance Sheet'!K16</f>
        <v>173.39</v>
      </c>
      <c r="L86" s="29">
        <f t="shared" si="0"/>
        <v>0.2390488558853443</v>
      </c>
    </row>
    <row r="87" spans="1:12">
      <c r="A87" s="48" t="s">
        <v>118</v>
      </c>
      <c r="B87" s="51">
        <f>B86-'Data Sheet'!B69</f>
        <v>17.090000000000003</v>
      </c>
      <c r="C87" s="51">
        <f>C86-'Data Sheet'!C69</f>
        <v>23.82</v>
      </c>
      <c r="D87" s="51">
        <f>D86-'Data Sheet'!D69</f>
        <v>25.85</v>
      </c>
      <c r="E87" s="51">
        <f>E86-'Data Sheet'!E69</f>
        <v>42.52</v>
      </c>
      <c r="F87" s="51">
        <f>F86-'Data Sheet'!F69</f>
        <v>68.34</v>
      </c>
      <c r="G87" s="51">
        <f>G86-'Data Sheet'!G69</f>
        <v>118.8</v>
      </c>
      <c r="H87" s="51">
        <f>H86-'Data Sheet'!H69</f>
        <v>127.78</v>
      </c>
      <c r="I87" s="51">
        <f>I86-'Data Sheet'!I69</f>
        <v>111.92999999999999</v>
      </c>
      <c r="J87" s="51">
        <f>J86-'Data Sheet'!J69</f>
        <v>122.19999999999997</v>
      </c>
      <c r="K87" s="51">
        <f>K86-'Data Sheet'!K69</f>
        <v>101.15999999999998</v>
      </c>
      <c r="L87" s="29">
        <f t="shared" si="0"/>
        <v>0.17431667901117054</v>
      </c>
    </row>
    <row r="88" spans="1:12" hidden="1">
      <c r="A88" s="48" t="s">
        <v>85</v>
      </c>
      <c r="B88" s="51">
        <f>'Profit &amp; Loss'!B10+'Profit &amp; Loss'!B9-'Profit &amp; Loss'!B7</f>
        <v>5.61</v>
      </c>
      <c r="C88" s="51">
        <f>'Profit &amp; Loss'!C10+'Profit &amp; Loss'!C9-'Profit &amp; Loss'!C7</f>
        <v>22.379999999999995</v>
      </c>
      <c r="D88" s="51">
        <f>'Profit &amp; Loss'!D10+'Profit &amp; Loss'!D9-'Profit &amp; Loss'!D7</f>
        <v>29.85</v>
      </c>
      <c r="E88" s="51">
        <f>'Profit &amp; Loss'!E10+'Profit &amp; Loss'!E9-'Profit &amp; Loss'!E7</f>
        <v>47.760000000000005</v>
      </c>
      <c r="F88" s="51">
        <f>'Profit &amp; Loss'!F10+'Profit &amp; Loss'!F9-'Profit &amp; Loss'!F7</f>
        <v>63.27</v>
      </c>
      <c r="G88" s="51">
        <f>'Profit &amp; Loss'!G10+'Profit &amp; Loss'!G9-'Profit &amp; Loss'!G7</f>
        <v>87.96</v>
      </c>
      <c r="H88" s="51">
        <f>'Profit &amp; Loss'!H10+'Profit &amp; Loss'!H9-'Profit &amp; Loss'!H7</f>
        <v>110.39</v>
      </c>
      <c r="I88" s="51">
        <f>'Profit &amp; Loss'!I10+'Profit &amp; Loss'!I9-'Profit &amp; Loss'!I7</f>
        <v>137.57000000000002</v>
      </c>
      <c r="J88" s="51">
        <f>'Profit &amp; Loss'!J10+'Profit &amp; Loss'!J9-'Profit &amp; Loss'!J7</f>
        <v>174.12</v>
      </c>
      <c r="K88" s="51">
        <f>'Profit &amp; Loss'!K10+'Profit &amp; Loss'!K9-'Profit &amp; Loss'!K7</f>
        <v>188.26000000000002</v>
      </c>
      <c r="L88" s="29">
        <f t="shared" si="0"/>
        <v>0.26697032033546164</v>
      </c>
    </row>
    <row r="89" spans="1:12" hidden="1">
      <c r="A89" s="48" t="s">
        <v>277</v>
      </c>
      <c r="B89" s="40">
        <f>B88+'Data Sheet'!B26</f>
        <v>8.32</v>
      </c>
      <c r="C89" s="40">
        <f>C88+'Data Sheet'!C26</f>
        <v>25.309999999999995</v>
      </c>
      <c r="D89" s="40">
        <f>D88+'Data Sheet'!D26</f>
        <v>33.1</v>
      </c>
      <c r="E89" s="40">
        <f>E88+'Data Sheet'!E26</f>
        <v>52.690000000000005</v>
      </c>
      <c r="F89" s="40">
        <f>F88+'Data Sheet'!F26</f>
        <v>69.72</v>
      </c>
      <c r="G89" s="40">
        <f>G88+'Data Sheet'!G26</f>
        <v>94.99</v>
      </c>
      <c r="H89" s="40">
        <f>H88+'Data Sheet'!H26</f>
        <v>120.34</v>
      </c>
      <c r="I89" s="40">
        <f>I88+'Data Sheet'!I26</f>
        <v>152.89000000000001</v>
      </c>
      <c r="J89" s="40">
        <f>J88+'Data Sheet'!J26</f>
        <v>191.78</v>
      </c>
      <c r="K89" s="40">
        <f>K88+'Data Sheet'!K26</f>
        <v>206.78000000000003</v>
      </c>
      <c r="L89" s="29">
        <f t="shared" si="0"/>
        <v>0.26286630607704931</v>
      </c>
    </row>
    <row r="90" spans="1:12" hidden="1">
      <c r="A90" s="48" t="s">
        <v>289</v>
      </c>
      <c r="B90" s="40">
        <f>'Data Sheet'!B28</f>
        <v>5.53</v>
      </c>
      <c r="C90" s="40">
        <f>'Data Sheet'!C28</f>
        <v>23.15</v>
      </c>
      <c r="D90" s="40">
        <f>'Data Sheet'!D28</f>
        <v>31.88</v>
      </c>
      <c r="E90" s="40">
        <f>'Data Sheet'!E28</f>
        <v>51.79</v>
      </c>
      <c r="F90" s="40">
        <f>'Data Sheet'!F28</f>
        <v>62.5</v>
      </c>
      <c r="G90" s="40">
        <f>'Data Sheet'!G28</f>
        <v>81.599999999999994</v>
      </c>
      <c r="H90" s="40">
        <f>'Data Sheet'!H28</f>
        <v>102.61</v>
      </c>
      <c r="I90" s="40">
        <f>'Data Sheet'!I28</f>
        <v>128.59</v>
      </c>
      <c r="J90" s="40">
        <f>'Data Sheet'!J28</f>
        <v>173.5</v>
      </c>
      <c r="K90" s="40">
        <f>'Data Sheet'!K28</f>
        <v>186.56</v>
      </c>
      <c r="L90" s="29">
        <f t="shared" si="0"/>
        <v>0.26094572349465039</v>
      </c>
    </row>
    <row r="91" spans="1:12" hidden="1">
      <c r="A91" s="48" t="s">
        <v>96</v>
      </c>
      <c r="B91" s="40"/>
      <c r="C91" s="51">
        <f>C124</f>
        <v>14.694427645788334</v>
      </c>
      <c r="D91" s="51">
        <f t="shared" ref="D91:K91" si="1">D124</f>
        <v>23.529814930991218</v>
      </c>
      <c r="E91" s="51">
        <f t="shared" si="1"/>
        <v>36.924317435798422</v>
      </c>
      <c r="F91" s="51">
        <f t="shared" si="1"/>
        <v>52.610270400000005</v>
      </c>
      <c r="G91" s="51">
        <f t="shared" si="1"/>
        <v>59.081955882352929</v>
      </c>
      <c r="H91" s="51">
        <f t="shared" si="1"/>
        <v>73.876632881785412</v>
      </c>
      <c r="I91" s="51">
        <f t="shared" si="1"/>
        <v>92.17692822147913</v>
      </c>
      <c r="J91" s="51">
        <f t="shared" si="1"/>
        <v>116.21380979827089</v>
      </c>
      <c r="K91" s="51">
        <f t="shared" si="1"/>
        <v>132.76891187821616</v>
      </c>
      <c r="L91" s="29">
        <f t="shared" si="0"/>
        <v>0.27707372315031731</v>
      </c>
    </row>
    <row r="92" spans="1:12" hidden="1">
      <c r="A92" s="48" t="s">
        <v>154</v>
      </c>
      <c r="B92" s="40">
        <f>'Data Sheet'!B30</f>
        <v>3.51</v>
      </c>
      <c r="C92" s="40">
        <f>'Data Sheet'!C30</f>
        <v>15.2</v>
      </c>
      <c r="D92" s="40">
        <f>'Data Sheet'!D30</f>
        <v>25.13</v>
      </c>
      <c r="E92" s="40">
        <f>'Data Sheet'!E30</f>
        <v>40.04</v>
      </c>
      <c r="F92" s="40">
        <f>'Data Sheet'!F30</f>
        <v>51.97</v>
      </c>
      <c r="G92" s="40">
        <f>'Data Sheet'!G30</f>
        <v>54.81</v>
      </c>
      <c r="H92" s="40">
        <f>'Data Sheet'!H30</f>
        <v>68.66</v>
      </c>
      <c r="I92" s="40">
        <f>'Data Sheet'!I30</f>
        <v>86.15</v>
      </c>
      <c r="J92" s="40">
        <f>'Data Sheet'!J30</f>
        <v>115.79</v>
      </c>
      <c r="K92" s="40">
        <f>'Data Sheet'!K30</f>
        <v>131.57</v>
      </c>
      <c r="L92" s="29">
        <f t="shared" si="0"/>
        <v>0.27100108340928752</v>
      </c>
    </row>
    <row r="93" spans="1:12" hidden="1">
      <c r="A93" s="48" t="s">
        <v>86</v>
      </c>
      <c r="B93" s="52">
        <f>B88/B82</f>
        <v>0.10091743119266056</v>
      </c>
      <c r="C93" s="52">
        <f t="shared" ref="C93:K93" si="2">C88/C82</f>
        <v>0.29083820662768028</v>
      </c>
      <c r="D93" s="52">
        <f t="shared" si="2"/>
        <v>0.25763852925945102</v>
      </c>
      <c r="E93" s="52">
        <f t="shared" si="2"/>
        <v>0.29426987060998155</v>
      </c>
      <c r="F93" s="52">
        <f t="shared" si="2"/>
        <v>0.28674371176070707</v>
      </c>
      <c r="G93" s="52">
        <f t="shared" si="2"/>
        <v>0.24453031608795969</v>
      </c>
      <c r="H93" s="52">
        <f t="shared" si="2"/>
        <v>0.23070010449320794</v>
      </c>
      <c r="I93" s="52">
        <f t="shared" si="2"/>
        <v>0.29167815117141954</v>
      </c>
      <c r="J93" s="52">
        <f t="shared" si="2"/>
        <v>0.34869330129167919</v>
      </c>
      <c r="K93" s="52">
        <f t="shared" si="2"/>
        <v>0.32299905636098475</v>
      </c>
      <c r="L93" s="29">
        <f t="shared" si="0"/>
        <v>1.1721754266705409E-2</v>
      </c>
    </row>
    <row r="94" spans="1:12" hidden="1">
      <c r="A94" s="48" t="s">
        <v>87</v>
      </c>
      <c r="B94" s="52">
        <f>B88/B83</f>
        <v>0.10254066898190459</v>
      </c>
      <c r="C94" s="52">
        <f t="shared" ref="C94:K94" si="3">C88/C83</f>
        <v>0.29611008203228367</v>
      </c>
      <c r="D94" s="52">
        <f t="shared" si="3"/>
        <v>0.2619110292182153</v>
      </c>
      <c r="E94" s="52">
        <f t="shared" si="3"/>
        <v>0.29755155442028536</v>
      </c>
      <c r="F94" s="52">
        <f t="shared" si="3"/>
        <v>0.28928718394220659</v>
      </c>
      <c r="G94" s="52">
        <f t="shared" si="3"/>
        <v>0.26836709787649493</v>
      </c>
      <c r="H94" s="52">
        <f t="shared" si="3"/>
        <v>0.24821801992219997</v>
      </c>
      <c r="I94" s="52">
        <f t="shared" si="3"/>
        <v>0.32071336985662668</v>
      </c>
      <c r="J94" s="52">
        <f t="shared" si="3"/>
        <v>0.36873424959234236</v>
      </c>
      <c r="K94" s="52">
        <f t="shared" si="3"/>
        <v>0.36868904469076802</v>
      </c>
      <c r="L94" s="29">
        <f t="shared" si="0"/>
        <v>2.4657114481313025E-2</v>
      </c>
    </row>
    <row r="95" spans="1:12" hidden="1">
      <c r="A95" s="48" t="s">
        <v>100</v>
      </c>
      <c r="B95" s="52">
        <f>B88/B84</f>
        <v>0.10254066898190457</v>
      </c>
      <c r="C95" s="52">
        <f t="shared" ref="C95:K95" si="4">C88/C84</f>
        <v>0.29611008203228356</v>
      </c>
      <c r="D95" s="52">
        <f t="shared" si="4"/>
        <v>0.26191102921821535</v>
      </c>
      <c r="E95" s="52">
        <f t="shared" si="4"/>
        <v>0.29755155442028541</v>
      </c>
      <c r="F95" s="52">
        <f t="shared" si="4"/>
        <v>0.29352818371607514</v>
      </c>
      <c r="G95" s="52">
        <f t="shared" si="4"/>
        <v>0.2749953104483211</v>
      </c>
      <c r="H95" s="52">
        <f t="shared" si="4"/>
        <v>0.25555607000648206</v>
      </c>
      <c r="I95" s="52">
        <f t="shared" si="4"/>
        <v>0.32277515778606797</v>
      </c>
      <c r="J95" s="52">
        <f t="shared" si="4"/>
        <v>0.37088631861460797</v>
      </c>
      <c r="K95" s="52">
        <f t="shared" si="4"/>
        <v>0.37067811294006464</v>
      </c>
      <c r="L95" s="29">
        <f t="shared" si="0"/>
        <v>2.5269868893297076E-2</v>
      </c>
    </row>
    <row r="96" spans="1:12" hidden="1">
      <c r="A96" s="48" t="s">
        <v>147</v>
      </c>
      <c r="B96" s="52">
        <f>B88/B85</f>
        <v>0.10568952524491333</v>
      </c>
      <c r="C96" s="52">
        <f t="shared" ref="C96:K96" si="5">C88/C85</f>
        <v>0.34606463584351316</v>
      </c>
      <c r="D96" s="52">
        <f t="shared" si="5"/>
        <v>0.42316416217748803</v>
      </c>
      <c r="E96" s="52">
        <f t="shared" si="5"/>
        <v>0.39099467867376181</v>
      </c>
      <c r="F96" s="52">
        <f t="shared" si="5"/>
        <v>0.35245947300986019</v>
      </c>
      <c r="G96" s="52">
        <f t="shared" si="5"/>
        <v>0.33430884420964613</v>
      </c>
      <c r="H96" s="52">
        <f t="shared" si="5"/>
        <v>0.26414778301548181</v>
      </c>
      <c r="I96" s="52">
        <f t="shared" si="5"/>
        <v>0.33060174949533794</v>
      </c>
      <c r="J96" s="52">
        <f t="shared" si="5"/>
        <v>0.38740683057069752</v>
      </c>
      <c r="K96" s="52">
        <f t="shared" si="5"/>
        <v>0.3897319118103717</v>
      </c>
      <c r="L96" s="29">
        <f t="shared" si="0"/>
        <v>1.3291279744473972E-2</v>
      </c>
    </row>
    <row r="97" spans="1:12" hidden="1">
      <c r="A97" s="48" t="s">
        <v>13</v>
      </c>
      <c r="B97" s="53">
        <f>'Data Sheet'!B29/'Data Sheet'!B28</f>
        <v>0.36528028933092221</v>
      </c>
      <c r="C97" s="53">
        <f>'Data Sheet'!C29/'Data Sheet'!C28</f>
        <v>0.3434125269978402</v>
      </c>
      <c r="D97" s="53">
        <f>'Data Sheet'!D29/'Data Sheet'!D28</f>
        <v>0.2117314930991217</v>
      </c>
      <c r="E97" s="53">
        <f>'Data Sheet'!E29/'Data Sheet'!E28</f>
        <v>0.22687777563236147</v>
      </c>
      <c r="F97" s="53">
        <f>'Data Sheet'!F29/'Data Sheet'!F28</f>
        <v>0.16847999999999999</v>
      </c>
      <c r="G97" s="53">
        <f>'Data Sheet'!G29/'Data Sheet'!G28</f>
        <v>0.32830882352941176</v>
      </c>
      <c r="H97" s="53">
        <f>'Data Sheet'!H29/'Data Sheet'!H28</f>
        <v>0.33076698177565539</v>
      </c>
      <c r="I97" s="53">
        <f>'Data Sheet'!I29/'Data Sheet'!I28</f>
        <v>0.32996344972392877</v>
      </c>
      <c r="J97" s="53">
        <f>'Data Sheet'!J29/'Data Sheet'!J28</f>
        <v>0.33256484149855908</v>
      </c>
      <c r="K97" s="53">
        <f>'Data Sheet'!K29/'Data Sheet'!K28</f>
        <v>0.29475771869639794</v>
      </c>
      <c r="L97" s="29">
        <f t="shared" si="0"/>
        <v>-1.6832140741868451E-2</v>
      </c>
    </row>
    <row r="98" spans="1:12">
      <c r="A98" s="47" t="s">
        <v>88</v>
      </c>
      <c r="B98" s="45">
        <f>B93*(1-B97)</f>
        <v>6.4054282728072079E-2</v>
      </c>
      <c r="C98" s="45">
        <f t="shared" ref="C98:K98" si="6">C93*(1-C97)</f>
        <v>0.1909607231421486</v>
      </c>
      <c r="D98" s="45">
        <f t="shared" si="6"/>
        <v>0.20308833877948571</v>
      </c>
      <c r="E98" s="45">
        <f t="shared" si="6"/>
        <v>0.22750657693036613</v>
      </c>
      <c r="F98" s="45">
        <f t="shared" si="6"/>
        <v>0.23843313120326315</v>
      </c>
      <c r="G98" s="45">
        <f t="shared" si="6"/>
        <v>0.16424885569584644</v>
      </c>
      <c r="H98" s="45">
        <f t="shared" si="6"/>
        <v>0.15439212723466125</v>
      </c>
      <c r="I98" s="45">
        <f t="shared" si="6"/>
        <v>0.19543502220180037</v>
      </c>
      <c r="J98" s="45">
        <f t="shared" si="6"/>
        <v>0.23273016881600259</v>
      </c>
      <c r="K98" s="45">
        <f t="shared" si="6"/>
        <v>0.22779259136693164</v>
      </c>
      <c r="L98" s="29"/>
    </row>
    <row r="99" spans="1:12">
      <c r="A99" s="47" t="s">
        <v>89</v>
      </c>
      <c r="B99" s="45">
        <f>B94*(1-B97)</f>
        <v>6.5084583748008171E-2</v>
      </c>
      <c r="C99" s="45">
        <f t="shared" ref="C99:K99" si="7">C94*(1-C97)</f>
        <v>0.19442217049203939</v>
      </c>
      <c r="D99" s="45">
        <f t="shared" si="7"/>
        <v>0.2064562159427149</v>
      </c>
      <c r="E99" s="45">
        <f t="shared" si="7"/>
        <v>0.23004371961745948</v>
      </c>
      <c r="F99" s="45">
        <f t="shared" si="7"/>
        <v>0.24054807919162363</v>
      </c>
      <c r="G99" s="45">
        <f t="shared" si="7"/>
        <v>0.18025981169866037</v>
      </c>
      <c r="H99" s="45">
        <f t="shared" si="7"/>
        <v>0.1661156946502044</v>
      </c>
      <c r="I99" s="45">
        <f t="shared" si="7"/>
        <v>0.21488967996614788</v>
      </c>
      <c r="J99" s="45">
        <f t="shared" si="7"/>
        <v>0.24610620232157487</v>
      </c>
      <c r="K99" s="45">
        <f t="shared" si="7"/>
        <v>0.26001510296936298</v>
      </c>
      <c r="L99" s="29"/>
    </row>
    <row r="100" spans="1:12">
      <c r="A100" s="47" t="s">
        <v>101</v>
      </c>
      <c r="B100" s="45">
        <f>B95*(1-B97)</f>
        <v>6.5084583748008157E-2</v>
      </c>
      <c r="C100" s="45">
        <f t="shared" ref="C100:K100" si="8">C95*(1-C97)</f>
        <v>0.1944221704920393</v>
      </c>
      <c r="D100" s="45">
        <f t="shared" si="8"/>
        <v>0.20645621594271493</v>
      </c>
      <c r="E100" s="45">
        <f t="shared" si="8"/>
        <v>0.23004371961745951</v>
      </c>
      <c r="F100" s="45">
        <f t="shared" si="8"/>
        <v>0.24407455532359082</v>
      </c>
      <c r="G100" s="45">
        <f t="shared" si="8"/>
        <v>0.18471192359892744</v>
      </c>
      <c r="H100" s="45">
        <f t="shared" si="8"/>
        <v>0.1710265600559899</v>
      </c>
      <c r="I100" s="45">
        <f t="shared" si="8"/>
        <v>0.21627115323779156</v>
      </c>
      <c r="J100" s="45">
        <f t="shared" si="8"/>
        <v>0.24754256885055675</v>
      </c>
      <c r="K100" s="45">
        <f t="shared" si="8"/>
        <v>0.26141787799916544</v>
      </c>
      <c r="L100" s="29"/>
    </row>
    <row r="101" spans="1:12">
      <c r="A101" s="47" t="s">
        <v>148</v>
      </c>
      <c r="B101" s="45">
        <f>B96*(1-B97)</f>
        <v>6.7083224884203582E-2</v>
      </c>
      <c r="C101" s="45">
        <f t="shared" ref="C101:K101" si="9">C96*(1-C97)</f>
        <v>0.22722170474390496</v>
      </c>
      <c r="D101" s="45">
        <f t="shared" si="9"/>
        <v>0.33356698229360965</v>
      </c>
      <c r="E101" s="45">
        <f t="shared" si="9"/>
        <v>0.30228667569216883</v>
      </c>
      <c r="F101" s="45">
        <f t="shared" si="9"/>
        <v>0.29307710099715895</v>
      </c>
      <c r="G101" s="45">
        <f t="shared" si="9"/>
        <v>0.22455230087169978</v>
      </c>
      <c r="H101" s="45">
        <f t="shared" si="9"/>
        <v>0.17677641808472017</v>
      </c>
      <c r="I101" s="45">
        <f t="shared" si="9"/>
        <v>0.22151525574709011</v>
      </c>
      <c r="J101" s="45">
        <f t="shared" si="9"/>
        <v>0.25856893936649433</v>
      </c>
      <c r="K101" s="45">
        <f t="shared" si="9"/>
        <v>0.27485542258196083</v>
      </c>
      <c r="L101" s="29"/>
    </row>
    <row r="102" spans="1:12">
      <c r="A102" s="48" t="s">
        <v>151</v>
      </c>
      <c r="B102" s="52">
        <f>B82*(B98-0.1)</f>
        <v>-1.9982224231464736</v>
      </c>
      <c r="C102" s="52">
        <f t="shared" ref="C102:K102" si="10">C82*(C98-0.1)</f>
        <v>6.9994276457883329</v>
      </c>
      <c r="D102" s="52">
        <f t="shared" si="10"/>
        <v>11.943814930991214</v>
      </c>
      <c r="E102" s="52">
        <f t="shared" si="10"/>
        <v>20.694317435798425</v>
      </c>
      <c r="F102" s="52">
        <f t="shared" si="10"/>
        <v>30.54527040000001</v>
      </c>
      <c r="G102" s="52">
        <f t="shared" si="10"/>
        <v>23.110955882352922</v>
      </c>
      <c r="H102" s="52">
        <f t="shared" si="10"/>
        <v>26.026632881785407</v>
      </c>
      <c r="I102" s="52">
        <f t="shared" si="10"/>
        <v>45.011928221479138</v>
      </c>
      <c r="J102" s="52">
        <f t="shared" si="10"/>
        <v>66.278809798270885</v>
      </c>
      <c r="K102" s="52">
        <f t="shared" si="10"/>
        <v>74.483911878216119</v>
      </c>
      <c r="L102" s="29"/>
    </row>
    <row r="103" spans="1:12">
      <c r="A103" s="48" t="s">
        <v>149</v>
      </c>
      <c r="B103" s="52">
        <f>B83*(B99-0.1)</f>
        <v>-1.9102224231464733</v>
      </c>
      <c r="C103" s="52">
        <f t="shared" ref="C103:K103" si="11">C83*(C99-0.1)</f>
        <v>7.1364276457883351</v>
      </c>
      <c r="D103" s="52">
        <f t="shared" si="11"/>
        <v>12.132814930991218</v>
      </c>
      <c r="E103" s="52">
        <f t="shared" si="11"/>
        <v>20.873317435798423</v>
      </c>
      <c r="F103" s="52">
        <f t="shared" si="11"/>
        <v>30.739270399999999</v>
      </c>
      <c r="G103" s="52">
        <f t="shared" si="11"/>
        <v>26.305955882352926</v>
      </c>
      <c r="H103" s="52">
        <f t="shared" si="11"/>
        <v>29.403632881785402</v>
      </c>
      <c r="I103" s="52">
        <f t="shared" si="11"/>
        <v>49.281928221479134</v>
      </c>
      <c r="J103" s="52">
        <f t="shared" si="11"/>
        <v>68.992809798270869</v>
      </c>
      <c r="K103" s="52">
        <f t="shared" si="11"/>
        <v>81.706911878216133</v>
      </c>
      <c r="L103" s="29"/>
    </row>
    <row r="104" spans="1:12">
      <c r="A104" s="48" t="s">
        <v>102</v>
      </c>
      <c r="B104" s="51">
        <f>B84*(B100-0.1)</f>
        <v>-1.9102224231464744</v>
      </c>
      <c r="C104" s="51">
        <f t="shared" ref="C104:K104" si="12">C84*(C100-0.1)</f>
        <v>7.1364276457883316</v>
      </c>
      <c r="D104" s="51">
        <f t="shared" si="12"/>
        <v>12.13281493099122</v>
      </c>
      <c r="E104" s="51">
        <f t="shared" si="12"/>
        <v>20.873317435798423</v>
      </c>
      <c r="F104" s="51">
        <f t="shared" si="12"/>
        <v>31.055270400000001</v>
      </c>
      <c r="G104" s="51">
        <f t="shared" si="12"/>
        <v>27.095955882352929</v>
      </c>
      <c r="H104" s="51">
        <f t="shared" si="12"/>
        <v>30.680632881785399</v>
      </c>
      <c r="I104" s="51">
        <f t="shared" si="12"/>
        <v>49.555928221479135</v>
      </c>
      <c r="J104" s="51">
        <f t="shared" si="12"/>
        <v>69.26680979827087</v>
      </c>
      <c r="K104" s="51">
        <f t="shared" si="12"/>
        <v>81.980911878216133</v>
      </c>
      <c r="L104" s="29"/>
    </row>
    <row r="105" spans="1:12">
      <c r="A105" s="48" t="s">
        <v>150</v>
      </c>
      <c r="B105" s="51">
        <f>B85*(B101-0.1)</f>
        <v>-1.7472224231464744</v>
      </c>
      <c r="C105" s="51">
        <f t="shared" ref="C105:K105" si="13">C85*(C101-0.1)</f>
        <v>8.2274276457883335</v>
      </c>
      <c r="D105" s="51">
        <f t="shared" si="13"/>
        <v>16.475814930991223</v>
      </c>
      <c r="E105" s="51">
        <f t="shared" si="13"/>
        <v>24.709317435798422</v>
      </c>
      <c r="F105" s="51">
        <f t="shared" si="13"/>
        <v>34.659270399999997</v>
      </c>
      <c r="G105" s="51">
        <f t="shared" si="13"/>
        <v>32.770955882352929</v>
      </c>
      <c r="H105" s="51">
        <f t="shared" si="13"/>
        <v>32.085632881785401</v>
      </c>
      <c r="I105" s="51">
        <f t="shared" si="13"/>
        <v>50.564928221479136</v>
      </c>
      <c r="J105" s="51">
        <f t="shared" si="13"/>
        <v>71.26880979827088</v>
      </c>
      <c r="K105" s="51">
        <f t="shared" si="13"/>
        <v>84.463911878216166</v>
      </c>
      <c r="L105" s="29"/>
    </row>
    <row r="106" spans="1:12">
      <c r="A106" s="47" t="s">
        <v>92</v>
      </c>
      <c r="B106" s="45">
        <f>B102/'Data Sheet'!B17</f>
        <v>-2.4353716308914974E-2</v>
      </c>
      <c r="C106" s="45">
        <f>C102/'Data Sheet'!C17</f>
        <v>4.7833169177805862E-2</v>
      </c>
      <c r="D106" s="45">
        <f>D102/'Data Sheet'!D17</f>
        <v>6.2697191238799022E-2</v>
      </c>
      <c r="E106" s="45">
        <f>E102/'Data Sheet'!E17</f>
        <v>8.916121256268171E-2</v>
      </c>
      <c r="F106" s="45">
        <f>F102/'Data Sheet'!F17</f>
        <v>9.4669984193398463E-2</v>
      </c>
      <c r="G106" s="45">
        <f>G102/'Data Sheet'!G17</f>
        <v>5.1649210839746398E-2</v>
      </c>
      <c r="H106" s="45">
        <f>H102/'Data Sheet'!H17</f>
        <v>4.7076353655148513E-2</v>
      </c>
      <c r="I106" s="45">
        <f>I102/'Data Sheet'!I17</f>
        <v>6.4660233320614172E-2</v>
      </c>
      <c r="J106" s="45">
        <f>J102/'Data Sheet'!J17</f>
        <v>8.5883417514248356E-2</v>
      </c>
      <c r="K106" s="45">
        <f>K102/'Data Sheet'!K17</f>
        <v>0.11805041901611239</v>
      </c>
      <c r="L106" s="29"/>
    </row>
    <row r="107" spans="1:12">
      <c r="A107" s="47" t="s">
        <v>93</v>
      </c>
      <c r="B107" s="45">
        <f>B103/'Data Sheet'!B17</f>
        <v>-2.3281199550840626E-2</v>
      </c>
      <c r="C107" s="45">
        <f>C103/'Data Sheet'!C17</f>
        <v>4.8769409183272973E-2</v>
      </c>
      <c r="D107" s="45">
        <f>D103/'Data Sheet'!D17</f>
        <v>6.3689317223051017E-2</v>
      </c>
      <c r="E107" s="45">
        <f>E103/'Data Sheet'!E17</f>
        <v>8.9932431864706688E-2</v>
      </c>
      <c r="F107" s="45">
        <f>F103/'Data Sheet'!F17</f>
        <v>9.5271254920192158E-2</v>
      </c>
      <c r="G107" s="45">
        <f>G103/'Data Sheet'!G17</f>
        <v>5.8789513883593901E-2</v>
      </c>
      <c r="H107" s="45">
        <f>H103/'Data Sheet'!H17</f>
        <v>5.318459082188149E-2</v>
      </c>
      <c r="I107" s="45">
        <f>I103/'Data Sheet'!I17</f>
        <v>7.0794145089967578E-2</v>
      </c>
      <c r="J107" s="45">
        <f>J103/'Data Sheet'!J17</f>
        <v>8.9400191515518215E-2</v>
      </c>
      <c r="K107" s="45">
        <f>K103/'Data Sheet'!K17</f>
        <v>0.12949823580032668</v>
      </c>
      <c r="L107" s="29"/>
    </row>
    <row r="108" spans="1:12">
      <c r="A108" s="47" t="s">
        <v>103</v>
      </c>
      <c r="B108" s="45">
        <f>B104/'Data Sheet'!B17</f>
        <v>-2.3281199550840639E-2</v>
      </c>
      <c r="C108" s="45">
        <f>C104/'Data Sheet'!C17</f>
        <v>4.8769409183272952E-2</v>
      </c>
      <c r="D108" s="45">
        <f>D104/'Data Sheet'!D17</f>
        <v>6.3689317223051017E-2</v>
      </c>
      <c r="E108" s="45">
        <f>E104/'Data Sheet'!E17</f>
        <v>8.9932431864706688E-2</v>
      </c>
      <c r="F108" s="45">
        <f>F104/'Data Sheet'!F17</f>
        <v>9.6250644351464451E-2</v>
      </c>
      <c r="G108" s="45">
        <f>G104/'Data Sheet'!G17</f>
        <v>6.0555034824013164E-2</v>
      </c>
      <c r="H108" s="45">
        <f>H104/'Data Sheet'!H17</f>
        <v>5.5494398006340484E-2</v>
      </c>
      <c r="I108" s="45">
        <f>I104/'Data Sheet'!I17</f>
        <v>7.1187749732778555E-2</v>
      </c>
      <c r="J108" s="45">
        <f>J104/'Data Sheet'!J17</f>
        <v>8.9755237969588939E-2</v>
      </c>
      <c r="K108" s="45">
        <f>K104/'Data Sheet'!K17</f>
        <v>0.12993250159000891</v>
      </c>
      <c r="L108" s="29"/>
    </row>
    <row r="109" spans="1:12">
      <c r="A109" s="47" t="s">
        <v>152</v>
      </c>
      <c r="B109" s="45">
        <f>B105/'Data Sheet'!B17</f>
        <v>-2.1294606010316568E-2</v>
      </c>
      <c r="C109" s="45">
        <f>C105/'Data Sheet'!C17</f>
        <v>5.6225159883744498E-2</v>
      </c>
      <c r="D109" s="45">
        <f>D105/'Data Sheet'!D17</f>
        <v>8.6487217485518228E-2</v>
      </c>
      <c r="E109" s="45">
        <f>E105/'Data Sheet'!E17</f>
        <v>0.10645979076173383</v>
      </c>
      <c r="F109" s="45">
        <f>F105/'Data Sheet'!F17</f>
        <v>0.10742064280179761</v>
      </c>
      <c r="G109" s="45">
        <f>G105/'Data Sheet'!G17</f>
        <v>7.3237732718797049E-2</v>
      </c>
      <c r="H109" s="45">
        <f>H105/'Data Sheet'!H17</f>
        <v>5.8035728542099992E-2</v>
      </c>
      <c r="I109" s="45">
        <f>I105/'Data Sheet'!I17</f>
        <v>7.2637191647363472E-2</v>
      </c>
      <c r="J109" s="45">
        <f>J105/'Data Sheet'!J17</f>
        <v>9.2349409506266286E-2</v>
      </c>
      <c r="K109" s="45">
        <f>K105/'Data Sheet'!K17</f>
        <v>0.13386783719504899</v>
      </c>
      <c r="L109" s="29"/>
    </row>
    <row r="110" spans="1:12" ht="18.75">
      <c r="A110" s="115" t="s">
        <v>153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29"/>
    </row>
    <row r="111" spans="1:12">
      <c r="A111" s="54" t="s">
        <v>106</v>
      </c>
      <c r="B111" s="52">
        <f>'Data Sheet'!B17/'Data Sheet'!B66</f>
        <v>1.1362692147901954</v>
      </c>
      <c r="C111" s="52">
        <f>'Data Sheet'!C17/'Data Sheet'!C66</f>
        <v>1.4914891448374274</v>
      </c>
      <c r="D111" s="52">
        <f>'Data Sheet'!D17/'Data Sheet'!D66</f>
        <v>1.3846489315307455</v>
      </c>
      <c r="E111" s="52">
        <f>'Data Sheet'!E17/'Data Sheet'!E66</f>
        <v>1.2525634106853749</v>
      </c>
      <c r="F111" s="52">
        <f>'Data Sheet'!F17/'Data Sheet'!F66</f>
        <v>1.2497579114536932</v>
      </c>
      <c r="G111" s="52">
        <f>'Data Sheet'!G17/'Data Sheet'!G66</f>
        <v>1.1053307642903019</v>
      </c>
      <c r="H111" s="52">
        <f>'Data Sheet'!H17/'Data Sheet'!H66</f>
        <v>1.0132507376793798</v>
      </c>
      <c r="I111" s="52">
        <f>'Data Sheet'!I17/'Data Sheet'!I66</f>
        <v>1.2597813891201273</v>
      </c>
      <c r="J111" s="52">
        <f>'Data Sheet'!J17/'Data Sheet'!J66</f>
        <v>1.2868386386753596</v>
      </c>
      <c r="K111" s="52">
        <f>'Data Sheet'!K17/'Data Sheet'!K66</f>
        <v>0.91771875727251584</v>
      </c>
      <c r="L111" s="29"/>
    </row>
    <row r="112" spans="1:12">
      <c r="A112" s="54" t="s">
        <v>109</v>
      </c>
      <c r="B112" s="52">
        <f>'Data Sheet'!B61/('Data Sheet'!B57+'Data Sheet'!B58)</f>
        <v>2.4150501672240803</v>
      </c>
      <c r="C112" s="52">
        <f>'Data Sheet'!C61/('Data Sheet'!C57+'Data Sheet'!C58)</f>
        <v>2.299812470698547</v>
      </c>
      <c r="D112" s="52">
        <f>'Data Sheet'!D61/('Data Sheet'!D57+'Data Sheet'!D58)</f>
        <v>2.1198767334360555</v>
      </c>
      <c r="E112" s="52">
        <f>'Data Sheet'!E61/('Data Sheet'!E57+'Data Sheet'!E58)</f>
        <v>1.8683202258519862</v>
      </c>
      <c r="F112" s="52">
        <f>'Data Sheet'!F61/('Data Sheet'!F57+'Data Sheet'!F58)</f>
        <v>1.7967151506715848</v>
      </c>
      <c r="G112" s="52">
        <f>'Data Sheet'!G61/('Data Sheet'!G57+'Data Sheet'!G58)</f>
        <v>2.1645813282001924</v>
      </c>
      <c r="H112" s="52">
        <f>'Data Sheet'!H61/('Data Sheet'!H57+'Data Sheet'!H58)</f>
        <v>2.261772508705024</v>
      </c>
      <c r="I112" s="52">
        <f>'Data Sheet'!I61/('Data Sheet'!I57+'Data Sheet'!I58)</f>
        <v>1.7821137162576195</v>
      </c>
      <c r="J112" s="52">
        <f>'Data Sheet'!J61/('Data Sheet'!J57+'Data Sheet'!J58)</f>
        <v>1.3816610989517337</v>
      </c>
      <c r="K112" s="52">
        <f>'Data Sheet'!K61/('Data Sheet'!K57+'Data Sheet'!K58)</f>
        <v>1.2713487924849289</v>
      </c>
      <c r="L112" s="29"/>
    </row>
    <row r="113" spans="1:14">
      <c r="A113" s="55" t="s">
        <v>154</v>
      </c>
      <c r="B113" s="41">
        <f>'Data Sheet'!B30/'Data Sheet'!B17</f>
        <v>4.2778793418647168E-2</v>
      </c>
      <c r="C113" s="41">
        <f>'Data Sheet'!C30/'Data Sheet'!C17</f>
        <v>0.1038748035262762</v>
      </c>
      <c r="D113" s="41">
        <f>'Data Sheet'!D30/'Data Sheet'!D17</f>
        <v>0.13191601049868765</v>
      </c>
      <c r="E113" s="41">
        <f>'Data Sheet'!E30/'Data Sheet'!E17</f>
        <v>0.17251184834123223</v>
      </c>
      <c r="F113" s="41">
        <f>'Data Sheet'!F30/'Data Sheet'!F17</f>
        <v>0.1610723694405703</v>
      </c>
      <c r="G113" s="41">
        <f>'Data Sheet'!G30/'Data Sheet'!G17</f>
        <v>0.12249139587896125</v>
      </c>
      <c r="H113" s="41">
        <f>'Data Sheet'!H30/'Data Sheet'!H17</f>
        <v>0.12419057265853922</v>
      </c>
      <c r="I113" s="41">
        <f>'Data Sheet'!I30/'Data Sheet'!I17</f>
        <v>0.12375562035826643</v>
      </c>
      <c r="J113" s="41">
        <f>'Data Sheet'!J30/'Data Sheet'!J17</f>
        <v>0.15003952159434</v>
      </c>
      <c r="K113" s="41">
        <f>'Data Sheet'!K30/'Data Sheet'!K17</f>
        <v>0.20852682462952687</v>
      </c>
      <c r="L113" s="29"/>
    </row>
    <row r="114" spans="1:14">
      <c r="A114" s="47" t="s">
        <v>94</v>
      </c>
      <c r="B114" s="45">
        <f>B111*B112*B113</f>
        <v>0.11739130434782612</v>
      </c>
      <c r="C114" s="45">
        <f t="shared" ref="C114:K114" si="14">C111*C112*C113</f>
        <v>0.35630567276136899</v>
      </c>
      <c r="D114" s="45">
        <f t="shared" si="14"/>
        <v>0.38721109399075493</v>
      </c>
      <c r="E114" s="45">
        <f t="shared" si="14"/>
        <v>0.40371042548900982</v>
      </c>
      <c r="F114" s="45">
        <f t="shared" si="14"/>
        <v>0.36168139745284994</v>
      </c>
      <c r="G114" s="45">
        <f t="shared" si="14"/>
        <v>0.29307025986525503</v>
      </c>
      <c r="H114" s="45">
        <f t="shared" si="14"/>
        <v>0.28461283369258827</v>
      </c>
      <c r="I114" s="45">
        <f t="shared" si="14"/>
        <v>0.27784048763182512</v>
      </c>
      <c r="J114" s="45">
        <f t="shared" si="14"/>
        <v>0.26676650155512038</v>
      </c>
      <c r="K114" s="45">
        <f t="shared" si="14"/>
        <v>0.24329671955323787</v>
      </c>
      <c r="L114" s="29"/>
    </row>
    <row r="115" spans="1:14" s="29" customFormat="1" hidden="1">
      <c r="A115" s="68" t="s">
        <v>262</v>
      </c>
      <c r="B115" s="68">
        <f>('Profit &amp; Loss'!B10+'Profit &amp; Loss'!B9)*(1-B97)/('Balance Sheet'!B4+'Balance Sheet'!B5+'Balance Sheet'!B6-'Data Sheet'!B69)</f>
        <v>8.7011475598941401E-2</v>
      </c>
      <c r="C115" s="68">
        <f>('Profit &amp; Loss'!C10+'Profit &amp; Loss'!C9)*(1-C97)/('Balance Sheet'!C4+'Balance Sheet'!C5+'Balance Sheet'!C6-'Data Sheet'!C69)</f>
        <v>0.22943206088895263</v>
      </c>
      <c r="D115" s="68">
        <f>('Profit &amp; Loss'!D10+'Profit &amp; Loss'!D9)*(1-D97)/('Balance Sheet'!D4+'Balance Sheet'!D5+'Balance Sheet'!D6-'Data Sheet'!D69)</f>
        <v>0.2432517626366929</v>
      </c>
      <c r="E115" s="68">
        <f>('Profit &amp; Loss'!E10+'Profit &amp; Loss'!E9)*(1-E97)/('Balance Sheet'!E4+'Balance Sheet'!E5+'Balance Sheet'!E6-'Data Sheet'!E69)</f>
        <v>0.27074450334374783</v>
      </c>
      <c r="F115" s="68">
        <f>('Profit &amp; Loss'!F10+'Profit &amp; Loss'!F9)*(1-F97)/('Balance Sheet'!F4+'Balance Sheet'!F5+'Balance Sheet'!F6-'Data Sheet'!F69)</f>
        <v>0.26469033148918664</v>
      </c>
      <c r="G115" s="68">
        <f>('Profit &amp; Loss'!G10+'Profit &amp; Loss'!G9)*(1-G97)/('Balance Sheet'!G4+'Balance Sheet'!G5+'Balance Sheet'!G6-'Data Sheet'!G69)</f>
        <v>0.1860594395648178</v>
      </c>
      <c r="H115" s="68">
        <f>('Profit &amp; Loss'!H10+'Profit &amp; Loss'!H9)*(1-H97)/('Balance Sheet'!H4+'Balance Sheet'!H5+'Balance Sheet'!H6-'Data Sheet'!H69)</f>
        <v>0.17177377067053928</v>
      </c>
      <c r="I115" s="68">
        <f>('Profit &amp; Loss'!I10+'Profit &amp; Loss'!I9)*(1-I97)/('Balance Sheet'!I4+'Balance Sheet'!I5+'Balance Sheet'!I6-'Data Sheet'!I69)</f>
        <v>0.2292135759121359</v>
      </c>
      <c r="J115" s="68">
        <f>('Profit &amp; Loss'!J10+'Profit &amp; Loss'!J9)*(1-J97)/('Balance Sheet'!J4+'Balance Sheet'!J5+'Balance Sheet'!J6-'Data Sheet'!J69)</f>
        <v>0.25902494048616936</v>
      </c>
      <c r="K115" s="68">
        <f>('Profit &amp; Loss'!K10+'Profit &amp; Loss'!K9)*(1-K97)/('Balance Sheet'!K4+'Balance Sheet'!K5+'Balance Sheet'!K6-'Data Sheet'!K69)</f>
        <v>0.26852298055510226</v>
      </c>
    </row>
    <row r="116" spans="1:14" s="31" customFormat="1" hidden="1">
      <c r="A116" s="91" t="s">
        <v>263</v>
      </c>
      <c r="B116" s="93">
        <f>'Balance Sheet'!B6/('Balance Sheet'!B4+'Balance Sheet'!B5)</f>
        <v>0.85919732441471586</v>
      </c>
      <c r="C116" s="93">
        <f>'Balance Sheet'!C6/('Balance Sheet'!C4+'Balance Sheet'!C5)</f>
        <v>0.80379746835443044</v>
      </c>
      <c r="D116" s="93">
        <f>'Balance Sheet'!D6/('Balance Sheet'!D4+'Balance Sheet'!D5)</f>
        <v>0.78520801232665638</v>
      </c>
      <c r="E116" s="93">
        <f>'Balance Sheet'!E6/('Balance Sheet'!E4+'Balance Sheet'!E5)</f>
        <v>0.63641863278886868</v>
      </c>
      <c r="F116" s="93">
        <f>'Balance Sheet'!F6/('Balance Sheet'!F4+'Balance Sheet'!F5)</f>
        <v>0.53559746676873821</v>
      </c>
      <c r="G116" s="93">
        <f>'Balance Sheet'!G6/('Balance Sheet'!G4+'Balance Sheet'!G5)</f>
        <v>0.9233771789113463</v>
      </c>
      <c r="H116" s="93">
        <f>'Balance Sheet'!H6/('Balance Sheet'!H4+'Balance Sheet'!H5)</f>
        <v>0.98350190681479022</v>
      </c>
      <c r="I116" s="93">
        <f>'Balance Sheet'!I6/('Balance Sheet'!I4+'Balance Sheet'!I5)</f>
        <v>0.52110813687231916</v>
      </c>
      <c r="J116" s="93">
        <f>'Balance Sheet'!J6/('Balance Sheet'!J4+'Balance Sheet'!J5)</f>
        <v>0.1504434972929386</v>
      </c>
      <c r="K116" s="93">
        <f>'Balance Sheet'!K6/('Balance Sheet'!K4+'Balance Sheet'!K5)</f>
        <v>7.7795036798698161E-2</v>
      </c>
      <c r="L116" s="29"/>
    </row>
    <row r="117" spans="1:14" hidden="1">
      <c r="A117" s="92" t="s">
        <v>265</v>
      </c>
      <c r="B117" s="68"/>
      <c r="C117" s="68">
        <f>'Profit &amp; Loss'!C9/'Balance Sheet'!B6</f>
        <v>0.12689762553522771</v>
      </c>
      <c r="D117" s="68">
        <f>'Profit &amp; Loss'!D9/'Balance Sheet'!C6</f>
        <v>9.5946340040828235E-2</v>
      </c>
      <c r="E117" s="68">
        <f>'Profit &amp; Loss'!E9/'Balance Sheet'!D6</f>
        <v>8.673469387755102E-2</v>
      </c>
      <c r="F117" s="68">
        <f>'Profit &amp; Loss'!F9/'Balance Sheet'!E6</f>
        <v>0.11280101394169836</v>
      </c>
      <c r="G117" s="68">
        <f>'Profit &amp; Loss'!G9/'Balance Sheet'!F6</f>
        <v>0.11941268191268192</v>
      </c>
      <c r="H117" s="68">
        <f>'Profit &amp; Loss'!H9/'Balance Sheet'!G6</f>
        <v>6.6824946435809829E-2</v>
      </c>
      <c r="I117" s="68">
        <f>'Profit &amp; Loss'!I9/'Balance Sheet'!H6</f>
        <v>7.64983562336677E-2</v>
      </c>
      <c r="J117" s="68">
        <f>'Profit &amp; Loss'!J9/'Balance Sheet'!I6</f>
        <v>6.0403515286545362E-2</v>
      </c>
      <c r="K117" s="68">
        <f>'Profit &amp; Loss'!K9/'Balance Sheet'!J6</f>
        <v>0.1203675344563553</v>
      </c>
      <c r="L117" s="29"/>
    </row>
    <row r="118" spans="1:14" hidden="1">
      <c r="A118" s="92" t="s">
        <v>264</v>
      </c>
      <c r="B118" s="68"/>
      <c r="C118" s="68">
        <f t="shared" ref="C118:K118" si="15">C116*(C115-C117)</f>
        <v>8.2416919556475093E-2</v>
      </c>
      <c r="D118" s="68">
        <f t="shared" si="15"/>
        <v>0.11566539808143703</v>
      </c>
      <c r="E118" s="68">
        <f t="shared" si="15"/>
        <v>0.11710727136021722</v>
      </c>
      <c r="F118" s="68">
        <f t="shared" si="15"/>
        <v>8.1351533707667179E-2</v>
      </c>
      <c r="G118" s="68">
        <f t="shared" si="15"/>
        <v>6.1540095064417405E-2</v>
      </c>
      <c r="H118" s="68">
        <f t="shared" si="15"/>
        <v>0.10321736875282668</v>
      </c>
      <c r="I118" s="68">
        <f t="shared" si="15"/>
        <v>7.9581143598693491E-2</v>
      </c>
      <c r="J118" s="68">
        <f t="shared" si="15"/>
        <v>2.988130184433924E-2</v>
      </c>
      <c r="K118" s="68">
        <f t="shared" si="15"/>
        <v>1.1525758381179562E-2</v>
      </c>
      <c r="L118" s="29"/>
    </row>
    <row r="119" spans="1:14" hidden="1">
      <c r="A119" s="47" t="s">
        <v>266</v>
      </c>
      <c r="B119" s="45"/>
      <c r="C119" s="45">
        <f t="shared" ref="C119:K119" si="16">C115+C118</f>
        <v>0.31184898044542775</v>
      </c>
      <c r="D119" s="45">
        <f t="shared" si="16"/>
        <v>0.35891716071812996</v>
      </c>
      <c r="E119" s="45">
        <f t="shared" si="16"/>
        <v>0.38785177470396504</v>
      </c>
      <c r="F119" s="45">
        <f t="shared" si="16"/>
        <v>0.34604186519685382</v>
      </c>
      <c r="G119" s="45">
        <f t="shared" si="16"/>
        <v>0.2475995346292352</v>
      </c>
      <c r="H119" s="45">
        <f t="shared" si="16"/>
        <v>0.27499113942336595</v>
      </c>
      <c r="I119" s="45">
        <f t="shared" si="16"/>
        <v>0.30879471951082937</v>
      </c>
      <c r="J119" s="45">
        <f t="shared" si="16"/>
        <v>0.2889062423305086</v>
      </c>
      <c r="K119" s="45">
        <f t="shared" si="16"/>
        <v>0.28004873893628185</v>
      </c>
      <c r="L119" s="29"/>
    </row>
    <row r="120" spans="1:14">
      <c r="A120" s="47" t="s">
        <v>95</v>
      </c>
      <c r="B120" s="83">
        <f>'Balance Sheet'!B24</f>
        <v>8.5804299481097079E-2</v>
      </c>
      <c r="C120" s="83">
        <f>'Balance Sheet'!C24</f>
        <v>0.16187159297395551</v>
      </c>
      <c r="D120" s="83">
        <f>'Balance Sheet'!D24</f>
        <v>0.33466795526715498</v>
      </c>
      <c r="E120" s="83">
        <f>'Balance Sheet'!E24</f>
        <v>0.20808455704373061</v>
      </c>
      <c r="F120" s="83">
        <f>'Balance Sheet'!F24</f>
        <v>0.24193992835491868</v>
      </c>
      <c r="G120" s="83">
        <f>'Balance Sheet'!G24</f>
        <v>0.16569511285840161</v>
      </c>
      <c r="H120" s="83">
        <f>'Balance Sheet'!H24</f>
        <v>0.15145678356358486</v>
      </c>
      <c r="I120" s="83">
        <f>'Balance Sheet'!I24</f>
        <v>0.21101957194542534</v>
      </c>
      <c r="J120" s="83">
        <f>'Balance Sheet'!J24</f>
        <v>0.24700476300383989</v>
      </c>
      <c r="K120" s="83">
        <f>'Balance Sheet'!K24</f>
        <v>0.24268837343322291</v>
      </c>
      <c r="L120" s="29"/>
    </row>
    <row r="121" spans="1:14">
      <c r="A121" s="47" t="s">
        <v>238</v>
      </c>
      <c r="B121" s="83">
        <f>B88/('Data Sheet'!B62+'Balance Sheet'!B16-'Data Sheet'!B69)</f>
        <v>0.10568952524491333</v>
      </c>
      <c r="C121" s="83">
        <f>C88/('Data Sheet'!C62+'Balance Sheet'!C16-'Data Sheet'!C69)</f>
        <v>0.34606463584351316</v>
      </c>
      <c r="D121" s="83">
        <f>D88/('Data Sheet'!D62+'Balance Sheet'!D16-'Data Sheet'!D69)</f>
        <v>0.42316416217748792</v>
      </c>
      <c r="E121" s="83">
        <f>E88/('Data Sheet'!E62+'Balance Sheet'!E16-'Data Sheet'!E69)</f>
        <v>0.39099467867376186</v>
      </c>
      <c r="F121" s="83">
        <f>F88/('Data Sheet'!F62+'Balance Sheet'!F16-'Data Sheet'!F69)</f>
        <v>0.35245947300986019</v>
      </c>
      <c r="G121" s="83">
        <f>G88/('Data Sheet'!G62+'Balance Sheet'!G16-'Data Sheet'!G69)</f>
        <v>0.33430884420964613</v>
      </c>
      <c r="H121" s="83">
        <f>H88/('Data Sheet'!H62+'Balance Sheet'!H16-'Data Sheet'!H69)</f>
        <v>0.26414778301548181</v>
      </c>
      <c r="I121" s="83">
        <f>I88/('Data Sheet'!I62+'Balance Sheet'!I16-'Data Sheet'!I69)</f>
        <v>0.33060174949533794</v>
      </c>
      <c r="J121" s="83">
        <f>J88/('Data Sheet'!J62+'Balance Sheet'!J16-'Data Sheet'!J69)</f>
        <v>0.38740683057069752</v>
      </c>
      <c r="K121" s="83">
        <f>K88/('Data Sheet'!K62+'Balance Sheet'!K16-'Data Sheet'!K69)</f>
        <v>0.3897319118103717</v>
      </c>
      <c r="L121" s="29"/>
    </row>
    <row r="122" spans="1:14">
      <c r="A122" s="47" t="s">
        <v>120</v>
      </c>
      <c r="B122" s="45">
        <f>'Data Sheet'!B30/'Data Sheet'!B61</f>
        <v>4.8608226007478189E-2</v>
      </c>
      <c r="C122" s="45">
        <f>'Data Sheet'!C30/'Data Sheet'!C61</f>
        <v>0.15492814188156151</v>
      </c>
      <c r="D122" s="45">
        <f>'Data Sheet'!D30/'Data Sheet'!D61</f>
        <v>0.1826573629888065</v>
      </c>
      <c r="E122" s="45">
        <f>'Data Sheet'!E30/'Data Sheet'!E61</f>
        <v>0.21608202914193197</v>
      </c>
      <c r="F122" s="45">
        <f>'Data Sheet'!F30/'Data Sheet'!F61</f>
        <v>0.20130146802494478</v>
      </c>
      <c r="G122" s="45">
        <f>'Data Sheet'!G30/'Data Sheet'!G61</f>
        <v>0.13539350822587817</v>
      </c>
      <c r="H122" s="45">
        <f>'Data Sheet'!H30/'Data Sheet'!H61</f>
        <v>0.1258361893590895</v>
      </c>
      <c r="I122" s="45">
        <f>'Data Sheet'!I30/'Data Sheet'!I61</f>
        <v>0.15590502732636</v>
      </c>
      <c r="J122" s="45">
        <f>'Data Sheet'!J30/'Data Sheet'!J61</f>
        <v>0.19307665371596272</v>
      </c>
      <c r="K122" s="45">
        <f>'Data Sheet'!K30/'Data Sheet'!K61</f>
        <v>0.19136897835699324</v>
      </c>
      <c r="L122" s="29"/>
    </row>
    <row r="123" spans="1:14">
      <c r="A123" s="116" t="s">
        <v>332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29"/>
    </row>
    <row r="124" spans="1:14" s="30" customFormat="1">
      <c r="A124" s="57" t="s">
        <v>96</v>
      </c>
      <c r="B124" s="51">
        <f>B88*(1-B97)</f>
        <v>3.560777576853527</v>
      </c>
      <c r="C124" s="51">
        <f t="shared" ref="C124:K124" si="17">C88*(1-C97)</f>
        <v>14.694427645788334</v>
      </c>
      <c r="D124" s="51">
        <f t="shared" si="17"/>
        <v>23.529814930991218</v>
      </c>
      <c r="E124" s="51">
        <f t="shared" si="17"/>
        <v>36.924317435798422</v>
      </c>
      <c r="F124" s="51">
        <f t="shared" si="17"/>
        <v>52.610270400000005</v>
      </c>
      <c r="G124" s="51">
        <f t="shared" si="17"/>
        <v>59.081955882352929</v>
      </c>
      <c r="H124" s="51">
        <f t="shared" si="17"/>
        <v>73.876632881785412</v>
      </c>
      <c r="I124" s="51">
        <f t="shared" si="17"/>
        <v>92.17692822147913</v>
      </c>
      <c r="J124" s="51">
        <f t="shared" si="17"/>
        <v>116.21380979827089</v>
      </c>
      <c r="K124" s="51">
        <f t="shared" si="17"/>
        <v>132.76891187821616</v>
      </c>
      <c r="L124" s="29"/>
    </row>
    <row r="125" spans="1:14">
      <c r="A125" s="47" t="s">
        <v>97</v>
      </c>
      <c r="B125" s="84"/>
      <c r="C125" s="85"/>
      <c r="D125" s="45">
        <f t="shared" ref="D125:K125" si="18">(D124-C124)/(C82-B82)</f>
        <v>0.41364172683534134</v>
      </c>
      <c r="E125" s="45">
        <f t="shared" si="18"/>
        <v>0.34424318953500888</v>
      </c>
      <c r="F125" s="45">
        <f t="shared" si="18"/>
        <v>0.33776815168392732</v>
      </c>
      <c r="G125" s="45">
        <f t="shared" si="18"/>
        <v>0.11091149070013588</v>
      </c>
      <c r="H125" s="45">
        <f t="shared" si="18"/>
        <v>0.1063906011752659</v>
      </c>
      <c r="I125" s="45">
        <f t="shared" si="18"/>
        <v>0.15405585772955405</v>
      </c>
      <c r="J125" s="45">
        <f t="shared" si="18"/>
        <v>-3.5090338068309017</v>
      </c>
      <c r="K125" s="45">
        <f t="shared" si="18"/>
        <v>0.59765711479946726</v>
      </c>
      <c r="L125" s="29">
        <f>(K124-B124)/(K82-B82)</f>
        <v>0.24505582502249859</v>
      </c>
      <c r="M125" s="36">
        <f>(K124-G124)/(J82-F82)</f>
        <v>0.26439524935724151</v>
      </c>
      <c r="N125" s="29">
        <f>(K124-I124)/(J82-H82)</f>
        <v>1.9468577293399032</v>
      </c>
    </row>
    <row r="126" spans="1:14">
      <c r="A126" s="47" t="s">
        <v>98</v>
      </c>
      <c r="B126" s="84"/>
      <c r="C126" s="85"/>
      <c r="D126" s="45">
        <f>(D124-C124)/(C83-B83)</f>
        <v>0.42335348755164787</v>
      </c>
      <c r="E126" s="45">
        <f t="shared" ref="E126:K126" si="19">(E124-D124)/(D83-C83)</f>
        <v>0.34890603034142209</v>
      </c>
      <c r="F126" s="45">
        <f t="shared" si="19"/>
        <v>0.33704239287068288</v>
      </c>
      <c r="G126" s="45">
        <f t="shared" si="19"/>
        <v>0.11119734505761046</v>
      </c>
      <c r="H126" s="45">
        <f t="shared" si="19"/>
        <v>0.13566874827540096</v>
      </c>
      <c r="I126" s="45">
        <f t="shared" si="19"/>
        <v>0.15645289680852972</v>
      </c>
      <c r="J126" s="45">
        <f t="shared" si="19"/>
        <v>-1.5232497830666485</v>
      </c>
      <c r="K126" s="45">
        <f t="shared" si="19"/>
        <v>0.3826884438267511</v>
      </c>
      <c r="L126" s="29">
        <f>(K124-B124)/(K83-B83)</f>
        <v>0.28340710732680263</v>
      </c>
      <c r="M126" s="36">
        <f>(K124-G124)/(J83-F83)</f>
        <v>0.29067832739985489</v>
      </c>
      <c r="N126" s="29">
        <f>(K124-I124)/(J83-H83)</f>
        <v>1.4771464212786392</v>
      </c>
    </row>
    <row r="127" spans="1:14">
      <c r="A127" s="47" t="s">
        <v>104</v>
      </c>
      <c r="B127" s="84"/>
      <c r="C127" s="85"/>
      <c r="D127" s="45">
        <f t="shared" ref="D127:K127" si="20">(D124-C124)/(C84-B84)</f>
        <v>0.42335348755164748</v>
      </c>
      <c r="E127" s="45">
        <f t="shared" si="20"/>
        <v>0.34890603034142248</v>
      </c>
      <c r="F127" s="45">
        <f t="shared" si="20"/>
        <v>0.33704239287068299</v>
      </c>
      <c r="G127" s="45">
        <f t="shared" si="20"/>
        <v>0.11758149495554002</v>
      </c>
      <c r="H127" s="45">
        <f t="shared" si="20"/>
        <v>0.14183373597385182</v>
      </c>
      <c r="I127" s="45">
        <f t="shared" si="20"/>
        <v>0.16324973541207596</v>
      </c>
      <c r="J127" s="45">
        <f t="shared" si="20"/>
        <v>-4.180327230746351</v>
      </c>
      <c r="K127" s="45">
        <f t="shared" si="20"/>
        <v>0.3826884438267516</v>
      </c>
      <c r="L127" s="29">
        <f>(K124-B124)/(K84-B84)</f>
        <v>0.28512067061227053</v>
      </c>
      <c r="M127" s="29">
        <f>(K124-G124)/(J84-F84)</f>
        <v>0.29019752676379662</v>
      </c>
      <c r="N127" s="29">
        <f>(K124-I124)/(J84-H84)</f>
        <v>1.0821643203608931</v>
      </c>
    </row>
    <row r="128" spans="1:14">
      <c r="A128" s="47" t="s">
        <v>155</v>
      </c>
      <c r="B128" s="84"/>
      <c r="C128" s="85"/>
      <c r="D128" s="45">
        <f t="shared" ref="D128:K128" si="21">(D124-C124)/(C85-B85)</f>
        <v>0.76232849742906705</v>
      </c>
      <c r="E128" s="45">
        <f t="shared" si="21"/>
        <v>2.2818573262022532</v>
      </c>
      <c r="F128" s="45">
        <f t="shared" si="21"/>
        <v>0.30393243488086763</v>
      </c>
      <c r="G128" s="45">
        <f t="shared" si="21"/>
        <v>0.11282575806054614</v>
      </c>
      <c r="H128" s="45">
        <f t="shared" si="21"/>
        <v>0.17696982056737415</v>
      </c>
      <c r="I128" s="45">
        <f t="shared" si="21"/>
        <v>0.11821896214272432</v>
      </c>
      <c r="J128" s="45">
        <f t="shared" si="21"/>
        <v>-13.42842546189511</v>
      </c>
      <c r="K128" s="45">
        <f t="shared" si="21"/>
        <v>0.49670273267162557</v>
      </c>
      <c r="L128" s="29">
        <f>(K124-B124)/(K85-B85)</f>
        <v>0.30050499872401015</v>
      </c>
      <c r="M128" s="29">
        <f>(K124-G124)/(J85-F85)</f>
        <v>0.27297531301720096</v>
      </c>
      <c r="N128" s="29">
        <f>(K124-I124)/(J85-H85)</f>
        <v>1.287000115939664</v>
      </c>
    </row>
    <row r="129" spans="1:14">
      <c r="A129" s="47"/>
      <c r="B129" s="84"/>
      <c r="C129" s="85"/>
      <c r="D129" s="45"/>
      <c r="E129" s="45"/>
      <c r="F129" s="45"/>
      <c r="G129" s="45"/>
      <c r="H129" s="45"/>
      <c r="I129" s="45"/>
      <c r="J129" s="45"/>
      <c r="K129" s="45"/>
      <c r="L129" s="29"/>
      <c r="M129" s="29"/>
      <c r="N129" s="29"/>
    </row>
    <row r="130" spans="1:14">
      <c r="A130" s="47" t="s">
        <v>306</v>
      </c>
      <c r="B130" s="84"/>
      <c r="C130" s="85"/>
      <c r="D130" s="45"/>
      <c r="E130" s="45"/>
      <c r="F130" s="45">
        <f>(F124-C124)/(E82-B82)</f>
        <v>0.35531667842012615</v>
      </c>
      <c r="G130" s="45">
        <f t="shared" ref="G130:K130" si="22">(G124-D124)/(F82-C82)</f>
        <v>0.24740529541657419</v>
      </c>
      <c r="H130" s="45">
        <f t="shared" si="22"/>
        <v>0.15153707379941353</v>
      </c>
      <c r="I130" s="45">
        <f t="shared" si="22"/>
        <v>0.12513174516596814</v>
      </c>
      <c r="J130" s="45">
        <f t="shared" si="22"/>
        <v>0.22761694787218309</v>
      </c>
      <c r="K130" s="45">
        <f t="shared" si="22"/>
        <v>0.42174361928122855</v>
      </c>
      <c r="L130" s="29"/>
      <c r="M130" s="29"/>
      <c r="N130" s="29"/>
    </row>
    <row r="131" spans="1:14">
      <c r="A131" s="47" t="s">
        <v>307</v>
      </c>
      <c r="B131" s="84"/>
      <c r="C131" s="85"/>
      <c r="D131" s="45"/>
      <c r="E131" s="45"/>
      <c r="F131" s="45">
        <f>(F124-C124)/(E83-B83)</f>
        <v>0.35837280486022366</v>
      </c>
      <c r="G131" s="45">
        <f t="shared" ref="G131:K131" si="23">(G124-D124)/(F83-C83)</f>
        <v>0.2483905606886167</v>
      </c>
      <c r="H131" s="45">
        <f t="shared" si="23"/>
        <v>0.17284398449874638</v>
      </c>
      <c r="I131" s="45">
        <f t="shared" si="23"/>
        <v>0.13921137788149715</v>
      </c>
      <c r="J131" s="45">
        <f t="shared" si="23"/>
        <v>0.27174588049808768</v>
      </c>
      <c r="K131" s="45">
        <f t="shared" si="23"/>
        <v>0.40770009689464004</v>
      </c>
      <c r="L131" s="29"/>
      <c r="M131" s="29"/>
      <c r="N131" s="29"/>
    </row>
    <row r="132" spans="1:14">
      <c r="A132" s="47" t="s">
        <v>308</v>
      </c>
      <c r="B132" s="84"/>
      <c r="C132" s="85"/>
      <c r="D132" s="45"/>
      <c r="E132" s="45"/>
      <c r="F132" s="45">
        <f>(F124-C124)/(E84-B84)</f>
        <v>0.35837280486022377</v>
      </c>
      <c r="G132" s="45">
        <f t="shared" ref="G132:K132" si="24">(G124-D124)/(F84-C84)</f>
        <v>0.2539982921437573</v>
      </c>
      <c r="H132" s="45">
        <f t="shared" si="24"/>
        <v>0.17947600877161099</v>
      </c>
      <c r="I132" s="45">
        <f t="shared" si="24"/>
        <v>0.1457603898378306</v>
      </c>
      <c r="J132" s="45">
        <f t="shared" si="24"/>
        <v>0.27120409150250624</v>
      </c>
      <c r="K132" s="45">
        <f t="shared" si="24"/>
        <v>0.39363865380944296</v>
      </c>
      <c r="L132" s="29"/>
      <c r="M132" s="29"/>
      <c r="N132" s="29"/>
    </row>
    <row r="133" spans="1:14">
      <c r="A133" s="47" t="s">
        <v>309</v>
      </c>
      <c r="B133" s="84"/>
      <c r="C133" s="85"/>
      <c r="D133" s="45"/>
      <c r="E133" s="45"/>
      <c r="F133" s="45">
        <f>(F124-C124)/(E85-B85)</f>
        <v>0.5489480636196854</v>
      </c>
      <c r="G133" s="45">
        <f t="shared" ref="G133:K133" si="25">(G124-D124)/(F85-C85)</f>
        <v>0.30957977143296511</v>
      </c>
      <c r="H133" s="45">
        <f t="shared" si="25"/>
        <v>0.19189030194727624</v>
      </c>
      <c r="I133" s="45">
        <f t="shared" si="25"/>
        <v>0.13377961124384341</v>
      </c>
      <c r="J133" s="45">
        <f t="shared" si="25"/>
        <v>0.24146001401427647</v>
      </c>
      <c r="K133" s="45">
        <f t="shared" si="25"/>
        <v>0.3160474347774539</v>
      </c>
      <c r="L133" s="29"/>
      <c r="M133" s="29"/>
      <c r="N133" s="29"/>
    </row>
    <row r="134" spans="1:14">
      <c r="A134" s="47"/>
      <c r="B134" s="84"/>
      <c r="C134" s="85"/>
      <c r="D134" s="45"/>
      <c r="E134" s="45"/>
      <c r="F134" s="45"/>
      <c r="G134" s="45"/>
      <c r="H134" s="45"/>
      <c r="I134" s="45"/>
      <c r="J134" s="45"/>
      <c r="K134" s="45"/>
      <c r="L134" s="29"/>
      <c r="M134" s="29"/>
      <c r="N134" s="29"/>
    </row>
    <row r="135" spans="1:14">
      <c r="A135" s="47" t="s">
        <v>310</v>
      </c>
      <c r="B135" s="84"/>
      <c r="C135" s="85"/>
      <c r="D135" s="45"/>
      <c r="E135" s="45"/>
      <c r="F135" s="45"/>
      <c r="G135" s="45"/>
      <c r="H135" s="45">
        <f>(H124-C124)/(G82-B82)</f>
        <v>0.19460149031960106</v>
      </c>
      <c r="I135" s="45">
        <f t="shared" ref="I135:K135" si="26">(I124-D124)/(H82-C82)</f>
        <v>0.17095533131736498</v>
      </c>
      <c r="J135" s="45">
        <f t="shared" si="26"/>
        <v>0.22285475241707881</v>
      </c>
      <c r="K135" s="45">
        <f t="shared" si="26"/>
        <v>0.23782418477441375</v>
      </c>
      <c r="L135" s="29"/>
      <c r="M135" s="29"/>
      <c r="N135" s="29"/>
    </row>
    <row r="136" spans="1:14">
      <c r="A136" s="47" t="s">
        <v>311</v>
      </c>
      <c r="B136" s="84"/>
      <c r="C136" s="85"/>
      <c r="D136" s="45"/>
      <c r="E136" s="45"/>
      <c r="F136" s="45"/>
      <c r="G136" s="45"/>
      <c r="H136" s="45">
        <f>(H124-C124)/(G83-B83)</f>
        <v>0.21674493768905717</v>
      </c>
      <c r="I136" s="45">
        <f t="shared" ref="I136:K136" si="27">(I124-D124)/(H83-C83)</f>
        <v>0.18595994389946607</v>
      </c>
      <c r="J136" s="45">
        <f t="shared" si="27"/>
        <v>0.25172865693844837</v>
      </c>
      <c r="K136" s="45">
        <f t="shared" si="27"/>
        <v>0.2571659976843636</v>
      </c>
      <c r="L136" s="29"/>
      <c r="M136" s="29"/>
      <c r="N136" s="29"/>
    </row>
    <row r="137" spans="1:14">
      <c r="A137" s="47" t="s">
        <v>312</v>
      </c>
      <c r="B137" s="84"/>
      <c r="C137" s="85"/>
      <c r="D137" s="45"/>
      <c r="E137" s="45"/>
      <c r="F137" s="45"/>
      <c r="G137" s="45"/>
      <c r="H137" s="45">
        <f>(H124-C124)/(G84-B84)</f>
        <v>0.22320273519139008</v>
      </c>
      <c r="I137" s="45">
        <f t="shared" ref="I137:K137" si="28">(I124-E124)/(H84-D84)</f>
        <v>0.17375581240190166</v>
      </c>
      <c r="J137" s="45">
        <f t="shared" si="28"/>
        <v>0.23938102897354491</v>
      </c>
      <c r="K137" s="45">
        <f t="shared" si="28"/>
        <v>0.29019752676379662</v>
      </c>
      <c r="L137" s="29"/>
      <c r="M137" s="29"/>
      <c r="N137" s="29"/>
    </row>
    <row r="138" spans="1:14">
      <c r="A138" s="47" t="s">
        <v>313</v>
      </c>
      <c r="B138" s="84"/>
      <c r="C138" s="85"/>
      <c r="D138" s="45"/>
      <c r="E138" s="45"/>
      <c r="F138" s="45"/>
      <c r="G138" s="45"/>
      <c r="H138" s="45">
        <f>(H124-C124)/(G85-B85)</f>
        <v>0.28177977068036508</v>
      </c>
      <c r="I138" s="45">
        <f t="shared" ref="I138:K138" si="29">(I124-D124)/(H85-C85)</f>
        <v>0.19433561683412953</v>
      </c>
      <c r="J138" s="45">
        <f t="shared" si="29"/>
        <v>0.22943889218841498</v>
      </c>
      <c r="K138" s="45">
        <f t="shared" si="29"/>
        <v>0.24490877323011356</v>
      </c>
      <c r="L138" s="29"/>
      <c r="M138" s="29"/>
      <c r="N138" s="29"/>
    </row>
    <row r="139" spans="1:14">
      <c r="A139" s="47"/>
      <c r="B139" s="84"/>
      <c r="C139" s="85"/>
      <c r="D139" s="45"/>
      <c r="E139" s="45"/>
      <c r="F139" s="45"/>
      <c r="G139" s="45"/>
      <c r="H139" s="45"/>
      <c r="I139" s="45"/>
      <c r="J139" s="45"/>
      <c r="K139" s="45"/>
      <c r="L139" s="29"/>
      <c r="M139" s="29"/>
      <c r="N139" s="29"/>
    </row>
    <row r="140" spans="1:14">
      <c r="A140" s="47" t="s">
        <v>314</v>
      </c>
      <c r="B140" s="84"/>
      <c r="C140" s="85"/>
      <c r="D140" s="45"/>
      <c r="E140" s="45">
        <f>(E82-B82)/SUM(B124:D124)</f>
        <v>2.5537860124909355</v>
      </c>
      <c r="F140" s="45">
        <f>(F82-C82)/SUM(C124:E124)</f>
        <v>1.9122122895761173</v>
      </c>
      <c r="G140" s="45">
        <f>(G82-D82)/SUM(D124:F124)</f>
        <v>2.1567354006457102</v>
      </c>
      <c r="H140" s="45">
        <f t="shared" ref="H140:K140" si="30">(H82-E82)/SUM(E124:G124)</f>
        <v>2.1276231574841877</v>
      </c>
      <c r="I140" s="45">
        <f t="shared" si="30"/>
        <v>1.3525976348110587</v>
      </c>
      <c r="J140" s="45">
        <f t="shared" si="30"/>
        <v>0.62024864787958234</v>
      </c>
      <c r="K140" s="45">
        <f t="shared" si="30"/>
        <v>0.3696849539028052</v>
      </c>
      <c r="L140" s="36">
        <f>(K82-B82)/SUM(B124:K124)</f>
        <v>0.87087386907853526</v>
      </c>
      <c r="M140" s="29">
        <f>(J82-F82)/SUM(G124:K124)</f>
        <v>0.58782805062815668</v>
      </c>
      <c r="N140" s="29">
        <f>(J82-H82)/SUM(I124:K124)</f>
        <v>6.1115082062711192E-2</v>
      </c>
    </row>
    <row r="141" spans="1:14">
      <c r="A141" s="47" t="s">
        <v>314</v>
      </c>
      <c r="B141" s="84"/>
      <c r="C141" s="85"/>
      <c r="D141" s="45"/>
      <c r="E141" s="45">
        <f>(E83-B83)/SUM(B124:D124)</f>
        <v>2.5320078729410644</v>
      </c>
      <c r="F141" s="45">
        <f>(F83-C83)/SUM(C124:E124)</f>
        <v>1.9046273138972143</v>
      </c>
      <c r="G141" s="45">
        <f t="shared" ref="G141:K141" si="31">(G83-D83)/SUM(C124:E124)</f>
        <v>2.8448981585837037</v>
      </c>
      <c r="H141" s="45">
        <f t="shared" si="31"/>
        <v>2.5137885403794291</v>
      </c>
      <c r="I141" s="45">
        <f t="shared" si="31"/>
        <v>1.4146473517693727</v>
      </c>
      <c r="J141" s="45">
        <f t="shared" si="31"/>
        <v>0.778417244416165</v>
      </c>
      <c r="K141" s="45">
        <f t="shared" si="31"/>
        <v>0.29266817107408871</v>
      </c>
      <c r="L141" s="36">
        <f>(K83-B83)/SUM(B124:K124)</f>
        <v>0.75302527339755543</v>
      </c>
      <c r="M141" s="29">
        <f>(J83-F83)/SUM(G124:K124)</f>
        <v>0.53467675218599831</v>
      </c>
      <c r="N141" s="29">
        <f>(J83-H83)/SUM(I124:K124)</f>
        <v>8.0548798804954566E-2</v>
      </c>
    </row>
    <row r="142" spans="1:14">
      <c r="A142" s="47" t="s">
        <v>314</v>
      </c>
      <c r="B142" s="84"/>
      <c r="C142" s="85"/>
      <c r="D142" s="45"/>
      <c r="E142" s="45">
        <f>(E84-B84)/SUM(B124:D124)</f>
        <v>2.5320078729410636</v>
      </c>
      <c r="F142" s="45">
        <f>(F84-C84)/SUM(C124:E124)</f>
        <v>1.8625772732913652</v>
      </c>
      <c r="G142" s="45">
        <f t="shared" ref="G142:K142" si="32">(G84-D84)/SUM(D124:F124)</f>
        <v>1.8209975461921071</v>
      </c>
      <c r="H142" s="45">
        <f t="shared" si="32"/>
        <v>1.826512669510066</v>
      </c>
      <c r="I142" s="45">
        <f t="shared" si="32"/>
        <v>1.135212022905568</v>
      </c>
      <c r="J142" s="45">
        <f t="shared" si="32"/>
        <v>0.66453308657450805</v>
      </c>
      <c r="K142" s="45">
        <f t="shared" si="32"/>
        <v>0.2689648461935879</v>
      </c>
      <c r="L142" s="36">
        <f>(K84-B84)/SUM(B124:K124)</f>
        <v>0.74849962305185247</v>
      </c>
      <c r="M142" s="29">
        <f>(J84-F84)/SUM(G124:K124)</f>
        <v>0.53556260716003401</v>
      </c>
      <c r="N142" s="29">
        <f>(J84-H84)/SUM(I124:K124)</f>
        <v>0.10994852413296356</v>
      </c>
    </row>
    <row r="143" spans="1:14">
      <c r="A143" s="47" t="s">
        <v>314</v>
      </c>
      <c r="B143" s="84"/>
      <c r="C143" s="85"/>
      <c r="D143" s="45"/>
      <c r="E143" s="45">
        <f>(E85-B85)/SUM(B124:D124)</f>
        <v>1.6529847238567039</v>
      </c>
      <c r="F143" s="45">
        <f>(F85-C85)/SUM(C124:E124)</f>
        <v>1.5281729946758615</v>
      </c>
      <c r="G143" s="45">
        <f t="shared" ref="G143:K143" si="33">(G85-D85)/SUM(D124:F124)</f>
        <v>1.7031885835650789</v>
      </c>
      <c r="H143" s="45">
        <f t="shared" si="33"/>
        <v>1.9900879982843875</v>
      </c>
      <c r="I143" s="45">
        <f t="shared" si="33"/>
        <v>1.275052296305357</v>
      </c>
      <c r="J143" s="45">
        <f t="shared" si="33"/>
        <v>0.82767926844658679</v>
      </c>
      <c r="K143" s="45">
        <f t="shared" si="33"/>
        <v>0.23077410538791274</v>
      </c>
      <c r="L143" s="36">
        <f>(K85-B85)/SUM(B124:K124)</f>
        <v>0.71018024786196132</v>
      </c>
      <c r="M143" s="29">
        <f>(J85-F85)/SUM(G124:K124)</f>
        <v>0.56935164688397766</v>
      </c>
      <c r="N143" s="29">
        <f>(J85-H85)/SUM(I124:K124)</f>
        <v>9.2449385527957326E-2</v>
      </c>
    </row>
    <row r="144" spans="1:14">
      <c r="A144" s="47"/>
      <c r="B144" s="84"/>
      <c r="C144" s="85"/>
      <c r="D144" s="45"/>
      <c r="E144" s="45"/>
      <c r="F144" s="45"/>
      <c r="G144" s="45"/>
      <c r="H144" s="45"/>
      <c r="I144" s="45"/>
      <c r="J144" s="45"/>
      <c r="K144" s="84"/>
      <c r="L144" s="36"/>
      <c r="M144" s="29"/>
      <c r="N144" s="29"/>
    </row>
    <row r="145" spans="1:14">
      <c r="A145" s="47" t="s">
        <v>315</v>
      </c>
      <c r="B145" s="84"/>
      <c r="C145" s="85"/>
      <c r="D145" s="45"/>
      <c r="E145" s="45"/>
      <c r="F145" s="45"/>
      <c r="G145" s="45">
        <f>(G82-B82)/SUM(B124:F124)</f>
        <v>2.3158765446853549</v>
      </c>
      <c r="H145" s="45">
        <f t="shared" ref="H145:K145" si="34">(H82-C82)/SUM(C124:G124)</f>
        <v>2.1491560165356374</v>
      </c>
      <c r="I145" s="45">
        <f t="shared" si="34"/>
        <v>1.446165652185694</v>
      </c>
      <c r="J145" s="45">
        <f t="shared" si="34"/>
        <v>1.0711217711364267</v>
      </c>
      <c r="K145" s="45">
        <f t="shared" si="34"/>
        <v>0.91938361849562</v>
      </c>
      <c r="L145" s="36"/>
      <c r="M145" s="29"/>
      <c r="N145" s="29"/>
    </row>
    <row r="146" spans="1:14">
      <c r="A146" s="47" t="s">
        <v>315</v>
      </c>
      <c r="B146" s="84"/>
      <c r="C146" s="85"/>
      <c r="D146" s="45"/>
      <c r="E146" s="45"/>
      <c r="F146" s="45"/>
      <c r="G146" s="45">
        <f>(G83-B83)/SUM(B124:F124)</f>
        <v>2.0792782142783648</v>
      </c>
      <c r="H146" s="45">
        <f t="shared" ref="H146:K146" si="35">(H83-C83)/SUM(C124:G124)</f>
        <v>1.9757463416862919</v>
      </c>
      <c r="I146" s="45">
        <f t="shared" si="35"/>
        <v>1.2802868465258999</v>
      </c>
      <c r="J146" s="45">
        <f t="shared" si="35"/>
        <v>0.99056121069047398</v>
      </c>
      <c r="K146" s="45">
        <f t="shared" si="35"/>
        <v>0.7409643072199239</v>
      </c>
      <c r="L146" s="36"/>
      <c r="M146" s="29"/>
      <c r="N146" s="29"/>
    </row>
    <row r="147" spans="1:14">
      <c r="A147" s="47" t="s">
        <v>315</v>
      </c>
      <c r="B147" s="84"/>
      <c r="C147" s="85"/>
      <c r="D147" s="45"/>
      <c r="E147" s="45"/>
      <c r="F147" s="45"/>
      <c r="G147" s="45">
        <f>(G84-B84)/SUM(B124:F124)</f>
        <v>2.0191196429808032</v>
      </c>
      <c r="H147" s="45">
        <f t="shared" ref="H147:K147" si="36">(H84-C84)/SUM(C124:G124)</f>
        <v>1.9073993803336331</v>
      </c>
      <c r="I147" s="45">
        <f t="shared" si="36"/>
        <v>1.269149676040533</v>
      </c>
      <c r="J147" s="45">
        <f t="shared" si="36"/>
        <v>0.98185367871327811</v>
      </c>
      <c r="K147" s="45">
        <f t="shared" si="36"/>
        <v>0.74203040639101159</v>
      </c>
      <c r="L147" s="36"/>
      <c r="M147" s="29"/>
      <c r="N147" s="29"/>
    </row>
    <row r="148" spans="1:14">
      <c r="A148" s="47" t="s">
        <v>315</v>
      </c>
      <c r="B148" s="84"/>
      <c r="C148" s="85"/>
      <c r="D148" s="45"/>
      <c r="E148" s="45"/>
      <c r="F148" s="45"/>
      <c r="G148" s="45">
        <f>(G85-B85)/SUM(B124:F124)</f>
        <v>1.5993803455223765</v>
      </c>
      <c r="H148" s="45">
        <f t="shared" ref="H148:K148" si="37">(H85-C85)/SUM(C124:G124)</f>
        <v>1.8905936278945297</v>
      </c>
      <c r="I148" s="45">
        <f t="shared" si="37"/>
        <v>1.4046654658150377</v>
      </c>
      <c r="J148" s="45">
        <f t="shared" si="37"/>
        <v>1.0401369401956755</v>
      </c>
      <c r="K148" s="45">
        <f t="shared" si="37"/>
        <v>0.77048510093362876</v>
      </c>
      <c r="L148" s="36"/>
      <c r="M148" s="29"/>
      <c r="N148" s="29"/>
    </row>
    <row r="149" spans="1:14">
      <c r="A149" s="113" t="s">
        <v>156</v>
      </c>
      <c r="B149" s="84"/>
      <c r="C149" s="85"/>
      <c r="D149" s="84"/>
      <c r="E149" s="84"/>
      <c r="F149" s="84"/>
      <c r="G149" s="84"/>
      <c r="H149" s="84"/>
      <c r="I149" s="84"/>
      <c r="J149" s="84"/>
      <c r="K149" s="84"/>
      <c r="L149" s="29"/>
    </row>
    <row r="150" spans="1:14">
      <c r="A150" s="58" t="s">
        <v>107</v>
      </c>
      <c r="B150" s="52">
        <f>'Data Sheet'!B17/Customization!B82</f>
        <v>1.4759848893685914</v>
      </c>
      <c r="C150" s="52">
        <f>'Data Sheet'!C17/Customization!C82</f>
        <v>1.9016244314489934</v>
      </c>
      <c r="D150" s="52">
        <f>'Data Sheet'!D17/Customization!D82</f>
        <v>1.6442257897462453</v>
      </c>
      <c r="E150" s="52">
        <f>'Data Sheet'!E17/Customization!E82</f>
        <v>1.4300677757239679</v>
      </c>
      <c r="F150" s="52">
        <f>'Data Sheet'!F17/Customization!F82</f>
        <v>1.4622705642420122</v>
      </c>
      <c r="G150" s="52">
        <f>'Data Sheet'!G17/Customization!G82</f>
        <v>1.2439465124683771</v>
      </c>
      <c r="H150" s="52">
        <f>'Data Sheet'!H17/Customization!H82</f>
        <v>1.1554022988505748</v>
      </c>
      <c r="I150" s="52">
        <f>'Data Sheet'!I17/Customization!I82</f>
        <v>1.4759461465069437</v>
      </c>
      <c r="J150" s="52">
        <f>'Data Sheet'!J17/Customization!J82</f>
        <v>1.5454691098427955</v>
      </c>
      <c r="K150" s="52">
        <f>'Data Sheet'!K17/Customization!K82</f>
        <v>1.0825255211460922</v>
      </c>
      <c r="L150" s="29"/>
    </row>
    <row r="151" spans="1:14">
      <c r="A151" s="58" t="s">
        <v>108</v>
      </c>
      <c r="B151" s="51">
        <f>'Data Sheet'!B17/Customization!B84</f>
        <v>1.4997258270882834</v>
      </c>
      <c r="C151" s="51">
        <f>'Data Sheet'!C17/Customization!C84</f>
        <v>1.9360942048160887</v>
      </c>
      <c r="D151" s="51">
        <f>'Data Sheet'!D17/Customization!D84</f>
        <v>1.6714924980257964</v>
      </c>
      <c r="E151" s="51">
        <f>'Data Sheet'!E17/Customization!E84</f>
        <v>1.4460158245592176</v>
      </c>
      <c r="F151" s="51">
        <f>'Data Sheet'!F17/Customization!F84</f>
        <v>1.4968684759916491</v>
      </c>
      <c r="G151" s="51">
        <f>'Data Sheet'!G17/Customization!G84</f>
        <v>1.3989245294816481</v>
      </c>
      <c r="H151" s="51">
        <f>'Data Sheet'!H17/Customization!H84</f>
        <v>1.2798870265765347</v>
      </c>
      <c r="I151" s="51">
        <f>'Data Sheet'!I17/Customization!I84</f>
        <v>1.633302831937308</v>
      </c>
      <c r="J151" s="51">
        <f>'Data Sheet'!J17/Customization!J84</f>
        <v>1.6438324067565555</v>
      </c>
      <c r="K151" s="51">
        <f>'Data Sheet'!K17/Customization!K84</f>
        <v>1.2423210207135547</v>
      </c>
      <c r="L151" s="29"/>
    </row>
    <row r="152" spans="1:14">
      <c r="A152" s="58" t="s">
        <v>105</v>
      </c>
      <c r="B152" s="52">
        <f>'Data Sheet'!B17/'Data Sheet'!B62</f>
        <v>2.279799944429008</v>
      </c>
      <c r="C152" s="52">
        <f>'Data Sheet'!C17*2/('Data Sheet'!B62+'Data Sheet'!C62)</f>
        <v>3.808693388859969</v>
      </c>
      <c r="D152" s="52">
        <f>'Data Sheet'!D17*2/('Data Sheet'!C62+'Data Sheet'!D62)</f>
        <v>4.4540565817161566</v>
      </c>
      <c r="E152" s="52">
        <f>'Data Sheet'!E17*2/('Data Sheet'!D62+'Data Sheet'!E62)</f>
        <v>3.733912483912484</v>
      </c>
      <c r="F152" s="52">
        <f>'Data Sheet'!F17*2/('Data Sheet'!E62+'Data Sheet'!F62)</f>
        <v>3.382075471698113</v>
      </c>
      <c r="G152" s="52">
        <f>'Data Sheet'!G17*2/('Data Sheet'!F62+'Data Sheet'!G62)</f>
        <v>3.5028965085329573</v>
      </c>
      <c r="H152" s="52">
        <f>'Data Sheet'!H17*2/('Data Sheet'!G62+'Data Sheet'!H62)</f>
        <v>2.5451615873308167</v>
      </c>
      <c r="I152" s="52">
        <f>'Data Sheet'!I17*2/('Data Sheet'!H62+'Data Sheet'!I62)</f>
        <v>2.3426100417283622</v>
      </c>
      <c r="J152" s="52">
        <f>'Data Sheet'!J17*2/('Data Sheet'!I62+'Data Sheet'!J62)</f>
        <v>2.4443494235398453</v>
      </c>
      <c r="K152" s="52">
        <f>'Data Sheet'!K17*2/('Data Sheet'!J62+'Data Sheet'!K62)</f>
        <v>1.7794793693769919</v>
      </c>
      <c r="L152" s="29"/>
    </row>
    <row r="153" spans="1:14">
      <c r="A153" s="58" t="s">
        <v>157</v>
      </c>
      <c r="B153" s="51">
        <f>B86/'Data Sheet'!B17</f>
        <v>0.21901279707495433</v>
      </c>
      <c r="C153" s="51">
        <f>C86/'Data Sheet'!C17</f>
        <v>0.17214515137019065</v>
      </c>
      <c r="D153" s="51">
        <f>D86/'Data Sheet'!D17</f>
        <v>0.14561679790026247</v>
      </c>
      <c r="E153" s="51">
        <f>E86/'Data Sheet'!E17</f>
        <v>0.19090909090909092</v>
      </c>
      <c r="F153" s="51">
        <f>F86/'Data Sheet'!F17</f>
        <v>0.21782116844878352</v>
      </c>
      <c r="G153" s="51">
        <f>G86/'Data Sheet'!G17</f>
        <v>0.33690162249139588</v>
      </c>
      <c r="H153" s="51">
        <f>H86/'Data Sheet'!H17</f>
        <v>0.29220779220779219</v>
      </c>
      <c r="I153" s="51">
        <f>I86/'Data Sheet'!I17</f>
        <v>0.22212805079511011</v>
      </c>
      <c r="J153" s="51">
        <f>J86/'Data Sheet'!J17</f>
        <v>0.19351327536832827</v>
      </c>
      <c r="K153" s="51">
        <f>K86/'Data Sheet'!K17</f>
        <v>0.27480782946350735</v>
      </c>
      <c r="L153" s="29"/>
    </row>
    <row r="154" spans="1:14" s="29" customFormat="1">
      <c r="A154" s="59" t="s">
        <v>158</v>
      </c>
      <c r="B154" s="41">
        <f>B87/'Data Sheet'!B17</f>
        <v>0.2082876294942109</v>
      </c>
      <c r="C154" s="41">
        <f>C87/'Data Sheet'!C17</f>
        <v>0.1627827513155197</v>
      </c>
      <c r="D154" s="41">
        <f>D87/'Data Sheet'!D17</f>
        <v>0.13569553805774279</v>
      </c>
      <c r="E154" s="41">
        <f>E87/'Data Sheet'!E17</f>
        <v>0.18319689788884103</v>
      </c>
      <c r="F154" s="41">
        <f>F87/'Data Sheet'!F17</f>
        <v>0.21180846118084615</v>
      </c>
      <c r="G154" s="41">
        <f>G87/'Data Sheet'!G17</f>
        <v>0.26549859205292092</v>
      </c>
      <c r="H154" s="41">
        <f>H87/'Data Sheet'!H17</f>
        <v>0.23112542054046231</v>
      </c>
      <c r="I154" s="41">
        <f>I87/'Data Sheet'!I17</f>
        <v>0.16078893310157585</v>
      </c>
      <c r="J154" s="41">
        <f>J87/'Data Sheet'!J17</f>
        <v>0.15834553535562954</v>
      </c>
      <c r="K154" s="41">
        <f>K87/'Data Sheet'!K17</f>
        <v>0.16032966162136458</v>
      </c>
    </row>
    <row r="155" spans="1:14">
      <c r="A155" s="58" t="s">
        <v>46</v>
      </c>
      <c r="B155" s="51">
        <f>'Balance Sheet'!B20</f>
        <v>87.635588056063384</v>
      </c>
      <c r="C155" s="51">
        <f>'Balance Sheet'!C20</f>
        <v>55.050570628032524</v>
      </c>
      <c r="D155" s="51">
        <f>'Balance Sheet'!D20</f>
        <v>53.495013123359584</v>
      </c>
      <c r="E155" s="51">
        <f>'Balance Sheet'!E20</f>
        <v>56.409090909090907</v>
      </c>
      <c r="F155" s="51">
        <f>'Balance Sheet'!F20</f>
        <v>58.734852006818535</v>
      </c>
      <c r="G155" s="51">
        <f>'Balance Sheet'!G20</f>
        <v>69.890493004961357</v>
      </c>
      <c r="H155" s="51">
        <f>'Balance Sheet'!H20</f>
        <v>74.728412256267404</v>
      </c>
      <c r="I155" s="51">
        <f>'Balance Sheet'!I20</f>
        <v>60.32386192234209</v>
      </c>
      <c r="J155" s="51">
        <f>'Balance Sheet'!J20</f>
        <v>61.059567465305221</v>
      </c>
      <c r="K155" s="51">
        <f>'Balance Sheet'!K20</f>
        <v>66.422537443537507</v>
      </c>
      <c r="L155" s="29"/>
    </row>
    <row r="156" spans="1:14">
      <c r="A156" s="58" t="s">
        <v>115</v>
      </c>
      <c r="B156" s="51">
        <f>365/B158</f>
        <v>36.522242535039616</v>
      </c>
      <c r="C156" s="51">
        <f t="shared" ref="C156:K156" si="38">365/C158</f>
        <v>30.231668147338205</v>
      </c>
      <c r="D156" s="51">
        <f t="shared" si="38"/>
        <v>23.107086614173227</v>
      </c>
      <c r="E156" s="51">
        <f t="shared" si="38"/>
        <v>29.706376561826801</v>
      </c>
      <c r="F156" s="51">
        <f t="shared" si="38"/>
        <v>39.605299860529989</v>
      </c>
      <c r="G156" s="51">
        <f t="shared" si="38"/>
        <v>35.092075269297816</v>
      </c>
      <c r="H156" s="51">
        <f t="shared" si="38"/>
        <v>36.073508664037909</v>
      </c>
      <c r="I156" s="51">
        <f t="shared" si="38"/>
        <v>24.449384454053124</v>
      </c>
      <c r="J156" s="51">
        <f t="shared" si="38"/>
        <v>25.771772511111397</v>
      </c>
      <c r="K156" s="51">
        <f t="shared" si="38"/>
        <v>25.8586258816071</v>
      </c>
      <c r="L156" s="29"/>
    </row>
    <row r="157" spans="1:14">
      <c r="A157" s="58" t="s">
        <v>119</v>
      </c>
      <c r="B157" s="51">
        <f>'Data Sheet'!B17/'Data Sheet'!B67</f>
        <v>4.1649746192893398</v>
      </c>
      <c r="C157" s="51">
        <f>'Data Sheet'!C17/'Data Sheet'!C67</f>
        <v>6.6302673312188496</v>
      </c>
      <c r="D157" s="51">
        <f>'Data Sheet'!D17/'Data Sheet'!D67</f>
        <v>6.8230659025787963</v>
      </c>
      <c r="E157" s="51">
        <f>'Data Sheet'!E17/'Data Sheet'!E67</f>
        <v>6.4705882352941178</v>
      </c>
      <c r="F157" s="51">
        <f>'Data Sheet'!F17/'Data Sheet'!F67</f>
        <v>6.2143682588597837</v>
      </c>
      <c r="G157" s="51">
        <f>'Data Sheet'!G17/'Data Sheet'!G67</f>
        <v>5.2224556489262364</v>
      </c>
      <c r="H157" s="51">
        <f>'Data Sheet'!H17/'Data Sheet'!H67</f>
        <v>4.8843537414965992</v>
      </c>
      <c r="I157" s="51">
        <f>'Data Sheet'!I17/'Data Sheet'!I67</f>
        <v>6.0506736201651456</v>
      </c>
      <c r="J157" s="51">
        <f>'Data Sheet'!J17/'Data Sheet'!J67</f>
        <v>5.9777691711851286</v>
      </c>
      <c r="K157" s="51">
        <f>'Data Sheet'!K17/'Data Sheet'!K67</f>
        <v>5.495122800905766</v>
      </c>
      <c r="L157" s="29"/>
    </row>
    <row r="158" spans="1:14">
      <c r="A158" s="58" t="s">
        <v>116</v>
      </c>
      <c r="B158" s="52">
        <f>'Data Sheet'!B17/'Data Sheet'!B68</f>
        <v>9.9939098660170504</v>
      </c>
      <c r="C158" s="52">
        <f>'Data Sheet'!C17/'Data Sheet'!C68</f>
        <v>12.073432343234325</v>
      </c>
      <c r="D158" s="52">
        <f>'Data Sheet'!D17/'Data Sheet'!D68</f>
        <v>15.796019900497512</v>
      </c>
      <c r="E158" s="52">
        <f>'Data Sheet'!E17/'Data Sheet'!E68</f>
        <v>12.286924298570671</v>
      </c>
      <c r="F158" s="52">
        <f>'Data Sheet'!F17/'Data Sheet'!F68</f>
        <v>9.2159383033419022</v>
      </c>
      <c r="G158" s="52">
        <f>'Data Sheet'!G17/'Data Sheet'!G68</f>
        <v>10.401208740120873</v>
      </c>
      <c r="H158" s="52">
        <f>'Data Sheet'!H17/'Data Sheet'!H68</f>
        <v>10.118228404099561</v>
      </c>
      <c r="I158" s="52">
        <f>'Data Sheet'!I17/'Data Sheet'!I68</f>
        <v>14.928801200943598</v>
      </c>
      <c r="J158" s="52">
        <f>'Data Sheet'!J17/'Data Sheet'!J68</f>
        <v>14.162782161864563</v>
      </c>
      <c r="K158" s="52">
        <f>'Data Sheet'!K17/'Data Sheet'!K68</f>
        <v>14.115212527964205</v>
      </c>
      <c r="L158" s="29"/>
    </row>
    <row r="159" spans="1:14">
      <c r="A159" s="124" t="s">
        <v>167</v>
      </c>
      <c r="B159" s="87">
        <f>'Data Sheet'!B30</f>
        <v>3.51</v>
      </c>
      <c r="C159" s="87">
        <f>'Data Sheet'!C30</f>
        <v>15.2</v>
      </c>
      <c r="D159" s="87">
        <f>'Data Sheet'!D30</f>
        <v>25.13</v>
      </c>
      <c r="E159" s="87">
        <f>'Data Sheet'!E30</f>
        <v>40.04</v>
      </c>
      <c r="F159" s="87">
        <f>'Data Sheet'!F30</f>
        <v>51.97</v>
      </c>
      <c r="G159" s="87">
        <f>'Data Sheet'!G30</f>
        <v>54.81</v>
      </c>
      <c r="H159" s="87">
        <f>'Data Sheet'!H30</f>
        <v>68.66</v>
      </c>
      <c r="I159" s="87">
        <f>'Data Sheet'!I30</f>
        <v>86.15</v>
      </c>
      <c r="J159" s="87">
        <f>'Data Sheet'!J30</f>
        <v>115.79</v>
      </c>
      <c r="K159" s="87">
        <f>'Data Sheet'!K30</f>
        <v>131.57</v>
      </c>
      <c r="L159" s="29"/>
    </row>
    <row r="160" spans="1:14">
      <c r="A160" s="124" t="s">
        <v>168</v>
      </c>
      <c r="B160" s="87">
        <f>'Data Sheet'!B82</f>
        <v>1.56</v>
      </c>
      <c r="C160" s="87">
        <f>'Data Sheet'!C82</f>
        <v>12.26</v>
      </c>
      <c r="D160" s="87">
        <f>'Data Sheet'!D82</f>
        <v>29.68</v>
      </c>
      <c r="E160" s="87">
        <f>'Data Sheet'!E82</f>
        <v>28.77</v>
      </c>
      <c r="F160" s="87">
        <f>'Data Sheet'!F82</f>
        <v>31.31</v>
      </c>
      <c r="G160" s="87">
        <f>'Data Sheet'!G82</f>
        <v>19.75</v>
      </c>
      <c r="H160" s="87">
        <f>'Data Sheet'!H82</f>
        <v>92.1</v>
      </c>
      <c r="I160" s="87">
        <f>'Data Sheet'!I82</f>
        <v>131.46</v>
      </c>
      <c r="J160" s="87">
        <f>'Data Sheet'!J82</f>
        <v>112.56</v>
      </c>
      <c r="K160" s="87">
        <f>'Data Sheet'!K82</f>
        <v>167.49</v>
      </c>
      <c r="L160" s="29"/>
    </row>
    <row r="161" spans="1:12">
      <c r="A161" s="124" t="s">
        <v>169</v>
      </c>
      <c r="B161" s="87"/>
      <c r="C161" s="87"/>
      <c r="D161" s="87">
        <f>SUM(B159:D159)</f>
        <v>43.84</v>
      </c>
      <c r="E161" s="87">
        <f t="shared" ref="E161:K161" si="39">SUM(C159:E159)</f>
        <v>80.37</v>
      </c>
      <c r="F161" s="87">
        <f t="shared" si="39"/>
        <v>117.14</v>
      </c>
      <c r="G161" s="87">
        <f t="shared" si="39"/>
        <v>146.82</v>
      </c>
      <c r="H161" s="87">
        <f t="shared" si="39"/>
        <v>175.44</v>
      </c>
      <c r="I161" s="87">
        <f t="shared" si="39"/>
        <v>209.62</v>
      </c>
      <c r="J161" s="87">
        <f t="shared" si="39"/>
        <v>270.60000000000002</v>
      </c>
      <c r="K161" s="87">
        <f t="shared" si="39"/>
        <v>333.51</v>
      </c>
      <c r="L161" s="29"/>
    </row>
    <row r="162" spans="1:12">
      <c r="A162" s="124" t="s">
        <v>166</v>
      </c>
      <c r="B162" s="87"/>
      <c r="C162" s="87"/>
      <c r="D162" s="87">
        <f>SUM(B160:D160)</f>
        <v>43.5</v>
      </c>
      <c r="E162" s="87">
        <f t="shared" ref="E162:K162" si="40">SUM(C160:E160)</f>
        <v>70.709999999999994</v>
      </c>
      <c r="F162" s="87">
        <f t="shared" si="40"/>
        <v>89.76</v>
      </c>
      <c r="G162" s="87">
        <f t="shared" si="40"/>
        <v>79.83</v>
      </c>
      <c r="H162" s="87">
        <f t="shared" si="40"/>
        <v>143.16</v>
      </c>
      <c r="I162" s="87">
        <f t="shared" si="40"/>
        <v>243.31</v>
      </c>
      <c r="J162" s="87">
        <f t="shared" si="40"/>
        <v>336.12</v>
      </c>
      <c r="K162" s="87">
        <f t="shared" si="40"/>
        <v>411.51</v>
      </c>
      <c r="L162" s="29"/>
    </row>
    <row r="163" spans="1:12">
      <c r="A163" s="124" t="s">
        <v>170</v>
      </c>
      <c r="B163" s="87"/>
      <c r="C163" s="87"/>
      <c r="D163" s="87"/>
      <c r="E163" s="87"/>
      <c r="F163" s="87">
        <f>SUM(B159:F159)</f>
        <v>135.85</v>
      </c>
      <c r="G163" s="87">
        <f t="shared" ref="G163:K163" si="41">SUM(C159:G159)</f>
        <v>187.15</v>
      </c>
      <c r="H163" s="87">
        <f t="shared" si="41"/>
        <v>240.60999999999999</v>
      </c>
      <c r="I163" s="87">
        <f t="shared" si="41"/>
        <v>301.63</v>
      </c>
      <c r="J163" s="87">
        <f t="shared" si="41"/>
        <v>377.38000000000005</v>
      </c>
      <c r="K163" s="87">
        <f t="shared" si="41"/>
        <v>456.98</v>
      </c>
      <c r="L163" s="29"/>
    </row>
    <row r="164" spans="1:12">
      <c r="A164" s="124" t="s">
        <v>171</v>
      </c>
      <c r="B164" s="87"/>
      <c r="C164" s="87"/>
      <c r="D164" s="87"/>
      <c r="E164" s="87"/>
      <c r="F164" s="87">
        <f>SUM(B160:F160)</f>
        <v>103.58</v>
      </c>
      <c r="G164" s="87">
        <f t="shared" ref="G164:K164" si="42">SUM(C160:G160)</f>
        <v>121.77</v>
      </c>
      <c r="H164" s="87">
        <f t="shared" si="42"/>
        <v>201.61</v>
      </c>
      <c r="I164" s="87">
        <f t="shared" si="42"/>
        <v>303.39</v>
      </c>
      <c r="J164" s="87">
        <f t="shared" si="42"/>
        <v>387.18</v>
      </c>
      <c r="K164" s="87">
        <f t="shared" si="42"/>
        <v>523.36</v>
      </c>
      <c r="L164" s="29"/>
    </row>
    <row r="165" spans="1:12">
      <c r="A165" s="58" t="s">
        <v>232</v>
      </c>
      <c r="B165" s="41">
        <f>('Data Sheet'!B17-'Data Sheet'!B18+'Data Sheet'!B19)/'Data Sheet'!B17</f>
        <v>0.32784887263863494</v>
      </c>
      <c r="C165" s="41">
        <f>('Data Sheet'!C17-'Data Sheet'!C18+'Data Sheet'!C19)/'Data Sheet'!C17</f>
        <v>0.35515615389872207</v>
      </c>
      <c r="D165" s="41">
        <f>('Data Sheet'!D17-'Data Sheet'!D18+'Data Sheet'!D19)/'Data Sheet'!D17</f>
        <v>0.36000000000000004</v>
      </c>
      <c r="E165" s="41">
        <f>('Data Sheet'!E17-'Data Sheet'!E18+'Data Sheet'!E19)/'Data Sheet'!E17</f>
        <v>0.42770357604480824</v>
      </c>
      <c r="F165" s="41">
        <f>('Data Sheet'!F17-'Data Sheet'!F18+'Data Sheet'!F19)/'Data Sheet'!F17</f>
        <v>0.43155121648845485</v>
      </c>
      <c r="G165" s="41">
        <f>('Data Sheet'!G17-'Data Sheet'!G18+'Data Sheet'!G19)/'Data Sheet'!G17</f>
        <v>0.40180127832655427</v>
      </c>
      <c r="H165" s="41">
        <f>('Data Sheet'!H17-'Data Sheet'!H18+'Data Sheet'!H19)/'Data Sheet'!H17</f>
        <v>0.393842925876352</v>
      </c>
      <c r="I165" s="41">
        <f>('Data Sheet'!I17-'Data Sheet'!I18+'Data Sheet'!I19)/'Data Sheet'!I17</f>
        <v>0.3983738669501386</v>
      </c>
      <c r="J165" s="41">
        <f>('Data Sheet'!J17-'Data Sheet'!J18+'Data Sheet'!J19)/'Data Sheet'!J17</f>
        <v>0.40842004327938536</v>
      </c>
      <c r="K165" s="41">
        <f>('Data Sheet'!K17-'Data Sheet'!K18+'Data Sheet'!K19)/'Data Sheet'!K17</f>
        <v>0.53037483160313814</v>
      </c>
      <c r="L165" s="29"/>
    </row>
    <row r="166" spans="1:12">
      <c r="A166" s="58" t="s">
        <v>285</v>
      </c>
      <c r="B166" s="41">
        <f>B88/'Data Sheet'!B17</f>
        <v>6.8372943327239491E-2</v>
      </c>
      <c r="C166" s="41">
        <f>C88/'Data Sheet'!C17</f>
        <v>0.1529419804551356</v>
      </c>
      <c r="D166" s="41">
        <f>D88/'Data Sheet'!D17</f>
        <v>0.15669291338582678</v>
      </c>
      <c r="E166" s="41">
        <f>E88/'Data Sheet'!E17</f>
        <v>0.20577337354588543</v>
      </c>
      <c r="F166" s="41">
        <f>F88/'Data Sheet'!F17</f>
        <v>0.19609483960948398</v>
      </c>
      <c r="G166" s="41">
        <f>G88/'Data Sheet'!G17</f>
        <v>0.19657623027756671</v>
      </c>
      <c r="H166" s="41">
        <f>H88/'Data Sheet'!H17</f>
        <v>0.19967080273486959</v>
      </c>
      <c r="I166" s="41">
        <f>I88/'Data Sheet'!I17</f>
        <v>0.19762113398359504</v>
      </c>
      <c r="J166" s="41">
        <f>J88/'Data Sheet'!J17</f>
        <v>0.22562295103209673</v>
      </c>
      <c r="K166" s="41">
        <f>K88/'Data Sheet'!K17</f>
        <v>0.2983754655677946</v>
      </c>
      <c r="L166" s="29"/>
    </row>
    <row r="167" spans="1:12">
      <c r="A167" s="58" t="s">
        <v>286</v>
      </c>
      <c r="B167" s="41">
        <f>B89/'Data Sheet'!B17</f>
        <v>0.10140158439975626</v>
      </c>
      <c r="C167" s="41">
        <f>C89/'Data Sheet'!C17</f>
        <v>0.17296521560855596</v>
      </c>
      <c r="D167" s="41">
        <f>D89/'Data Sheet'!D17</f>
        <v>0.17375328083989502</v>
      </c>
      <c r="E167" s="41">
        <f>E89/'Data Sheet'!E17</f>
        <v>0.22701421800947871</v>
      </c>
      <c r="F167" s="41">
        <f>F89/'Data Sheet'!F17</f>
        <v>0.21608554160855417</v>
      </c>
      <c r="G167" s="41">
        <f>G89/'Data Sheet'!G17</f>
        <v>0.21228713181066464</v>
      </c>
      <c r="H167" s="41">
        <f>H89/'Data Sheet'!H17</f>
        <v>0.21766812574612018</v>
      </c>
      <c r="I167" s="41">
        <f>I89/'Data Sheet'!I17</f>
        <v>0.21962851766193098</v>
      </c>
      <c r="J167" s="41">
        <f>J89/'Data Sheet'!J17</f>
        <v>0.24850660204993974</v>
      </c>
      <c r="K167" s="41">
        <f>K89/'Data Sheet'!K17</f>
        <v>0.3277280291623742</v>
      </c>
      <c r="L167" s="29"/>
    </row>
    <row r="168" spans="1:12">
      <c r="A168" s="58" t="s">
        <v>287</v>
      </c>
      <c r="B168" s="41">
        <f>'Profit &amp; Loss'!B7/'Profit &amp; Loss'!B4</f>
        <v>2.3034734917733089E-2</v>
      </c>
      <c r="C168" s="41">
        <f>'Profit &amp; Loss'!C7/'Profit &amp; Loss'!C4</f>
        <v>2.7540490671769287E-2</v>
      </c>
      <c r="D168" s="41">
        <f>'Profit &amp; Loss'!D7/'Profit &amp; Loss'!D4</f>
        <v>2.7926509186351707E-2</v>
      </c>
      <c r="E168" s="41">
        <f>'Profit &amp; Loss'!E7/'Profit &amp; Loss'!E4</f>
        <v>3.6406721240844458E-2</v>
      </c>
      <c r="F168" s="41">
        <f>'Profit &amp; Loss'!F7/'Profit &amp; Loss'!F4</f>
        <v>1.968076863474353E-2</v>
      </c>
      <c r="G168" s="41">
        <f>'Profit &amp; Loss'!G7/'Profit &amp; Loss'!G4</f>
        <v>6.3245876726411307E-3</v>
      </c>
      <c r="H168" s="41">
        <f>'Profit &amp; Loss'!H7/'Profit &amp; Loss'!H4</f>
        <v>6.8009984444524826E-3</v>
      </c>
      <c r="I168" s="41">
        <f>'Profit &amp; Loss'!I7/'Profit &amp; Loss'!I4</f>
        <v>1.3172826914513094E-2</v>
      </c>
      <c r="J168" s="41">
        <f>'Profit &amp; Loss'!J7/'Profit &amp; Loss'!J4</f>
        <v>1.184352040221321E-2</v>
      </c>
      <c r="K168" s="41">
        <f>'Profit &amp; Loss'!K7/'Profit &amp; Loss'!K4</f>
        <v>9.7630557096441868E-3</v>
      </c>
      <c r="L168" s="29"/>
    </row>
    <row r="169" spans="1:12">
      <c r="A169" s="58" t="s">
        <v>247</v>
      </c>
      <c r="B169" s="41">
        <f>('Data Sheet'!B20+'Data Sheet'!B21+'Data Sheet'!B22)/'Data Sheet'!B17</f>
        <v>0.14198659354052406</v>
      </c>
      <c r="C169" s="41">
        <f>('Data Sheet'!C20+'Data Sheet'!C21+'Data Sheet'!C22)/'Data Sheet'!C17</f>
        <v>0.10448985170505021</v>
      </c>
      <c r="D169" s="41">
        <f>('Data Sheet'!D20+'Data Sheet'!D21+'Data Sheet'!D22)/'Data Sheet'!D17</f>
        <v>0.11228346456692914</v>
      </c>
      <c r="E169" s="41">
        <f>('Data Sheet'!E20+'Data Sheet'!E21+'Data Sheet'!E22)/'Data Sheet'!E17</f>
        <v>0.14110297285652737</v>
      </c>
      <c r="F169" s="41">
        <f>('Data Sheet'!F20+'Data Sheet'!F21+'Data Sheet'!F22)/'Data Sheet'!F17</f>
        <v>0.15394390206105688</v>
      </c>
      <c r="G169" s="41">
        <f>('Data Sheet'!G20+'Data Sheet'!G21+'Data Sheet'!G22)/'Data Sheet'!G17</f>
        <v>0.1369284405309972</v>
      </c>
      <c r="H169" s="41">
        <f>('Data Sheet'!H20+'Data Sheet'!H21+'Data Sheet'!H22)/'Data Sheet'!H17</f>
        <v>0.12592699779329306</v>
      </c>
      <c r="I169" s="41">
        <f>('Data Sheet'!I20+'Data Sheet'!I21+'Data Sheet'!I22)/'Data Sheet'!I17</f>
        <v>0.12348268283222963</v>
      </c>
      <c r="J169" s="41">
        <f>('Data Sheet'!J20+'Data Sheet'!J21+'Data Sheet'!J22)/'Data Sheet'!J17</f>
        <v>0.11706166664507017</v>
      </c>
      <c r="K169" s="41">
        <f>('Data Sheet'!K20+'Data Sheet'!K21+'Data Sheet'!K22)/'Data Sheet'!K17</f>
        <v>0.15920437435612964</v>
      </c>
      <c r="L169" s="29"/>
    </row>
    <row r="170" spans="1:12">
      <c r="A170" s="58" t="s">
        <v>233</v>
      </c>
      <c r="B170" s="41">
        <f>('Data Sheet'!B23+'Data Sheet'!B24)/'Data Sheet'!B17</f>
        <v>8.4460694698354655E-2</v>
      </c>
      <c r="C170" s="41">
        <f>('Data Sheet'!C23+'Data Sheet'!C24)/'Data Sheet'!C17</f>
        <v>7.7701086585115819E-2</v>
      </c>
      <c r="D170" s="41">
        <f>('Data Sheet'!D23+'Data Sheet'!D24)/'Data Sheet'!D17</f>
        <v>7.3963254593175848E-2</v>
      </c>
      <c r="E170" s="41">
        <f>('Data Sheet'!E23+'Data Sheet'!E24)/'Data Sheet'!E17</f>
        <v>5.9586385178802243E-2</v>
      </c>
      <c r="F170" s="41">
        <f>('Data Sheet'!F23+'Data Sheet'!F24)/'Data Sheet'!F17</f>
        <v>6.152177281884396E-2</v>
      </c>
      <c r="G170" s="41">
        <f>('Data Sheet'!G23+'Data Sheet'!G24)/'Data Sheet'!G17</f>
        <v>5.2585705984892511E-2</v>
      </c>
      <c r="H170" s="41">
        <f>('Data Sheet'!H23+'Data Sheet'!H24)/'Data Sheet'!H17</f>
        <v>4.7679340158448789E-2</v>
      </c>
      <c r="I170" s="41">
        <f>('Data Sheet'!I23+'Data Sheet'!I24)/'Data Sheet'!I17</f>
        <v>5.5291396721876662E-2</v>
      </c>
      <c r="J170" s="41">
        <f>('Data Sheet'!J23+'Data Sheet'!J24)/'Data Sheet'!J17</f>
        <v>4.2851774584375363E-2</v>
      </c>
      <c r="K170" s="41">
        <f>('Data Sheet'!K23+'Data Sheet'!K24)/'Data Sheet'!K17</f>
        <v>4.3458277201046044E-2</v>
      </c>
      <c r="L170" s="29"/>
    </row>
    <row r="171" spans="1:12">
      <c r="A171" s="58" t="s">
        <v>18</v>
      </c>
      <c r="B171" s="41">
        <f>'Profit &amp; Loss'!B19</f>
        <v>0.11407678244972577</v>
      </c>
      <c r="C171" s="41">
        <f>'Profit &amp; Loss'!C19</f>
        <v>0.14740654684616974</v>
      </c>
      <c r="D171" s="41">
        <f>'Profit &amp; Loss'!D19</f>
        <v>0.17973753280839916</v>
      </c>
      <c r="E171" s="41">
        <f>'Profit &amp; Loss'!E19</f>
        <v>0.18298147350280039</v>
      </c>
      <c r="F171" s="41">
        <f>'Profit &amp; Loss'!F19</f>
        <v>0.18868743220207657</v>
      </c>
      <c r="G171" s="41">
        <f>'Profit &amp; Loss'!G19</f>
        <v>0.18484333795199567</v>
      </c>
      <c r="H171" s="41">
        <f>'Profit &amp; Loss'!H19</f>
        <v>0.2031255652425569</v>
      </c>
      <c r="I171" s="41">
        <f>'Profit &amp; Loss'!I19</f>
        <v>0.22204185999741435</v>
      </c>
      <c r="J171" s="41">
        <f>'Profit &amp; Loss'!J19</f>
        <v>0.25019112902180818</v>
      </c>
      <c r="K171" s="41">
        <f>'Profit &amp; Loss'!K19</f>
        <v>0.33008954750772646</v>
      </c>
      <c r="L171" s="29"/>
    </row>
    <row r="172" spans="1:12">
      <c r="A172" s="58" t="s">
        <v>141</v>
      </c>
      <c r="B172" s="41">
        <f>B64</f>
        <v>4.2778793418647168E-2</v>
      </c>
      <c r="C172" s="41">
        <f t="shared" ref="C172:K172" si="43">C64</f>
        <v>0.1038748035262762</v>
      </c>
      <c r="D172" s="41">
        <f t="shared" si="43"/>
        <v>0.13191601049868765</v>
      </c>
      <c r="E172" s="41">
        <f t="shared" si="43"/>
        <v>0.17251184834123223</v>
      </c>
      <c r="F172" s="41">
        <f t="shared" si="43"/>
        <v>0.1610723694405703</v>
      </c>
      <c r="G172" s="41">
        <f t="shared" si="43"/>
        <v>0.12249139587896125</v>
      </c>
      <c r="H172" s="41">
        <f t="shared" si="43"/>
        <v>0.12419057265853922</v>
      </c>
      <c r="I172" s="41">
        <f t="shared" si="43"/>
        <v>0.12375562035826643</v>
      </c>
      <c r="J172" s="41">
        <f t="shared" si="43"/>
        <v>0.15003952159434</v>
      </c>
      <c r="K172" s="41">
        <f t="shared" si="43"/>
        <v>0.20852682462952687</v>
      </c>
      <c r="L172" s="29"/>
    </row>
    <row r="173" spans="1:12">
      <c r="A173" s="58" t="s">
        <v>248</v>
      </c>
      <c r="B173" s="41">
        <f>('Data Sheet'!B17-'Data Sheet'!B18-'Data Sheet'!B19)/'Data Sheet'!B61</f>
        <v>0.38692701841850152</v>
      </c>
      <c r="C173" s="41">
        <f>('Data Sheet'!C17-'Data Sheet'!C18-'Data Sheet'!C19)/'Data Sheet'!C61</f>
        <v>0.4915910712465601</v>
      </c>
      <c r="D173" s="41">
        <f>('Data Sheet'!D17-'Data Sheet'!D18-'Data Sheet'!D19)/'Data Sheet'!D61</f>
        <v>0.50675970344526811</v>
      </c>
      <c r="E173" s="41">
        <f>('Data Sheet'!E17-'Data Sheet'!E18-'Data Sheet'!E19)/'Data Sheet'!E61</f>
        <v>0.48057204533189418</v>
      </c>
      <c r="F173" s="41">
        <f>('Data Sheet'!F17-'Data Sheet'!F18-'Data Sheet'!F19)/'Data Sheet'!F61</f>
        <v>0.50509354301429277</v>
      </c>
      <c r="G173" s="41">
        <f>('Data Sheet'!G17-'Data Sheet'!G18-'Data Sheet'!G19)/'Data Sheet'!G61</f>
        <v>0.41378884442468256</v>
      </c>
      <c r="H173" s="41">
        <f>('Data Sheet'!H17-'Data Sheet'!H18-'Data Sheet'!H19)/'Data Sheet'!H61</f>
        <v>0.3817238788189799</v>
      </c>
      <c r="I173" s="41">
        <f>('Data Sheet'!I17-'Data Sheet'!I18-'Data Sheet'!I19)/'Data Sheet'!I61</f>
        <v>0.50494046110970359</v>
      </c>
      <c r="J173" s="41">
        <f>('Data Sheet'!J17-'Data Sheet'!J18-'Data Sheet'!J19)/'Data Sheet'!J61</f>
        <v>0.52773840689666673</v>
      </c>
      <c r="K173" s="41">
        <f>('Data Sheet'!K17-'Data Sheet'!K18-'Data Sheet'!K19)/'Data Sheet'!K61</f>
        <v>0.48891668606004196</v>
      </c>
      <c r="L173" s="29"/>
    </row>
    <row r="174" spans="1:12" hidden="1">
      <c r="A174" s="58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29"/>
    </row>
    <row r="175" spans="1:12" hidden="1">
      <c r="A175" s="58" t="s">
        <v>239</v>
      </c>
      <c r="B175" s="41">
        <f>B86/'Data Sheet'!B61</f>
        <v>0.24885749896136275</v>
      </c>
      <c r="C175" s="41">
        <f>C86/'Data Sheet'!C61</f>
        <v>0.25675262460503517</v>
      </c>
      <c r="D175" s="41">
        <f>D86/'Data Sheet'!D61</f>
        <v>0.20162814362552697</v>
      </c>
      <c r="E175" s="41">
        <f>E86/'Data Sheet'!E61</f>
        <v>0.23912574203993522</v>
      </c>
      <c r="F175" s="41">
        <f>F86/'Data Sheet'!F61</f>
        <v>0.27222372855095478</v>
      </c>
      <c r="G175" s="41">
        <f>G86/'Data Sheet'!G61</f>
        <v>0.37238772787905738</v>
      </c>
      <c r="H175" s="41">
        <f>H86/'Data Sheet'!H61</f>
        <v>0.29607976101020839</v>
      </c>
      <c r="I175" s="41">
        <f>I86/'Data Sheet'!I61</f>
        <v>0.27983278439321002</v>
      </c>
      <c r="J175" s="41">
        <f>J86/'Data Sheet'!J61</f>
        <v>0.24902035984058957</v>
      </c>
      <c r="K175" s="41">
        <f>K86/'Data Sheet'!K61</f>
        <v>0.25219629974400742</v>
      </c>
      <c r="L175" s="29"/>
    </row>
    <row r="176" spans="1:12" hidden="1">
      <c r="A176" s="58" t="s">
        <v>240</v>
      </c>
      <c r="B176" s="41">
        <f>B87/'Data Sheet'!B61</f>
        <v>0.23667082121589814</v>
      </c>
      <c r="C176" s="41">
        <f>C87/'Data Sheet'!C61</f>
        <v>0.24278870655386811</v>
      </c>
      <c r="D176" s="41">
        <f>D87/'Data Sheet'!D61</f>
        <v>0.18789068178514318</v>
      </c>
      <c r="E176" s="41">
        <f>E87/'Data Sheet'!E61</f>
        <v>0.22946573124662709</v>
      </c>
      <c r="F176" s="41">
        <f>F87/'Data Sheet'!F61</f>
        <v>0.26470930007359489</v>
      </c>
      <c r="G176" s="41">
        <f>G87/'Data Sheet'!G61</f>
        <v>0.29346376167185417</v>
      </c>
      <c r="H176" s="41">
        <f>H87/'Data Sheet'!H61</f>
        <v>0.23418800285908034</v>
      </c>
      <c r="I176" s="41">
        <f>I87/'Data Sheet'!I61</f>
        <v>0.20255890549784644</v>
      </c>
      <c r="J176" s="41">
        <f>J87/'Data Sheet'!J61</f>
        <v>0.20376515315735932</v>
      </c>
      <c r="K176" s="41">
        <f>K87/'Data Sheet'!K61</f>
        <v>0.14713753781708167</v>
      </c>
      <c r="L176" s="29"/>
    </row>
    <row r="177" spans="1:12" hidden="1">
      <c r="A177" s="58" t="s">
        <v>241</v>
      </c>
      <c r="B177" s="41">
        <f>B366/'Data Sheet'!B61</f>
        <v>3.7667913031436087E-2</v>
      </c>
      <c r="C177" s="41">
        <f>C366/'Data Sheet'!C61</f>
        <v>0.13484863928243807</v>
      </c>
      <c r="D177" s="41">
        <f>D366/'Data Sheet'!D61</f>
        <v>0.16470417211804039</v>
      </c>
      <c r="E177" s="41">
        <f>E366/'Data Sheet'!E61</f>
        <v>0.18942255801403129</v>
      </c>
      <c r="F177" s="41">
        <f>F366/'Data Sheet'!F61</f>
        <v>0.17643413254832085</v>
      </c>
      <c r="G177" s="41">
        <f>G366/'Data Sheet'!G61</f>
        <v>0.11098759942690578</v>
      </c>
      <c r="H177" s="41">
        <f>H366/'Data Sheet'!H61</f>
        <v>0.10322013085790736</v>
      </c>
      <c r="I177" s="41">
        <f>I366/'Data Sheet'!I61</f>
        <v>0.12910347822939663</v>
      </c>
      <c r="J177" s="41">
        <f>J366/'Data Sheet'!J61</f>
        <v>0.16296209834753464</v>
      </c>
      <c r="K177" s="41">
        <f>K366/'Data Sheet'!K61</f>
        <v>0.16134803351175239</v>
      </c>
      <c r="L177" s="29"/>
    </row>
    <row r="178" spans="1:12" hidden="1">
      <c r="A178" s="58" t="s">
        <v>234</v>
      </c>
      <c r="B178" s="41">
        <f>B88/'Data Sheet'!B61</f>
        <v>7.7690070627336946E-2</v>
      </c>
      <c r="C178" s="41">
        <f>C88/'Data Sheet'!C61</f>
        <v>0.22811130363877277</v>
      </c>
      <c r="D178" s="41">
        <f>D88/'Data Sheet'!D61</f>
        <v>0.21696467509812473</v>
      </c>
      <c r="E178" s="41">
        <f>E88/'Data Sheet'!E61</f>
        <v>0.25774419859686998</v>
      </c>
      <c r="F178" s="41">
        <f>F88/'Data Sheet'!F61</f>
        <v>0.24507107719719565</v>
      </c>
      <c r="G178" s="41">
        <f>G88/'Data Sheet'!G61</f>
        <v>0.21728175485400919</v>
      </c>
      <c r="H178" s="41">
        <f>H88/'Data Sheet'!H61</f>
        <v>0.20231658816414053</v>
      </c>
      <c r="I178" s="41">
        <f>I88/'Data Sheet'!I61</f>
        <v>0.24895942668934817</v>
      </c>
      <c r="J178" s="41">
        <f>J88/'Data Sheet'!J61</f>
        <v>0.29034033116006069</v>
      </c>
      <c r="K178" s="41">
        <f>K88/'Data Sheet'!K61</f>
        <v>0.27382476146148477</v>
      </c>
      <c r="L178" s="29"/>
    </row>
    <row r="179" spans="1:12" hidden="1">
      <c r="A179" s="58" t="s">
        <v>236</v>
      </c>
      <c r="B179" s="41">
        <f>'Data Sheet'!B82/'Data Sheet'!B61</f>
        <v>2.1603656003323642E-2</v>
      </c>
      <c r="C179" s="41">
        <f>'Data Sheet'!C82/'Data Sheet'!C61</f>
        <v>0.12496177759657527</v>
      </c>
      <c r="D179" s="41">
        <f>'Data Sheet'!D82/'Data Sheet'!D61</f>
        <v>0.21572903038232299</v>
      </c>
      <c r="E179" s="41">
        <f>'Data Sheet'!E82/'Data Sheet'!E61</f>
        <v>0.15526173772261198</v>
      </c>
      <c r="F179" s="41">
        <f>'Data Sheet'!F82/'Data Sheet'!F61</f>
        <v>0.12127667815780299</v>
      </c>
      <c r="G179" s="41">
        <f>'Data Sheet'!G82/'Data Sheet'!G61</f>
        <v>4.87871152611037E-2</v>
      </c>
      <c r="H179" s="41">
        <f>'Data Sheet'!H82/'Data Sheet'!H61</f>
        <v>0.16879570404853106</v>
      </c>
      <c r="I179" s="41">
        <f>'Data Sheet'!I82/'Data Sheet'!I61</f>
        <v>0.23790220420572586</v>
      </c>
      <c r="J179" s="41">
        <f>'Data Sheet'!J82/'Data Sheet'!J61</f>
        <v>0.18769071717997032</v>
      </c>
      <c r="K179" s="41">
        <f>'Data Sheet'!K82/'Data Sheet'!K61</f>
        <v>0.24361473120781943</v>
      </c>
      <c r="L179" s="29"/>
    </row>
    <row r="180" spans="1:12" hidden="1">
      <c r="A180" s="58" t="s">
        <v>235</v>
      </c>
      <c r="B180" s="41">
        <f>'Data Sheet'!B17/'Data Sheet'!B61</f>
        <v>1.1362692147901954</v>
      </c>
      <c r="C180" s="41">
        <f>'Data Sheet'!C17/'Data Sheet'!C61</f>
        <v>1.4914891448374274</v>
      </c>
      <c r="D180" s="41">
        <f>'Data Sheet'!D17/'Data Sheet'!D61</f>
        <v>1.3846489315307455</v>
      </c>
      <c r="E180" s="41">
        <f>'Data Sheet'!E17/'Data Sheet'!E61</f>
        <v>1.2525634106853749</v>
      </c>
      <c r="F180" s="41">
        <f>'Data Sheet'!F17/'Data Sheet'!F61</f>
        <v>1.2497579114536932</v>
      </c>
      <c r="G180" s="41">
        <f>'Data Sheet'!G17/'Data Sheet'!G61</f>
        <v>1.1053307642903019</v>
      </c>
      <c r="H180" s="41">
        <f>'Data Sheet'!H17/'Data Sheet'!H61</f>
        <v>1.0132507376793798</v>
      </c>
      <c r="I180" s="41">
        <f>'Data Sheet'!I17/'Data Sheet'!I61</f>
        <v>1.2597813891201273</v>
      </c>
      <c r="J180" s="41">
        <f>'Data Sheet'!J17/'Data Sheet'!J61</f>
        <v>1.2868386386753596</v>
      </c>
      <c r="K180" s="41">
        <f>'Data Sheet'!K17/'Data Sheet'!K61</f>
        <v>0.91771875727251584</v>
      </c>
      <c r="L180" s="29"/>
    </row>
    <row r="181" spans="1:12" s="31" customFormat="1" hidden="1">
      <c r="A181" s="60" t="s">
        <v>237</v>
      </c>
      <c r="B181" s="61">
        <f>('Data Sheet'!B67+'Data Sheet'!B68+'Data Sheet'!B69)/'Data Sheet'!B60</f>
        <v>1.7322503008423584</v>
      </c>
      <c r="C181" s="61">
        <f>('Data Sheet'!C67+'Data Sheet'!C68+'Data Sheet'!C69)/'Data Sheet'!C60</f>
        <v>1.6805293005671076</v>
      </c>
      <c r="D181" s="61">
        <f>('Data Sheet'!D67+'Data Sheet'!D68+'Data Sheet'!D69)/'Data Sheet'!D60</f>
        <v>1.927716390423573</v>
      </c>
      <c r="E181" s="61">
        <f>('Data Sheet'!E67+'Data Sheet'!E68+'Data Sheet'!E69)/'Data Sheet'!E60</f>
        <v>2.4586956521739127</v>
      </c>
      <c r="F181" s="61">
        <f>('Data Sheet'!F67+'Data Sheet'!F68+'Data Sheet'!F69)/'Data Sheet'!F60</f>
        <v>2.3686034115138592</v>
      </c>
      <c r="G181" s="61">
        <f>('Data Sheet'!G67+'Data Sheet'!G68+'Data Sheet'!G69)/'Data Sheet'!G60</f>
        <v>3.5612946131678123</v>
      </c>
      <c r="H181" s="61">
        <f>('Data Sheet'!H67+'Data Sheet'!H68+'Data Sheet'!H69)/'Data Sheet'!H60</f>
        <v>3.0031282586027115</v>
      </c>
      <c r="I181" s="61">
        <f>('Data Sheet'!I67+'Data Sheet'!I68+'Data Sheet'!I69)/'Data Sheet'!I60</f>
        <v>2.5253923143457304</v>
      </c>
      <c r="J181" s="61">
        <f>('Data Sheet'!J67+'Data Sheet'!J68+'Data Sheet'!J69)/'Data Sheet'!J60</f>
        <v>2.0997409326424874</v>
      </c>
      <c r="K181" s="61">
        <f>('Data Sheet'!K67+'Data Sheet'!K68+'Data Sheet'!K69)/'Data Sheet'!K60</f>
        <v>2.2141014617368873</v>
      </c>
      <c r="L181" s="29"/>
    </row>
    <row r="182" spans="1:12" s="31" customFormat="1" hidden="1">
      <c r="A182" s="60" t="s">
        <v>237</v>
      </c>
      <c r="B182" s="61">
        <f>'Data Sheet'!B65/'Data Sheet'!B60</f>
        <v>2.081227436823105</v>
      </c>
      <c r="C182" s="61">
        <f>'Data Sheet'!C65/'Data Sheet'!C60</f>
        <v>2.1904536862003781</v>
      </c>
      <c r="D182" s="61">
        <f>'Data Sheet'!D65/'Data Sheet'!D60</f>
        <v>2.2771639042357275</v>
      </c>
      <c r="E182" s="61">
        <f>'Data Sheet'!E65/'Data Sheet'!E60</f>
        <v>2.9265217391304348</v>
      </c>
      <c r="F182" s="61">
        <f>'Data Sheet'!F65/'Data Sheet'!F60</f>
        <v>2.8731343283582085</v>
      </c>
      <c r="G182" s="61">
        <f>'Data Sheet'!G65/'Data Sheet'!G60</f>
        <v>4.3418310795832413</v>
      </c>
      <c r="H182" s="61">
        <f>'Data Sheet'!H65/'Data Sheet'!H60</f>
        <v>3.4065246536570837</v>
      </c>
      <c r="I182" s="61">
        <f>'Data Sheet'!I65/'Data Sheet'!I60</f>
        <v>2.910663536389472</v>
      </c>
      <c r="J182" s="61">
        <f>'Data Sheet'!J65/'Data Sheet'!J60</f>
        <v>2.4880430450378634</v>
      </c>
      <c r="K182" s="61">
        <f>'Data Sheet'!K65/'Data Sheet'!K60</f>
        <v>2.6565396006496607</v>
      </c>
      <c r="L182" s="29"/>
    </row>
    <row r="183" spans="1:12" s="29" customFormat="1" hidden="1">
      <c r="A183" s="59" t="s">
        <v>242</v>
      </c>
      <c r="B183" s="41">
        <f>'Data Sheet'!B67/'Data Sheet'!B61</f>
        <v>0.27281539952915113</v>
      </c>
      <c r="C183" s="41">
        <f>'Data Sheet'!C67/'Data Sheet'!C61</f>
        <v>0.224951584955662</v>
      </c>
      <c r="D183" s="41">
        <f>'Data Sheet'!D67/'Data Sheet'!D61</f>
        <v>0.20293647332461112</v>
      </c>
      <c r="E183" s="41">
        <f>'Data Sheet'!E67/'Data Sheet'!E61</f>
        <v>0.19357798165137613</v>
      </c>
      <c r="F183" s="41">
        <f>'Data Sheet'!F67/'Data Sheet'!F61</f>
        <v>0.20110779718789945</v>
      </c>
      <c r="G183" s="41">
        <f>'Data Sheet'!G67/'Data Sheet'!G61</f>
        <v>0.21164962205424634</v>
      </c>
      <c r="H183" s="41">
        <f>'Data Sheet'!H67/'Data Sheet'!H61</f>
        <v>0.20744827080622399</v>
      </c>
      <c r="I183" s="41">
        <f>'Data Sheet'!I67/'Data Sheet'!I61</f>
        <v>0.2082051467660791</v>
      </c>
      <c r="J183" s="41">
        <f>'Data Sheet'!J67/'Data Sheet'!J61</f>
        <v>0.21527071417851959</v>
      </c>
      <c r="K183" s="41">
        <f>'Data Sheet'!K67/'Data Sheet'!K61</f>
        <v>0.16700605073306957</v>
      </c>
    </row>
    <row r="184" spans="1:12" s="29" customFormat="1" hidden="1">
      <c r="A184" s="59" t="s">
        <v>243</v>
      </c>
      <c r="B184" s="41">
        <f>('Data Sheet'!B61-'Data Sheet'!B62-'Data Sheet'!B69)/'Data Sheet'!B61</f>
        <v>0.48940589945990848</v>
      </c>
      <c r="C184" s="41">
        <f>('Data Sheet'!C61-'Data Sheet'!C62-'Data Sheet'!C69)/'Data Sheet'!C61</f>
        <v>0.56966670064213643</v>
      </c>
      <c r="D184" s="41">
        <f>('Data Sheet'!D61-'Data Sheet'!D62-'Data Sheet'!D69)/'Data Sheet'!D61</f>
        <v>0.66143334787033004</v>
      </c>
      <c r="E184" s="41">
        <f>('Data Sheet'!E61-'Data Sheet'!E62-'Data Sheet'!E69)/'Data Sheet'!E61</f>
        <v>0.56060442525634113</v>
      </c>
      <c r="F184" s="41">
        <f>('Data Sheet'!F61-'Data Sheet'!F62-'Data Sheet'!F69)/'Data Sheet'!F61</f>
        <v>0.56187783243599176</v>
      </c>
      <c r="G184" s="41">
        <f>('Data Sheet'!G61-'Data Sheet'!G62-'Data Sheet'!G69)/'Data Sheet'!G61</f>
        <v>0.56459661083938539</v>
      </c>
      <c r="H184" s="41">
        <f>('Data Sheet'!H61-'Data Sheet'!H62-'Data Sheet'!H69)/'Data Sheet'!H61</f>
        <v>0.40637428293898792</v>
      </c>
      <c r="I184" s="41">
        <f>('Data Sheet'!I61-'Data Sheet'!I62-'Data Sheet'!I69)/'Data Sheet'!I61</f>
        <v>0.37223569437909448</v>
      </c>
      <c r="J184" s="41">
        <f>('Data Sheet'!J61-'Data Sheet'!J62-'Data Sheet'!J69)/'Data Sheet'!J61</f>
        <v>0.40906438111754018</v>
      </c>
      <c r="K184" s="41">
        <f>('Data Sheet'!K61-'Data Sheet'!K62-'Data Sheet'!K69)/'Data Sheet'!K61</f>
        <v>0.33948103327903184</v>
      </c>
    </row>
    <row r="185" spans="1:12" s="29" customFormat="1" hidden="1">
      <c r="A185" s="59" t="s">
        <v>245</v>
      </c>
      <c r="B185" s="41">
        <f>('Data Sheet'!B62+'Data Sheet'!B69)/'Data Sheet'!B61</f>
        <v>0.51059410054009147</v>
      </c>
      <c r="C185" s="41">
        <f>('Data Sheet'!C62+'Data Sheet'!C69)/'Data Sheet'!C61</f>
        <v>0.43033329935786363</v>
      </c>
      <c r="D185" s="41">
        <f>('Data Sheet'!D62+'Data Sheet'!D69)/'Data Sheet'!D61</f>
        <v>0.33856665212966996</v>
      </c>
      <c r="E185" s="41">
        <f>('Data Sheet'!E62+'Data Sheet'!E69)/'Data Sheet'!E61</f>
        <v>0.43939557474365892</v>
      </c>
      <c r="F185" s="41">
        <f>('Data Sheet'!F62+'Data Sheet'!F69)/'Data Sheet'!F61</f>
        <v>0.43812216756400818</v>
      </c>
      <c r="G185" s="41">
        <f>('Data Sheet'!G62+'Data Sheet'!G69)/'Data Sheet'!G61</f>
        <v>0.43540338916061461</v>
      </c>
      <c r="H185" s="41">
        <f>('Data Sheet'!H62+'Data Sheet'!H69)/'Data Sheet'!H61</f>
        <v>0.59362571706101197</v>
      </c>
      <c r="I185" s="41">
        <f>('Data Sheet'!I62+'Data Sheet'!I69)/'Data Sheet'!I61</f>
        <v>0.62776430562090546</v>
      </c>
      <c r="J185" s="41">
        <f>('Data Sheet'!J62+'Data Sheet'!J69)/'Data Sheet'!J61</f>
        <v>0.59093561888245982</v>
      </c>
      <c r="K185" s="41">
        <f>('Data Sheet'!K62+'Data Sheet'!K69)/'Data Sheet'!K61</f>
        <v>0.6605189667209681</v>
      </c>
    </row>
    <row r="186" spans="1:12" s="29" customFormat="1" hidden="1">
      <c r="A186" s="59" t="s">
        <v>244</v>
      </c>
      <c r="B186" s="41">
        <f>'Data Sheet'!B62/'Data Sheet'!B61</f>
        <v>0.49840742279462685</v>
      </c>
      <c r="C186" s="41">
        <f>'Data Sheet'!C62/'Data Sheet'!C61</f>
        <v>0.4163693813066966</v>
      </c>
      <c r="D186" s="41">
        <f>'Data Sheet'!D62/'Data Sheet'!D61</f>
        <v>0.3248291902892862</v>
      </c>
      <c r="E186" s="41">
        <f>'Data Sheet'!E62/'Data Sheet'!E61</f>
        <v>0.42973556395035073</v>
      </c>
      <c r="F186" s="41">
        <f>'Data Sheet'!F62/'Data Sheet'!F61</f>
        <v>0.43060773908664829</v>
      </c>
      <c r="G186" s="41">
        <f>'Data Sheet'!G62/'Data Sheet'!G61</f>
        <v>0.3564794229534114</v>
      </c>
      <c r="H186" s="41">
        <f>'Data Sheet'!H62/'Data Sheet'!H61</f>
        <v>0.53173395890988395</v>
      </c>
      <c r="I186" s="41">
        <f>'Data Sheet'!I62/'Data Sheet'!I61</f>
        <v>0.55049042672554194</v>
      </c>
      <c r="J186" s="41">
        <f>'Data Sheet'!J62/'Data Sheet'!J61</f>
        <v>0.54568041219922958</v>
      </c>
      <c r="K186" s="41">
        <f>'Data Sheet'!K62/'Data Sheet'!K61</f>
        <v>0.55546020479404234</v>
      </c>
    </row>
    <row r="187" spans="1:12" s="29" customFormat="1" hidden="1">
      <c r="A187" s="59" t="s">
        <v>246</v>
      </c>
      <c r="B187" s="41">
        <f>('Data Sheet'!B57+'Data Sheet'!B58)/'Data Sheet'!B61</f>
        <v>0.41407007339703644</v>
      </c>
      <c r="C187" s="41">
        <f>('Data Sheet'!C57+'Data Sheet'!C58)/'Data Sheet'!C61</f>
        <v>0.43481806135969825</v>
      </c>
      <c r="D187" s="41">
        <f>('Data Sheet'!D57+'Data Sheet'!D58)/'Data Sheet'!D61</f>
        <v>0.47172554150312546</v>
      </c>
      <c r="E187" s="41">
        <f>('Data Sheet'!E57+'Data Sheet'!E58)/'Data Sheet'!E61</f>
        <v>0.53524015110631407</v>
      </c>
      <c r="F187" s="41">
        <f>('Data Sheet'!F57+'Data Sheet'!F58)/'Data Sheet'!F61</f>
        <v>0.55657125150094899</v>
      </c>
      <c r="G187" s="41">
        <f>('Data Sheet'!G57+'Data Sheet'!G58)/'Data Sheet'!G61</f>
        <v>0.46198310360160072</v>
      </c>
      <c r="H187" s="41">
        <f>('Data Sheet'!H57+'Data Sheet'!H58)/'Data Sheet'!H61</f>
        <v>0.44213111449150527</v>
      </c>
      <c r="I187" s="41">
        <f>('Data Sheet'!I57+'Data Sheet'!I58)/'Data Sheet'!I61</f>
        <v>0.56113141988490345</v>
      </c>
      <c r="J187" s="41">
        <f>('Data Sheet'!J57+'Data Sheet'!J58)/'Data Sheet'!J61</f>
        <v>0.72376648713544878</v>
      </c>
      <c r="K187" s="41">
        <f>('Data Sheet'!K57+'Data Sheet'!K58)/'Data Sheet'!K61</f>
        <v>0.78656620898301155</v>
      </c>
    </row>
    <row r="188" spans="1:12" s="29" customFormat="1" hidden="1">
      <c r="A188" s="59"/>
      <c r="B188" s="41"/>
      <c r="C188" s="41"/>
      <c r="D188" s="41"/>
      <c r="E188" s="41"/>
      <c r="F188" s="41"/>
      <c r="G188" s="41"/>
      <c r="H188" s="41"/>
      <c r="I188" s="41"/>
      <c r="J188" s="41"/>
      <c r="K188" s="41"/>
    </row>
    <row r="189" spans="1:12">
      <c r="A189" s="117" t="s">
        <v>159</v>
      </c>
      <c r="B189" s="69"/>
      <c r="C189" s="121"/>
      <c r="D189" s="69"/>
      <c r="E189" s="69"/>
      <c r="F189" s="69"/>
      <c r="G189" s="69"/>
      <c r="H189" s="69"/>
      <c r="I189" s="69"/>
      <c r="J189" s="69"/>
      <c r="K189" s="69"/>
      <c r="L189" s="29"/>
    </row>
    <row r="190" spans="1:12">
      <c r="A190" s="58" t="s">
        <v>110</v>
      </c>
      <c r="B190" s="52">
        <f>'Data Sheet'!B59/'Data Sheet'!B30</f>
        <v>7.31908831908832</v>
      </c>
      <c r="C190" s="52">
        <f>'Data Sheet'!C59/'Data Sheet'!C30</f>
        <v>2.2559210526315789</v>
      </c>
      <c r="D190" s="52">
        <f>'Data Sheet'!D59/'Data Sheet'!D30</f>
        <v>2.0278551532033426</v>
      </c>
      <c r="E190" s="52">
        <f>'Data Sheet'!E59/'Data Sheet'!E30</f>
        <v>1.5764235764235763</v>
      </c>
      <c r="F190" s="52">
        <f>'Data Sheet'!F59/'Data Sheet'!F30</f>
        <v>1.4808543390417548</v>
      </c>
      <c r="G190" s="52">
        <f>'Data Sheet'!G59/'Data Sheet'!G30</f>
        <v>3.1507024265644952</v>
      </c>
      <c r="H190" s="52">
        <f>'Data Sheet'!H59/'Data Sheet'!H30</f>
        <v>3.4555782114768423</v>
      </c>
      <c r="I190" s="52">
        <f>'Data Sheet'!I59/'Data Sheet'!I30</f>
        <v>1.8755658734764946</v>
      </c>
      <c r="J190" s="52">
        <f>'Data Sheet'!J59/'Data Sheet'!J30</f>
        <v>0.56395198203644525</v>
      </c>
      <c r="K190" s="52">
        <f>'Data Sheet'!K59/'Data Sheet'!K30</f>
        <v>0.31975374325454131</v>
      </c>
      <c r="L190" s="29"/>
    </row>
    <row r="191" spans="1:12">
      <c r="A191" s="58" t="s">
        <v>111</v>
      </c>
      <c r="B191" s="52">
        <f>'Data Sheet'!B60/'Data Sheet'!B30</f>
        <v>4.735042735042736</v>
      </c>
      <c r="C191" s="52">
        <f>'Data Sheet'!C60/'Data Sheet'!C30</f>
        <v>1.3921052631578947</v>
      </c>
      <c r="D191" s="52">
        <f>'Data Sheet'!D60/'Data Sheet'!D30</f>
        <v>0.86430561082371671</v>
      </c>
      <c r="E191" s="52">
        <f>'Data Sheet'!E60/'Data Sheet'!E30</f>
        <v>0.5744255744255744</v>
      </c>
      <c r="F191" s="52">
        <f>'Data Sheet'!F60/'Data Sheet'!F30</f>
        <v>0.72195497402347519</v>
      </c>
      <c r="G191" s="52">
        <f>'Data Sheet'!G60/'Data Sheet'!G30</f>
        <v>0.82302499543878849</v>
      </c>
      <c r="H191" s="52">
        <f>'Data Sheet'!H60/'Data Sheet'!H30</f>
        <v>0.97771628313428482</v>
      </c>
      <c r="I191" s="52">
        <f>'Data Sheet'!I60/'Data Sheet'!I30</f>
        <v>0.93940800928612889</v>
      </c>
      <c r="J191" s="52">
        <f>'Data Sheet'!J60/'Data Sheet'!J30</f>
        <v>0.86674151481129624</v>
      </c>
      <c r="K191" s="52">
        <f>'Data Sheet'!K60/'Data Sheet'!K30</f>
        <v>0.79554609713460522</v>
      </c>
      <c r="L191" s="29"/>
    </row>
    <row r="192" spans="1:12">
      <c r="A192" s="58" t="s">
        <v>112</v>
      </c>
      <c r="B192" s="52">
        <f>B190+B191</f>
        <v>12.054131054131055</v>
      </c>
      <c r="C192" s="52">
        <f t="shared" ref="C192:K192" si="44">C190+C191</f>
        <v>3.6480263157894735</v>
      </c>
      <c r="D192" s="52">
        <f t="shared" si="44"/>
        <v>2.8921607640270595</v>
      </c>
      <c r="E192" s="52">
        <f t="shared" si="44"/>
        <v>2.150849150849151</v>
      </c>
      <c r="F192" s="52">
        <f t="shared" si="44"/>
        <v>2.20280931306523</v>
      </c>
      <c r="G192" s="52">
        <f t="shared" si="44"/>
        <v>3.9737274220032837</v>
      </c>
      <c r="H192" s="52">
        <f t="shared" si="44"/>
        <v>4.4332944946111272</v>
      </c>
      <c r="I192" s="52">
        <f t="shared" si="44"/>
        <v>2.8149738827626236</v>
      </c>
      <c r="J192" s="52">
        <f t="shared" si="44"/>
        <v>1.4306934968477414</v>
      </c>
      <c r="K192" s="52">
        <f t="shared" si="44"/>
        <v>1.1152998403891465</v>
      </c>
      <c r="L192" s="29"/>
    </row>
    <row r="193" spans="1:12">
      <c r="A193" s="62" t="s">
        <v>113</v>
      </c>
      <c r="B193" s="52">
        <f>'Data Sheet'!B59/('Data Sheet'!B57+'Data Sheet'!B58)</f>
        <v>0.85919732441471586</v>
      </c>
      <c r="C193" s="52">
        <f>'Data Sheet'!C59/('Data Sheet'!C57+'Data Sheet'!C58)</f>
        <v>0.80379746835443044</v>
      </c>
      <c r="D193" s="52">
        <f>'Data Sheet'!D59/('Data Sheet'!D57+'Data Sheet'!D58)</f>
        <v>0.78520801232665638</v>
      </c>
      <c r="E193" s="52">
        <f>'Data Sheet'!E59/('Data Sheet'!E57+'Data Sheet'!E58)</f>
        <v>0.63641863278886868</v>
      </c>
      <c r="F193" s="52">
        <f>'Data Sheet'!F59/('Data Sheet'!F57+'Data Sheet'!F58)</f>
        <v>0.53559746676873821</v>
      </c>
      <c r="G193" s="52">
        <f>'Data Sheet'!G59/('Data Sheet'!G57+'Data Sheet'!G58)</f>
        <v>0.9233771789113463</v>
      </c>
      <c r="H193" s="52">
        <f>'Data Sheet'!H59/('Data Sheet'!H57+'Data Sheet'!H58)</f>
        <v>0.98350190681479022</v>
      </c>
      <c r="I193" s="52">
        <f>'Data Sheet'!I59/('Data Sheet'!I57+'Data Sheet'!I58)</f>
        <v>0.52110813687231916</v>
      </c>
      <c r="J193" s="52">
        <f>'Data Sheet'!J59/('Data Sheet'!J57+'Data Sheet'!J58)</f>
        <v>0.1504434972929386</v>
      </c>
      <c r="K193" s="52">
        <f>'Data Sheet'!K59/('Data Sheet'!K57+'Data Sheet'!K58)</f>
        <v>7.7795036798698161E-2</v>
      </c>
      <c r="L193" s="29"/>
    </row>
    <row r="194" spans="1:12">
      <c r="A194" s="62" t="s">
        <v>114</v>
      </c>
      <c r="B194" s="63">
        <f>B88/'Data Sheet'!B27</f>
        <v>2.8477157360406093</v>
      </c>
      <c r="C194" s="63">
        <f>C88/'Data Sheet'!C27</f>
        <v>6.8650306748466248</v>
      </c>
      <c r="D194" s="63">
        <f>D88/'Data Sheet'!D27</f>
        <v>9.0729483282674774</v>
      </c>
      <c r="E194" s="63">
        <f>E88/'Data Sheet'!E27</f>
        <v>10.805429864253394</v>
      </c>
      <c r="F194" s="63">
        <f>F88/'Data Sheet'!F27</f>
        <v>8.8862359550561809</v>
      </c>
      <c r="G194" s="63">
        <f>G88/'Data Sheet'!G27</f>
        <v>9.5712731229597381</v>
      </c>
      <c r="H194" s="63">
        <f>H88/'Data Sheet'!H27</f>
        <v>9.5658578856152516</v>
      </c>
      <c r="I194" s="63">
        <f>I88/'Data Sheet'!I27</f>
        <v>7.5796143250688726</v>
      </c>
      <c r="J194" s="63">
        <f>J88/'Data Sheet'!J27</f>
        <v>17.840163934426229</v>
      </c>
      <c r="K194" s="63">
        <f>K88/'Data Sheet'!K27</f>
        <v>23.951653944020357</v>
      </c>
      <c r="L194" s="29"/>
    </row>
    <row r="195" spans="1:12">
      <c r="A195" s="62" t="s">
        <v>251</v>
      </c>
      <c r="B195" s="63">
        <f>B160/'Data Sheet'!B27</f>
        <v>0.79187817258883253</v>
      </c>
      <c r="C195" s="63">
        <f>C160/'Data Sheet'!C27</f>
        <v>3.7607361963190185</v>
      </c>
      <c r="D195" s="63">
        <f>D160/'Data Sheet'!D27</f>
        <v>9.0212765957446805</v>
      </c>
      <c r="E195" s="63">
        <f>E160/'Data Sheet'!E27</f>
        <v>6.5090497737556561</v>
      </c>
      <c r="F195" s="63">
        <f>F160/'Data Sheet'!F27</f>
        <v>4.3974719101123592</v>
      </c>
      <c r="G195" s="63">
        <f>G160/'Data Sheet'!G27</f>
        <v>2.1490750816104462</v>
      </c>
      <c r="H195" s="63">
        <f>H160/'Data Sheet'!H27</f>
        <v>7.9809358752166375</v>
      </c>
      <c r="I195" s="63">
        <f>I160/'Data Sheet'!I27</f>
        <v>7.2429752066115709</v>
      </c>
      <c r="J195" s="63">
        <f>J160/'Data Sheet'!J27</f>
        <v>11.532786885245903</v>
      </c>
      <c r="K195" s="63">
        <f>K160/'Data Sheet'!K27</f>
        <v>21.309160305343511</v>
      </c>
      <c r="L195" s="29"/>
    </row>
    <row r="196" spans="1:12">
      <c r="A196" s="62" t="s">
        <v>284</v>
      </c>
      <c r="B196" s="63">
        <f>'Data Sheet'!B59/'Data Sheet'!B82</f>
        <v>16.467948717948719</v>
      </c>
      <c r="C196" s="63">
        <f>'Data Sheet'!C59/'Data Sheet'!C82</f>
        <v>2.7969004893964109</v>
      </c>
      <c r="D196" s="63">
        <f>'Data Sheet'!D59/'Data Sheet'!D82</f>
        <v>1.7169811320754718</v>
      </c>
      <c r="E196" s="63">
        <f>'Data Sheet'!E59/'Data Sheet'!E82</f>
        <v>2.1939520333680917</v>
      </c>
      <c r="F196" s="63">
        <f>'Data Sheet'!F59/'Data Sheet'!F82</f>
        <v>2.4580006387735547</v>
      </c>
      <c r="G196" s="63">
        <f>'Data Sheet'!G59/'Data Sheet'!G82</f>
        <v>8.7437974683544297</v>
      </c>
      <c r="H196" s="63">
        <f>'Data Sheet'!H59/'Data Sheet'!H82</f>
        <v>2.576112920738328</v>
      </c>
      <c r="I196" s="63">
        <f>'Data Sheet'!I59/'Data Sheet'!I82</f>
        <v>1.2291191236878138</v>
      </c>
      <c r="J196" s="63">
        <f>'Data Sheet'!J59/'Data Sheet'!J82</f>
        <v>0.58013503909026298</v>
      </c>
      <c r="K196" s="63">
        <f>'Data Sheet'!K59/'Data Sheet'!K82</f>
        <v>0.25117917487611202</v>
      </c>
      <c r="L196" s="29"/>
    </row>
    <row r="197" spans="1:12">
      <c r="A197" s="62" t="s">
        <v>278</v>
      </c>
      <c r="B197" s="63">
        <f>'Data Sheet'!B59/Customization!B88</f>
        <v>4.5793226381461674</v>
      </c>
      <c r="C197" s="63">
        <f>'Data Sheet'!C59/Customization!C88</f>
        <v>1.5321715817694372</v>
      </c>
      <c r="D197" s="63">
        <f>'Data Sheet'!D59/Customization!D88</f>
        <v>1.7072026800670017</v>
      </c>
      <c r="E197" s="63">
        <f>'Data Sheet'!E59/Customization!E88</f>
        <v>1.3216080402010049</v>
      </c>
      <c r="F197" s="63">
        <f>'Data Sheet'!F59/Customization!F88</f>
        <v>1.2163742690058479</v>
      </c>
      <c r="G197" s="63">
        <f>'Data Sheet'!G59/Customization!G88</f>
        <v>1.9632787630741246</v>
      </c>
      <c r="H197" s="63">
        <f>'Data Sheet'!H59/Customization!H88</f>
        <v>2.1492888848627594</v>
      </c>
      <c r="I197" s="63">
        <f>'Data Sheet'!I59/Customization!I88</f>
        <v>1.174529330522643</v>
      </c>
      <c r="J197" s="63">
        <f>'Data Sheet'!J59/Customization!J88</f>
        <v>0.37502871582816444</v>
      </c>
      <c r="K197" s="63">
        <f>'Data Sheet'!K59/Customization!K88</f>
        <v>0.22346754488473386</v>
      </c>
      <c r="L197" s="29"/>
    </row>
    <row r="198" spans="1:12">
      <c r="A198" s="62" t="s">
        <v>281</v>
      </c>
      <c r="B198" s="63">
        <f>'Data Sheet'!B59/Customization!B89</f>
        <v>3.0877403846153846</v>
      </c>
      <c r="C198" s="63">
        <f>'Data Sheet'!C59/Customization!C89</f>
        <v>1.354800474120901</v>
      </c>
      <c r="D198" s="63">
        <f>'Data Sheet'!D59/Customization!D89</f>
        <v>1.5395770392749244</v>
      </c>
      <c r="E198" s="63">
        <f>'Data Sheet'!E59/Customization!E89</f>
        <v>1.1979502751945339</v>
      </c>
      <c r="F198" s="63">
        <f>'Data Sheet'!F59/Customization!F89</f>
        <v>1.1038439472174411</v>
      </c>
      <c r="G198" s="63">
        <f>'Data Sheet'!G59/Customization!G89</f>
        <v>1.8179808400884305</v>
      </c>
      <c r="H198" s="63">
        <f>'Data Sheet'!H59/Customization!H89</f>
        <v>1.9715805218547449</v>
      </c>
      <c r="I198" s="63">
        <f>'Data Sheet'!I59/Customization!I89</f>
        <v>1.0568382497220223</v>
      </c>
      <c r="J198" s="63">
        <f>'Data Sheet'!J59/Customization!J89</f>
        <v>0.34049431640421313</v>
      </c>
      <c r="K198" s="63">
        <f>'Data Sheet'!K59/Customization!K89</f>
        <v>0.20345294515910628</v>
      </c>
      <c r="L198" s="29"/>
    </row>
    <row r="199" spans="1:12">
      <c r="A199" s="62" t="s">
        <v>279</v>
      </c>
      <c r="B199" s="41">
        <f>'Data Sheet'!B82/Customization!B88</f>
        <v>0.27807486631016043</v>
      </c>
      <c r="C199" s="41">
        <f>'Data Sheet'!C82/Customization!C88</f>
        <v>0.54781054512958005</v>
      </c>
      <c r="D199" s="41">
        <f>'Data Sheet'!D82/Customization!D88</f>
        <v>0.9943048576214405</v>
      </c>
      <c r="E199" s="41">
        <f>'Data Sheet'!E82/Customization!E88</f>
        <v>0.60238693467336679</v>
      </c>
      <c r="F199" s="41">
        <f>'Data Sheet'!F82/Customization!F88</f>
        <v>0.49486328433696852</v>
      </c>
      <c r="G199" s="41">
        <f>'Data Sheet'!G82/Customization!G88</f>
        <v>0.22453387903592545</v>
      </c>
      <c r="H199" s="41">
        <f>'Data Sheet'!H82/Customization!H88</f>
        <v>0.83431470241869732</v>
      </c>
      <c r="I199" s="41">
        <f>'Data Sheet'!I82/Customization!I88</f>
        <v>0.95558624700152639</v>
      </c>
      <c r="J199" s="41">
        <f>'Data Sheet'!J82/Customization!J88</f>
        <v>0.6464507236388698</v>
      </c>
      <c r="K199" s="41">
        <f>'Data Sheet'!K82/Customization!K88</f>
        <v>0.88967385530649101</v>
      </c>
      <c r="L199" s="29"/>
    </row>
    <row r="200" spans="1:12">
      <c r="A200" s="62" t="s">
        <v>282</v>
      </c>
      <c r="B200" s="41">
        <f>'Data Sheet'!B82/Customization!B89</f>
        <v>0.1875</v>
      </c>
      <c r="C200" s="41">
        <f>'Data Sheet'!C82/Customization!C89</f>
        <v>0.48439352034768873</v>
      </c>
      <c r="D200" s="41">
        <f>'Data Sheet'!D82/Customization!D89</f>
        <v>0.89667673716012075</v>
      </c>
      <c r="E200" s="41">
        <f>'Data Sheet'!E82/Customization!E89</f>
        <v>0.54602391345606371</v>
      </c>
      <c r="F200" s="41">
        <f>'Data Sheet'!F82/Customization!F89</f>
        <v>0.4490820424555364</v>
      </c>
      <c r="G200" s="41">
        <f>'Data Sheet'!G82/Customization!G89</f>
        <v>0.20791662280240025</v>
      </c>
      <c r="H200" s="41">
        <f>'Data Sheet'!H82/Customization!H89</f>
        <v>0.76533156057836127</v>
      </c>
      <c r="I200" s="41">
        <f>'Data Sheet'!I82/Customization!I89</f>
        <v>0.85983386748642809</v>
      </c>
      <c r="J200" s="41">
        <f>'Data Sheet'!J82/Customization!J89</f>
        <v>0.58692251538220874</v>
      </c>
      <c r="K200" s="41">
        <f>'Data Sheet'!K82/Customization!K89</f>
        <v>0.80999129509623746</v>
      </c>
      <c r="L200" s="29"/>
    </row>
    <row r="201" spans="1:12">
      <c r="A201" s="62" t="s">
        <v>280</v>
      </c>
      <c r="B201" s="41">
        <f t="shared" ref="B201:K201" si="45">B88/B207</f>
        <v>7.8648534978270013E-2</v>
      </c>
      <c r="C201" s="41">
        <f t="shared" si="45"/>
        <v>0.23134174074839772</v>
      </c>
      <c r="D201" s="41">
        <f t="shared" si="45"/>
        <v>0.21998673446827324</v>
      </c>
      <c r="E201" s="41">
        <f t="shared" si="45"/>
        <v>0.26025829655059668</v>
      </c>
      <c r="F201" s="41">
        <f t="shared" si="45"/>
        <v>0.2500098786896906</v>
      </c>
      <c r="G201" s="41">
        <f t="shared" si="45"/>
        <v>0.24100611009124034</v>
      </c>
      <c r="H201" s="41">
        <f t="shared" si="45"/>
        <v>0.22118255224508604</v>
      </c>
      <c r="I201" s="41">
        <f t="shared" si="45"/>
        <v>0.2712663169933352</v>
      </c>
      <c r="J201" s="41">
        <f t="shared" si="45"/>
        <v>0.30556481757717213</v>
      </c>
      <c r="K201" s="41">
        <f t="shared" si="45"/>
        <v>0.3073381764753898</v>
      </c>
      <c r="L201" s="29"/>
    </row>
    <row r="202" spans="1:12">
      <c r="A202" s="62" t="s">
        <v>283</v>
      </c>
      <c r="B202" s="41">
        <f t="shared" ref="B202:K202" si="46">B89/B207</f>
        <v>0.11664096453105285</v>
      </c>
      <c r="C202" s="41">
        <f t="shared" si="46"/>
        <v>0.26162910895182961</v>
      </c>
      <c r="D202" s="41">
        <f t="shared" si="46"/>
        <v>0.24393838897486916</v>
      </c>
      <c r="E202" s="41">
        <f t="shared" si="46"/>
        <v>0.28712331753037978</v>
      </c>
      <c r="F202" s="41">
        <f t="shared" si="46"/>
        <v>0.27549689809143713</v>
      </c>
      <c r="G202" s="41">
        <f t="shared" si="46"/>
        <v>0.26026796723018325</v>
      </c>
      <c r="H202" s="41">
        <f t="shared" si="46"/>
        <v>0.24111883628203329</v>
      </c>
      <c r="I202" s="41">
        <f t="shared" si="46"/>
        <v>0.30147493788697399</v>
      </c>
      <c r="J202" s="41">
        <f t="shared" si="46"/>
        <v>0.33655651685590438</v>
      </c>
      <c r="K202" s="41">
        <f t="shared" si="46"/>
        <v>0.33757244306587225</v>
      </c>
      <c r="L202" s="29"/>
    </row>
    <row r="203" spans="1:12">
      <c r="A203" s="118" t="s">
        <v>271</v>
      </c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29"/>
    </row>
    <row r="204" spans="1:12">
      <c r="A204" s="98" t="s">
        <v>273</v>
      </c>
      <c r="B204" s="99">
        <f>'Data Sheet'!B61</f>
        <v>72.209999999999994</v>
      </c>
      <c r="C204" s="99">
        <f>'Data Sheet'!C61</f>
        <v>98.11</v>
      </c>
      <c r="D204" s="99">
        <f>'Data Sheet'!D61</f>
        <v>137.58000000000001</v>
      </c>
      <c r="E204" s="99">
        <f>'Data Sheet'!E61</f>
        <v>185.3</v>
      </c>
      <c r="F204" s="99">
        <f>'Data Sheet'!F61</f>
        <v>258.17</v>
      </c>
      <c r="G204" s="99">
        <f>'Data Sheet'!G61</f>
        <v>404.82</v>
      </c>
      <c r="H204" s="99">
        <f>'Data Sheet'!H61</f>
        <v>545.63</v>
      </c>
      <c r="I204" s="99">
        <f>'Data Sheet'!I61</f>
        <v>552.58000000000004</v>
      </c>
      <c r="J204" s="99">
        <f>'Data Sheet'!J61</f>
        <v>599.71</v>
      </c>
      <c r="K204" s="99">
        <f>'Data Sheet'!K61</f>
        <v>687.52</v>
      </c>
      <c r="L204" s="29">
        <f t="shared" ref="L204:L229" si="47">POWER(K204/C204,1/9)-1</f>
        <v>0.24151637247978441</v>
      </c>
    </row>
    <row r="205" spans="1:12">
      <c r="A205" s="98" t="s">
        <v>29</v>
      </c>
      <c r="B205" s="99">
        <f>'Data Sheet'!B64</f>
        <v>0</v>
      </c>
      <c r="C205" s="99">
        <f>'Data Sheet'!C64</f>
        <v>0</v>
      </c>
      <c r="D205" s="99">
        <f>'Data Sheet'!D64</f>
        <v>0</v>
      </c>
      <c r="E205" s="99">
        <f>'Data Sheet'!E64</f>
        <v>0</v>
      </c>
      <c r="F205" s="99">
        <f>'Data Sheet'!F64</f>
        <v>3.16</v>
      </c>
      <c r="G205" s="99">
        <f>'Data Sheet'!G64</f>
        <v>7.9</v>
      </c>
      <c r="H205" s="99">
        <f>'Data Sheet'!H64</f>
        <v>12.77</v>
      </c>
      <c r="I205" s="99">
        <f>'Data Sheet'!I64</f>
        <v>2.74</v>
      </c>
      <c r="J205" s="99">
        <f>'Data Sheet'!J64</f>
        <v>2.74</v>
      </c>
      <c r="K205" s="99">
        <f>'Data Sheet'!K64</f>
        <v>2.74</v>
      </c>
      <c r="L205" s="29" t="e">
        <f t="shared" si="47"/>
        <v>#DIV/0!</v>
      </c>
    </row>
    <row r="206" spans="1:12">
      <c r="A206" s="98" t="s">
        <v>78</v>
      </c>
      <c r="B206" s="99">
        <f>'Data Sheet'!B69</f>
        <v>0.88</v>
      </c>
      <c r="C206" s="99">
        <f>'Data Sheet'!C69</f>
        <v>1.37</v>
      </c>
      <c r="D206" s="99">
        <f>'Data Sheet'!D69</f>
        <v>1.89</v>
      </c>
      <c r="E206" s="99">
        <f>'Data Sheet'!E69</f>
        <v>1.79</v>
      </c>
      <c r="F206" s="99">
        <f>'Data Sheet'!F69</f>
        <v>1.94</v>
      </c>
      <c r="G206" s="99">
        <f>'Data Sheet'!G69</f>
        <v>31.95</v>
      </c>
      <c r="H206" s="99">
        <f>'Data Sheet'!H69</f>
        <v>33.770000000000003</v>
      </c>
      <c r="I206" s="99">
        <f>'Data Sheet'!I69</f>
        <v>42.7</v>
      </c>
      <c r="J206" s="99">
        <f>'Data Sheet'!J69</f>
        <v>27.14</v>
      </c>
      <c r="K206" s="99">
        <f>'Data Sheet'!K69</f>
        <v>72.23</v>
      </c>
      <c r="L206" s="29">
        <f t="shared" si="47"/>
        <v>0.55357779493855941</v>
      </c>
    </row>
    <row r="207" spans="1:12">
      <c r="A207" s="98" t="s">
        <v>276</v>
      </c>
      <c r="B207" s="99">
        <f>'Data Sheet'!B61-'Data Sheet'!B69-'Data Sheet'!B64</f>
        <v>71.33</v>
      </c>
      <c r="C207" s="99">
        <f>'Data Sheet'!C61-'Data Sheet'!C69-'Data Sheet'!C64</f>
        <v>96.74</v>
      </c>
      <c r="D207" s="99">
        <f>'Data Sheet'!D61-'Data Sheet'!D69-'Data Sheet'!D64</f>
        <v>135.69000000000003</v>
      </c>
      <c r="E207" s="99">
        <f>'Data Sheet'!E61-'Data Sheet'!E69-'Data Sheet'!E64</f>
        <v>183.51000000000002</v>
      </c>
      <c r="F207" s="99">
        <f>'Data Sheet'!F61-'Data Sheet'!F69-'Data Sheet'!F64</f>
        <v>253.07000000000002</v>
      </c>
      <c r="G207" s="99">
        <f>'Data Sheet'!G61-'Data Sheet'!G69-'Data Sheet'!G64</f>
        <v>364.97</v>
      </c>
      <c r="H207" s="99">
        <f>'Data Sheet'!H61-'Data Sheet'!H69-'Data Sheet'!H64</f>
        <v>499.09000000000003</v>
      </c>
      <c r="I207" s="99">
        <f>'Data Sheet'!I61-'Data Sheet'!I69-'Data Sheet'!I64</f>
        <v>507.14000000000004</v>
      </c>
      <c r="J207" s="99">
        <f>'Data Sheet'!J61-'Data Sheet'!J69-'Data Sheet'!J64</f>
        <v>569.83000000000004</v>
      </c>
      <c r="K207" s="99">
        <f>'Data Sheet'!K61-'Data Sheet'!K69-'Data Sheet'!K64</f>
        <v>612.54999999999995</v>
      </c>
      <c r="L207" s="29">
        <f t="shared" si="47"/>
        <v>0.22760739433097021</v>
      </c>
    </row>
    <row r="208" spans="1:12">
      <c r="A208" s="98" t="s">
        <v>274</v>
      </c>
      <c r="B208" s="99">
        <f>'Data Sheet'!B59</f>
        <v>25.69</v>
      </c>
      <c r="C208" s="99">
        <f>'Data Sheet'!C59</f>
        <v>34.29</v>
      </c>
      <c r="D208" s="99">
        <f>'Data Sheet'!D59</f>
        <v>50.96</v>
      </c>
      <c r="E208" s="99">
        <f>'Data Sheet'!E59</f>
        <v>63.12</v>
      </c>
      <c r="F208" s="99">
        <f>'Data Sheet'!F59</f>
        <v>76.959999999999994</v>
      </c>
      <c r="G208" s="99">
        <f>'Data Sheet'!G59</f>
        <v>172.69</v>
      </c>
      <c r="H208" s="99">
        <f>'Data Sheet'!H59</f>
        <v>237.26</v>
      </c>
      <c r="I208" s="99">
        <f>'Data Sheet'!I59</f>
        <v>161.58000000000001</v>
      </c>
      <c r="J208" s="99">
        <f>'Data Sheet'!J59</f>
        <v>65.3</v>
      </c>
      <c r="K208" s="99">
        <f>'Data Sheet'!K59</f>
        <v>42.07</v>
      </c>
      <c r="L208" s="29">
        <f t="shared" si="47"/>
        <v>2.2980193593455711E-2</v>
      </c>
    </row>
    <row r="209" spans="1:12">
      <c r="A209" s="98" t="s">
        <v>275</v>
      </c>
      <c r="B209" s="99">
        <f>'Data Sheet'!B57+'Data Sheet'!B58</f>
        <v>29.9</v>
      </c>
      <c r="C209" s="99">
        <f>'Data Sheet'!C57+'Data Sheet'!C58</f>
        <v>42.66</v>
      </c>
      <c r="D209" s="99">
        <f>'Data Sheet'!D57+'Data Sheet'!D58</f>
        <v>64.900000000000006</v>
      </c>
      <c r="E209" s="99">
        <f>'Data Sheet'!E57+'Data Sheet'!E58</f>
        <v>99.18</v>
      </c>
      <c r="F209" s="99">
        <f>'Data Sheet'!F57+'Data Sheet'!F58</f>
        <v>143.69</v>
      </c>
      <c r="G209" s="99">
        <f>'Data Sheet'!G57+'Data Sheet'!G58</f>
        <v>187.02</v>
      </c>
      <c r="H209" s="99">
        <f>'Data Sheet'!H57+'Data Sheet'!H58</f>
        <v>241.24</v>
      </c>
      <c r="I209" s="99">
        <f>'Data Sheet'!I57+'Data Sheet'!I58</f>
        <v>310.07</v>
      </c>
      <c r="J209" s="99">
        <f>'Data Sheet'!J57+'Data Sheet'!J58</f>
        <v>434.05</v>
      </c>
      <c r="K209" s="99">
        <f>'Data Sheet'!K57+'Data Sheet'!K58</f>
        <v>540.78000000000009</v>
      </c>
      <c r="L209" s="29">
        <f t="shared" si="47"/>
        <v>0.32603665746436405</v>
      </c>
    </row>
    <row r="210" spans="1:12">
      <c r="A210" s="98" t="s">
        <v>272</v>
      </c>
      <c r="B210" s="99">
        <f>B207-'Data Sheet'!B57-'Data Sheet'!B58-'Data Sheet'!B59</f>
        <v>15.739999999999998</v>
      </c>
      <c r="C210" s="99">
        <f>C207-'Data Sheet'!C57-'Data Sheet'!C58-'Data Sheet'!C59</f>
        <v>19.789999999999992</v>
      </c>
      <c r="D210" s="99">
        <f>D207-'Data Sheet'!D57-'Data Sheet'!D58-'Data Sheet'!D59</f>
        <v>19.83000000000002</v>
      </c>
      <c r="E210" s="99">
        <f>E207-'Data Sheet'!E57-'Data Sheet'!E58-'Data Sheet'!E59</f>
        <v>21.210000000000015</v>
      </c>
      <c r="F210" s="99">
        <f>F207-'Data Sheet'!F57-'Data Sheet'!F58-'Data Sheet'!F59</f>
        <v>32.42000000000003</v>
      </c>
      <c r="G210" s="99">
        <f>G207-'Data Sheet'!G57-'Data Sheet'!G58-'Data Sheet'!G59</f>
        <v>5.2600000000000193</v>
      </c>
      <c r="H210" s="99">
        <f>H207-'Data Sheet'!H57-'Data Sheet'!H58-'Data Sheet'!H59</f>
        <v>20.590000000000032</v>
      </c>
      <c r="I210" s="99">
        <f>I207-'Data Sheet'!I57-'Data Sheet'!I58-'Data Sheet'!I59</f>
        <v>35.490000000000038</v>
      </c>
      <c r="J210" s="99">
        <f>J207-'Data Sheet'!J57-'Data Sheet'!J58-'Data Sheet'!J59</f>
        <v>70.479999999999976</v>
      </c>
      <c r="K210" s="99">
        <f>K207-'Data Sheet'!K57-'Data Sheet'!K58-'Data Sheet'!K59</f>
        <v>29.699999999999868</v>
      </c>
      <c r="L210" s="29">
        <f t="shared" si="47"/>
        <v>4.6140637809120255E-2</v>
      </c>
    </row>
    <row r="211" spans="1:12" s="29" customFormat="1">
      <c r="A211" s="100" t="s">
        <v>271</v>
      </c>
      <c r="B211" s="45">
        <f>B210/B207</f>
        <v>0.22066451703350623</v>
      </c>
      <c r="C211" s="45">
        <f t="shared" ref="C211:K211" si="48">C210/C207</f>
        <v>0.20456894769485212</v>
      </c>
      <c r="D211" s="45">
        <f t="shared" si="48"/>
        <v>0.14614194118947613</v>
      </c>
      <c r="E211" s="45">
        <f t="shared" si="48"/>
        <v>0.11557953245054772</v>
      </c>
      <c r="F211" s="45">
        <f t="shared" si="48"/>
        <v>0.12810684790769364</v>
      </c>
      <c r="G211" s="45">
        <f t="shared" si="48"/>
        <v>1.4412143463846396E-2</v>
      </c>
      <c r="H211" s="45">
        <f t="shared" si="48"/>
        <v>4.1255084253341144E-2</v>
      </c>
      <c r="I211" s="45">
        <f t="shared" si="48"/>
        <v>6.9980675947470192E-2</v>
      </c>
      <c r="J211" s="45">
        <f t="shared" si="48"/>
        <v>0.12368601161749991</v>
      </c>
      <c r="K211" s="45">
        <f t="shared" si="48"/>
        <v>4.8485837890784214E-2</v>
      </c>
    </row>
    <row r="212" spans="1:12">
      <c r="A212" s="62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29"/>
    </row>
    <row r="213" spans="1:12">
      <c r="A213" s="117" t="s">
        <v>333</v>
      </c>
      <c r="B213" s="40"/>
      <c r="C213" s="43"/>
      <c r="D213" s="40"/>
      <c r="E213" s="40"/>
      <c r="F213" s="40"/>
      <c r="G213" s="40"/>
      <c r="H213" s="40"/>
      <c r="I213" s="40"/>
      <c r="J213" s="40"/>
      <c r="K213" s="40"/>
      <c r="L213" s="29"/>
    </row>
    <row r="214" spans="1:12">
      <c r="A214" s="64" t="s">
        <v>121</v>
      </c>
      <c r="B214" s="52">
        <f>1/B152</f>
        <v>0.43863497867154178</v>
      </c>
      <c r="C214" s="52">
        <f t="shared" ref="C214:K214" si="49">1/C152</f>
        <v>0.26255723364996925</v>
      </c>
      <c r="D214" s="52">
        <f t="shared" si="49"/>
        <v>0.22451443569553803</v>
      </c>
      <c r="E214" s="52">
        <f t="shared" si="49"/>
        <v>0.26781559672554933</v>
      </c>
      <c r="F214" s="52">
        <f t="shared" si="49"/>
        <v>0.29567642956764295</v>
      </c>
      <c r="G214" s="52">
        <f t="shared" si="49"/>
        <v>0.2854780315558933</v>
      </c>
      <c r="H214" s="52">
        <f t="shared" si="49"/>
        <v>0.39290236226169373</v>
      </c>
      <c r="I214" s="52">
        <f t="shared" si="49"/>
        <v>0.42687429072156058</v>
      </c>
      <c r="J214" s="52">
        <f t="shared" si="49"/>
        <v>0.40910681196791626</v>
      </c>
      <c r="K214" s="52">
        <f t="shared" si="49"/>
        <v>0.56196212061177586</v>
      </c>
      <c r="L214" s="29"/>
    </row>
    <row r="215" spans="1:12">
      <c r="A215" s="64" t="s">
        <v>122</v>
      </c>
      <c r="B215" s="40"/>
      <c r="C215" s="43"/>
      <c r="D215" s="40"/>
      <c r="E215" s="40"/>
      <c r="F215" s="40"/>
      <c r="G215" s="40"/>
      <c r="H215" s="40"/>
      <c r="I215" s="40"/>
      <c r="J215" s="40"/>
      <c r="K215" s="52">
        <f>SUM(B214:K214)/10</f>
        <v>0.35655222914290813</v>
      </c>
      <c r="L215" s="29"/>
    </row>
    <row r="216" spans="1:12">
      <c r="A216" s="64" t="s">
        <v>123</v>
      </c>
      <c r="B216" s="40"/>
      <c r="C216" s="43"/>
      <c r="D216" s="52"/>
      <c r="E216" s="52"/>
      <c r="F216" s="52"/>
      <c r="G216" s="52"/>
      <c r="H216" s="52">
        <f>SUM(B214:H214)/7</f>
        <v>0.30965415258968981</v>
      </c>
      <c r="I216" s="52">
        <f>SUM(C214:I214)/7</f>
        <v>0.30797405431112107</v>
      </c>
      <c r="J216" s="52">
        <f>SUM(D214:J214)/7</f>
        <v>0.32890970835654204</v>
      </c>
      <c r="K216" s="52">
        <f>SUM(E214:K214)/7</f>
        <v>0.37711652048743316</v>
      </c>
      <c r="L216" s="29"/>
    </row>
    <row r="217" spans="1:12">
      <c r="A217" s="64" t="s">
        <v>124</v>
      </c>
      <c r="B217" s="40"/>
      <c r="C217" s="43"/>
      <c r="D217" s="52"/>
      <c r="E217" s="52"/>
      <c r="F217" s="52">
        <f t="shared" ref="F217:K217" si="50">SUM(B214:F214)/5</f>
        <v>0.29783973486204829</v>
      </c>
      <c r="G217" s="52">
        <f t="shared" si="50"/>
        <v>0.26720834543891858</v>
      </c>
      <c r="H217" s="52">
        <f t="shared" si="50"/>
        <v>0.29327737116126346</v>
      </c>
      <c r="I217" s="52">
        <f t="shared" si="50"/>
        <v>0.33374934216646801</v>
      </c>
      <c r="J217" s="52">
        <f t="shared" si="50"/>
        <v>0.36200758521494136</v>
      </c>
      <c r="K217" s="52">
        <f t="shared" si="50"/>
        <v>0.41526472342376791</v>
      </c>
      <c r="L217" s="29"/>
    </row>
    <row r="218" spans="1:12">
      <c r="A218" s="64" t="s">
        <v>125</v>
      </c>
      <c r="B218" s="40"/>
      <c r="C218" s="43"/>
      <c r="D218" s="52">
        <f t="shared" ref="D218:K218" si="51">SUM(B214:D214)/3</f>
        <v>0.30856888267234966</v>
      </c>
      <c r="E218" s="52">
        <f t="shared" si="51"/>
        <v>0.25162908869035222</v>
      </c>
      <c r="F218" s="52">
        <f t="shared" si="51"/>
        <v>0.26266882066291014</v>
      </c>
      <c r="G218" s="52">
        <f t="shared" si="51"/>
        <v>0.28299001928302853</v>
      </c>
      <c r="H218" s="52">
        <f t="shared" si="51"/>
        <v>0.32468560779507666</v>
      </c>
      <c r="I218" s="52">
        <f t="shared" si="51"/>
        <v>0.36841822817971587</v>
      </c>
      <c r="J218" s="52">
        <f t="shared" si="51"/>
        <v>0.40962782165039019</v>
      </c>
      <c r="K218" s="52">
        <f t="shared" si="51"/>
        <v>0.46598107443375092</v>
      </c>
      <c r="L218" s="29"/>
    </row>
    <row r="219" spans="1:12">
      <c r="A219" s="64" t="s">
        <v>126</v>
      </c>
      <c r="B219" s="40"/>
      <c r="C219" s="43">
        <f>('Data Sheet'!C17-'Data Sheet'!B17)</f>
        <v>64.280000000000015</v>
      </c>
      <c r="D219" s="43">
        <f>('Data Sheet'!D17-'Data Sheet'!C17)</f>
        <v>44.169999999999987</v>
      </c>
      <c r="E219" s="43">
        <f>('Data Sheet'!E17-'Data Sheet'!D17)</f>
        <v>41.599999999999994</v>
      </c>
      <c r="F219" s="43">
        <f>('Data Sheet'!F17-'Data Sheet'!E17)</f>
        <v>90.549999999999983</v>
      </c>
      <c r="G219" s="43">
        <f>('Data Sheet'!G17-'Data Sheet'!F17)</f>
        <v>124.81</v>
      </c>
      <c r="H219" s="43">
        <f>('Data Sheet'!H17-'Data Sheet'!G17)</f>
        <v>105.40000000000003</v>
      </c>
      <c r="I219" s="43">
        <f>('Data Sheet'!I17-'Data Sheet'!H17)</f>
        <v>143.26999999999998</v>
      </c>
      <c r="J219" s="43">
        <f>('Data Sheet'!J17-'Data Sheet'!I17)</f>
        <v>75.600000000000023</v>
      </c>
      <c r="K219" s="43">
        <f>('Data Sheet'!K17-'Data Sheet'!J17)</f>
        <v>-140.77999999999997</v>
      </c>
      <c r="L219" s="29"/>
    </row>
    <row r="220" spans="1:12">
      <c r="A220" s="64" t="s">
        <v>127</v>
      </c>
      <c r="B220" s="40"/>
      <c r="C220" s="43">
        <f>('Data Sheet'!C62-'Data Sheet'!B62)+('Data Sheet'!C63-'Data Sheet'!B63)+'Data Sheet'!C26</f>
        <v>17.07</v>
      </c>
      <c r="D220" s="43">
        <f>('Data Sheet'!D62-'Data Sheet'!C62)+('Data Sheet'!D63-'Data Sheet'!C63)+'Data Sheet'!D26</f>
        <v>39.609999999999992</v>
      </c>
      <c r="E220" s="43">
        <f>('Data Sheet'!E62-'Data Sheet'!D62)+('Data Sheet'!E63-'Data Sheet'!D63)+'Data Sheet'!E26</f>
        <v>34.799999999999997</v>
      </c>
      <c r="F220" s="43">
        <f>('Data Sheet'!F62-'Data Sheet'!E62)+('Data Sheet'!F63-'Data Sheet'!E63)+'Data Sheet'!F26</f>
        <v>35.670000000000009</v>
      </c>
      <c r="G220" s="43">
        <f>('Data Sheet'!G62-'Data Sheet'!F62)+('Data Sheet'!G63-'Data Sheet'!F63)+'Data Sheet'!G26</f>
        <v>60.88</v>
      </c>
      <c r="H220" s="43">
        <f>('Data Sheet'!H62-'Data Sheet'!G62)+('Data Sheet'!H63-'Data Sheet'!G63)+'Data Sheet'!H26</f>
        <v>113.07</v>
      </c>
      <c r="I220" s="43">
        <f>('Data Sheet'!I62-'Data Sheet'!H62)+('Data Sheet'!I63-'Data Sheet'!H63)+'Data Sheet'!I26</f>
        <v>25.42</v>
      </c>
      <c r="J220" s="43">
        <f>('Data Sheet'!J62-'Data Sheet'!I62)+('Data Sheet'!J63-'Data Sheet'!I63)+'Data Sheet'!J26</f>
        <v>50.650000000000006</v>
      </c>
      <c r="K220" s="43">
        <f>('Data Sheet'!K62-'Data Sheet'!J62)+('Data Sheet'!K63-'Data Sheet'!J63)+'Data Sheet'!K26</f>
        <v>77.969999999999985</v>
      </c>
      <c r="L220" s="29">
        <f t="shared" si="47"/>
        <v>0.183857240881943</v>
      </c>
    </row>
    <row r="221" spans="1:12">
      <c r="A221" s="64" t="s">
        <v>128</v>
      </c>
      <c r="B221" s="52"/>
      <c r="C221" s="65"/>
      <c r="D221" s="52"/>
      <c r="E221" s="52"/>
      <c r="F221" s="52">
        <f>F217*F219</f>
        <v>26.969387991758467</v>
      </c>
      <c r="G221" s="52">
        <f t="shared" ref="G221:K221" si="52">G217*G219</f>
        <v>33.350273594231432</v>
      </c>
      <c r="H221" s="52">
        <f t="shared" si="52"/>
        <v>30.911434920397177</v>
      </c>
      <c r="I221" s="52">
        <f t="shared" si="52"/>
        <v>47.816268252189865</v>
      </c>
      <c r="J221" s="52">
        <f t="shared" si="52"/>
        <v>27.367773442249575</v>
      </c>
      <c r="K221" s="52">
        <f t="shared" si="52"/>
        <v>-58.460967763598035</v>
      </c>
      <c r="L221" s="29"/>
    </row>
    <row r="222" spans="1:12">
      <c r="A222" s="64" t="s">
        <v>129</v>
      </c>
      <c r="B222" s="52"/>
      <c r="C222" s="65"/>
      <c r="D222" s="52"/>
      <c r="E222" s="52"/>
      <c r="F222" s="52">
        <f>F220-F221</f>
        <v>8.7006120082415421</v>
      </c>
      <c r="G222" s="52">
        <f t="shared" ref="G222:K222" si="53">G220-G221</f>
        <v>27.529726405768571</v>
      </c>
      <c r="H222" s="52">
        <f t="shared" si="53"/>
        <v>82.158565079602823</v>
      </c>
      <c r="I222" s="52">
        <f t="shared" si="53"/>
        <v>-22.396268252189863</v>
      </c>
      <c r="J222" s="52">
        <f t="shared" si="53"/>
        <v>23.28222655775043</v>
      </c>
      <c r="K222" s="40">
        <f t="shared" si="53"/>
        <v>136.43096776359801</v>
      </c>
      <c r="L222" s="29"/>
    </row>
    <row r="223" spans="1:12">
      <c r="A223" s="64"/>
      <c r="B223" s="40"/>
      <c r="C223" s="43"/>
      <c r="D223" s="40"/>
      <c r="E223" s="40"/>
      <c r="F223" s="40"/>
      <c r="G223" s="40"/>
      <c r="H223" s="40"/>
      <c r="I223" s="40"/>
      <c r="J223" s="40"/>
      <c r="K223" s="40"/>
      <c r="L223" s="29"/>
    </row>
    <row r="224" spans="1:12">
      <c r="A224" s="64" t="s">
        <v>130</v>
      </c>
      <c r="B224" s="40"/>
      <c r="C224" s="43"/>
      <c r="D224" s="52">
        <f>D218*D219</f>
        <v>13.62948754763768</v>
      </c>
      <c r="E224" s="52">
        <f t="shared" ref="E224:K224" si="54">E218*E219</f>
        <v>10.46777008951865</v>
      </c>
      <c r="F224" s="52">
        <f t="shared" si="54"/>
        <v>23.784661711026509</v>
      </c>
      <c r="G224" s="52">
        <f t="shared" si="54"/>
        <v>35.319984306714794</v>
      </c>
      <c r="H224" s="52">
        <f t="shared" si="54"/>
        <v>34.221863061601091</v>
      </c>
      <c r="I224" s="52">
        <f t="shared" si="54"/>
        <v>52.783279551307885</v>
      </c>
      <c r="J224" s="52">
        <f t="shared" si="54"/>
        <v>30.967863316769506</v>
      </c>
      <c r="K224" s="52">
        <f t="shared" si="54"/>
        <v>-65.600815658783446</v>
      </c>
      <c r="L224" s="29"/>
    </row>
    <row r="225" spans="1:12">
      <c r="A225" s="64" t="s">
        <v>131</v>
      </c>
      <c r="B225" s="40"/>
      <c r="C225" s="43"/>
      <c r="D225" s="52">
        <f>D220-D224</f>
        <v>25.980512452362312</v>
      </c>
      <c r="E225" s="52">
        <f t="shared" ref="E225:K225" si="55">E220-E224</f>
        <v>24.332229910481345</v>
      </c>
      <c r="F225" s="52">
        <f t="shared" si="55"/>
        <v>11.8853382889735</v>
      </c>
      <c r="G225" s="52">
        <f t="shared" si="55"/>
        <v>25.560015693285209</v>
      </c>
      <c r="H225" s="52">
        <f t="shared" si="55"/>
        <v>78.848136938398909</v>
      </c>
      <c r="I225" s="52">
        <f t="shared" si="55"/>
        <v>-27.363279551307883</v>
      </c>
      <c r="J225" s="52">
        <f t="shared" si="55"/>
        <v>19.6821366832305</v>
      </c>
      <c r="K225" s="52">
        <f t="shared" si="55"/>
        <v>143.57081565878343</v>
      </c>
      <c r="L225" s="29"/>
    </row>
    <row r="226" spans="1:12">
      <c r="A226" s="48"/>
      <c r="B226" s="40"/>
      <c r="C226" s="43"/>
      <c r="D226" s="40"/>
      <c r="E226" s="40"/>
      <c r="F226" s="40"/>
      <c r="G226" s="40"/>
      <c r="H226" s="40"/>
      <c r="I226" s="40"/>
      <c r="J226" s="40"/>
      <c r="K226" s="40"/>
      <c r="L226" s="29"/>
    </row>
    <row r="227" spans="1:12">
      <c r="A227" s="47" t="s">
        <v>138</v>
      </c>
      <c r="B227" s="84"/>
      <c r="C227" s="86"/>
      <c r="D227" s="87"/>
      <c r="E227" s="87"/>
      <c r="F227" s="87">
        <f>'Data Sheet'!F30+'Data Sheet'!F26-Customization!F222</f>
        <v>49.71938799175846</v>
      </c>
      <c r="G227" s="87">
        <f>'Data Sheet'!G30+'Data Sheet'!G26-Customization!G222</f>
        <v>34.310273594231433</v>
      </c>
      <c r="H227" s="87">
        <f>'Data Sheet'!H30+'Data Sheet'!H26-Customization!H222</f>
        <v>-3.5485650796028239</v>
      </c>
      <c r="I227" s="87">
        <f>'Data Sheet'!I30+'Data Sheet'!I26-Customization!I222</f>
        <v>123.86626825218985</v>
      </c>
      <c r="J227" s="87">
        <f>'Data Sheet'!J30+'Data Sheet'!J26-Customization!J222</f>
        <v>110.16777344224958</v>
      </c>
      <c r="K227" s="87">
        <f>'Data Sheet'!K30+'Data Sheet'!K26-Customization!K222</f>
        <v>13.659032236401998</v>
      </c>
      <c r="L227" s="29"/>
    </row>
    <row r="228" spans="1:12">
      <c r="A228" s="47" t="s">
        <v>139</v>
      </c>
      <c r="B228" s="84"/>
      <c r="C228" s="86"/>
      <c r="D228" s="87">
        <f>'Data Sheet'!D30+'Data Sheet'!D26-Customization!D225</f>
        <v>2.3994875476376869</v>
      </c>
      <c r="E228" s="87">
        <f>'Data Sheet'!E30+'Data Sheet'!E26-Customization!E225</f>
        <v>20.637770089518654</v>
      </c>
      <c r="F228" s="87">
        <f>'Data Sheet'!F30+'Data Sheet'!F26-Customization!F225</f>
        <v>46.534661711026502</v>
      </c>
      <c r="G228" s="87">
        <f>'Data Sheet'!G30+'Data Sheet'!G26-Customization!G225</f>
        <v>36.279984306714795</v>
      </c>
      <c r="H228" s="87">
        <f>'Data Sheet'!H30+'Data Sheet'!H26-Customization!H225</f>
        <v>-0.23813693839890959</v>
      </c>
      <c r="I228" s="87">
        <f>'Data Sheet'!I30+'Data Sheet'!I26-Customization!I225</f>
        <v>128.8332795513079</v>
      </c>
      <c r="J228" s="87">
        <f>'Data Sheet'!J30+'Data Sheet'!J26-Customization!J225</f>
        <v>113.76786331676952</v>
      </c>
      <c r="K228" s="87">
        <f>'Data Sheet'!K30+'Data Sheet'!K26-Customization!K225</f>
        <v>6.5191843412165724</v>
      </c>
      <c r="L228" s="29"/>
    </row>
    <row r="229" spans="1:12">
      <c r="A229" s="47" t="s">
        <v>137</v>
      </c>
      <c r="B229" s="84"/>
      <c r="C229" s="88">
        <f>C230+'Data Sheet'!C26-Customization!C220</f>
        <v>1.0599999999999987</v>
      </c>
      <c r="D229" s="88">
        <f>D230+'Data Sheet'!D26-Customization!D220</f>
        <v>-11.229999999999993</v>
      </c>
      <c r="E229" s="88">
        <f>E230+'Data Sheet'!E26-Customization!E220</f>
        <v>10.170000000000002</v>
      </c>
      <c r="F229" s="88">
        <f>F230+'Data Sheet'!F26-Customization!F220</f>
        <v>22.749999999999993</v>
      </c>
      <c r="G229" s="88">
        <f>G230+'Data Sheet'!G26-Customization!G220</f>
        <v>0.96000000000000085</v>
      </c>
      <c r="H229" s="88">
        <f>H230+'Data Sheet'!H26-Customization!H220</f>
        <v>-34.459999999999994</v>
      </c>
      <c r="I229" s="88">
        <f>I230+'Data Sheet'!I26-Customization!I220</f>
        <v>76.05</v>
      </c>
      <c r="J229" s="88">
        <f>J230+'Data Sheet'!J26-Customization!J220</f>
        <v>82.800000000000011</v>
      </c>
      <c r="K229" s="88">
        <f>K230+'Data Sheet'!K26-Customization!K220</f>
        <v>72.120000000000019</v>
      </c>
      <c r="L229" s="29">
        <f t="shared" si="47"/>
        <v>0.5982285062088355</v>
      </c>
    </row>
    <row r="230" spans="1:12">
      <c r="A230" s="48" t="str">
        <f>'Data Sheet'!A30</f>
        <v>Net profit</v>
      </c>
      <c r="B230" s="48">
        <f>'Data Sheet'!B30</f>
        <v>3.51</v>
      </c>
      <c r="C230" s="48">
        <f>'Data Sheet'!C30</f>
        <v>15.2</v>
      </c>
      <c r="D230" s="48">
        <f>'Data Sheet'!D30</f>
        <v>25.13</v>
      </c>
      <c r="E230" s="48">
        <f>'Data Sheet'!E30</f>
        <v>40.04</v>
      </c>
      <c r="F230" s="48">
        <f>'Data Sheet'!F30</f>
        <v>51.97</v>
      </c>
      <c r="G230" s="48">
        <f>'Data Sheet'!G30</f>
        <v>54.81</v>
      </c>
      <c r="H230" s="48">
        <f>'Data Sheet'!H30</f>
        <v>68.66</v>
      </c>
      <c r="I230" s="48">
        <f>'Data Sheet'!I30</f>
        <v>86.15</v>
      </c>
      <c r="J230" s="48">
        <f>'Data Sheet'!J30</f>
        <v>115.79</v>
      </c>
      <c r="K230" s="48">
        <f>'Data Sheet'!K30</f>
        <v>131.57</v>
      </c>
      <c r="L230" s="29">
        <f t="shared" ref="L230:L248" si="56">POWER(K230/C230,1/9)-1</f>
        <v>0.27100108340928752</v>
      </c>
    </row>
    <row r="231" spans="1:12">
      <c r="A231" s="48"/>
      <c r="B231" s="40"/>
      <c r="C231" s="43"/>
      <c r="D231" s="40"/>
      <c r="E231" s="40"/>
      <c r="F231" s="40"/>
      <c r="G231" s="40"/>
      <c r="H231" s="40"/>
      <c r="I231" s="40"/>
      <c r="J231" s="40"/>
      <c r="K231" s="40"/>
      <c r="L231" s="29"/>
    </row>
    <row r="232" spans="1:12">
      <c r="A232" s="47" t="s">
        <v>132</v>
      </c>
      <c r="B232" s="45"/>
      <c r="C232" s="46"/>
      <c r="D232" s="45"/>
      <c r="E232" s="45"/>
      <c r="F232" s="45">
        <f>F227/'Data Sheet'!F17</f>
        <v>0.15409697192548727</v>
      </c>
      <c r="G232" s="45">
        <f>G227/'Data Sheet'!G17</f>
        <v>7.6677856331809402E-2</v>
      </c>
      <c r="H232" s="45">
        <f>H227/'Data Sheet'!H17</f>
        <v>-6.4185599963875548E-3</v>
      </c>
      <c r="I232" s="45">
        <f>I227/'Data Sheet'!I17</f>
        <v>0.17793554113770396</v>
      </c>
      <c r="J232" s="45">
        <f>J227/'Data Sheet'!J17</f>
        <v>0.14275429676473583</v>
      </c>
      <c r="K232" s="45">
        <f>K227/'Data Sheet'!K17</f>
        <v>2.1648359198671838E-2</v>
      </c>
      <c r="L232" s="29"/>
    </row>
    <row r="233" spans="1:12">
      <c r="A233" s="47" t="s">
        <v>133</v>
      </c>
      <c r="B233" s="45"/>
      <c r="C233" s="46"/>
      <c r="D233" s="45">
        <f>D228/'Data Sheet'!D17</f>
        <v>1.2595735158203081E-2</v>
      </c>
      <c r="E233" s="45">
        <f>E228/'Data Sheet'!E17</f>
        <v>8.8917579015590928E-2</v>
      </c>
      <c r="F233" s="45">
        <f>F228/'Data Sheet'!F17</f>
        <v>0.14422644261901907</v>
      </c>
      <c r="G233" s="45">
        <f>G228/'Data Sheet'!G17</f>
        <v>8.1079837989350548E-2</v>
      </c>
      <c r="H233" s="45">
        <f>H228/'Data Sheet'!H17</f>
        <v>-4.3073642223873961E-4</v>
      </c>
      <c r="I233" s="45">
        <f>I228/'Data Sheet'!I17</f>
        <v>0.18507071890495727</v>
      </c>
      <c r="J233" s="45">
        <f>J228/'Data Sheet'!J17</f>
        <v>0.14741925714533519</v>
      </c>
      <c r="K233" s="45">
        <f>K228/'Data Sheet'!K17</f>
        <v>1.0332331153366466E-2</v>
      </c>
      <c r="L233" s="29"/>
    </row>
    <row r="234" spans="1:12">
      <c r="A234" s="47" t="s">
        <v>140</v>
      </c>
      <c r="B234" s="84"/>
      <c r="C234" s="46">
        <f>C229/'Data Sheet'!C17</f>
        <v>7.2439007722271487E-3</v>
      </c>
      <c r="D234" s="46">
        <f>D229/'Data Sheet'!D17</f>
        <v>-5.8950131233595764E-2</v>
      </c>
      <c r="E234" s="46">
        <f>E229/'Data Sheet'!E17</f>
        <v>4.3817320120637666E-2</v>
      </c>
      <c r="F234" s="46">
        <f>F229/'Data Sheet'!F17</f>
        <v>7.050984038431736E-2</v>
      </c>
      <c r="G234" s="46">
        <f>G229/'Data Sheet'!G17</f>
        <v>2.1454431681044136E-3</v>
      </c>
      <c r="H234" s="46">
        <f>H229/'Data Sheet'!H17</f>
        <v>-6.2330427232934187E-2</v>
      </c>
      <c r="I234" s="46">
        <f>I229/'Data Sheet'!I17</f>
        <v>0.10924683607946792</v>
      </c>
      <c r="J234" s="46">
        <f>J229/'Data Sheet'!J17</f>
        <v>0.10729141020823346</v>
      </c>
      <c r="K234" s="46">
        <f>K229/'Data Sheet'!K17</f>
        <v>0.11430382756161346</v>
      </c>
      <c r="L234" s="29"/>
    </row>
    <row r="235" spans="1:12">
      <c r="A235" s="48" t="s">
        <v>141</v>
      </c>
      <c r="B235" s="56">
        <f>B64</f>
        <v>4.2778793418647168E-2</v>
      </c>
      <c r="C235" s="56">
        <f t="shared" ref="C235:K235" si="57">C64</f>
        <v>0.1038748035262762</v>
      </c>
      <c r="D235" s="56">
        <f t="shared" si="57"/>
        <v>0.13191601049868765</v>
      </c>
      <c r="E235" s="56">
        <f t="shared" si="57"/>
        <v>0.17251184834123223</v>
      </c>
      <c r="F235" s="56">
        <f t="shared" si="57"/>
        <v>0.1610723694405703</v>
      </c>
      <c r="G235" s="56">
        <f t="shared" si="57"/>
        <v>0.12249139587896125</v>
      </c>
      <c r="H235" s="56">
        <f t="shared" si="57"/>
        <v>0.12419057265853922</v>
      </c>
      <c r="I235" s="56">
        <f t="shared" si="57"/>
        <v>0.12375562035826643</v>
      </c>
      <c r="J235" s="56">
        <f t="shared" si="57"/>
        <v>0.15003952159434</v>
      </c>
      <c r="K235" s="56">
        <f t="shared" si="57"/>
        <v>0.20852682462952687</v>
      </c>
      <c r="L235" s="29"/>
    </row>
    <row r="236" spans="1:12" hidden="1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29"/>
    </row>
    <row r="237" spans="1:12" hidden="1">
      <c r="A237" s="48" t="s">
        <v>136</v>
      </c>
      <c r="B237" s="40"/>
      <c r="C237" s="65">
        <f>C220/'Data Sheet'!C26</f>
        <v>5.8259385665529004</v>
      </c>
      <c r="D237" s="65">
        <f>D220/'Data Sheet'!D26</f>
        <v>12.187692307692306</v>
      </c>
      <c r="E237" s="65">
        <f>E220/'Data Sheet'!E26</f>
        <v>7.0588235294117645</v>
      </c>
      <c r="F237" s="65">
        <f>F220/'Data Sheet'!F26</f>
        <v>5.5302325581395362</v>
      </c>
      <c r="G237" s="65">
        <f>G220/'Data Sheet'!G26</f>
        <v>8.6600284495021338</v>
      </c>
      <c r="H237" s="65">
        <f>H220/'Data Sheet'!H26</f>
        <v>11.363819095477387</v>
      </c>
      <c r="I237" s="65">
        <f>I220/'Data Sheet'!I26</f>
        <v>1.6592689295039165</v>
      </c>
      <c r="J237" s="65">
        <f>J220/'Data Sheet'!J26</f>
        <v>2.8680634201585509</v>
      </c>
      <c r="K237" s="65">
        <f>K220/'Data Sheet'!K26</f>
        <v>4.2100431965442757</v>
      </c>
      <c r="L237" s="29"/>
    </row>
    <row r="238" spans="1:12" hidden="1">
      <c r="A238" s="48"/>
      <c r="B238" s="40"/>
      <c r="C238" s="43"/>
      <c r="D238" s="43"/>
      <c r="E238" s="43"/>
      <c r="F238" s="43"/>
      <c r="G238" s="43"/>
      <c r="H238" s="43"/>
      <c r="I238" s="43"/>
      <c r="J238" s="43"/>
      <c r="K238" s="43"/>
      <c r="L238" s="29"/>
    </row>
    <row r="239" spans="1:12" hidden="1">
      <c r="A239" s="48" t="s">
        <v>154</v>
      </c>
      <c r="B239" s="40">
        <f>'Data Sheet'!B30</f>
        <v>3.51</v>
      </c>
      <c r="C239" s="40">
        <f>'Data Sheet'!C30</f>
        <v>15.2</v>
      </c>
      <c r="D239" s="40">
        <f>'Data Sheet'!D30</f>
        <v>25.13</v>
      </c>
      <c r="E239" s="40">
        <f>'Data Sheet'!E30</f>
        <v>40.04</v>
      </c>
      <c r="F239" s="40">
        <f>'Data Sheet'!F30</f>
        <v>51.97</v>
      </c>
      <c r="G239" s="40">
        <f>'Data Sheet'!G30</f>
        <v>54.81</v>
      </c>
      <c r="H239" s="40">
        <f>'Data Sheet'!H30</f>
        <v>68.66</v>
      </c>
      <c r="I239" s="40">
        <f>'Data Sheet'!I30</f>
        <v>86.15</v>
      </c>
      <c r="J239" s="40">
        <f>'Data Sheet'!J30</f>
        <v>115.79</v>
      </c>
      <c r="K239" s="40">
        <f>'Data Sheet'!K30</f>
        <v>131.57</v>
      </c>
      <c r="L239" s="29">
        <f t="shared" si="56"/>
        <v>0.27100108340928752</v>
      </c>
    </row>
    <row r="240" spans="1:12" hidden="1">
      <c r="A240" s="48" t="s">
        <v>160</v>
      </c>
      <c r="B240" s="40"/>
      <c r="C240" s="43">
        <f>C82-B82</f>
        <v>21.359999999999985</v>
      </c>
      <c r="D240" s="43">
        <f t="shared" ref="D240:K240" si="58">D82-C82</f>
        <v>38.910000000000025</v>
      </c>
      <c r="E240" s="43">
        <f t="shared" si="58"/>
        <v>46.44</v>
      </c>
      <c r="F240" s="43">
        <f t="shared" si="58"/>
        <v>58.349999999999966</v>
      </c>
      <c r="G240" s="43">
        <f t="shared" si="58"/>
        <v>139.06000000000006</v>
      </c>
      <c r="H240" s="43">
        <f t="shared" si="58"/>
        <v>118.78999999999996</v>
      </c>
      <c r="I240" s="43">
        <f t="shared" si="58"/>
        <v>-6.8500000000000227</v>
      </c>
      <c r="J240" s="43">
        <f t="shared" si="58"/>
        <v>27.700000000000045</v>
      </c>
      <c r="K240" s="43">
        <f t="shared" si="58"/>
        <v>83.500000000000114</v>
      </c>
      <c r="L240" s="29">
        <f t="shared" si="56"/>
        <v>0.16355588604706184</v>
      </c>
    </row>
    <row r="241" spans="1:12" hidden="1">
      <c r="A241" s="48" t="s">
        <v>161</v>
      </c>
      <c r="B241" s="40"/>
      <c r="C241" s="43">
        <f>C83-B83</f>
        <v>20.869999999999983</v>
      </c>
      <c r="D241" s="43">
        <f t="shared" ref="D241:K241" si="59">D83-C83</f>
        <v>38.390000000000029</v>
      </c>
      <c r="E241" s="43">
        <f t="shared" si="59"/>
        <v>46.540000000000006</v>
      </c>
      <c r="F241" s="43">
        <f t="shared" si="59"/>
        <v>58.19999999999996</v>
      </c>
      <c r="G241" s="43">
        <f t="shared" si="59"/>
        <v>109.05000000000007</v>
      </c>
      <c r="H241" s="43">
        <f t="shared" si="59"/>
        <v>116.96999999999997</v>
      </c>
      <c r="I241" s="43">
        <f t="shared" si="59"/>
        <v>-15.78000000000003</v>
      </c>
      <c r="J241" s="43">
        <f t="shared" si="59"/>
        <v>43.260000000000048</v>
      </c>
      <c r="K241" s="43">
        <f t="shared" si="59"/>
        <v>38.410000000000082</v>
      </c>
      <c r="L241" s="29">
        <f t="shared" si="56"/>
        <v>7.0128084882807196E-2</v>
      </c>
    </row>
    <row r="242" spans="1:12" hidden="1">
      <c r="A242" s="48" t="s">
        <v>162</v>
      </c>
      <c r="B242" s="40"/>
      <c r="C242" s="66">
        <f>C84-B84</f>
        <v>20.870000000000005</v>
      </c>
      <c r="D242" s="66">
        <f t="shared" ref="D242:K242" si="60">D84-C84</f>
        <v>38.389999999999986</v>
      </c>
      <c r="E242" s="66">
        <f t="shared" si="60"/>
        <v>46.539999999999992</v>
      </c>
      <c r="F242" s="66">
        <f t="shared" si="60"/>
        <v>55.04000000000002</v>
      </c>
      <c r="G242" s="66">
        <f t="shared" si="60"/>
        <v>104.31</v>
      </c>
      <c r="H242" s="66">
        <f t="shared" si="60"/>
        <v>112.10000000000002</v>
      </c>
      <c r="I242" s="66">
        <f t="shared" si="60"/>
        <v>-5.7500000000000568</v>
      </c>
      <c r="J242" s="66">
        <f t="shared" si="60"/>
        <v>43.259999999999991</v>
      </c>
      <c r="K242" s="66">
        <f t="shared" si="60"/>
        <v>38.409999999999968</v>
      </c>
      <c r="L242" s="29">
        <f t="shared" si="56"/>
        <v>7.0128084882806752E-2</v>
      </c>
    </row>
    <row r="243" spans="1:12" hidden="1">
      <c r="A243" s="48" t="s">
        <v>164</v>
      </c>
      <c r="B243" s="40"/>
      <c r="C243" s="66">
        <f>C85-B85</f>
        <v>11.589999999999996</v>
      </c>
      <c r="D243" s="66">
        <f t="shared" ref="D243:K243" si="61">D85-C85</f>
        <v>5.8699999999999903</v>
      </c>
      <c r="E243" s="66">
        <f t="shared" si="61"/>
        <v>51.610000000000014</v>
      </c>
      <c r="F243" s="66">
        <f t="shared" si="61"/>
        <v>57.359999999999985</v>
      </c>
      <c r="G243" s="66">
        <f t="shared" si="61"/>
        <v>83.600000000000023</v>
      </c>
      <c r="H243" s="66">
        <f t="shared" si="61"/>
        <v>154.79999999999995</v>
      </c>
      <c r="I243" s="66">
        <f t="shared" si="61"/>
        <v>-1.7899999999999636</v>
      </c>
      <c r="J243" s="66">
        <f t="shared" si="61"/>
        <v>33.329999999999984</v>
      </c>
      <c r="K243" s="66">
        <f t="shared" si="61"/>
        <v>33.599999999999966</v>
      </c>
      <c r="L243" s="29">
        <f t="shared" si="56"/>
        <v>0.12554214167684696</v>
      </c>
    </row>
    <row r="244" spans="1:12" hidden="1">
      <c r="A244" s="48"/>
      <c r="B244" s="40"/>
      <c r="C244" s="43"/>
      <c r="D244" s="43"/>
      <c r="E244" s="43"/>
      <c r="F244" s="43"/>
      <c r="G244" s="43"/>
      <c r="H244" s="43"/>
      <c r="I244" s="43"/>
      <c r="J244" s="43"/>
      <c r="K244" s="43"/>
      <c r="L244" s="29"/>
    </row>
    <row r="245" spans="1:12">
      <c r="A245" s="47" t="s">
        <v>135</v>
      </c>
      <c r="B245" s="84"/>
      <c r="C245" s="85">
        <f>C239-C240</f>
        <v>-6.1599999999999859</v>
      </c>
      <c r="D245" s="85">
        <f t="shared" ref="D245:K245" si="62">D239-D240</f>
        <v>-13.780000000000026</v>
      </c>
      <c r="E245" s="85">
        <f t="shared" si="62"/>
        <v>-6.3999999999999986</v>
      </c>
      <c r="F245" s="85">
        <f t="shared" si="62"/>
        <v>-6.379999999999967</v>
      </c>
      <c r="G245" s="85">
        <f t="shared" si="62"/>
        <v>-84.250000000000057</v>
      </c>
      <c r="H245" s="85">
        <f t="shared" si="62"/>
        <v>-50.129999999999967</v>
      </c>
      <c r="I245" s="85">
        <f t="shared" si="62"/>
        <v>93.000000000000028</v>
      </c>
      <c r="J245" s="85">
        <f t="shared" si="62"/>
        <v>88.089999999999961</v>
      </c>
      <c r="K245" s="85">
        <f t="shared" si="62"/>
        <v>48.069999999999879</v>
      </c>
      <c r="L245" s="29">
        <f t="shared" si="56"/>
        <v>-2.2564456648580502</v>
      </c>
    </row>
    <row r="246" spans="1:12">
      <c r="A246" s="48" t="s">
        <v>134</v>
      </c>
      <c r="B246" s="40"/>
      <c r="C246" s="43">
        <f>C239-C241</f>
        <v>-5.6699999999999839</v>
      </c>
      <c r="D246" s="43">
        <f t="shared" ref="D246:K246" si="63">D239-D241</f>
        <v>-13.26000000000003</v>
      </c>
      <c r="E246" s="43">
        <f t="shared" si="63"/>
        <v>-6.5000000000000071</v>
      </c>
      <c r="F246" s="43">
        <f t="shared" si="63"/>
        <v>-6.2299999999999613</v>
      </c>
      <c r="G246" s="43">
        <f t="shared" si="63"/>
        <v>-54.240000000000066</v>
      </c>
      <c r="H246" s="43">
        <f t="shared" si="63"/>
        <v>-48.309999999999974</v>
      </c>
      <c r="I246" s="43">
        <f t="shared" si="63"/>
        <v>101.93000000000004</v>
      </c>
      <c r="J246" s="43">
        <f t="shared" si="63"/>
        <v>72.529999999999959</v>
      </c>
      <c r="K246" s="43">
        <f t="shared" si="63"/>
        <v>93.159999999999911</v>
      </c>
      <c r="L246" s="29">
        <f t="shared" si="56"/>
        <v>-2.3648088329351737</v>
      </c>
    </row>
    <row r="247" spans="1:12">
      <c r="A247" s="48" t="s">
        <v>163</v>
      </c>
      <c r="B247" s="40"/>
      <c r="C247" s="66">
        <f>C239-C242</f>
        <v>-5.6700000000000053</v>
      </c>
      <c r="D247" s="66">
        <f t="shared" ref="D247:K247" si="64">D239-D242</f>
        <v>-13.259999999999987</v>
      </c>
      <c r="E247" s="66">
        <f t="shared" si="64"/>
        <v>-6.4999999999999929</v>
      </c>
      <c r="F247" s="66">
        <f t="shared" si="64"/>
        <v>-3.0700000000000216</v>
      </c>
      <c r="G247" s="66">
        <f t="shared" si="64"/>
        <v>-49.5</v>
      </c>
      <c r="H247" s="66">
        <f t="shared" si="64"/>
        <v>-43.440000000000026</v>
      </c>
      <c r="I247" s="66">
        <f t="shared" si="64"/>
        <v>91.900000000000063</v>
      </c>
      <c r="J247" s="66">
        <f t="shared" si="64"/>
        <v>72.530000000000015</v>
      </c>
      <c r="K247" s="66">
        <f t="shared" si="64"/>
        <v>93.160000000000025</v>
      </c>
      <c r="L247" s="29">
        <f t="shared" si="56"/>
        <v>-2.3648088329351733</v>
      </c>
    </row>
    <row r="248" spans="1:12">
      <c r="A248" s="48" t="s">
        <v>165</v>
      </c>
      <c r="B248" s="40"/>
      <c r="C248" s="66">
        <f>C239-C243</f>
        <v>3.610000000000003</v>
      </c>
      <c r="D248" s="66">
        <f t="shared" ref="D248:K248" si="65">D239-D243</f>
        <v>19.260000000000009</v>
      </c>
      <c r="E248" s="66">
        <f t="shared" si="65"/>
        <v>-11.570000000000014</v>
      </c>
      <c r="F248" s="66">
        <f t="shared" si="65"/>
        <v>-5.3899999999999864</v>
      </c>
      <c r="G248" s="66">
        <f t="shared" si="65"/>
        <v>-28.79000000000002</v>
      </c>
      <c r="H248" s="66">
        <f t="shared" si="65"/>
        <v>-86.139999999999958</v>
      </c>
      <c r="I248" s="66">
        <f t="shared" si="65"/>
        <v>87.939999999999969</v>
      </c>
      <c r="J248" s="66">
        <f t="shared" si="65"/>
        <v>82.460000000000022</v>
      </c>
      <c r="K248" s="66">
        <f t="shared" si="65"/>
        <v>97.970000000000027</v>
      </c>
      <c r="L248" s="29">
        <f t="shared" si="56"/>
        <v>0.44306974971375812</v>
      </c>
    </row>
    <row r="249" spans="1:12">
      <c r="A249" s="116" t="s">
        <v>335</v>
      </c>
      <c r="B249" s="40"/>
      <c r="C249" s="43"/>
      <c r="D249" s="43"/>
      <c r="E249" s="43"/>
      <c r="F249" s="43"/>
      <c r="G249" s="43"/>
      <c r="H249" s="43"/>
      <c r="I249" s="43"/>
      <c r="J249" s="43"/>
      <c r="K249" s="43"/>
      <c r="L249" s="29"/>
    </row>
    <row r="250" spans="1:12" hidden="1">
      <c r="A250" s="48" t="s">
        <v>210</v>
      </c>
      <c r="B250" s="40"/>
      <c r="C250" s="67">
        <f>C4</f>
        <v>0.78342474101157855</v>
      </c>
      <c r="D250" s="67">
        <f t="shared" ref="D250:K250" si="66">D4</f>
        <v>0.30185197840497496</v>
      </c>
      <c r="E250" s="67">
        <f t="shared" si="66"/>
        <v>0.21837270341207346</v>
      </c>
      <c r="F250" s="67">
        <f t="shared" si="66"/>
        <v>0.39013356311934505</v>
      </c>
      <c r="G250" s="67">
        <f t="shared" si="66"/>
        <v>0.38682783201611659</v>
      </c>
      <c r="H250" s="67">
        <f t="shared" si="66"/>
        <v>0.23555178116479694</v>
      </c>
      <c r="I250" s="67">
        <f t="shared" si="66"/>
        <v>0.25914336360018808</v>
      </c>
      <c r="J250" s="67">
        <f t="shared" si="66"/>
        <v>0.1086004050967492</v>
      </c>
      <c r="K250" s="67">
        <f t="shared" si="66"/>
        <v>-0.18242131315356402</v>
      </c>
      <c r="L250" s="29"/>
    </row>
    <row r="251" spans="1:12" s="29" customFormat="1" hidden="1">
      <c r="A251" s="41" t="s">
        <v>211</v>
      </c>
      <c r="B251" s="41"/>
      <c r="C251" s="49">
        <f>(C88-B88)/B88</f>
        <v>2.9893048128342237</v>
      </c>
      <c r="D251" s="49">
        <f t="shared" ref="D251:K252" si="67">(D88-C88)/C88</f>
        <v>0.33378016085790918</v>
      </c>
      <c r="E251" s="49">
        <f t="shared" si="67"/>
        <v>0.60000000000000009</v>
      </c>
      <c r="F251" s="49">
        <f t="shared" si="67"/>
        <v>0.32474874371859291</v>
      </c>
      <c r="G251" s="49">
        <f t="shared" si="67"/>
        <v>0.39023233760075848</v>
      </c>
      <c r="H251" s="49">
        <f t="shared" si="67"/>
        <v>0.25500227376080048</v>
      </c>
      <c r="I251" s="49">
        <f t="shared" si="67"/>
        <v>0.24621795452486658</v>
      </c>
      <c r="J251" s="49">
        <f t="shared" si="67"/>
        <v>0.26568292505633478</v>
      </c>
      <c r="K251" s="49">
        <f t="shared" si="67"/>
        <v>8.1208362049161584E-2</v>
      </c>
    </row>
    <row r="252" spans="1:12" s="29" customFormat="1" hidden="1">
      <c r="A252" s="41" t="s">
        <v>303</v>
      </c>
      <c r="B252" s="41"/>
      <c r="C252" s="49">
        <f>(C89-B89)/B89</f>
        <v>2.042067307692307</v>
      </c>
      <c r="D252" s="49">
        <f t="shared" ref="D252:K252" si="68">(D89-C89)/C89</f>
        <v>0.30778348478862139</v>
      </c>
      <c r="E252" s="49">
        <f t="shared" si="67"/>
        <v>0.59184290030211484</v>
      </c>
      <c r="F252" s="49">
        <f t="shared" si="68"/>
        <v>0.32321123552856318</v>
      </c>
      <c r="G252" s="49">
        <f t="shared" si="68"/>
        <v>0.3624497991967871</v>
      </c>
      <c r="H252" s="49">
        <f t="shared" si="68"/>
        <v>0.26687019686282776</v>
      </c>
      <c r="I252" s="49">
        <f t="shared" si="68"/>
        <v>0.27048362971580531</v>
      </c>
      <c r="J252" s="49">
        <f t="shared" si="68"/>
        <v>0.25436588396886639</v>
      </c>
      <c r="K252" s="49">
        <f t="shared" si="68"/>
        <v>7.8214620919804093E-2</v>
      </c>
    </row>
    <row r="253" spans="1:12" s="29" customFormat="1" hidden="1">
      <c r="A253" s="41" t="s">
        <v>220</v>
      </c>
      <c r="B253" s="41"/>
      <c r="C253" s="49">
        <f>(C124-B124)/B124</f>
        <v>3.1267468491455261</v>
      </c>
      <c r="D253" s="49">
        <f t="shared" ref="D253:K253" si="69">(D124-C124)/C124</f>
        <v>0.60127468031973685</v>
      </c>
      <c r="E253" s="49">
        <f t="shared" si="69"/>
        <v>0.56925660248883847</v>
      </c>
      <c r="F253" s="49">
        <f t="shared" si="69"/>
        <v>0.42481362022399705</v>
      </c>
      <c r="G253" s="49">
        <f t="shared" si="69"/>
        <v>0.12301182702822459</v>
      </c>
      <c r="H253" s="49">
        <f t="shared" si="69"/>
        <v>0.25040939790301481</v>
      </c>
      <c r="I253" s="49">
        <f t="shared" si="69"/>
        <v>0.24771425856640161</v>
      </c>
      <c r="J253" s="49">
        <f t="shared" si="69"/>
        <v>0.26076895857320037</v>
      </c>
      <c r="K253" s="49">
        <f t="shared" si="69"/>
        <v>0.14245382806640927</v>
      </c>
    </row>
    <row r="254" spans="1:12" s="29" customFormat="1" hidden="1">
      <c r="A254" s="41" t="s">
        <v>253</v>
      </c>
      <c r="B254" s="41"/>
      <c r="C254" s="49">
        <f>(C82-B82)/B82</f>
        <v>0.38424177010253613</v>
      </c>
      <c r="D254" s="49">
        <f t="shared" ref="D254:K254" si="70">(D82-C82)/C82</f>
        <v>0.50565302144249558</v>
      </c>
      <c r="E254" s="49">
        <f t="shared" si="70"/>
        <v>0.40082858622475392</v>
      </c>
      <c r="F254" s="49">
        <f t="shared" si="70"/>
        <v>0.35951940850277242</v>
      </c>
      <c r="G254" s="49">
        <f t="shared" si="70"/>
        <v>0.6302288692499437</v>
      </c>
      <c r="H254" s="49">
        <f t="shared" si="70"/>
        <v>0.33023824747713421</v>
      </c>
      <c r="I254" s="49">
        <f t="shared" si="70"/>
        <v>-1.4315569487983329E-2</v>
      </c>
      <c r="J254" s="49">
        <f t="shared" si="70"/>
        <v>5.8729990459026923E-2</v>
      </c>
      <c r="K254" s="49">
        <f t="shared" si="70"/>
        <v>0.16721738259737681</v>
      </c>
    </row>
    <row r="255" spans="1:12" s="29" customFormat="1" hidden="1">
      <c r="A255" s="41" t="s">
        <v>254</v>
      </c>
      <c r="B255" s="41"/>
      <c r="C255" s="49">
        <f>(C83-B83)/B83</f>
        <v>0.38146591116797629</v>
      </c>
      <c r="D255" s="49">
        <f>D284</f>
        <v>0.50565302144249558</v>
      </c>
      <c r="E255" s="49">
        <f t="shared" ref="E255:K255" si="71">(E83-D83)/D83</f>
        <v>0.40835307537071158</v>
      </c>
      <c r="F255" s="49">
        <f t="shared" si="71"/>
        <v>0.36259423088904091</v>
      </c>
      <c r="G255" s="49">
        <f t="shared" si="71"/>
        <v>0.4986054592839837</v>
      </c>
      <c r="H255" s="49">
        <f t="shared" si="71"/>
        <v>0.35687698315840843</v>
      </c>
      <c r="I255" s="49">
        <f t="shared" si="71"/>
        <v>-3.5482202684775095E-2</v>
      </c>
      <c r="J255" s="49">
        <f t="shared" si="71"/>
        <v>0.10085091502506131</v>
      </c>
      <c r="K255" s="49">
        <f t="shared" si="71"/>
        <v>8.1340928824040315E-2</v>
      </c>
    </row>
    <row r="256" spans="1:12" s="29" customFormat="1" hidden="1">
      <c r="A256" s="41" t="s">
        <v>255</v>
      </c>
      <c r="B256" s="41"/>
      <c r="C256" s="49">
        <f>(C84-B84)/B84</f>
        <v>0.38146591116797662</v>
      </c>
      <c r="D256" s="49">
        <f t="shared" ref="D256:K256" si="72">(D84-C84)/C84</f>
        <v>0.50793860809738001</v>
      </c>
      <c r="E256" s="49">
        <f t="shared" si="72"/>
        <v>0.40835307537071153</v>
      </c>
      <c r="F256" s="49">
        <f t="shared" si="72"/>
        <v>0.3429069839885367</v>
      </c>
      <c r="G256" s="49">
        <f t="shared" si="72"/>
        <v>0.48392484342379954</v>
      </c>
      <c r="H256" s="49">
        <f t="shared" si="72"/>
        <v>0.35046582880010008</v>
      </c>
      <c r="I256" s="49">
        <f t="shared" si="72"/>
        <v>-1.3311417723863451E-2</v>
      </c>
      <c r="J256" s="49">
        <f t="shared" si="72"/>
        <v>0.10149926092771168</v>
      </c>
      <c r="K256" s="49">
        <f t="shared" si="72"/>
        <v>8.1815664472703192E-2</v>
      </c>
    </row>
    <row r="257" spans="1:12" s="29" customFormat="1" hidden="1">
      <c r="A257" s="41" t="s">
        <v>256</v>
      </c>
      <c r="B257" s="41"/>
      <c r="C257" s="49">
        <f>(C85-B85)/B85</f>
        <v>0.21834966088922372</v>
      </c>
      <c r="D257" s="49">
        <f t="shared" ref="D257:K257" si="73">(D85-C85)/C85</f>
        <v>9.0768517086747949E-2</v>
      </c>
      <c r="E257" s="49">
        <f t="shared" si="73"/>
        <v>0.73164162177487979</v>
      </c>
      <c r="F257" s="49">
        <f t="shared" si="73"/>
        <v>0.46958657388456804</v>
      </c>
      <c r="G257" s="49">
        <f t="shared" si="73"/>
        <v>0.46571221658960521</v>
      </c>
      <c r="H257" s="49">
        <f t="shared" si="73"/>
        <v>0.58834707916840845</v>
      </c>
      <c r="I257" s="49">
        <f t="shared" si="73"/>
        <v>-4.2832188748772792E-3</v>
      </c>
      <c r="J257" s="49">
        <f t="shared" si="73"/>
        <v>8.0097087378640741E-2</v>
      </c>
      <c r="K257" s="49">
        <f t="shared" si="73"/>
        <v>7.4758037601512881E-2</v>
      </c>
    </row>
    <row r="258" spans="1:12" s="29" customFormat="1" hidden="1">
      <c r="A258" s="41" t="s">
        <v>257</v>
      </c>
      <c r="B258" s="41"/>
      <c r="C258" s="49">
        <f>(C86-B86)/B86</f>
        <v>0.40178074568725641</v>
      </c>
      <c r="D258" s="49">
        <f t="shared" ref="D258:K258" si="74">(D86-C86)/C86</f>
        <v>0.1012306470821755</v>
      </c>
      <c r="E258" s="49">
        <f t="shared" si="74"/>
        <v>0.59733237202595524</v>
      </c>
      <c r="F258" s="49">
        <f t="shared" si="74"/>
        <v>0.58609794628751966</v>
      </c>
      <c r="G258" s="49">
        <f t="shared" si="74"/>
        <v>1.1449914627205464</v>
      </c>
      <c r="H258" s="49">
        <f t="shared" si="74"/>
        <v>7.1641791044776193E-2</v>
      </c>
      <c r="I258" s="49">
        <f t="shared" si="74"/>
        <v>-4.2835035592695858E-2</v>
      </c>
      <c r="J258" s="49">
        <f t="shared" si="74"/>
        <v>-3.4210696501325875E-2</v>
      </c>
      <c r="K258" s="49">
        <f t="shared" si="74"/>
        <v>0.16104191777152815</v>
      </c>
    </row>
    <row r="259" spans="1:12" s="29" customFormat="1" hidden="1">
      <c r="A259" s="41" t="s">
        <v>260</v>
      </c>
      <c r="B259" s="41"/>
      <c r="C259" s="49">
        <f>('Data Sheet'!C62-'Data Sheet'!B62)/'Data Sheet'!B62</f>
        <v>0.13503751041956097</v>
      </c>
      <c r="D259" s="49">
        <f>('Data Sheet'!D62-'Data Sheet'!C62)/'Data Sheet'!C62</f>
        <v>9.4002447980416057E-2</v>
      </c>
      <c r="E259" s="49">
        <f>('Data Sheet'!E62-'Data Sheet'!D62)/'Data Sheet'!D62</f>
        <v>0.78183038711121056</v>
      </c>
      <c r="F259" s="49">
        <f>('Data Sheet'!F62-'Data Sheet'!E62)/'Data Sheet'!E62</f>
        <v>0.39608187868893641</v>
      </c>
      <c r="G259" s="49">
        <f>('Data Sheet'!G62-'Data Sheet'!F62)/'Data Sheet'!F62</f>
        <v>0.29810200593685349</v>
      </c>
      <c r="H259" s="49">
        <f>('Data Sheet'!H62-'Data Sheet'!G62)/'Data Sheet'!G62</f>
        <v>1.0104635853371213</v>
      </c>
      <c r="I259" s="49">
        <f>('Data Sheet'!I62-'Data Sheet'!H62)/'Data Sheet'!H62</f>
        <v>4.8461034708578925E-2</v>
      </c>
      <c r="J259" s="49">
        <f>('Data Sheet'!J62-'Data Sheet'!I62)/'Data Sheet'!I62</f>
        <v>7.580788323087545E-2</v>
      </c>
      <c r="K259" s="49">
        <f>('Data Sheet'!K62-'Data Sheet'!J62)/'Data Sheet'!J62</f>
        <v>0.16696715049656222</v>
      </c>
    </row>
    <row r="260" spans="1:12" s="29" customFormat="1" hidden="1">
      <c r="A260" s="41" t="s">
        <v>261</v>
      </c>
      <c r="B260" s="41"/>
      <c r="C260" s="49">
        <f>Customization!C24</f>
        <v>0.33476060724017115</v>
      </c>
      <c r="D260" s="49">
        <f>Customization!D24</f>
        <v>0.48614756488772243</v>
      </c>
      <c r="E260" s="49">
        <f>Customization!E24</f>
        <v>0.23861852433280997</v>
      </c>
      <c r="F260" s="49">
        <f>Customization!F24</f>
        <v>0.2192648922686945</v>
      </c>
      <c r="G260" s="49">
        <f>Customization!G24</f>
        <v>1.2438929313929314</v>
      </c>
      <c r="H260" s="49">
        <f>Customization!H24</f>
        <v>0.37390700098442292</v>
      </c>
      <c r="I260" s="49">
        <f>Customization!I24</f>
        <v>-0.31897496417432347</v>
      </c>
      <c r="J260" s="49">
        <f>Customization!J24</f>
        <v>-0.59586582497833895</v>
      </c>
      <c r="K260" s="49">
        <f>Customization!K24</f>
        <v>-0.35574272588055128</v>
      </c>
    </row>
    <row r="261" spans="1:12" s="29" customFormat="1" hidden="1">
      <c r="A261" s="41" t="s">
        <v>212</v>
      </c>
      <c r="B261" s="41"/>
      <c r="C261" s="49">
        <f>('Profit &amp; Loss'!C13-'Profit &amp; Loss'!B13)/'Profit &amp; Loss'!B13</f>
        <v>1.8869895536562207</v>
      </c>
      <c r="D261" s="49">
        <f>('Profit &amp; Loss'!D13-'Profit &amp; Loss'!C13)/'Profit &amp; Loss'!C13</f>
        <v>0.65328947368421053</v>
      </c>
      <c r="E261" s="49">
        <f>('Profit &amp; Loss'!E13-'Profit &amp; Loss'!D13)/'Profit &amp; Loss'!D13</f>
        <v>0.59331476323119781</v>
      </c>
      <c r="F261" s="49">
        <f>('Profit &amp; Loss'!F13-'Profit &amp; Loss'!E13)/'Profit &amp; Loss'!E13</f>
        <v>0.29795204795204783</v>
      </c>
      <c r="G261" s="49">
        <f>('Profit &amp; Loss'!G13-'Profit &amp; Loss'!F13)/'Profit &amp; Loss'!F13</f>
        <v>5.4646911679815405E-2</v>
      </c>
      <c r="H261" s="49">
        <f>('Profit &amp; Loss'!H13-'Profit &amp; Loss'!G13)/'Profit &amp; Loss'!G13</f>
        <v>0.25269111476008016</v>
      </c>
      <c r="I261" s="49">
        <f>('Profit &amp; Loss'!I13-'Profit &amp; Loss'!H13)/'Profit &amp; Loss'!H13</f>
        <v>0.2547334692688612</v>
      </c>
      <c r="J261" s="49">
        <f>('Profit &amp; Loss'!J13-'Profit &amp; Loss'!I13)/'Profit &amp; Loss'!I13</f>
        <v>0.28625398771744109</v>
      </c>
      <c r="K261" s="49">
        <f>('Profit &amp; Loss'!K13-'Profit &amp; Loss'!J13)/'Profit &amp; Loss'!J13</f>
        <v>0.13628119872182398</v>
      </c>
    </row>
    <row r="262" spans="1:12" s="29" customFormat="1" hidden="1">
      <c r="A262" s="41" t="s">
        <v>214</v>
      </c>
      <c r="B262" s="41"/>
      <c r="C262" s="49">
        <f>C319</f>
        <v>3.3304843304843303</v>
      </c>
      <c r="D262" s="49">
        <f>D319</f>
        <v>0.65328947368421053</v>
      </c>
      <c r="E262" s="49">
        <f>E319</f>
        <v>0.59331476323119781</v>
      </c>
      <c r="F262" s="49">
        <f>F319</f>
        <v>0.29795204795204794</v>
      </c>
      <c r="G262" s="49">
        <f>G319</f>
        <v>5.4646911679815342E-2</v>
      </c>
      <c r="H262" s="49">
        <f>H319</f>
        <v>0.25269111476008016</v>
      </c>
      <c r="I262" s="49">
        <f>I319</f>
        <v>0.2547334692688612</v>
      </c>
      <c r="J262" s="49">
        <f>J319</f>
        <v>0.34405107370864768</v>
      </c>
      <c r="K262" s="49">
        <f>K319</f>
        <v>0.13628119872182387</v>
      </c>
    </row>
    <row r="263" spans="1:12" s="29" customFormat="1" hidden="1">
      <c r="A263" s="41" t="s">
        <v>222</v>
      </c>
      <c r="B263" s="41"/>
      <c r="C263" s="49">
        <f>('Data Sheet'!C31-'Data Sheet'!B31)/'Data Sheet'!B31</f>
        <v>1.4936708860759491</v>
      </c>
      <c r="D263" s="49">
        <f>('Data Sheet'!D31-'Data Sheet'!C31)/'Data Sheet'!C31</f>
        <v>0.25380710659898487</v>
      </c>
      <c r="E263" s="49">
        <f>('Data Sheet'!E31-'Data Sheet'!D31)/'Data Sheet'!D31</f>
        <v>1</v>
      </c>
      <c r="F263" s="49">
        <f>('Data Sheet'!F31-'Data Sheet'!E31)/'Data Sheet'!E31</f>
        <v>0.29959514170040474</v>
      </c>
      <c r="G263" s="49">
        <f>('Data Sheet'!G31-'Data Sheet'!F31)/'Data Sheet'!F31</f>
        <v>0.53894080996884752</v>
      </c>
      <c r="H263" s="49">
        <f>('Data Sheet'!H31-'Data Sheet'!G31)/'Data Sheet'!G31</f>
        <v>0.24898785425101203</v>
      </c>
      <c r="I263" s="49">
        <f>('Data Sheet'!I31-'Data Sheet'!H31)/'Data Sheet'!H31</f>
        <v>0.20016207455429502</v>
      </c>
      <c r="J263" s="49">
        <f>('Data Sheet'!J31-'Data Sheet'!I31)/'Data Sheet'!I31</f>
        <v>0.21944632005401743</v>
      </c>
      <c r="K263" s="49">
        <f>('Data Sheet'!K31-'Data Sheet'!J31)/'Data Sheet'!J31</f>
        <v>0.14285714285714296</v>
      </c>
    </row>
    <row r="264" spans="1:12" s="29" customFormat="1" hidden="1">
      <c r="A264" s="41" t="s">
        <v>223</v>
      </c>
      <c r="B264" s="41"/>
      <c r="C264" s="49">
        <f>(C366-B366)/B366</f>
        <v>3.8639705882352939</v>
      </c>
      <c r="D264" s="49">
        <f>(D366-C366)/C366</f>
        <v>0.71277399848828438</v>
      </c>
      <c r="E264" s="49">
        <f>(E366-D366)/D366</f>
        <v>0.54898499558693736</v>
      </c>
      <c r="F264" s="49">
        <f>(F366-E366)/E366</f>
        <v>0.29772079772079757</v>
      </c>
      <c r="G264" s="49">
        <f>(G366-F366)/F366</f>
        <v>-1.361141602634462E-2</v>
      </c>
      <c r="H264" s="49">
        <f>(H366-G366)/G366</f>
        <v>0.25350545292677484</v>
      </c>
      <c r="I264" s="49">
        <f>(I366-H366)/H366</f>
        <v>0.26669034090909111</v>
      </c>
      <c r="J264" s="49">
        <f>(J366-I366)/I366</f>
        <v>0.36991869918699188</v>
      </c>
      <c r="K264" s="49">
        <f>(K366-J366)/J366</f>
        <v>0.13506599815819081</v>
      </c>
    </row>
    <row r="265" spans="1:12" hidden="1">
      <c r="A265" s="48" t="s">
        <v>259</v>
      </c>
      <c r="B265" s="40"/>
      <c r="C265" s="67">
        <f>C324</f>
        <v>0.42675585284280931</v>
      </c>
      <c r="D265" s="67">
        <f>D324</f>
        <v>0.52133145804031911</v>
      </c>
      <c r="E265" s="67">
        <f>E324</f>
        <v>0.52819722650231127</v>
      </c>
      <c r="F265" s="67">
        <f>F324</f>
        <v>0.44877999596692869</v>
      </c>
      <c r="G265" s="67">
        <f>G324</f>
        <v>0.30155195211914548</v>
      </c>
      <c r="H265" s="67">
        <f>H324</f>
        <v>0.28991551705699925</v>
      </c>
      <c r="I265" s="67">
        <f>I324</f>
        <v>0.28531752611507205</v>
      </c>
      <c r="J265" s="67">
        <f>J324</f>
        <v>0.39984519624600906</v>
      </c>
      <c r="K265" s="67">
        <f>K324</f>
        <v>0.24589333026149077</v>
      </c>
      <c r="L265" s="29"/>
    </row>
    <row r="266" spans="1:12" hidden="1">
      <c r="A266" s="48" t="s">
        <v>215</v>
      </c>
      <c r="B266" s="40"/>
      <c r="C266" s="67"/>
      <c r="D266" s="67">
        <f>D337</f>
        <v>0.59879453676477101</v>
      </c>
      <c r="E266" s="67">
        <f>E337</f>
        <v>0.60872694021392426</v>
      </c>
      <c r="F266" s="67">
        <f>F337</f>
        <v>0.31671734735745888</v>
      </c>
      <c r="G266" s="67">
        <f>G337</f>
        <v>6.8919430389841427E-2</v>
      </c>
      <c r="H266" s="67">
        <f>H337</f>
        <v>0.24453758049805605</v>
      </c>
      <c r="I266" s="67">
        <f>I337</f>
        <v>0.2425961942562628</v>
      </c>
      <c r="J266" s="67">
        <f>J337</f>
        <v>0.20528182345882418</v>
      </c>
      <c r="K266" s="67">
        <f>K337</f>
        <v>0.20283883534074526</v>
      </c>
      <c r="L266" s="29"/>
    </row>
    <row r="267" spans="1:12" hidden="1">
      <c r="A267" s="48" t="s">
        <v>216</v>
      </c>
      <c r="B267" s="40"/>
      <c r="C267" s="67"/>
      <c r="D267" s="67"/>
      <c r="E267" s="67"/>
      <c r="F267" s="67"/>
      <c r="G267" s="67">
        <f>(G227-F227)/F227</f>
        <v>-0.30992164264132249</v>
      </c>
      <c r="H267" s="67">
        <f t="shared" ref="H267:K267" si="75">(H227-G227)/G227</f>
        <v>-1.1034257296100209</v>
      </c>
      <c r="I267" s="67">
        <f t="shared" si="75"/>
        <v>-35.906015663676001</v>
      </c>
      <c r="J267" s="67">
        <f t="shared" si="75"/>
        <v>-0.11059100272602337</v>
      </c>
      <c r="K267" s="67">
        <f t="shared" si="75"/>
        <v>-0.87601608156706445</v>
      </c>
      <c r="L267" s="29"/>
    </row>
    <row r="268" spans="1:12" hidden="1">
      <c r="A268" s="48" t="s">
        <v>217</v>
      </c>
      <c r="B268" s="40"/>
      <c r="C268" s="67"/>
      <c r="D268" s="67"/>
      <c r="E268" s="67">
        <f>(E228-D228)/D228</f>
        <v>7.6009073520038433</v>
      </c>
      <c r="F268" s="67">
        <f t="shared" ref="F268:K268" si="76">(F228-E228)/E228</f>
        <v>1.2548299311978552</v>
      </c>
      <c r="G268" s="67">
        <f t="shared" si="76"/>
        <v>-0.22036643283219218</v>
      </c>
      <c r="H268" s="67">
        <f t="shared" si="76"/>
        <v>-1.0065638655294247</v>
      </c>
      <c r="I268" s="67">
        <f t="shared" si="76"/>
        <v>-542.00502180596527</v>
      </c>
      <c r="J268" s="67">
        <f t="shared" si="76"/>
        <v>-0.11693730290036254</v>
      </c>
      <c r="K268" s="67">
        <f t="shared" si="76"/>
        <v>-0.94269748810290233</v>
      </c>
      <c r="L268" s="29"/>
    </row>
    <row r="269" spans="1:12" hidden="1">
      <c r="A269" s="48" t="s">
        <v>218</v>
      </c>
      <c r="B269" s="40"/>
      <c r="C269" s="67"/>
      <c r="D269" s="67">
        <f>(D229-C229)/C229</f>
        <v>-11.594339622641517</v>
      </c>
      <c r="E269" s="67">
        <f t="shared" ref="E269:K269" si="77">(E229-D229)/D229</f>
        <v>-1.9056099732858423</v>
      </c>
      <c r="F269" s="67">
        <f t="shared" si="77"/>
        <v>1.2369714847590942</v>
      </c>
      <c r="G269" s="67">
        <f t="shared" si="77"/>
        <v>-0.95780219780219777</v>
      </c>
      <c r="H269" s="67">
        <f t="shared" si="77"/>
        <v>-36.895833333333293</v>
      </c>
      <c r="I269" s="67">
        <f t="shared" si="77"/>
        <v>-3.2069065583284972</v>
      </c>
      <c r="J269" s="67">
        <f t="shared" si="77"/>
        <v>8.8757396449704332E-2</v>
      </c>
      <c r="K269" s="67">
        <f t="shared" si="77"/>
        <v>-0.1289855072463767</v>
      </c>
      <c r="L269" s="29"/>
    </row>
    <row r="270" spans="1:12" hidden="1">
      <c r="A270" s="48" t="s">
        <v>219</v>
      </c>
      <c r="B270" s="40"/>
      <c r="C270" s="67">
        <f>(C102-B102)/B102</f>
        <v>-4.5028270950772233</v>
      </c>
      <c r="D270" s="67">
        <f t="shared" ref="D270:K270" si="78">(D102-C102)/C102</f>
        <v>0.7063987993615447</v>
      </c>
      <c r="E270" s="67">
        <f t="shared" si="78"/>
        <v>0.73263882229971966</v>
      </c>
      <c r="F270" s="67">
        <f t="shared" si="78"/>
        <v>0.47602212514440045</v>
      </c>
      <c r="G270" s="67">
        <f t="shared" si="78"/>
        <v>-0.2433867639831758</v>
      </c>
      <c r="H270" s="67">
        <f t="shared" si="78"/>
        <v>0.12615994830654492</v>
      </c>
      <c r="I270" s="67">
        <f t="shared" si="78"/>
        <v>0.72945645431455275</v>
      </c>
      <c r="J270" s="67">
        <f t="shared" si="78"/>
        <v>0.4724721294353138</v>
      </c>
      <c r="K270" s="67">
        <f t="shared" si="78"/>
        <v>0.12379676256889111</v>
      </c>
      <c r="L270" s="29"/>
    </row>
    <row r="271" spans="1:12" hidden="1">
      <c r="A271" s="48" t="s">
        <v>221</v>
      </c>
      <c r="B271" s="40"/>
      <c r="C271" s="67"/>
      <c r="D271" s="67">
        <f>(D245-C245)/C245</f>
        <v>1.2370129870129964</v>
      </c>
      <c r="E271" s="67">
        <f t="shared" ref="E271:K271" si="79">(E245-D245)/D245</f>
        <v>-0.53555878084180064</v>
      </c>
      <c r="F271" s="67">
        <f t="shared" si="79"/>
        <v>-3.1250000000049303E-3</v>
      </c>
      <c r="G271" s="67">
        <f t="shared" si="79"/>
        <v>12.205329153605092</v>
      </c>
      <c r="H271" s="67">
        <f t="shared" si="79"/>
        <v>-0.40498516320474859</v>
      </c>
      <c r="I271" s="67">
        <f t="shared" si="79"/>
        <v>-2.8551765409934191</v>
      </c>
      <c r="J271" s="67">
        <f t="shared" si="79"/>
        <v>-5.2795698924731897E-2</v>
      </c>
      <c r="K271" s="67">
        <f t="shared" si="79"/>
        <v>-0.45430809399477917</v>
      </c>
      <c r="L271" s="29"/>
    </row>
    <row r="272" spans="1:12" hidden="1">
      <c r="A272" s="48"/>
      <c r="B272" s="40"/>
      <c r="C272" s="67"/>
      <c r="D272" s="67"/>
      <c r="E272" s="67"/>
      <c r="F272" s="67"/>
      <c r="G272" s="67"/>
      <c r="H272" s="67"/>
      <c r="I272" s="67"/>
      <c r="J272" s="67"/>
      <c r="K272" s="67"/>
      <c r="L272" s="29"/>
    </row>
    <row r="273" spans="1:12" hidden="1">
      <c r="A273" s="11"/>
    </row>
    <row r="274" spans="1:12" hidden="1">
      <c r="A274" s="11" t="s">
        <v>292</v>
      </c>
      <c r="D274" s="29">
        <f>('Profit &amp; Loss'!D13-'Profit &amp; Loss'!C13)/'Profit &amp; Loss'!C13</f>
        <v>0.65328947368421053</v>
      </c>
      <c r="E274" s="29">
        <f>('Profit &amp; Loss'!E13-'Profit &amp; Loss'!D13)/'Profit &amp; Loss'!D13</f>
        <v>0.59331476323119781</v>
      </c>
      <c r="F274" s="29">
        <f>('Profit &amp; Loss'!F13-'Profit &amp; Loss'!E13)/'Profit &amp; Loss'!E13</f>
        <v>0.29795204795204783</v>
      </c>
      <c r="G274" s="29">
        <f>('Profit &amp; Loss'!G13-'Profit &amp; Loss'!F13)/'Profit &amp; Loss'!F13</f>
        <v>5.4646911679815405E-2</v>
      </c>
      <c r="H274" s="29">
        <f>('Profit &amp; Loss'!H13-'Profit &amp; Loss'!G13)/'Profit &amp; Loss'!G13</f>
        <v>0.25269111476008016</v>
      </c>
      <c r="I274" s="29">
        <f>('Profit &amp; Loss'!I13-'Profit &amp; Loss'!H13)/'Profit &amp; Loss'!H13</f>
        <v>0.2547334692688612</v>
      </c>
      <c r="J274" s="29">
        <f>('Profit &amp; Loss'!J13-'Profit &amp; Loss'!I13)/'Profit &amp; Loss'!I13</f>
        <v>0.28625398771744109</v>
      </c>
      <c r="K274" s="29">
        <f>('Profit &amp; Loss'!K13-'Profit &amp; Loss'!J13)/'Profit &amp; Loss'!J13</f>
        <v>0.13628119872182398</v>
      </c>
      <c r="L274" s="29">
        <f>('Profit &amp; Loss'!L13-'Profit &amp; Loss'!K13)/'Profit &amp; Loss'!K13</f>
        <v>1.3987090273751817E-6</v>
      </c>
    </row>
    <row r="275" spans="1:12" hidden="1">
      <c r="A275" s="11" t="s">
        <v>293</v>
      </c>
      <c r="D275" s="29">
        <f>('Profit &amp; Loss'!D14-'Profit &amp; Loss'!C14)/'Profit &amp; Loss'!C14</f>
        <v>-0.39590178600980963</v>
      </c>
      <c r="E275" s="29">
        <f>('Profit &amp; Loss'!E14-'Profit &amp; Loss'!D14)/'Profit &amp; Loss'!D14</f>
        <v>2.0257136413993018</v>
      </c>
      <c r="F275" s="29">
        <f>('Profit &amp; Loss'!F14-'Profit &amp; Loss'!E14)/'Profit &amp; Loss'!E14</f>
        <v>-0.25587411263149673</v>
      </c>
      <c r="G275" s="29">
        <f>('Profit &amp; Loss'!G14-'Profit &amp; Loss'!F14)/'Profit &amp; Loss'!F14</f>
        <v>0.12721250652285124</v>
      </c>
      <c r="H275" s="29">
        <f>('Profit &amp; Loss'!H14-'Profit &amp; Loss'!G14)/'Profit &amp; Loss'!G14</f>
        <v>-8.0712158936486811E-2</v>
      </c>
      <c r="I275" s="29">
        <f>('Profit &amp; Loss'!I14-'Profit &amp; Loss'!H14)/'Profit &amp; Loss'!H14</f>
        <v>1.1420652970842877</v>
      </c>
      <c r="J275" s="29">
        <f>('Profit &amp; Loss'!J14-'Profit &amp; Loss'!I14)/'Profit &amp; Loss'!I14</f>
        <v>0.72581657852509696</v>
      </c>
      <c r="K275" s="29">
        <f>('Profit &amp; Loss'!K14-'Profit &amp; Loss'!J14)/'Profit &amp; Loss'!J14</f>
        <v>-0.38350467778793496</v>
      </c>
      <c r="L275" s="29">
        <f>('Profit &amp; Loss'!L14-'Profit &amp; Loss'!K14)/'Profit &amp; Loss'!K14</f>
        <v>0.22100094806138304</v>
      </c>
    </row>
    <row r="276" spans="1:12" hidden="1">
      <c r="A276" s="5" t="s">
        <v>294</v>
      </c>
      <c r="D276" s="29">
        <f>('Profit &amp; Loss'!D15-'Profit &amp; Loss'!C15)/'Profit &amp; Loss'!C15</f>
        <v>-1.25078173858659E-3</v>
      </c>
      <c r="E276" s="29">
        <f>('Profit &amp; Loss'!E15-'Profit &amp; Loss'!D15)/'Profit &amp; Loss'!D15</f>
        <v>3.8209142141515335</v>
      </c>
      <c r="F276" s="29">
        <f>('Profit &amp; Loss'!F15-'Profit &amp; Loss'!E15)/'Profit &amp; Loss'!E15</f>
        <v>-3.4160280555916293E-2</v>
      </c>
      <c r="G276" s="29">
        <f>('Profit &amp; Loss'!G15-'Profit &amp; Loss'!F15)/'Profit &amp; Loss'!F15</f>
        <v>0.18881118881118888</v>
      </c>
      <c r="H276" s="29">
        <f>('Profit &amp; Loss'!H15-'Profit &amp; Loss'!G15)/'Profit &amp; Loss'!G15</f>
        <v>0.15158371040723972</v>
      </c>
      <c r="I276" s="29">
        <f>('Profit &amp; Loss'!I15-'Profit &amp; Loss'!H15)/'Profit &amp; Loss'!H15</f>
        <v>1.6877210216110021</v>
      </c>
      <c r="J276" s="29">
        <f>('Profit &amp; Loss'!J15-'Profit &amp; Loss'!I15)/'Profit &amp; Loss'!I15</f>
        <v>1.2198384561967763</v>
      </c>
      <c r="K276" s="29">
        <f>('Profit &amp; Loss'!K15-'Profit &amp; Loss'!J15)/'Profit &amp; Loss'!J15</f>
        <v>-0.29948795627047758</v>
      </c>
      <c r="L276" s="29">
        <f>('Profit &amp; Loss'!L15-'Profit &amp; Loss'!K15)/'Profit &amp; Loss'!K15</f>
        <v>0.22100265588643139</v>
      </c>
    </row>
    <row r="277" spans="1:12" hidden="1">
      <c r="A277" s="5"/>
    </row>
    <row r="278" spans="1:12" hidden="1">
      <c r="A278" s="5" t="s">
        <v>295</v>
      </c>
      <c r="D278" s="104">
        <f>D274</f>
        <v>0.65328947368421053</v>
      </c>
      <c r="E278" s="104">
        <f>SUM(D274,E274)</f>
        <v>1.2466042369154082</v>
      </c>
      <c r="F278" s="104">
        <f>SUM(D274:F274)</f>
        <v>1.5445562848674561</v>
      </c>
      <c r="G278" s="104">
        <f>SUM(D274:G274)</f>
        <v>1.5992031965472715</v>
      </c>
      <c r="H278" s="104">
        <f>SUM(D274:H274)</f>
        <v>1.8518943113073516</v>
      </c>
      <c r="I278" s="104">
        <f>SUM(D274:I274)</f>
        <v>2.106627780576213</v>
      </c>
      <c r="J278" s="104">
        <f>SUM(D274:J274)</f>
        <v>2.3928817682936541</v>
      </c>
      <c r="K278" s="104">
        <f>SUM(D274:K274)</f>
        <v>2.5291629670154778</v>
      </c>
      <c r="L278" s="104">
        <f>SUM(D274:L274)</f>
        <v>2.5291643657245051</v>
      </c>
    </row>
    <row r="279" spans="1:12" hidden="1">
      <c r="A279" s="5" t="s">
        <v>296</v>
      </c>
      <c r="D279" s="104">
        <f t="shared" ref="D279:D280" si="80">D275</f>
        <v>-0.39590178600980963</v>
      </c>
      <c r="E279" s="104">
        <f t="shared" ref="E279:E280" si="81">SUM(D275,E275)</f>
        <v>1.6298118553894922</v>
      </c>
      <c r="F279" s="104">
        <f t="shared" ref="F279:F280" si="82">SUM(D275:F275)</f>
        <v>1.3739377427579955</v>
      </c>
      <c r="G279" s="104">
        <f t="shared" ref="G279:G280" si="83">SUM(D275:G275)</f>
        <v>1.5011502492808468</v>
      </c>
      <c r="H279" s="104">
        <f t="shared" ref="H279:H280" si="84">SUM(D275:H275)</f>
        <v>1.4204380903443601</v>
      </c>
      <c r="I279" s="104">
        <f t="shared" ref="I279:I280" si="85">SUM(D275:I275)</f>
        <v>2.5625033874286478</v>
      </c>
      <c r="J279" s="104">
        <f t="shared" ref="J279:J280" si="86">SUM(D275:J275)</f>
        <v>3.288319965953745</v>
      </c>
      <c r="K279" s="104">
        <f t="shared" ref="K279:K280" si="87">SUM(D275:K275)</f>
        <v>2.90481528816581</v>
      </c>
      <c r="L279" s="104">
        <f t="shared" ref="L279:L280" si="88">SUM(D275:L275)</f>
        <v>3.1258162362271928</v>
      </c>
    </row>
    <row r="280" spans="1:12" hidden="1">
      <c r="A280" s="5" t="s">
        <v>297</v>
      </c>
      <c r="D280" s="104">
        <f t="shared" si="80"/>
        <v>-1.25078173858659E-3</v>
      </c>
      <c r="E280" s="104">
        <f t="shared" si="81"/>
        <v>3.819663432412947</v>
      </c>
      <c r="F280" s="104">
        <f t="shared" si="82"/>
        <v>3.7855031518570308</v>
      </c>
      <c r="G280" s="104">
        <f t="shared" si="83"/>
        <v>3.9743143406682195</v>
      </c>
      <c r="H280" s="104">
        <f t="shared" si="84"/>
        <v>4.1258980510754597</v>
      </c>
      <c r="I280" s="104">
        <f t="shared" si="85"/>
        <v>5.8136190726864623</v>
      </c>
      <c r="J280" s="104">
        <f t="shared" si="86"/>
        <v>7.0334575288832388</v>
      </c>
      <c r="K280" s="104">
        <f t="shared" si="87"/>
        <v>6.7339695726127609</v>
      </c>
      <c r="L280" s="104">
        <f t="shared" si="88"/>
        <v>6.9549722284991926</v>
      </c>
    </row>
    <row r="281" spans="1:12" hidden="1">
      <c r="A281" s="5" t="s">
        <v>298</v>
      </c>
      <c r="D281" s="29">
        <f>D4</f>
        <v>0.30185197840497496</v>
      </c>
      <c r="E281" s="104">
        <f>SUM(D4:E4)</f>
        <v>0.5202246818170484</v>
      </c>
      <c r="F281" s="104">
        <f>SUM(D4:F4)</f>
        <v>0.91035824493639339</v>
      </c>
      <c r="G281" s="104">
        <f>SUM(D4:G4)</f>
        <v>1.2971860769525101</v>
      </c>
      <c r="H281" s="104">
        <f>SUM(D4:H4)</f>
        <v>1.532737858117307</v>
      </c>
      <c r="I281" s="104">
        <f>SUM(D4:I4)</f>
        <v>1.7918812217174951</v>
      </c>
      <c r="J281" s="104">
        <f>SUM(D4:J4)</f>
        <v>1.9004816268142444</v>
      </c>
      <c r="K281" s="104">
        <f>SUM(D4:K4)</f>
        <v>1.7180603136606805</v>
      </c>
      <c r="L281" s="104">
        <f>SUM(D4:L4)</f>
        <v>1.7210874948953263</v>
      </c>
    </row>
    <row r="282" spans="1:12" hidden="1">
      <c r="A282" s="5" t="s">
        <v>299</v>
      </c>
      <c r="D282" s="104">
        <f>D17</f>
        <v>0.65328947368421053</v>
      </c>
      <c r="E282" s="104">
        <f>SUM(D17:E17)</f>
        <v>1.2466042369154082</v>
      </c>
      <c r="F282" s="104">
        <f>SUM(D17:F17)</f>
        <v>1.5445562848674561</v>
      </c>
      <c r="G282" s="104">
        <f>SUM(D17:G17)</f>
        <v>1.5992031965472715</v>
      </c>
      <c r="H282" s="104">
        <f>SUM(D17:H17)</f>
        <v>1.8518943113073516</v>
      </c>
      <c r="I282" s="104">
        <f>SUM(D17:I17)</f>
        <v>2.106627780576213</v>
      </c>
      <c r="J282" s="104">
        <f>SUM(D17:J17)</f>
        <v>2.4506788542848605</v>
      </c>
      <c r="K282" s="104">
        <f>SUM(D17:K17)</f>
        <v>2.5869600530066843</v>
      </c>
      <c r="L282" s="104">
        <f>SUM(D17:L17)</f>
        <v>2.5869600530066843</v>
      </c>
    </row>
    <row r="283" spans="1:12" hidden="1">
      <c r="A283" s="5" t="s">
        <v>300</v>
      </c>
      <c r="D283" s="104">
        <f>D41</f>
        <v>1.4208809135399676</v>
      </c>
      <c r="E283" s="104">
        <f>SUM(D41:E41)</f>
        <v>1.390220536181477</v>
      </c>
      <c r="F283" s="104">
        <f>SUM(D41:F41)</f>
        <v>1.4785069456357696</v>
      </c>
      <c r="G283" s="104">
        <f>SUM(D41:G41)</f>
        <v>1.1092958309759164</v>
      </c>
      <c r="H283" s="104">
        <f>SUM(D41:H41)</f>
        <v>4.7725869702164223</v>
      </c>
      <c r="I283" s="104">
        <f>SUM(D41:I41)</f>
        <v>5.1999485337343376</v>
      </c>
      <c r="J283" s="104">
        <f>SUM(D41:J41)</f>
        <v>5.0561785656832194</v>
      </c>
      <c r="K283" s="104">
        <f>SUM(D41:K41)</f>
        <v>5.5441849622717054</v>
      </c>
    </row>
    <row r="284" spans="1:12" hidden="1">
      <c r="A284" s="5" t="s">
        <v>301</v>
      </c>
      <c r="D284" s="104">
        <f>D254</f>
        <v>0.50565302144249558</v>
      </c>
      <c r="E284" s="104">
        <f>SUM(D254:E254)</f>
        <v>0.9064816076672495</v>
      </c>
      <c r="F284" s="104">
        <f>SUM(D254:F254)</f>
        <v>1.2660010161700219</v>
      </c>
      <c r="G284" s="104">
        <f>SUM(D254:G254)</f>
        <v>1.8962298854199657</v>
      </c>
      <c r="H284" s="104">
        <f>SUM(D254:H254)</f>
        <v>2.2264681328971001</v>
      </c>
      <c r="I284" s="104">
        <f>SUM(D254:I254)</f>
        <v>2.2121525634091168</v>
      </c>
      <c r="J284" s="104">
        <f>SUM(D254:J254)</f>
        <v>2.2708825538681436</v>
      </c>
      <c r="K284" s="104">
        <f>SUM(D254:K254)</f>
        <v>2.4380999364655205</v>
      </c>
    </row>
    <row r="285" spans="1:12" hidden="1">
      <c r="A285" s="5" t="s">
        <v>302</v>
      </c>
      <c r="D285" s="104">
        <f>D265</f>
        <v>0.52133145804031911</v>
      </c>
      <c r="E285" s="104">
        <f>SUM(D265:E265)</f>
        <v>1.0495286845426304</v>
      </c>
      <c r="F285" s="104">
        <f>SUM(D265:F265)</f>
        <v>1.4983086805095591</v>
      </c>
      <c r="G285" s="104">
        <f>SUM(D265:G265)</f>
        <v>1.7998606326287045</v>
      </c>
      <c r="H285" s="104">
        <f>SUM(D265:H265)</f>
        <v>2.0897761496857039</v>
      </c>
      <c r="I285" s="104">
        <f>SUM(D265:I265)</f>
        <v>2.3750936758007759</v>
      </c>
      <c r="J285" s="104">
        <f>SUM(D265:J265)</f>
        <v>2.7749388720467851</v>
      </c>
      <c r="K285" s="104">
        <f>SUM(D265:K265)</f>
        <v>3.0208322023082759</v>
      </c>
    </row>
    <row r="286" spans="1:12" hidden="1">
      <c r="A286" s="5" t="s">
        <v>304</v>
      </c>
      <c r="D286" s="104">
        <f>D251</f>
        <v>0.33378016085790918</v>
      </c>
      <c r="E286" s="104">
        <f>SUM(D251:E251)</f>
        <v>0.93378016085790927</v>
      </c>
      <c r="F286" s="104">
        <f>SUM(D251:F251)</f>
        <v>1.2585289045765022</v>
      </c>
      <c r="G286" s="104">
        <f>SUM(D251:G251)</f>
        <v>1.6487612421772608</v>
      </c>
      <c r="H286" s="104">
        <f>SUM(D251:H251)</f>
        <v>1.9037635159380613</v>
      </c>
      <c r="I286" s="104">
        <f>SUM(D251:I251)</f>
        <v>2.1499814704629276</v>
      </c>
      <c r="J286" s="104">
        <f>SUM(D251:J251)</f>
        <v>2.4156643955192623</v>
      </c>
      <c r="K286" s="104">
        <f>SUM(D251:K251)</f>
        <v>2.4968727575684238</v>
      </c>
    </row>
    <row r="287" spans="1:12" hidden="1">
      <c r="A287" s="5" t="s">
        <v>305</v>
      </c>
      <c r="D287" s="104">
        <f>D252</f>
        <v>0.30778348478862139</v>
      </c>
      <c r="E287" s="104">
        <f>SUM(D252:E252)</f>
        <v>0.89962638509073622</v>
      </c>
      <c r="F287" s="104">
        <f>SUM(D252:F252)</f>
        <v>1.2228376206192995</v>
      </c>
      <c r="G287" s="104">
        <f>SUM(D252:G252)</f>
        <v>1.5852874198160865</v>
      </c>
      <c r="H287" s="104">
        <f>SUM(D252:H252)</f>
        <v>1.8521576166789142</v>
      </c>
      <c r="I287" s="104">
        <f>SUM(D252:I252)</f>
        <v>2.1226412463947195</v>
      </c>
      <c r="J287" s="104">
        <f>SUM(D252:J252)</f>
        <v>2.377007130363586</v>
      </c>
      <c r="K287" s="104">
        <f>SUM(D252:K252)</f>
        <v>2.45522175128339</v>
      </c>
    </row>
    <row r="288" spans="1:12" hidden="1">
      <c r="A288" s="5"/>
    </row>
    <row r="289" spans="1:12" hidden="1">
      <c r="A289" s="5"/>
    </row>
    <row r="290" spans="1:12" hidden="1">
      <c r="A290" s="5" t="s">
        <v>316</v>
      </c>
      <c r="C290" s="105">
        <f>'Profit &amp; Loss'!C9/'Balance Sheet'!C6</f>
        <v>9.5071449402158059E-2</v>
      </c>
      <c r="D290" s="105">
        <f>'Profit &amp; Loss'!D9/'Balance Sheet'!D6</f>
        <v>6.4560439560439553E-2</v>
      </c>
      <c r="E290" s="105">
        <f>'Profit &amp; Loss'!E9/'Balance Sheet'!E6</f>
        <v>7.0025348542458815E-2</v>
      </c>
      <c r="F290" s="105">
        <f>'Profit &amp; Loss'!F9/'Balance Sheet'!F6</f>
        <v>9.2515592515592521E-2</v>
      </c>
      <c r="G290" s="105">
        <f>'Profit &amp; Loss'!G9/'Balance Sheet'!G6</f>
        <v>5.3216746771671777E-2</v>
      </c>
      <c r="H290" s="105">
        <f>'Profit &amp; Loss'!H9/'Balance Sheet'!H6</f>
        <v>4.8638624294023436E-2</v>
      </c>
      <c r="I290" s="105">
        <f>'Profit &amp; Loss'!I9/'Balance Sheet'!I6</f>
        <v>0.11232825844782768</v>
      </c>
      <c r="J290" s="105">
        <f>'Profit &amp; Loss'!J9/'Balance Sheet'!J6</f>
        <v>0.14946401225114855</v>
      </c>
      <c r="K290" s="105">
        <f>'Profit &amp; Loss'!K9/'Balance Sheet'!K6</f>
        <v>0.18683147135726172</v>
      </c>
      <c r="L290" s="105">
        <f>'Profit &amp; Loss'!L9/'Balance Sheet'!K6</f>
        <v>0.18683147135726169</v>
      </c>
    </row>
    <row r="291" spans="1:12" hidden="1">
      <c r="A291" s="5" t="s">
        <v>317</v>
      </c>
      <c r="C291" s="106">
        <f>(C88/C290)+'Data Sheet'!C69</f>
        <v>236.77190184049076</v>
      </c>
      <c r="D291" s="106">
        <f>(D88/D290)+'Data Sheet'!D69</f>
        <v>464.24744680851069</v>
      </c>
      <c r="E291" s="106">
        <f>(E88/E290)+'Data Sheet'!E69</f>
        <v>683.82873303167423</v>
      </c>
      <c r="F291" s="106">
        <f>(F88/F290)+'Data Sheet'!F69</f>
        <v>685.82471910112361</v>
      </c>
      <c r="G291" s="106">
        <f>(G88/G290)+'Data Sheet'!G69</f>
        <v>1684.8131556039173</v>
      </c>
      <c r="H291" s="106">
        <f>(H88/H290)+'Data Sheet'!H69</f>
        <v>2303.3654419410746</v>
      </c>
      <c r="I291" s="106">
        <f>(I88/I290)+'Data Sheet'!I69</f>
        <v>1267.4140826446285</v>
      </c>
      <c r="J291" s="106">
        <f>(J88/J290)+'Data Sheet'!J69</f>
        <v>1192.1027049180329</v>
      </c>
      <c r="K291" s="106">
        <f>(K88/K290)+'Data Sheet'!K69</f>
        <v>1079.8760814249363</v>
      </c>
      <c r="L291" s="106">
        <f>(('Profit &amp; Loss'!L10-'Profit &amp; Loss'!L9-'Profit &amp; Loss'!L7)/L290)+'Data Sheet'!K69</f>
        <v>995.7360814249364</v>
      </c>
    </row>
    <row r="292" spans="1:12" hidden="1">
      <c r="A292" s="5" t="s">
        <v>70</v>
      </c>
      <c r="C292" s="107">
        <f>'Profit &amp; Loss'!C15*'Data Sheet'!C70/10000000</f>
        <v>15.7893255</v>
      </c>
      <c r="D292" s="107">
        <f>'Profit &amp; Loss'!D15*'Data Sheet'!D70/10000000</f>
        <v>15.769576499999999</v>
      </c>
      <c r="E292" s="107">
        <f>'Profit &amp; Loss'!E15*'Data Sheet'!E70/10000000</f>
        <v>380.11887749999994</v>
      </c>
      <c r="F292" s="107">
        <f>'Profit &amp; Loss'!F15*'Data Sheet'!F70/10000000</f>
        <v>367.13391000000001</v>
      </c>
      <c r="G292" s="107">
        <f>'Profit &amp; Loss'!G15*'Data Sheet'!G70/10000000</f>
        <v>436.4529</v>
      </c>
      <c r="H292" s="107">
        <f>'Profit &amp; Loss'!H15*'Data Sheet'!H70/10000000</f>
        <v>502.61205000000001</v>
      </c>
      <c r="I292" s="107">
        <f>'Profit &amp; Loss'!I15*'Data Sheet'!I70/10000000</f>
        <v>1350.8809725000001</v>
      </c>
      <c r="J292" s="107">
        <f>'Profit &amp; Loss'!J15*'Data Sheet'!J70/10000000</f>
        <v>3133.4840854250001</v>
      </c>
      <c r="K292" s="107">
        <f>'Profit &amp; Loss'!K15*'Data Sheet'!K70/10000000</f>
        <v>2195.0433406749999</v>
      </c>
      <c r="L292" s="107">
        <f>'Profit &amp; Loss'!L15*'Data Sheet'!K70/10000000</f>
        <v>2680.15374875</v>
      </c>
    </row>
    <row r="293" spans="1:12" hidden="1">
      <c r="A293" s="5" t="s">
        <v>318</v>
      </c>
      <c r="C293" s="105">
        <f>C291/C292</f>
        <v>14.995694517824131</v>
      </c>
      <c r="D293" s="105">
        <f t="shared" ref="D293:L293" si="89">D291/D292</f>
        <v>29.439436551039318</v>
      </c>
      <c r="E293" s="105">
        <f t="shared" si="89"/>
        <v>1.7989865105599085</v>
      </c>
      <c r="F293" s="105">
        <f t="shared" si="89"/>
        <v>1.868050595220484</v>
      </c>
      <c r="G293" s="105">
        <f t="shared" si="89"/>
        <v>3.8602404878141887</v>
      </c>
      <c r="H293" s="105">
        <f t="shared" si="89"/>
        <v>4.5827899310035933</v>
      </c>
      <c r="I293" s="105">
        <f t="shared" si="89"/>
        <v>0.93821299466458241</v>
      </c>
      <c r="J293" s="105">
        <f t="shared" si="89"/>
        <v>0.38044000621000312</v>
      </c>
      <c r="K293" s="105">
        <f t="shared" si="89"/>
        <v>0.49196116605736928</v>
      </c>
      <c r="L293" s="105">
        <f t="shared" si="89"/>
        <v>0.37152200014246906</v>
      </c>
    </row>
    <row r="294" spans="1:12" hidden="1">
      <c r="A294" s="5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</row>
    <row r="295" spans="1:12" hidden="1">
      <c r="A295" s="5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</row>
    <row r="296" spans="1:12">
      <c r="A296" s="5" t="s">
        <v>319</v>
      </c>
      <c r="B296" s="29">
        <f>'Data Sheet'!B62/'Data Sheet'!B61</f>
        <v>0.49840742279462685</v>
      </c>
      <c r="C296" s="29">
        <f>'Data Sheet'!C62/'Data Sheet'!C61</f>
        <v>0.4163693813066966</v>
      </c>
      <c r="D296" s="29">
        <f>'Data Sheet'!D62/'Data Sheet'!D61</f>
        <v>0.3248291902892862</v>
      </c>
      <c r="E296" s="29">
        <f>'Data Sheet'!E62/'Data Sheet'!E61</f>
        <v>0.42973556395035073</v>
      </c>
      <c r="F296" s="29">
        <f>'Data Sheet'!F62/'Data Sheet'!F61</f>
        <v>0.43060773908664829</v>
      </c>
      <c r="G296" s="29">
        <f>'Data Sheet'!G62/'Data Sheet'!G61</f>
        <v>0.3564794229534114</v>
      </c>
      <c r="H296" s="29">
        <f>'Data Sheet'!H62/'Data Sheet'!H61</f>
        <v>0.53173395890988395</v>
      </c>
      <c r="I296" s="29">
        <f>'Data Sheet'!I62/'Data Sheet'!I61</f>
        <v>0.55049042672554194</v>
      </c>
      <c r="J296" s="29">
        <f>'Data Sheet'!J62/'Data Sheet'!J61</f>
        <v>0.54568041219922958</v>
      </c>
      <c r="K296" s="29">
        <f>'Data Sheet'!K62/'Data Sheet'!K61</f>
        <v>0.55546020479404234</v>
      </c>
      <c r="L296" s="106"/>
    </row>
    <row r="297" spans="1:12">
      <c r="A297" s="5" t="s">
        <v>320</v>
      </c>
      <c r="B297" s="29">
        <f>'Balance Sheet'!B16/'Balance Sheet'!B8</f>
        <v>0.24885749896136275</v>
      </c>
      <c r="C297" s="29">
        <f>'Balance Sheet'!C16/'Balance Sheet'!C8</f>
        <v>0.25675262460503517</v>
      </c>
      <c r="D297" s="29">
        <f>'Balance Sheet'!D16/'Balance Sheet'!D8</f>
        <v>0.20162814362552697</v>
      </c>
      <c r="E297" s="29">
        <f>'Balance Sheet'!E16/'Balance Sheet'!E8</f>
        <v>0.23912574203993522</v>
      </c>
      <c r="F297" s="29">
        <f>'Balance Sheet'!F16/'Balance Sheet'!F8</f>
        <v>0.27222372855095478</v>
      </c>
      <c r="G297" s="29">
        <f>'Balance Sheet'!G16/'Balance Sheet'!G8</f>
        <v>0.37238772787905738</v>
      </c>
      <c r="H297" s="29">
        <f>'Balance Sheet'!H16/'Balance Sheet'!H8</f>
        <v>0.29607976101020839</v>
      </c>
      <c r="I297" s="29">
        <f>'Balance Sheet'!I16/'Balance Sheet'!I8</f>
        <v>0.27983278439321002</v>
      </c>
      <c r="J297" s="29">
        <f>'Balance Sheet'!J16/'Balance Sheet'!J8</f>
        <v>0.24902035984058957</v>
      </c>
      <c r="K297" s="29">
        <f>'Balance Sheet'!K16/'Balance Sheet'!K8</f>
        <v>0.25219629974400742</v>
      </c>
    </row>
    <row r="298" spans="1:12" hidden="1">
      <c r="A298" s="5"/>
    </row>
    <row r="299" spans="1:12" hidden="1">
      <c r="A299" s="5" t="s">
        <v>6</v>
      </c>
      <c r="B299" s="11">
        <f>'Data Sheet'!B17</f>
        <v>82.05</v>
      </c>
      <c r="C299" s="11">
        <f>'Data Sheet'!C17</f>
        <v>146.33000000000001</v>
      </c>
      <c r="D299" s="11">
        <f>'Data Sheet'!D17</f>
        <v>190.5</v>
      </c>
      <c r="E299" s="11">
        <f>'Data Sheet'!E17</f>
        <v>232.1</v>
      </c>
      <c r="F299" s="11">
        <f>'Data Sheet'!F17</f>
        <v>322.64999999999998</v>
      </c>
      <c r="G299" s="11">
        <f>'Data Sheet'!G17</f>
        <v>447.46</v>
      </c>
      <c r="H299" s="11">
        <f>'Data Sheet'!H17</f>
        <v>552.86</v>
      </c>
      <c r="I299" s="11">
        <f>'Data Sheet'!I17</f>
        <v>696.13</v>
      </c>
      <c r="J299" s="11">
        <f>'Data Sheet'!J17</f>
        <v>771.73</v>
      </c>
      <c r="K299" s="11">
        <f>'Data Sheet'!K17</f>
        <v>630.95000000000005</v>
      </c>
    </row>
    <row r="300" spans="1:12" hidden="1">
      <c r="A300" s="5" t="s">
        <v>85</v>
      </c>
      <c r="B300" s="30">
        <f>B88</f>
        <v>5.61</v>
      </c>
      <c r="C300" s="30">
        <f t="shared" ref="C300:K300" si="90">C88</f>
        <v>22.379999999999995</v>
      </c>
      <c r="D300" s="30">
        <f t="shared" si="90"/>
        <v>29.85</v>
      </c>
      <c r="E300" s="30">
        <f t="shared" si="90"/>
        <v>47.760000000000005</v>
      </c>
      <c r="F300" s="30">
        <f t="shared" si="90"/>
        <v>63.27</v>
      </c>
      <c r="G300" s="30">
        <f t="shared" si="90"/>
        <v>87.96</v>
      </c>
      <c r="H300" s="30">
        <f t="shared" si="90"/>
        <v>110.39</v>
      </c>
      <c r="I300" s="30">
        <f t="shared" si="90"/>
        <v>137.57000000000002</v>
      </c>
      <c r="J300" s="30">
        <f t="shared" si="90"/>
        <v>174.12</v>
      </c>
      <c r="K300" s="30">
        <f t="shared" si="90"/>
        <v>188.26000000000002</v>
      </c>
    </row>
    <row r="301" spans="1:12" hidden="1">
      <c r="A301" s="5" t="s">
        <v>277</v>
      </c>
      <c r="B301" s="30">
        <f>B89</f>
        <v>8.32</v>
      </c>
      <c r="C301" s="30">
        <f t="shared" ref="C301:K301" si="91">C89</f>
        <v>25.309999999999995</v>
      </c>
      <c r="D301" s="30">
        <f t="shared" si="91"/>
        <v>33.1</v>
      </c>
      <c r="E301" s="30">
        <f t="shared" si="91"/>
        <v>52.690000000000005</v>
      </c>
      <c r="F301" s="30">
        <f t="shared" si="91"/>
        <v>69.72</v>
      </c>
      <c r="G301" s="30">
        <f t="shared" si="91"/>
        <v>94.99</v>
      </c>
      <c r="H301" s="30">
        <f t="shared" si="91"/>
        <v>120.34</v>
      </c>
      <c r="I301" s="30">
        <f t="shared" si="91"/>
        <v>152.89000000000001</v>
      </c>
      <c r="J301" s="30">
        <f t="shared" si="91"/>
        <v>191.78</v>
      </c>
      <c r="K301" s="30">
        <f t="shared" si="91"/>
        <v>206.78000000000003</v>
      </c>
    </row>
    <row r="302" spans="1:12" hidden="1">
      <c r="A302" s="5" t="s">
        <v>96</v>
      </c>
      <c r="B302" s="30">
        <f>B124</f>
        <v>3.560777576853527</v>
      </c>
      <c r="C302" s="30">
        <f t="shared" ref="C302:K302" si="92">C124</f>
        <v>14.694427645788334</v>
      </c>
      <c r="D302" s="30">
        <f t="shared" si="92"/>
        <v>23.529814930991218</v>
      </c>
      <c r="E302" s="30">
        <f t="shared" si="92"/>
        <v>36.924317435798422</v>
      </c>
      <c r="F302" s="30">
        <f t="shared" si="92"/>
        <v>52.610270400000005</v>
      </c>
      <c r="G302" s="30">
        <f t="shared" si="92"/>
        <v>59.081955882352929</v>
      </c>
      <c r="H302" s="30">
        <f t="shared" si="92"/>
        <v>73.876632881785412</v>
      </c>
      <c r="I302" s="30">
        <f t="shared" si="92"/>
        <v>92.17692822147913</v>
      </c>
      <c r="J302" s="30">
        <f t="shared" si="92"/>
        <v>116.21380979827089</v>
      </c>
      <c r="K302" s="30">
        <f t="shared" si="92"/>
        <v>132.76891187821616</v>
      </c>
    </row>
    <row r="303" spans="1:12">
      <c r="A303" s="5" t="s">
        <v>322</v>
      </c>
      <c r="B303" s="11">
        <f>'Data Sheet'!B18+'Data Sheet'!B19+'Data Sheet'!B20+'Data Sheet'!B21+'Data Sheet'!B29</f>
        <v>62.720000000000006</v>
      </c>
      <c r="C303" s="11">
        <f>'Data Sheet'!C18+'Data Sheet'!C19+'Data Sheet'!C20+'Data Sheet'!C21+'Data Sheet'!C29</f>
        <v>115.14</v>
      </c>
      <c r="D303" s="11">
        <f>'Data Sheet'!D18+'Data Sheet'!D19+'Data Sheet'!D20+'Data Sheet'!D21+'Data Sheet'!D29</f>
        <v>140.07999999999998</v>
      </c>
      <c r="E303" s="11">
        <f>'Data Sheet'!E18+'Data Sheet'!E19+'Data Sheet'!E20+'Data Sheet'!E21+'Data Sheet'!E29</f>
        <v>176.06</v>
      </c>
      <c r="F303" s="11">
        <f>'Data Sheet'!F18+'Data Sheet'!F19+'Data Sheet'!F20+'Data Sheet'!F21+'Data Sheet'!F29</f>
        <v>237.58</v>
      </c>
      <c r="G303" s="11">
        <f>'Data Sheet'!G18+'Data Sheet'!G19+'Data Sheet'!G20+'Data Sheet'!G21+'Data Sheet'!G29</f>
        <v>349.69</v>
      </c>
      <c r="H303" s="11">
        <f>'Data Sheet'!H18+'Data Sheet'!H19+'Data Sheet'!H20+'Data Sheet'!H21+'Data Sheet'!H29</f>
        <v>425.55</v>
      </c>
      <c r="I303" s="11">
        <f>'Data Sheet'!I18+'Data Sheet'!I19+'Data Sheet'!I20+'Data Sheet'!I21+'Data Sheet'!I29</f>
        <v>518.06999999999994</v>
      </c>
      <c r="J303" s="11">
        <f>'Data Sheet'!J18+'Data Sheet'!J19+'Data Sheet'!J20+'Data Sheet'!J21+'Data Sheet'!J29</f>
        <v>571.38</v>
      </c>
      <c r="K303" s="11">
        <f>'Data Sheet'!K18+'Data Sheet'!K19+'Data Sheet'!K20+'Data Sheet'!K21+'Data Sheet'!K29</f>
        <v>414.36</v>
      </c>
    </row>
    <row r="304" spans="1:12">
      <c r="A304" s="5" t="s">
        <v>321</v>
      </c>
      <c r="B304" s="11">
        <f>'Data Sheet'!B22+'Data Sheet'!B23+'Data Sheet'!B24+'Data Sheet'!B26+'Data Sheet'!B27</f>
        <v>16.669999999999998</v>
      </c>
      <c r="C304" s="11">
        <f>'Data Sheet'!C22+'Data Sheet'!C23+'Data Sheet'!C24+'Data Sheet'!C26+'Data Sheet'!C27</f>
        <v>23.759999999999998</v>
      </c>
      <c r="D304" s="11">
        <f>'Data Sheet'!D22+'Data Sheet'!D23+'Data Sheet'!D24+'Data Sheet'!D26+'Data Sheet'!D27</f>
        <v>29.47</v>
      </c>
      <c r="E304" s="11">
        <f>'Data Sheet'!E22+'Data Sheet'!E23+'Data Sheet'!E24+'Data Sheet'!E26+'Data Sheet'!E27</f>
        <v>34.67</v>
      </c>
      <c r="F304" s="11">
        <f>'Data Sheet'!F22+'Data Sheet'!F23+'Data Sheet'!F24+'Data Sheet'!F26+'Data Sheet'!F27</f>
        <v>48.29</v>
      </c>
      <c r="G304" s="11">
        <f>'Data Sheet'!G22+'Data Sheet'!G23+'Data Sheet'!G24+'Data Sheet'!G26+'Data Sheet'!G27</f>
        <v>58.07</v>
      </c>
      <c r="H304" s="11">
        <f>'Data Sheet'!H22+'Data Sheet'!H23+'Data Sheet'!H24+'Data Sheet'!H26+'Data Sheet'!H27</f>
        <v>70.44</v>
      </c>
      <c r="I304" s="11">
        <f>'Data Sheet'!I22+'Data Sheet'!I23+'Data Sheet'!I24+'Data Sheet'!I26+'Data Sheet'!I27</f>
        <v>99.390000000000015</v>
      </c>
      <c r="J304" s="11">
        <f>'Data Sheet'!J22+'Data Sheet'!J23+'Data Sheet'!J24+'Data Sheet'!J26+'Data Sheet'!J27</f>
        <v>92.39</v>
      </c>
      <c r="K304" s="11">
        <f>'Data Sheet'!K22+'Data Sheet'!K23+'Data Sheet'!K24+'Data Sheet'!K26+'Data Sheet'!K27</f>
        <v>89.69</v>
      </c>
    </row>
    <row r="305" spans="1:26">
      <c r="A305" s="5" t="s">
        <v>325</v>
      </c>
      <c r="B305" s="11">
        <f>'Data Sheet'!B30</f>
        <v>3.51</v>
      </c>
      <c r="C305" s="11">
        <f>'Data Sheet'!C30</f>
        <v>15.2</v>
      </c>
      <c r="D305" s="11">
        <f>'Data Sheet'!D30</f>
        <v>25.13</v>
      </c>
      <c r="E305" s="11">
        <f>'Data Sheet'!E30</f>
        <v>40.04</v>
      </c>
      <c r="F305" s="11">
        <f>'Data Sheet'!F30</f>
        <v>51.97</v>
      </c>
      <c r="G305" s="11">
        <f>'Data Sheet'!G30</f>
        <v>54.81</v>
      </c>
      <c r="H305" s="11">
        <f>'Data Sheet'!H30</f>
        <v>68.66</v>
      </c>
      <c r="I305" s="11">
        <f>'Data Sheet'!I30</f>
        <v>86.15</v>
      </c>
      <c r="J305" s="11">
        <f>'Data Sheet'!J30</f>
        <v>115.79</v>
      </c>
      <c r="K305" s="11">
        <f>'Data Sheet'!K30</f>
        <v>131.57</v>
      </c>
    </row>
    <row r="306" spans="1:26">
      <c r="A306" s="47" t="s">
        <v>323</v>
      </c>
      <c r="B306" s="45">
        <f>B303/'Data Sheet'!B17</f>
        <v>0.76441194393662415</v>
      </c>
      <c r="C306" s="45">
        <f>C303/'Data Sheet'!C17</f>
        <v>0.78685163671154235</v>
      </c>
      <c r="D306" s="45">
        <f>D303/'Data Sheet'!D17</f>
        <v>0.73532808398950122</v>
      </c>
      <c r="E306" s="45">
        <f>E303/'Data Sheet'!E17</f>
        <v>0.75855234812580785</v>
      </c>
      <c r="F306" s="45">
        <f>F303/'Data Sheet'!F17</f>
        <v>0.73633968696730212</v>
      </c>
      <c r="G306" s="45">
        <f>G303/'Data Sheet'!G17</f>
        <v>0.78150002234836635</v>
      </c>
      <c r="H306" s="45">
        <f>H303/'Data Sheet'!H17</f>
        <v>0.76972470426509421</v>
      </c>
      <c r="I306" s="45">
        <f>I303/'Data Sheet'!I17</f>
        <v>0.74421444270466719</v>
      </c>
      <c r="J306" s="45">
        <f>J303/'Data Sheet'!J17</f>
        <v>0.74038847783551243</v>
      </c>
      <c r="K306" s="45">
        <f>K303/'Data Sheet'!K17</f>
        <v>0.65672398763768913</v>
      </c>
    </row>
    <row r="307" spans="1:26">
      <c r="A307" s="47" t="s">
        <v>324</v>
      </c>
      <c r="B307" s="45">
        <f>B304/'Data Sheet'!B17</f>
        <v>0.20316879951249237</v>
      </c>
      <c r="C307" s="45">
        <f>C304/'Data Sheet'!C17</f>
        <v>0.16237271919633703</v>
      </c>
      <c r="D307" s="45">
        <f>D304/'Data Sheet'!D17</f>
        <v>0.15469816272965878</v>
      </c>
      <c r="E307" s="45">
        <f>E304/'Data Sheet'!E17</f>
        <v>0.14937526928048256</v>
      </c>
      <c r="F307" s="45">
        <f>F304/'Data Sheet'!F17</f>
        <v>0.14966682163334885</v>
      </c>
      <c r="G307" s="45">
        <f>G304/'Data Sheet'!G17</f>
        <v>0.12977696330398247</v>
      </c>
      <c r="H307" s="45">
        <f>H304/'Data Sheet'!H17</f>
        <v>0.12741019426256195</v>
      </c>
      <c r="I307" s="45">
        <f>I304/'Data Sheet'!I17</f>
        <v>0.14277505638314686</v>
      </c>
      <c r="J307" s="45">
        <f>J304/'Data Sheet'!J17</f>
        <v>0.11971803610070879</v>
      </c>
      <c r="K307" s="45">
        <f>K304/'Data Sheet'!K17</f>
        <v>0.14215072509707583</v>
      </c>
    </row>
    <row r="308" spans="1:26" s="35" customFormat="1">
      <c r="A308" s="89" t="s">
        <v>109</v>
      </c>
      <c r="B308" s="89"/>
      <c r="C308" s="89">
        <f>(('Profit &amp; Loss'!C13-'Profit &amp; Loss'!B13)/'Profit &amp; Loss'!B13)/((Customization!C88-Customization!B88)/Customization!B88)</f>
        <v>0.63124695265422781</v>
      </c>
      <c r="D308" s="89">
        <f>(('Profit &amp; Loss'!D13-'Profit &amp; Loss'!C13)/'Profit &amp; Loss'!C13)/((Customization!D88-Customization!C88)/Customization!C88)</f>
        <v>1.9572447685478738</v>
      </c>
      <c r="E308" s="89">
        <f>(('Profit &amp; Loss'!E13-'Profit &amp; Loss'!D13)/'Profit &amp; Loss'!D13)/((Customization!E88-Customization!D88)/Customization!D88)</f>
        <v>0.9888579387186629</v>
      </c>
      <c r="F308" s="89">
        <f>(('Profit &amp; Loss'!F13-'Profit &amp; Loss'!E13)/'Profit &amp; Loss'!E13)/((Customization!F88-Customization!E88)/Customization!E88)</f>
        <v>0.91748483624692501</v>
      </c>
      <c r="G308" s="89">
        <f>(('Profit &amp; Loss'!G13-'Profit &amp; Loss'!F13)/'Profit &amp; Loss'!F13)/((Customization!G88-Customization!F88)/Customization!F88)</f>
        <v>0.1400368611576315</v>
      </c>
      <c r="H308" s="89">
        <f>(('Profit &amp; Loss'!H13-'Profit &amp; Loss'!G13)/'Profit &amp; Loss'!G13)/((Customization!H88-Customization!G88)/Customization!G88)</f>
        <v>0.99093671218442447</v>
      </c>
      <c r="I308" s="89">
        <f>(('Profit &amp; Loss'!I13-'Profit &amp; Loss'!H13)/'Profit &amp; Loss'!H13)/((Customization!I88-Customization!H88)/Customization!H88)</f>
        <v>1.0345852712505359</v>
      </c>
      <c r="J308" s="89">
        <f>(('Profit &amp; Loss'!J13-'Profit &amp; Loss'!I13)/'Profit &amp; Loss'!I13)/((Customization!J88-Customization!I88)/Customization!I88)</f>
        <v>1.0774271160133624</v>
      </c>
      <c r="K308" s="89">
        <f>(('Profit &amp; Loss'!K13-'Profit &amp; Loss'!J13)/'Profit &amp; Loss'!J13)/((Customization!K88-Customization!J88)/Customization!J88)</f>
        <v>1.6781670665801958</v>
      </c>
      <c r="L308" s="29"/>
    </row>
    <row r="309" spans="1:26" s="35" customFormat="1">
      <c r="A309" s="89" t="s">
        <v>209</v>
      </c>
      <c r="B309" s="89"/>
      <c r="C309" s="89">
        <f>((Customization!C88-Customization!B88)/B88)/(('Data Sheet'!C17-'Data Sheet'!B17)/'Data Sheet'!B17)</f>
        <v>3.8156885484294958</v>
      </c>
      <c r="D309" s="89">
        <f>((Customization!D88-Customization!C88)/C88)/(('Data Sheet'!D17-'Data Sheet'!C17)/'Data Sheet'!C17)</f>
        <v>1.1057743024301079</v>
      </c>
      <c r="E309" s="89">
        <f>((Customization!E88-Customization!D88)/D88)/(('Data Sheet'!E17-'Data Sheet'!D17)/'Data Sheet'!D17)</f>
        <v>2.7475961538461546</v>
      </c>
      <c r="F309" s="89">
        <f>((Customization!F88-Customization!E88)/E88)/(('Data Sheet'!F17-'Data Sheet'!E17)/'Data Sheet'!E17)</f>
        <v>0.83240401344103176</v>
      </c>
      <c r="G309" s="89">
        <f>((Customization!G88-Customization!F88)/F88)/(('Data Sheet'!G17-'Data Sheet'!F17)/'Data Sheet'!F17)</f>
        <v>1.0088010874680291</v>
      </c>
      <c r="H309" s="89">
        <f>((Customization!H88-Customization!G88)/G88)/(('Data Sheet'!H17-'Data Sheet'!G17)/'Data Sheet'!G17)</f>
        <v>1.0825741690418191</v>
      </c>
      <c r="I309" s="89">
        <f>((Customization!I88-Customization!H88)/H88)/(('Data Sheet'!I17-'Data Sheet'!H17)/'Data Sheet'!H17)</f>
        <v>0.95012255418871894</v>
      </c>
      <c r="J309" s="89">
        <f>((Customization!J88-Customization!I88)/I88)/(('Data Sheet'!J17-'Data Sheet'!I17)/'Data Sheet'!I17)</f>
        <v>2.4464266484056387</v>
      </c>
      <c r="K309" s="89">
        <f>((Customization!K88-Customization!J88)/J88)/(('Data Sheet'!K17-'Data Sheet'!J17)/'Data Sheet'!J17)</f>
        <v>-0.44516926583463196</v>
      </c>
      <c r="L309" s="29"/>
    </row>
    <row r="310" spans="1:26" s="95" customFormat="1">
      <c r="A310" s="120" t="s">
        <v>213</v>
      </c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29"/>
    </row>
    <row r="311" spans="1:26" s="97" customFormat="1" hidden="1">
      <c r="A311" s="96" t="s">
        <v>267</v>
      </c>
      <c r="B311" s="96"/>
      <c r="C311" s="96">
        <f>C265/C264</f>
        <v>0.11044490197263952</v>
      </c>
      <c r="D311" s="96">
        <f>D265/D264</f>
        <v>0.73141200316791311</v>
      </c>
      <c r="E311" s="96">
        <f>E265/E264</f>
        <v>0.96213417624938691</v>
      </c>
      <c r="F311" s="96">
        <f>F265/F264</f>
        <v>1.5073854409989671</v>
      </c>
      <c r="G311" s="96">
        <f>G265/G264</f>
        <v>-22.154340998430861</v>
      </c>
      <c r="H311" s="96">
        <f>H265/H264</f>
        <v>1.1436263548174701</v>
      </c>
      <c r="I311" s="96">
        <f>I265/I264</f>
        <v>1.0698457437284186</v>
      </c>
      <c r="J311" s="96">
        <f>J265/J264</f>
        <v>1.0809002008408597</v>
      </c>
      <c r="K311" s="96">
        <f>K265/K264</f>
        <v>1.8205420580648117</v>
      </c>
      <c r="L311" s="29"/>
    </row>
    <row r="312" spans="1:26" s="97" customFormat="1" hidden="1">
      <c r="A312" s="96" t="s">
        <v>268</v>
      </c>
      <c r="B312" s="96"/>
      <c r="C312" s="96">
        <f>1/C311</f>
        <v>9.0542884473538638</v>
      </c>
      <c r="D312" s="96">
        <f t="shared" ref="D312:K312" si="93">1/D311</f>
        <v>1.367218470121861</v>
      </c>
      <c r="E312" s="96">
        <f t="shared" si="93"/>
        <v>1.0393560739087582</v>
      </c>
      <c r="F312" s="96">
        <f t="shared" si="93"/>
        <v>0.66340033066611348</v>
      </c>
      <c r="G312" s="96">
        <f t="shared" si="93"/>
        <v>-4.5137880656022568E-2</v>
      </c>
      <c r="H312" s="96">
        <f t="shared" si="93"/>
        <v>0.87441146821035465</v>
      </c>
      <c r="I312" s="96">
        <f t="shared" si="93"/>
        <v>0.93471419208062112</v>
      </c>
      <c r="J312" s="96">
        <f t="shared" si="93"/>
        <v>0.92515479155436797</v>
      </c>
      <c r="K312" s="96">
        <f t="shared" si="93"/>
        <v>0.54928695306439312</v>
      </c>
      <c r="L312" s="29"/>
    </row>
    <row r="313" spans="1:26" s="97" customFormat="1" hidden="1">
      <c r="A313" s="96" t="s">
        <v>269</v>
      </c>
      <c r="B313" s="96"/>
      <c r="C313" s="96">
        <f>C265/C261</f>
        <v>0.22615697687140318</v>
      </c>
      <c r="D313" s="96">
        <f>D265/D261</f>
        <v>0.79800988541921958</v>
      </c>
      <c r="E313" s="96">
        <f>E265/E261</f>
        <v>0.89024790757901284</v>
      </c>
      <c r="F313" s="96">
        <f>F265/F261</f>
        <v>1.5062155103533807</v>
      </c>
      <c r="G313" s="96">
        <f>G265/G261</f>
        <v>5.5181883632506885</v>
      </c>
      <c r="H313" s="96">
        <f>H265/H261</f>
        <v>1.1473118765266523</v>
      </c>
      <c r="I313" s="96">
        <f>I265/I261</f>
        <v>1.1200629698719746</v>
      </c>
      <c r="J313" s="96">
        <f>J265/J261</f>
        <v>1.3968196545813465</v>
      </c>
      <c r="K313" s="96">
        <f>K265/K261</f>
        <v>1.8043085368173648</v>
      </c>
      <c r="L313" s="29"/>
    </row>
    <row r="314" spans="1:26" s="97" customFormat="1" hidden="1">
      <c r="A314" s="96" t="s">
        <v>270</v>
      </c>
      <c r="B314" s="96"/>
      <c r="C314" s="96">
        <f>1/C313</f>
        <v>4.421707496420141</v>
      </c>
      <c r="D314" s="96">
        <f t="shared" ref="D314:K314" si="94">1/D313</f>
        <v>1.2531173087845506</v>
      </c>
      <c r="E314" s="96">
        <f t="shared" si="94"/>
        <v>1.1232826176693331</v>
      </c>
      <c r="F314" s="96">
        <f t="shared" si="94"/>
        <v>0.66391561707221103</v>
      </c>
      <c r="G314" s="96">
        <f t="shared" si="94"/>
        <v>0.18121889543671066</v>
      </c>
      <c r="H314" s="96">
        <f t="shared" si="94"/>
        <v>0.87160258728200291</v>
      </c>
      <c r="I314" s="96">
        <f t="shared" si="94"/>
        <v>0.89280694648293024</v>
      </c>
      <c r="J314" s="96">
        <f t="shared" si="94"/>
        <v>0.71591203396956715</v>
      </c>
      <c r="K314" s="96">
        <f t="shared" si="94"/>
        <v>0.55422893568076137</v>
      </c>
      <c r="L314" s="29"/>
    </row>
    <row r="315" spans="1:26" s="95" customFormat="1" hidden="1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29"/>
    </row>
    <row r="316" spans="1:26" hidden="1">
      <c r="A316" s="69"/>
      <c r="B316" s="51"/>
      <c r="C316" s="51"/>
      <c r="D316" s="56"/>
      <c r="E316" s="56"/>
      <c r="F316" s="56"/>
      <c r="G316" s="56"/>
      <c r="H316" s="56"/>
      <c r="I316" s="56"/>
      <c r="J316" s="56"/>
      <c r="K316" s="56"/>
      <c r="L316" s="29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idden="1">
      <c r="A317" s="42" t="s">
        <v>172</v>
      </c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29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s="30" customFormat="1" hidden="1">
      <c r="A318" s="57" t="s">
        <v>167</v>
      </c>
      <c r="B318" s="51">
        <f>'Data Sheet'!B30</f>
        <v>3.51</v>
      </c>
      <c r="C318" s="51">
        <f>'Data Sheet'!C30</f>
        <v>15.2</v>
      </c>
      <c r="D318" s="51">
        <f>'Data Sheet'!D30</f>
        <v>25.13</v>
      </c>
      <c r="E318" s="51">
        <f>'Data Sheet'!E30</f>
        <v>40.04</v>
      </c>
      <c r="F318" s="51">
        <f>'Data Sheet'!F30</f>
        <v>51.97</v>
      </c>
      <c r="G318" s="51">
        <f>'Data Sheet'!G30</f>
        <v>54.81</v>
      </c>
      <c r="H318" s="51">
        <f>'Data Sheet'!H30</f>
        <v>68.66</v>
      </c>
      <c r="I318" s="51">
        <f>'Data Sheet'!I30</f>
        <v>86.15</v>
      </c>
      <c r="J318" s="51">
        <f>'Data Sheet'!J30</f>
        <v>115.79</v>
      </c>
      <c r="K318" s="51">
        <f>'Data Sheet'!K30</f>
        <v>131.57</v>
      </c>
      <c r="L318" s="29">
        <f>POWER(K318/C318,1/9)-1</f>
        <v>0.27100108340928752</v>
      </c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</row>
    <row r="319" spans="1:26" s="29" customFormat="1" hidden="1">
      <c r="A319" s="41" t="s">
        <v>187</v>
      </c>
      <c r="B319" s="41"/>
      <c r="C319" s="41">
        <f>(C318-B318)/B318</f>
        <v>3.3304843304843303</v>
      </c>
      <c r="D319" s="41">
        <f t="shared" ref="D319:K319" si="95">(D318-C318)/C318</f>
        <v>0.65328947368421053</v>
      </c>
      <c r="E319" s="41">
        <f t="shared" si="95"/>
        <v>0.59331476323119781</v>
      </c>
      <c r="F319" s="41">
        <f t="shared" si="95"/>
        <v>0.29795204795204794</v>
      </c>
      <c r="G319" s="41">
        <f t="shared" si="95"/>
        <v>5.4646911679815342E-2</v>
      </c>
      <c r="H319" s="41">
        <f t="shared" si="95"/>
        <v>0.25269111476008016</v>
      </c>
      <c r="I319" s="41">
        <f t="shared" si="95"/>
        <v>0.2547334692688612</v>
      </c>
      <c r="J319" s="41">
        <f t="shared" si="95"/>
        <v>0.34405107370864768</v>
      </c>
      <c r="K319" s="41">
        <f t="shared" si="95"/>
        <v>0.13628119872182387</v>
      </c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s="29" customFormat="1" hidden="1">
      <c r="A320" s="41" t="s">
        <v>188</v>
      </c>
      <c r="B320" s="41"/>
      <c r="C320" s="41"/>
      <c r="D320" s="41"/>
      <c r="E320" s="41">
        <f>SUM(C319:E319)/3</f>
        <v>1.5256961891332461</v>
      </c>
      <c r="F320" s="41">
        <f t="shared" ref="F320:K320" si="96">SUM(D319:F319)/3</f>
        <v>0.51485209495581874</v>
      </c>
      <c r="G320" s="41">
        <f t="shared" si="96"/>
        <v>0.31530457428768704</v>
      </c>
      <c r="H320" s="41">
        <f t="shared" si="96"/>
        <v>0.2017633581306478</v>
      </c>
      <c r="I320" s="41">
        <f t="shared" si="96"/>
        <v>0.18735716523625223</v>
      </c>
      <c r="J320" s="41">
        <f t="shared" si="96"/>
        <v>0.28382521924586301</v>
      </c>
      <c r="K320" s="41">
        <f t="shared" si="96"/>
        <v>0.24502191389977759</v>
      </c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s="29" customFormat="1" hidden="1">
      <c r="A321" s="41" t="s">
        <v>189</v>
      </c>
      <c r="B321" s="41"/>
      <c r="C321" s="41"/>
      <c r="D321" s="41"/>
      <c r="E321" s="41"/>
      <c r="F321" s="41"/>
      <c r="G321" s="41">
        <f>SUM(C319:G319)/5</f>
        <v>0.98593750540632041</v>
      </c>
      <c r="H321" s="41">
        <f t="shared" ref="H321:K321" si="97">SUM(D319:H319)/5</f>
        <v>0.37037886226147032</v>
      </c>
      <c r="I321" s="41">
        <f t="shared" si="97"/>
        <v>0.2906676613784005</v>
      </c>
      <c r="J321" s="41">
        <f t="shared" si="97"/>
        <v>0.24081492347389047</v>
      </c>
      <c r="K321" s="41">
        <f t="shared" si="97"/>
        <v>0.20848075362784568</v>
      </c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s="29" customFormat="1" hidden="1">
      <c r="A322" s="41" t="s">
        <v>190</v>
      </c>
      <c r="B322" s="41"/>
      <c r="C322" s="41"/>
      <c r="D322" s="41"/>
      <c r="E322" s="41"/>
      <c r="F322" s="41"/>
      <c r="G322" s="41"/>
      <c r="H322" s="41"/>
      <c r="I322" s="41"/>
      <c r="J322" s="41"/>
      <c r="K322" s="41">
        <f>SUM(C319:K319)/9</f>
        <v>0.6574938203878905</v>
      </c>
      <c r="M322" s="78"/>
      <c r="N322" s="79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s="30" customFormat="1" hidden="1">
      <c r="A323" s="57" t="s">
        <v>258</v>
      </c>
      <c r="B323" s="51">
        <f>('Data Sheet'!B57+'Data Sheet'!B58)</f>
        <v>29.9</v>
      </c>
      <c r="C323" s="51">
        <f>('Data Sheet'!C57+'Data Sheet'!C58)</f>
        <v>42.66</v>
      </c>
      <c r="D323" s="51">
        <f>('Data Sheet'!D57+'Data Sheet'!D58)</f>
        <v>64.900000000000006</v>
      </c>
      <c r="E323" s="51">
        <f>('Data Sheet'!E57+'Data Sheet'!E58)</f>
        <v>99.18</v>
      </c>
      <c r="F323" s="51">
        <f>('Data Sheet'!F57+'Data Sheet'!F58)</f>
        <v>143.69</v>
      </c>
      <c r="G323" s="51">
        <f>('Data Sheet'!G57+'Data Sheet'!G58)</f>
        <v>187.02</v>
      </c>
      <c r="H323" s="51">
        <f>('Data Sheet'!H57+'Data Sheet'!H58)</f>
        <v>241.24</v>
      </c>
      <c r="I323" s="51">
        <f>('Data Sheet'!I57+'Data Sheet'!I58)</f>
        <v>310.07</v>
      </c>
      <c r="J323" s="51">
        <f>('Data Sheet'!J57+'Data Sheet'!J58)</f>
        <v>434.05</v>
      </c>
      <c r="K323" s="51">
        <f>('Data Sheet'!K57+'Data Sheet'!K58)</f>
        <v>540.78000000000009</v>
      </c>
      <c r="L323" s="29">
        <f>POWER(K323/C323,1/9)-1</f>
        <v>0.32603665746436405</v>
      </c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</row>
    <row r="324" spans="1:26" s="29" customFormat="1" hidden="1">
      <c r="A324" s="41" t="s">
        <v>173</v>
      </c>
      <c r="B324" s="41"/>
      <c r="C324" s="41">
        <f>(C323-B323)/B323</f>
        <v>0.42675585284280931</v>
      </c>
      <c r="D324" s="41">
        <f t="shared" ref="D324:K324" si="98">(D323-C323)/C323</f>
        <v>0.52133145804031911</v>
      </c>
      <c r="E324" s="41">
        <f t="shared" si="98"/>
        <v>0.52819722650231127</v>
      </c>
      <c r="F324" s="41">
        <f t="shared" si="98"/>
        <v>0.44877999596692869</v>
      </c>
      <c r="G324" s="41">
        <f t="shared" si="98"/>
        <v>0.30155195211914548</v>
      </c>
      <c r="H324" s="41">
        <f t="shared" si="98"/>
        <v>0.28991551705699925</v>
      </c>
      <c r="I324" s="41">
        <f t="shared" si="98"/>
        <v>0.28531752611507205</v>
      </c>
      <c r="J324" s="41">
        <f t="shared" si="98"/>
        <v>0.39984519624600906</v>
      </c>
      <c r="K324" s="41">
        <f t="shared" si="98"/>
        <v>0.24589333026149077</v>
      </c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s="29" customFormat="1" hidden="1">
      <c r="A325" s="41" t="s">
        <v>183</v>
      </c>
      <c r="B325" s="41"/>
      <c r="C325" s="41"/>
      <c r="D325" s="41"/>
      <c r="E325" s="41">
        <f>SUM(C324:E324)/3</f>
        <v>0.49209484579514662</v>
      </c>
      <c r="F325" s="41">
        <f t="shared" ref="F325:K325" si="99">SUM(D324:F324)/3</f>
        <v>0.49943622683651973</v>
      </c>
      <c r="G325" s="41">
        <f t="shared" si="99"/>
        <v>0.4261763915294618</v>
      </c>
      <c r="H325" s="41">
        <f t="shared" si="99"/>
        <v>0.3467491550476911</v>
      </c>
      <c r="I325" s="41">
        <f t="shared" si="99"/>
        <v>0.29226166509707224</v>
      </c>
      <c r="J325" s="41">
        <f t="shared" si="99"/>
        <v>0.32502607980602677</v>
      </c>
      <c r="K325" s="41">
        <f t="shared" si="99"/>
        <v>0.31035201754085728</v>
      </c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s="29" customFormat="1" hidden="1">
      <c r="A326" s="41" t="s">
        <v>184</v>
      </c>
      <c r="B326" s="41"/>
      <c r="C326" s="41"/>
      <c r="D326" s="41"/>
      <c r="E326" s="41"/>
      <c r="F326" s="41"/>
      <c r="G326" s="41">
        <f>SUM(C324:G324)/5</f>
        <v>0.44532329709430279</v>
      </c>
      <c r="H326" s="41">
        <f t="shared" ref="H326:K326" si="100">SUM(D324:H324)/5</f>
        <v>0.41795522993714079</v>
      </c>
      <c r="I326" s="41">
        <f t="shared" si="100"/>
        <v>0.3707524435520913</v>
      </c>
      <c r="J326" s="41">
        <f t="shared" si="100"/>
        <v>0.34508203750083088</v>
      </c>
      <c r="K326" s="41">
        <f t="shared" si="100"/>
        <v>0.30450470435974331</v>
      </c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s="29" customFormat="1" hidden="1">
      <c r="A327" s="41" t="s">
        <v>185</v>
      </c>
      <c r="B327" s="41"/>
      <c r="C327" s="41"/>
      <c r="D327" s="41"/>
      <c r="E327" s="41"/>
      <c r="F327" s="41"/>
      <c r="G327" s="41"/>
      <c r="H327" s="41"/>
      <c r="I327" s="41"/>
      <c r="J327" s="41"/>
      <c r="K327" s="41">
        <f>SUM(C324:K324)/9</f>
        <v>0.38306533946123167</v>
      </c>
      <c r="M327" s="79"/>
      <c r="N327" s="79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idden="1">
      <c r="A328" s="48" t="s">
        <v>175</v>
      </c>
      <c r="B328" s="51"/>
      <c r="C328" s="51">
        <f>'Data Sheet'!C30-(0.1*B323)</f>
        <v>12.209999999999999</v>
      </c>
      <c r="D328" s="51">
        <f>'Data Sheet'!D30-(0.1*C323)</f>
        <v>20.863999999999997</v>
      </c>
      <c r="E328" s="51">
        <f>'Data Sheet'!E30-(0.1*D323)</f>
        <v>33.549999999999997</v>
      </c>
      <c r="F328" s="51">
        <f>'Data Sheet'!F30-(0.1*E323)</f>
        <v>42.052</v>
      </c>
      <c r="G328" s="51">
        <f>'Data Sheet'!G30-(0.1*F323)</f>
        <v>40.441000000000003</v>
      </c>
      <c r="H328" s="51">
        <f>'Data Sheet'!H30-(0.1*G323)</f>
        <v>49.957999999999998</v>
      </c>
      <c r="I328" s="51">
        <f>'Data Sheet'!I30-(0.1*H323)</f>
        <v>62.026000000000003</v>
      </c>
      <c r="J328" s="51">
        <f>'Data Sheet'!J30-(0.1*I323)</f>
        <v>84.783000000000001</v>
      </c>
      <c r="K328" s="51">
        <f>'Data Sheet'!K30-(0.1*J323)</f>
        <v>88.164999999999992</v>
      </c>
      <c r="L328" s="29">
        <f>POWER(K328/C328,1/9)-1</f>
        <v>0.24565518087297766</v>
      </c>
      <c r="M328" s="7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idden="1">
      <c r="A329" s="41" t="s">
        <v>192</v>
      </c>
      <c r="B329" s="51"/>
      <c r="C329" s="51"/>
      <c r="D329" s="41">
        <f>(D328-C328)/C328</f>
        <v>0.70876330876330862</v>
      </c>
      <c r="E329" s="41">
        <f t="shared" ref="E329:K329" si="101">(E328-D328)/D328</f>
        <v>0.6080329754601228</v>
      </c>
      <c r="F329" s="41">
        <f t="shared" si="101"/>
        <v>0.25341281669150528</v>
      </c>
      <c r="G329" s="41">
        <f t="shared" si="101"/>
        <v>-3.8309711785408471E-2</v>
      </c>
      <c r="H329" s="41">
        <f t="shared" si="101"/>
        <v>0.23533048144210073</v>
      </c>
      <c r="I329" s="41">
        <f t="shared" si="101"/>
        <v>0.24156291284679141</v>
      </c>
      <c r="J329" s="41">
        <f t="shared" si="101"/>
        <v>0.36689452810111883</v>
      </c>
      <c r="K329" s="41">
        <f t="shared" si="101"/>
        <v>3.9890072302230288E-2</v>
      </c>
      <c r="L329" s="29"/>
      <c r="M329" s="7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idden="1">
      <c r="A330" s="41" t="s">
        <v>193</v>
      </c>
      <c r="B330" s="51"/>
      <c r="C330" s="51"/>
      <c r="D330" s="51"/>
      <c r="E330" s="51"/>
      <c r="F330" s="41">
        <f>SUM(D329:F329)/3</f>
        <v>0.52340303363831231</v>
      </c>
      <c r="G330" s="41">
        <f t="shared" ref="G330:K330" si="102">SUM(E329:G329)/3</f>
        <v>0.27437869345540655</v>
      </c>
      <c r="H330" s="41">
        <f t="shared" si="102"/>
        <v>0.15014452878273252</v>
      </c>
      <c r="I330" s="41">
        <f t="shared" si="102"/>
        <v>0.14619456083449456</v>
      </c>
      <c r="J330" s="41">
        <f t="shared" si="102"/>
        <v>0.28126264079667029</v>
      </c>
      <c r="K330" s="41">
        <f t="shared" si="102"/>
        <v>0.21611583775004684</v>
      </c>
      <c r="L330" s="29"/>
      <c r="M330" s="7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idden="1">
      <c r="A331" s="41" t="s">
        <v>194</v>
      </c>
      <c r="B331" s="51"/>
      <c r="C331" s="51"/>
      <c r="D331" s="51"/>
      <c r="E331" s="51"/>
      <c r="F331" s="51"/>
      <c r="G331" s="56"/>
      <c r="H331" s="41">
        <f>SUM(D329:H329)/5</f>
        <v>0.35344597411432577</v>
      </c>
      <c r="I331" s="41">
        <f t="shared" ref="I331:K331" si="103">SUM(E329:I329)/5</f>
        <v>0.26000589493102233</v>
      </c>
      <c r="J331" s="41">
        <f t="shared" si="103"/>
        <v>0.21177820545922157</v>
      </c>
      <c r="K331" s="41">
        <f t="shared" si="103"/>
        <v>0.16907365658136658</v>
      </c>
      <c r="L331" s="29"/>
      <c r="M331" s="7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idden="1">
      <c r="A332" s="41" t="s">
        <v>195</v>
      </c>
      <c r="B332" s="51"/>
      <c r="C332" s="51"/>
      <c r="D332" s="51"/>
      <c r="E332" s="51"/>
      <c r="F332" s="51"/>
      <c r="G332" s="51"/>
      <c r="H332" s="51"/>
      <c r="I332" s="51"/>
      <c r="J332" s="51"/>
      <c r="K332" s="41">
        <f>SUM(D329:K329)/8</f>
        <v>0.30194717297772117</v>
      </c>
      <c r="L332" s="29"/>
      <c r="M332" s="7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idden="1">
      <c r="A333" s="48" t="s">
        <v>186</v>
      </c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29"/>
      <c r="M333" s="7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idden="1">
      <c r="A334" s="48" t="s">
        <v>191</v>
      </c>
      <c r="B334" s="51"/>
      <c r="C334" s="51"/>
      <c r="D334" s="51"/>
      <c r="E334" s="51"/>
      <c r="F334" s="51"/>
      <c r="G334" s="51"/>
      <c r="H334" s="51"/>
      <c r="I334" s="51"/>
      <c r="J334" s="51"/>
      <c r="K334" s="70">
        <f>K323+L333+M333</f>
        <v>540.78000000000009</v>
      </c>
      <c r="L334" s="29"/>
      <c r="M334" s="7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idden="1">
      <c r="A335" s="48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29"/>
      <c r="M335" s="7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s="33" customFormat="1" hidden="1">
      <c r="A336" s="71" t="s">
        <v>182</v>
      </c>
      <c r="B336" s="71"/>
      <c r="C336" s="61">
        <f>(C114-0.1)*B323</f>
        <v>7.6635396155649316</v>
      </c>
      <c r="D336" s="61">
        <f>(D114-0.1)*C323</f>
        <v>12.252425269645606</v>
      </c>
      <c r="E336" s="61">
        <f>(E114-0.1)*D323</f>
        <v>19.710806614236741</v>
      </c>
      <c r="F336" s="61">
        <f>(F114-0.1)*E323</f>
        <v>25.953560999373657</v>
      </c>
      <c r="G336" s="61">
        <f>(G114-0.1)*F323</f>
        <v>27.742265640038493</v>
      </c>
      <c r="H336" s="61">
        <f>(H114-0.1)*G323</f>
        <v>34.526292157187861</v>
      </c>
      <c r="I336" s="61">
        <f>(I114-0.1)*H323</f>
        <v>42.90223923630149</v>
      </c>
      <c r="J336" s="61">
        <f>(J114-0.1)*I323</f>
        <v>51.709289137196173</v>
      </c>
      <c r="K336" s="61">
        <f>(K114-0.1)*J323</f>
        <v>62.197941122082895</v>
      </c>
      <c r="L336" s="29"/>
      <c r="M336" s="79"/>
      <c r="N336" s="79"/>
      <c r="O336" s="79"/>
      <c r="P336" s="79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spans="1:26" s="34" customFormat="1" hidden="1">
      <c r="A337" s="72" t="s">
        <v>174</v>
      </c>
      <c r="B337" s="72"/>
      <c r="C337" s="72"/>
      <c r="D337" s="72">
        <f>(D336-C336)/C336</f>
        <v>0.59879453676477101</v>
      </c>
      <c r="E337" s="72">
        <f t="shared" ref="E337:K337" si="104">(E336-D336)/D336</f>
        <v>0.60872694021392426</v>
      </c>
      <c r="F337" s="72">
        <f t="shared" si="104"/>
        <v>0.31671734735745888</v>
      </c>
      <c r="G337" s="72">
        <f t="shared" si="104"/>
        <v>6.8919430389841427E-2</v>
      </c>
      <c r="H337" s="72">
        <f t="shared" si="104"/>
        <v>0.24453758049805605</v>
      </c>
      <c r="I337" s="72">
        <f t="shared" si="104"/>
        <v>0.2425961942562628</v>
      </c>
      <c r="J337" s="72">
        <f t="shared" si="104"/>
        <v>0.20528182345882418</v>
      </c>
      <c r="K337" s="72">
        <f t="shared" si="104"/>
        <v>0.20283883534074526</v>
      </c>
      <c r="L337" s="29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s="34" customFormat="1" hidden="1">
      <c r="A338" s="41" t="s">
        <v>193</v>
      </c>
      <c r="B338" s="72"/>
      <c r="C338" s="72"/>
      <c r="D338" s="72"/>
      <c r="E338" s="72"/>
      <c r="F338" s="72">
        <f>SUM(D337:F337)/3</f>
        <v>0.50807960811205144</v>
      </c>
      <c r="G338" s="72">
        <f t="shared" ref="G338:K338" si="105">SUM(E337:G337)/3</f>
        <v>0.33145457265374151</v>
      </c>
      <c r="H338" s="72">
        <f t="shared" si="105"/>
        <v>0.21005811941511879</v>
      </c>
      <c r="I338" s="72">
        <f t="shared" si="105"/>
        <v>0.18535106838138674</v>
      </c>
      <c r="J338" s="72">
        <f t="shared" si="105"/>
        <v>0.23080519940438102</v>
      </c>
      <c r="K338" s="72">
        <f t="shared" si="105"/>
        <v>0.21690561768527741</v>
      </c>
      <c r="L338" s="29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s="34" customFormat="1" hidden="1">
      <c r="A339" s="41" t="s">
        <v>194</v>
      </c>
      <c r="B339" s="72"/>
      <c r="C339" s="72"/>
      <c r="D339" s="72"/>
      <c r="E339" s="72"/>
      <c r="F339" s="72"/>
      <c r="G339" s="72"/>
      <c r="H339" s="72">
        <f>SUM(D337:H337)/5</f>
        <v>0.36753916704481038</v>
      </c>
      <c r="I339" s="72">
        <f t="shared" ref="I339:K339" si="106">SUM(E337:I337)/5</f>
        <v>0.29629949854310866</v>
      </c>
      <c r="J339" s="72">
        <f t="shared" si="106"/>
        <v>0.21561047519208865</v>
      </c>
      <c r="K339" s="72">
        <f t="shared" si="106"/>
        <v>0.19283477278874592</v>
      </c>
      <c r="L339" s="29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s="34" customFormat="1" hidden="1">
      <c r="A340" s="41" t="s">
        <v>195</v>
      </c>
      <c r="B340" s="72"/>
      <c r="C340" s="72"/>
      <c r="D340" s="72"/>
      <c r="E340" s="72"/>
      <c r="F340" s="72"/>
      <c r="G340" s="72"/>
      <c r="H340" s="72"/>
      <c r="I340" s="72"/>
      <c r="J340" s="72"/>
      <c r="K340" s="72">
        <f>SUM(D337:K337)/8</f>
        <v>0.31105158603498551</v>
      </c>
      <c r="L340" s="29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s="34" customFormat="1" hidden="1">
      <c r="A341" s="48" t="s">
        <v>186</v>
      </c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29"/>
      <c r="M341" s="79"/>
      <c r="N341" s="79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s="34" customFormat="1" hidden="1">
      <c r="A342" s="48" t="s">
        <v>196</v>
      </c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29"/>
      <c r="M342" s="79"/>
      <c r="N342" s="79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s="34" customFormat="1" hidden="1">
      <c r="A343" s="48" t="s">
        <v>191</v>
      </c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29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s="34" customFormat="1" hidden="1">
      <c r="A344" s="48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29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idden="1">
      <c r="A345" s="48" t="s">
        <v>176</v>
      </c>
      <c r="B345" s="41">
        <f>B159/B323</f>
        <v>0.11739130434782609</v>
      </c>
      <c r="C345" s="41">
        <f>C159/C323</f>
        <v>0.35630567276136899</v>
      </c>
      <c r="D345" s="41">
        <f>D159/D323</f>
        <v>0.38721109399075498</v>
      </c>
      <c r="E345" s="41">
        <f>E159/E323</f>
        <v>0.40371042548900987</v>
      </c>
      <c r="F345" s="41">
        <f>F159/F323</f>
        <v>0.36168139745284988</v>
      </c>
      <c r="G345" s="41">
        <f>G159/G323</f>
        <v>0.29307025986525503</v>
      </c>
      <c r="H345" s="41">
        <f>H159/H323</f>
        <v>0.28461283369258827</v>
      </c>
      <c r="I345" s="41">
        <f>I159/I323</f>
        <v>0.27784048763182512</v>
      </c>
      <c r="J345" s="41">
        <f>J159/J323</f>
        <v>0.26676650155512038</v>
      </c>
      <c r="K345" s="41">
        <f>K159/K323</f>
        <v>0.24329671955323787</v>
      </c>
      <c r="L345" s="29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idden="1">
      <c r="A346" s="48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29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idden="1">
      <c r="A347" s="48" t="s">
        <v>197</v>
      </c>
      <c r="B347" s="41">
        <f>B64</f>
        <v>4.2778793418647168E-2</v>
      </c>
      <c r="C347" s="41">
        <f>C64</f>
        <v>0.1038748035262762</v>
      </c>
      <c r="D347" s="41">
        <f>D64</f>
        <v>0.13191601049868765</v>
      </c>
      <c r="E347" s="41">
        <f>E64</f>
        <v>0.17251184834123223</v>
      </c>
      <c r="F347" s="41">
        <f>F64</f>
        <v>0.1610723694405703</v>
      </c>
      <c r="G347" s="41">
        <f>G64</f>
        <v>0.12249139587896125</v>
      </c>
      <c r="H347" s="41">
        <f>H64</f>
        <v>0.12419057265853922</v>
      </c>
      <c r="I347" s="41">
        <f>I64</f>
        <v>0.12375562035826643</v>
      </c>
      <c r="J347" s="41">
        <f>J64</f>
        <v>0.15003952159434</v>
      </c>
      <c r="K347" s="41">
        <f>K64</f>
        <v>0.20852682462952687</v>
      </c>
      <c r="L347" s="29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idden="1">
      <c r="A348" s="48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29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idden="1">
      <c r="A349" s="48" t="s">
        <v>198</v>
      </c>
      <c r="B349" s="41"/>
      <c r="C349" s="41">
        <f>(C363-B363)/B363</f>
        <v>1.304487179487182</v>
      </c>
      <c r="D349" s="41">
        <f t="shared" ref="D349:K349" si="107">(D363-C363)/C363</f>
        <v>0.58738989337042202</v>
      </c>
      <c r="E349" s="41">
        <f t="shared" si="107"/>
        <v>0.24036214953270807</v>
      </c>
      <c r="F349" s="41">
        <f t="shared" si="107"/>
        <v>0.43348245820579323</v>
      </c>
      <c r="G349" s="41">
        <f t="shared" si="107"/>
        <v>0.35857424441524288</v>
      </c>
      <c r="H349" s="41">
        <f t="shared" si="107"/>
        <v>0.35775601499214171</v>
      </c>
      <c r="I349" s="41">
        <f t="shared" si="107"/>
        <v>0.3764024933214607</v>
      </c>
      <c r="J349" s="41">
        <f t="shared" si="107"/>
        <v>0.24914278320502023</v>
      </c>
      <c r="K349" s="41">
        <f t="shared" si="107"/>
        <v>7.8672053035011361E-2</v>
      </c>
      <c r="L349" s="29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s="31" customFormat="1" hidden="1">
      <c r="A350" s="73" t="s">
        <v>200</v>
      </c>
      <c r="B350" s="61"/>
      <c r="C350" s="61">
        <f>'Data Sheet'!B27/'Data Sheet'!B30</f>
        <v>0.56125356125356129</v>
      </c>
      <c r="D350" s="61">
        <f>'Data Sheet'!C27/'Data Sheet'!C30</f>
        <v>0.21447368421052632</v>
      </c>
      <c r="E350" s="61">
        <f>'Data Sheet'!D27/'Data Sheet'!D30</f>
        <v>0.1309192200557103</v>
      </c>
      <c r="F350" s="61">
        <f>'Data Sheet'!E27/'Data Sheet'!E30</f>
        <v>0.11038961038961038</v>
      </c>
      <c r="G350" s="61">
        <f>'Data Sheet'!F27/'Data Sheet'!F30</f>
        <v>0.13700211660573408</v>
      </c>
      <c r="H350" s="61">
        <f>'Data Sheet'!G27/'Data Sheet'!G30</f>
        <v>0.16767013318737456</v>
      </c>
      <c r="I350" s="61">
        <f>'Data Sheet'!H27/'Data Sheet'!H30</f>
        <v>0.16807457034663559</v>
      </c>
      <c r="J350" s="61">
        <f>'Data Sheet'!I27/'Data Sheet'!I30</f>
        <v>0.21067904817179336</v>
      </c>
      <c r="K350" s="61">
        <f>'Data Sheet'!J27/'Data Sheet'!J30</f>
        <v>8.4290525952154763E-2</v>
      </c>
      <c r="L350" s="29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</row>
    <row r="351" spans="1:26" hidden="1">
      <c r="A351" s="48" t="s">
        <v>202</v>
      </c>
      <c r="B351" s="41"/>
      <c r="C351" s="41">
        <f>(C362-B362)/B362</f>
        <v>0.65482233502538068</v>
      </c>
      <c r="D351" s="41">
        <f t="shared" ref="D351:K351" si="108">(D362-C362)/C362</f>
        <v>9.2024539877301383E-3</v>
      </c>
      <c r="E351" s="41">
        <f t="shared" si="108"/>
        <v>0.34346504559270513</v>
      </c>
      <c r="F351" s="41">
        <f t="shared" si="108"/>
        <v>0.61085972850678738</v>
      </c>
      <c r="G351" s="41">
        <f t="shared" si="108"/>
        <v>0.29073033707865159</v>
      </c>
      <c r="H351" s="41">
        <f t="shared" si="108"/>
        <v>0.25571273122959737</v>
      </c>
      <c r="I351" s="41">
        <f t="shared" si="108"/>
        <v>0.57279029462738296</v>
      </c>
      <c r="J351" s="41">
        <f t="shared" si="108"/>
        <v>-0.46225895316804405</v>
      </c>
      <c r="K351" s="41">
        <f t="shared" si="108"/>
        <v>-0.19467213114754092</v>
      </c>
      <c r="L351" s="29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idden="1">
      <c r="A352" s="48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29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idden="1">
      <c r="A353" s="48"/>
      <c r="B353" s="41"/>
      <c r="C353" s="41">
        <f>C350*(C349-C351)</f>
        <v>0.36462670757542698</v>
      </c>
      <c r="D353" s="41">
        <f t="shared" ref="D353:K353" si="109">D350*(D349-D351)</f>
        <v>0.12400599028865629</v>
      </c>
      <c r="E353" s="41">
        <f t="shared" si="109"/>
        <v>-1.3498150737659783E-2</v>
      </c>
      <c r="F353" s="41">
        <f t="shared" si="109"/>
        <v>-1.9580607760499354E-2</v>
      </c>
      <c r="G353" s="41">
        <f t="shared" si="109"/>
        <v>9.2947589039162979E-3</v>
      </c>
      <c r="H353" s="41">
        <f t="shared" si="109"/>
        <v>1.7109610979342865E-2</v>
      </c>
      <c r="I353" s="41">
        <f t="shared" si="109"/>
        <v>-3.300779532581332E-2</v>
      </c>
      <c r="J353" s="41">
        <f t="shared" si="109"/>
        <v>0.14987744068683825</v>
      </c>
      <c r="K353" s="41">
        <f t="shared" si="109"/>
        <v>2.3040325050709996E-2</v>
      </c>
      <c r="L353" s="29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idden="1">
      <c r="A354" s="48" t="s">
        <v>207</v>
      </c>
      <c r="B354" s="41"/>
      <c r="C354" s="41">
        <f>C349+C353</f>
        <v>1.669113887062609</v>
      </c>
      <c r="D354" s="41">
        <f t="shared" ref="D354:K354" si="110">D349+D353</f>
        <v>0.71139588365907835</v>
      </c>
      <c r="E354" s="41">
        <f t="shared" si="110"/>
        <v>0.22686399879504829</v>
      </c>
      <c r="F354" s="41">
        <f t="shared" si="110"/>
        <v>0.41390185044529387</v>
      </c>
      <c r="G354" s="41">
        <f t="shared" si="110"/>
        <v>0.36786900331915917</v>
      </c>
      <c r="H354" s="41">
        <f t="shared" si="110"/>
        <v>0.3748656259714846</v>
      </c>
      <c r="I354" s="41">
        <f t="shared" si="110"/>
        <v>0.34339469799564737</v>
      </c>
      <c r="J354" s="41">
        <f t="shared" si="110"/>
        <v>0.39902022389185848</v>
      </c>
      <c r="K354" s="41">
        <f t="shared" si="110"/>
        <v>0.10171237808572135</v>
      </c>
      <c r="L354" s="29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idden="1">
      <c r="A355" s="48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29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idden="1">
      <c r="A356" s="48" t="s">
        <v>205</v>
      </c>
      <c r="B356" s="41"/>
      <c r="C356" s="41">
        <f>C363/B360</f>
        <v>0.38801942795466848</v>
      </c>
      <c r="D356" s="41">
        <f t="shared" ref="D356:K356" si="111">D363/C360</f>
        <v>0.44496426250812271</v>
      </c>
      <c r="E356" s="41">
        <f t="shared" si="111"/>
        <v>0.36656309338857213</v>
      </c>
      <c r="F356" s="41">
        <f t="shared" si="111"/>
        <v>0.37510782501540352</v>
      </c>
      <c r="G356" s="41">
        <f t="shared" si="111"/>
        <v>0.37484704282800813</v>
      </c>
      <c r="H356" s="41">
        <f t="shared" si="111"/>
        <v>0.3121959356148008</v>
      </c>
      <c r="I356" s="41">
        <f t="shared" si="111"/>
        <v>0.32303030303030311</v>
      </c>
      <c r="J356" s="41">
        <f t="shared" si="111"/>
        <v>0.4093713558782997</v>
      </c>
      <c r="K356" s="41">
        <f t="shared" si="111"/>
        <v>0.41708220686892966</v>
      </c>
      <c r="L356" s="29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idden="1">
      <c r="A357" s="48" t="s">
        <v>208</v>
      </c>
      <c r="B357" s="41"/>
      <c r="C357" s="41">
        <f>'Data Sheet'!C27/'Data Sheet'!B59</f>
        <v>0.12689762553522771</v>
      </c>
      <c r="D357" s="41">
        <f>'Data Sheet'!D27/'Data Sheet'!C59</f>
        <v>9.5946340040828235E-2</v>
      </c>
      <c r="E357" s="41">
        <f>'Data Sheet'!E27/'Data Sheet'!D59</f>
        <v>8.673469387755102E-2</v>
      </c>
      <c r="F357" s="41">
        <f>'Data Sheet'!F27/'Data Sheet'!E59</f>
        <v>0.11280101394169836</v>
      </c>
      <c r="G357" s="41">
        <f>'Data Sheet'!G27/'Data Sheet'!F59</f>
        <v>0.11941268191268192</v>
      </c>
      <c r="H357" s="41">
        <f>'Data Sheet'!H27/'Data Sheet'!G59</f>
        <v>6.6824946435809829E-2</v>
      </c>
      <c r="I357" s="41">
        <f>'Data Sheet'!I27/'Data Sheet'!H59</f>
        <v>7.64983562336677E-2</v>
      </c>
      <c r="J357" s="41">
        <f>'Data Sheet'!J27/'Data Sheet'!I59</f>
        <v>6.0403515286545362E-2</v>
      </c>
      <c r="K357" s="41">
        <f>'Data Sheet'!K27/'Data Sheet'!J59</f>
        <v>0.1203675344563553</v>
      </c>
      <c r="L357" s="29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idden="1">
      <c r="A358" s="48" t="s">
        <v>206</v>
      </c>
      <c r="B358" s="41"/>
      <c r="C358" s="41">
        <f t="shared" ref="C358:K358" si="112">C356+(C361*(C356-C357))</f>
        <v>0.5979084716715608</v>
      </c>
      <c r="D358" s="41">
        <f t="shared" si="112"/>
        <v>0.71901593167504607</v>
      </c>
      <c r="E358" s="41">
        <f t="shared" si="112"/>
        <v>0.54465110082087353</v>
      </c>
      <c r="F358" s="41">
        <f t="shared" si="112"/>
        <v>0.51559868854266599</v>
      </c>
      <c r="G358" s="41">
        <f t="shared" si="112"/>
        <v>0.6107093024070247</v>
      </c>
      <c r="H358" s="41">
        <f t="shared" si="112"/>
        <v>0.55351877134936966</v>
      </c>
      <c r="I358" s="41">
        <f t="shared" si="112"/>
        <v>0.4515001065050035</v>
      </c>
      <c r="J358" s="41">
        <f t="shared" si="112"/>
        <v>0.46187129825968792</v>
      </c>
      <c r="K358" s="41">
        <f t="shared" si="112"/>
        <v>0.44016513572797955</v>
      </c>
      <c r="L358" s="29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idden="1">
      <c r="A359" s="48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29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s="31" customFormat="1" hidden="1">
      <c r="A360" s="73" t="s">
        <v>204</v>
      </c>
      <c r="B360" s="61">
        <f>'Data Sheet'!B57+'Data Sheet'!B58+'Data Sheet'!B59</f>
        <v>55.59</v>
      </c>
      <c r="C360" s="61">
        <f>'Data Sheet'!C57+'Data Sheet'!C58+'Data Sheet'!C59</f>
        <v>76.949999999999989</v>
      </c>
      <c r="D360" s="61">
        <f>'Data Sheet'!D57+'Data Sheet'!D58+'Data Sheet'!D59</f>
        <v>115.86000000000001</v>
      </c>
      <c r="E360" s="61">
        <f>'Data Sheet'!E57+'Data Sheet'!E58+'Data Sheet'!E59</f>
        <v>162.30000000000001</v>
      </c>
      <c r="F360" s="61">
        <f>'Data Sheet'!F57+'Data Sheet'!F58+'Data Sheet'!F59</f>
        <v>220.64999999999998</v>
      </c>
      <c r="G360" s="61">
        <f>'Data Sheet'!G57+'Data Sheet'!G58+'Data Sheet'!G59</f>
        <v>359.71000000000004</v>
      </c>
      <c r="H360" s="61">
        <f>'Data Sheet'!H57+'Data Sheet'!H58+'Data Sheet'!H59</f>
        <v>478.5</v>
      </c>
      <c r="I360" s="61">
        <f>'Data Sheet'!I57+'Data Sheet'!I58+'Data Sheet'!I59</f>
        <v>471.65</v>
      </c>
      <c r="J360" s="61">
        <f>'Data Sheet'!J57+'Data Sheet'!J58+'Data Sheet'!J59</f>
        <v>499.35</v>
      </c>
      <c r="K360" s="61">
        <f>'Data Sheet'!K57+'Data Sheet'!K58+'Data Sheet'!K59</f>
        <v>582.85000000000014</v>
      </c>
      <c r="L360" s="29">
        <f t="shared" ref="L360:L370" si="113">POWER(K360/C360,1/9)-1</f>
        <v>0.25229126980051952</v>
      </c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</row>
    <row r="361" spans="1:26" s="31" customFormat="1" hidden="1">
      <c r="A361" s="73" t="s">
        <v>203</v>
      </c>
      <c r="B361" s="61">
        <f>B193</f>
        <v>0.85919732441471586</v>
      </c>
      <c r="C361" s="61">
        <f>C193</f>
        <v>0.80379746835443044</v>
      </c>
      <c r="D361" s="61">
        <f>D193</f>
        <v>0.78520801232665638</v>
      </c>
      <c r="E361" s="61">
        <f>E193</f>
        <v>0.63641863278886868</v>
      </c>
      <c r="F361" s="61">
        <f>F193</f>
        <v>0.53559746676873821</v>
      </c>
      <c r="G361" s="61">
        <f>G193</f>
        <v>0.9233771789113463</v>
      </c>
      <c r="H361" s="61">
        <f>H193</f>
        <v>0.98350190681479022</v>
      </c>
      <c r="I361" s="61">
        <f>I193</f>
        <v>0.52110813687231916</v>
      </c>
      <c r="J361" s="61">
        <f>J193</f>
        <v>0.1504434972929386</v>
      </c>
      <c r="K361" s="61">
        <f>K193</f>
        <v>7.7795036798698161E-2</v>
      </c>
      <c r="L361" s="29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</row>
    <row r="362" spans="1:26" s="31" customFormat="1" hidden="1">
      <c r="A362" s="73" t="s">
        <v>201</v>
      </c>
      <c r="B362" s="61">
        <f>'Data Sheet'!B27</f>
        <v>1.97</v>
      </c>
      <c r="C362" s="61">
        <f>'Data Sheet'!C27</f>
        <v>3.26</v>
      </c>
      <c r="D362" s="61">
        <f>'Data Sheet'!D27</f>
        <v>3.29</v>
      </c>
      <c r="E362" s="61">
        <f>'Data Sheet'!E27</f>
        <v>4.42</v>
      </c>
      <c r="F362" s="61">
        <f>'Data Sheet'!F27</f>
        <v>7.12</v>
      </c>
      <c r="G362" s="61">
        <f>'Data Sheet'!G27</f>
        <v>9.19</v>
      </c>
      <c r="H362" s="61">
        <f>'Data Sheet'!H27</f>
        <v>11.54</v>
      </c>
      <c r="I362" s="61">
        <f>'Data Sheet'!I27</f>
        <v>18.149999999999999</v>
      </c>
      <c r="J362" s="61">
        <f>'Data Sheet'!J27</f>
        <v>9.76</v>
      </c>
      <c r="K362" s="61">
        <f>'Data Sheet'!K27</f>
        <v>7.86</v>
      </c>
      <c r="L362" s="29">
        <f t="shared" si="113"/>
        <v>0.10272498881533698</v>
      </c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</row>
    <row r="363" spans="1:26" hidden="1">
      <c r="A363" s="48" t="s">
        <v>199</v>
      </c>
      <c r="B363" s="74">
        <f>'Profit &amp; Loss'!B6</f>
        <v>9.36</v>
      </c>
      <c r="C363" s="74">
        <f>'Profit &amp; Loss'!C6</f>
        <v>21.570000000000022</v>
      </c>
      <c r="D363" s="74">
        <f>'Profit &amp; Loss'!D6</f>
        <v>34.240000000000038</v>
      </c>
      <c r="E363" s="74">
        <f>'Profit &amp; Loss'!E6</f>
        <v>42.46999999999997</v>
      </c>
      <c r="F363" s="74">
        <f>'Profit &amp; Loss'!F6</f>
        <v>60.879999999999995</v>
      </c>
      <c r="G363" s="74">
        <f>'Profit &amp; Loss'!G6</f>
        <v>82.70999999999998</v>
      </c>
      <c r="H363" s="74">
        <f>'Profit &amp; Loss'!H6</f>
        <v>112.30000000000001</v>
      </c>
      <c r="I363" s="74">
        <f>'Profit &amp; Loss'!I6</f>
        <v>154.57000000000005</v>
      </c>
      <c r="J363" s="74">
        <f>'Profit &amp; Loss'!J6</f>
        <v>193.08000000000004</v>
      </c>
      <c r="K363" s="74">
        <f>'Profit &amp; Loss'!K6</f>
        <v>208.27000000000004</v>
      </c>
      <c r="L363" s="29">
        <f t="shared" si="113"/>
        <v>0.28652911522429436</v>
      </c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idden="1">
      <c r="A364" s="48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29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s="30" customFormat="1" hidden="1">
      <c r="A365" s="57" t="s">
        <v>177</v>
      </c>
      <c r="B365" s="51"/>
      <c r="C365" s="51">
        <f>C323-B323</f>
        <v>12.759999999999998</v>
      </c>
      <c r="D365" s="51">
        <f t="shared" ref="D365:K365" si="114">D323-C323</f>
        <v>22.240000000000009</v>
      </c>
      <c r="E365" s="51">
        <f t="shared" si="114"/>
        <v>34.28</v>
      </c>
      <c r="F365" s="51">
        <f t="shared" si="114"/>
        <v>44.509999999999991</v>
      </c>
      <c r="G365" s="51">
        <f t="shared" si="114"/>
        <v>43.330000000000013</v>
      </c>
      <c r="H365" s="51">
        <f t="shared" si="114"/>
        <v>54.22</v>
      </c>
      <c r="I365" s="51">
        <f t="shared" si="114"/>
        <v>68.829999999999984</v>
      </c>
      <c r="J365" s="51">
        <f t="shared" si="114"/>
        <v>123.98000000000002</v>
      </c>
      <c r="K365" s="51">
        <f t="shared" si="114"/>
        <v>106.73000000000008</v>
      </c>
      <c r="L365" s="29">
        <f t="shared" si="113"/>
        <v>0.26617248167310881</v>
      </c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</row>
    <row r="366" spans="1:26" s="30" customFormat="1" hidden="1">
      <c r="A366" s="57" t="s">
        <v>178</v>
      </c>
      <c r="B366" s="51">
        <f>'Data Sheet'!B30-'Data Sheet'!B31</f>
        <v>2.7199999999999998</v>
      </c>
      <c r="C366" s="51">
        <f>'Data Sheet'!C30-'Data Sheet'!C31</f>
        <v>13.229999999999999</v>
      </c>
      <c r="D366" s="51">
        <f>'Data Sheet'!D30-'Data Sheet'!D31</f>
        <v>22.66</v>
      </c>
      <c r="E366" s="51">
        <f>'Data Sheet'!E30-'Data Sheet'!E31</f>
        <v>35.1</v>
      </c>
      <c r="F366" s="51">
        <f>'Data Sheet'!F30-'Data Sheet'!F31</f>
        <v>45.55</v>
      </c>
      <c r="G366" s="51">
        <f>'Data Sheet'!G30-'Data Sheet'!G31</f>
        <v>44.93</v>
      </c>
      <c r="H366" s="51">
        <f>'Data Sheet'!H30-'Data Sheet'!H31</f>
        <v>56.319999999999993</v>
      </c>
      <c r="I366" s="51">
        <f>'Data Sheet'!I30-'Data Sheet'!I31</f>
        <v>71.34</v>
      </c>
      <c r="J366" s="51">
        <f>'Data Sheet'!J30-'Data Sheet'!J31</f>
        <v>97.73</v>
      </c>
      <c r="K366" s="51">
        <f>'Data Sheet'!K30-'Data Sheet'!K31</f>
        <v>110.92999999999999</v>
      </c>
      <c r="L366" s="29">
        <f t="shared" si="113"/>
        <v>0.26651374574912112</v>
      </c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</row>
    <row r="367" spans="1:26" s="30" customFormat="1" hidden="1">
      <c r="A367" s="57" t="s">
        <v>224</v>
      </c>
      <c r="B367" s="51"/>
      <c r="C367" s="51">
        <f>'Data Sheet'!B30-'Data Sheet'!B31</f>
        <v>2.7199999999999998</v>
      </c>
      <c r="D367" s="51">
        <f>'Data Sheet'!C30-'Data Sheet'!C31</f>
        <v>13.229999999999999</v>
      </c>
      <c r="E367" s="51">
        <f>'Data Sheet'!D30-'Data Sheet'!D31</f>
        <v>22.66</v>
      </c>
      <c r="F367" s="51">
        <f>'Data Sheet'!E30-'Data Sheet'!E31</f>
        <v>35.1</v>
      </c>
      <c r="G367" s="51">
        <f>'Data Sheet'!F30-'Data Sheet'!F31</f>
        <v>45.55</v>
      </c>
      <c r="H367" s="51">
        <f>'Data Sheet'!G30-'Data Sheet'!G31</f>
        <v>44.93</v>
      </c>
      <c r="I367" s="51">
        <f>'Data Sheet'!H30-'Data Sheet'!H31</f>
        <v>56.319999999999993</v>
      </c>
      <c r="J367" s="51">
        <f>'Data Sheet'!I30-'Data Sheet'!I31</f>
        <v>71.34</v>
      </c>
      <c r="K367" s="51">
        <f>'Data Sheet'!J30-'Data Sheet'!J31</f>
        <v>97.73</v>
      </c>
      <c r="L367" s="29">
        <f t="shared" si="113"/>
        <v>0.48877400527104364</v>
      </c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</row>
    <row r="368" spans="1:26" s="30" customFormat="1" hidden="1">
      <c r="A368" s="57" t="s">
        <v>179</v>
      </c>
      <c r="B368" s="51"/>
      <c r="C368" s="51">
        <f>C367-C365</f>
        <v>-10.039999999999999</v>
      </c>
      <c r="D368" s="51">
        <f t="shared" ref="D368" si="115">D367-D365</f>
        <v>-9.0100000000000104</v>
      </c>
      <c r="E368" s="51">
        <f t="shared" ref="E368" si="116">E367-E365</f>
        <v>-11.620000000000001</v>
      </c>
      <c r="F368" s="51">
        <f t="shared" ref="F368" si="117">F367-F365</f>
        <v>-9.4099999999999895</v>
      </c>
      <c r="G368" s="51">
        <f t="shared" ref="G368" si="118">G367-G365</f>
        <v>2.2199999999999847</v>
      </c>
      <c r="H368" s="51">
        <f t="shared" ref="H368" si="119">H367-H365</f>
        <v>-9.2899999999999991</v>
      </c>
      <c r="I368" s="51">
        <f t="shared" ref="I368" si="120">I367-I365</f>
        <v>-12.509999999999991</v>
      </c>
      <c r="J368" s="51">
        <f t="shared" ref="J368" si="121">J367-J365</f>
        <v>-52.640000000000015</v>
      </c>
      <c r="K368" s="51">
        <f t="shared" ref="K368" si="122">K367-K365</f>
        <v>-9.0000000000000711</v>
      </c>
      <c r="L368" s="29">
        <f t="shared" si="113"/>
        <v>-1.2076765256395894E-2</v>
      </c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</row>
    <row r="369" spans="1:26" s="30" customFormat="1" hidden="1">
      <c r="A369" s="57" t="s">
        <v>180</v>
      </c>
      <c r="B369" s="51"/>
      <c r="C369" s="51">
        <f>C367/C365</f>
        <v>0.21316614420062696</v>
      </c>
      <c r="D369" s="51">
        <f t="shared" ref="D369:K369" si="123">D367/D365</f>
        <v>0.59487410071942415</v>
      </c>
      <c r="E369" s="51">
        <f t="shared" si="123"/>
        <v>0.661026837806301</v>
      </c>
      <c r="F369" s="51">
        <f t="shared" si="123"/>
        <v>0.78858683441923183</v>
      </c>
      <c r="G369" s="51">
        <f t="shared" si="123"/>
        <v>1.0512347103623352</v>
      </c>
      <c r="H369" s="51">
        <f t="shared" si="123"/>
        <v>0.82866101069715969</v>
      </c>
      <c r="I369" s="51">
        <f t="shared" si="123"/>
        <v>0.81824785703908187</v>
      </c>
      <c r="J369" s="51">
        <f t="shared" si="123"/>
        <v>0.57541538957896432</v>
      </c>
      <c r="K369" s="51">
        <f t="shared" si="123"/>
        <v>0.91567506792841691</v>
      </c>
      <c r="L369" s="29">
        <f t="shared" si="113"/>
        <v>0.17580663520959749</v>
      </c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</row>
    <row r="370" spans="1:26" s="30" customFormat="1" hidden="1">
      <c r="A370" s="57" t="s">
        <v>181</v>
      </c>
      <c r="B370" s="51">
        <f>'Data Sheet'!B58/'Data Sheet'!B57</f>
        <v>3.5440729483282674</v>
      </c>
      <c r="C370" s="51">
        <f>'Data Sheet'!C58/'Data Sheet'!C57</f>
        <v>3.3221884498480243</v>
      </c>
      <c r="D370" s="51">
        <f>'Data Sheet'!D58/'Data Sheet'!D57</f>
        <v>5.5754812563323206</v>
      </c>
      <c r="E370" s="51">
        <f>'Data Sheet'!E58/'Data Sheet'!E57</f>
        <v>9.0486322188449861</v>
      </c>
      <c r="F370" s="51">
        <f>'Data Sheet'!F58/'Data Sheet'!F57</f>
        <v>13.558257345491388</v>
      </c>
      <c r="G370" s="51">
        <f>'Data Sheet'!G58/'Data Sheet'!G57</f>
        <v>17.948328267477205</v>
      </c>
      <c r="H370" s="51">
        <f>'Data Sheet'!H58/'Data Sheet'!H57</f>
        <v>23.441742654508616</v>
      </c>
      <c r="I370" s="51">
        <f>'Data Sheet'!I58/'Data Sheet'!I57</f>
        <v>30.415400202634245</v>
      </c>
      <c r="J370" s="51">
        <f>'Data Sheet'!J58/'Data Sheet'!J57</f>
        <v>41.059108527131784</v>
      </c>
      <c r="K370" s="51">
        <f>'Data Sheet'!K58/'Data Sheet'!K57</f>
        <v>51.401162790697676</v>
      </c>
      <c r="L370" s="29">
        <f t="shared" si="113"/>
        <v>0.35572646988701595</v>
      </c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</row>
    <row r="371" spans="1:26" hidden="1">
      <c r="A371" s="48"/>
      <c r="B371" s="40"/>
      <c r="C371" s="43"/>
      <c r="D371" s="43"/>
      <c r="E371" s="43"/>
      <c r="F371" s="43"/>
      <c r="G371" s="66">
        <f>1/G369</f>
        <v>0.95126234906695972</v>
      </c>
      <c r="H371" s="66">
        <f t="shared" ref="H371:K371" si="124">1/H369</f>
        <v>1.2067660805697753</v>
      </c>
      <c r="I371" s="66">
        <f t="shared" si="124"/>
        <v>1.2221235795454544</v>
      </c>
      <c r="J371" s="66">
        <f t="shared" si="124"/>
        <v>1.7378749649565461</v>
      </c>
      <c r="K371" s="66">
        <f t="shared" si="124"/>
        <v>1.0920904532896762</v>
      </c>
      <c r="L371" s="29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idden="1">
      <c r="A372" s="75" t="str">
        <f>'Data Sheet'!B1</f>
        <v>VINATI ORGANICS LTD</v>
      </c>
      <c r="B372" s="90" t="s">
        <v>81</v>
      </c>
      <c r="C372" s="90" t="s">
        <v>82</v>
      </c>
      <c r="D372" s="42" t="s">
        <v>83</v>
      </c>
      <c r="E372" s="42" t="s">
        <v>84</v>
      </c>
      <c r="F372" s="76"/>
      <c r="G372" s="76"/>
      <c r="H372" s="76"/>
      <c r="I372" s="76"/>
      <c r="J372" s="76"/>
      <c r="K372" s="77"/>
      <c r="L372" s="32"/>
      <c r="M372" s="32"/>
      <c r="N372" s="32"/>
      <c r="O372" s="32"/>
      <c r="P372" s="32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idden="1">
      <c r="A373" s="39" t="s">
        <v>6</v>
      </c>
      <c r="B373" s="41">
        <f>POWER('Data Sheet'!K17/'Data Sheet'!B17,1/9)-1</f>
        <v>0.25439741691942785</v>
      </c>
      <c r="C373" s="41">
        <f>POWER('Data Sheet'!K17/'Data Sheet'!G17,1/4)-1</f>
        <v>8.9708106267907706E-2</v>
      </c>
      <c r="D373" s="41">
        <f>POWER('Data Sheet'!K17/'Data Sheet'!I17,1/2)-1</f>
        <v>-4.7966353831742414E-2</v>
      </c>
      <c r="E373" s="41">
        <f>('Data Sheet'!K17-'Data Sheet'!J17)/'Data Sheet'!K17</f>
        <v>-0.22312386084475785</v>
      </c>
      <c r="F373" s="69"/>
      <c r="G373" s="69"/>
      <c r="H373" s="69"/>
      <c r="I373" s="69"/>
      <c r="J373" s="69"/>
      <c r="K373" s="69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idden="1">
      <c r="A374" s="48" t="s">
        <v>71</v>
      </c>
      <c r="B374" s="41">
        <f>POWER('Data Sheet'!K18/'Data Sheet'!B18,1/9)-1</f>
        <v>0.20633595728427712</v>
      </c>
      <c r="C374" s="41">
        <f>POWER('Data Sheet'!K18/'Data Sheet'!G18,1/4)-1</f>
        <v>1.9293109034082212E-2</v>
      </c>
      <c r="D374" s="41">
        <f>POWER('Data Sheet'!K18/'Data Sheet'!I18,1/2)-1</f>
        <v>-0.15907847603085401</v>
      </c>
      <c r="E374" s="41">
        <f>('Data Sheet'!K18-'Data Sheet'!J18)/'Data Sheet'!K18</f>
        <v>-0.54246176749221808</v>
      </c>
      <c r="F374" s="40"/>
      <c r="G374" s="40"/>
      <c r="H374" s="40"/>
      <c r="I374" s="40"/>
      <c r="J374" s="40"/>
      <c r="K374" s="40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idden="1">
      <c r="A375" s="48" t="s">
        <v>72</v>
      </c>
      <c r="B375" s="41">
        <f>POWER('Data Sheet'!K19/'Data Sheet'!B19,1/9)-1</f>
        <v>4.153316182832123E-2</v>
      </c>
      <c r="C375" s="41" t="e">
        <f>POWER('Data Sheet'!K19/'Data Sheet'!G19,1/4)-1</f>
        <v>#NUM!</v>
      </c>
      <c r="D375" s="41">
        <f>POWER('Data Sheet'!K19/'Data Sheet'!I19,1/2)-1</f>
        <v>-6.0663563372275742E-2</v>
      </c>
      <c r="E375" s="41">
        <f>('Data Sheet'!K19-'Data Sheet'!J19)/'Data Sheet'!K19</f>
        <v>0.1333333333333333</v>
      </c>
      <c r="F375" s="40"/>
      <c r="G375" s="40"/>
      <c r="H375" s="40"/>
      <c r="I375" s="40"/>
      <c r="J375" s="40"/>
      <c r="K375" s="40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idden="1">
      <c r="A376" s="48" t="s">
        <v>73</v>
      </c>
      <c r="B376" s="41">
        <f>POWER('Data Sheet'!K20/'Data Sheet'!B20,1/9)-1</f>
        <v>0.28802436988337754</v>
      </c>
      <c r="C376" s="41">
        <f>POWER('Data Sheet'!K20/'Data Sheet'!G20,1/4)-1</f>
        <v>5.7329067328843797E-2</v>
      </c>
      <c r="D376" s="41">
        <f>POWER('Data Sheet'!K20/'Data Sheet'!I20,1/2)-1</f>
        <v>-6.8296746041526801E-2</v>
      </c>
      <c r="E376" s="41">
        <f>('Data Sheet'!K20-'Data Sheet'!J20)/'Data Sheet'!K20</f>
        <v>-3.1928480204335922E-4</v>
      </c>
      <c r="F376" s="40"/>
      <c r="G376" s="40"/>
      <c r="H376" s="40"/>
      <c r="I376" s="40"/>
      <c r="J376" s="40"/>
      <c r="K376" s="40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idden="1">
      <c r="A377" s="48" t="s">
        <v>74</v>
      </c>
      <c r="B377" s="41">
        <f>POWER('Data Sheet'!K21/'Data Sheet'!B21,1/9)-1</f>
        <v>0.28915436625899127</v>
      </c>
      <c r="C377" s="41">
        <f>POWER('Data Sheet'!K21/'Data Sheet'!G21,1/4)-1</f>
        <v>0.16751553667470342</v>
      </c>
      <c r="D377" s="41">
        <f>POWER('Data Sheet'!K21/'Data Sheet'!I21,1/2)-1</f>
        <v>0.21680878038326856</v>
      </c>
      <c r="E377" s="41">
        <f>('Data Sheet'!K21-'Data Sheet'!J21)/'Data Sheet'!K21</f>
        <v>0.18441636582430812</v>
      </c>
      <c r="F377" s="40"/>
      <c r="G377" s="40"/>
      <c r="H377" s="40"/>
      <c r="I377" s="40"/>
      <c r="J377" s="40"/>
      <c r="K377" s="40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idden="1">
      <c r="A378" s="48" t="s">
        <v>75</v>
      </c>
      <c r="B378" s="41">
        <f>POWER('Data Sheet'!K22/'Data Sheet'!B22,1/9)-1</f>
        <v>0.24318534637454459</v>
      </c>
      <c r="C378" s="41">
        <f>POWER('Data Sheet'!K22/'Data Sheet'!G22,1/4)-1</f>
        <v>0.18307423733259043</v>
      </c>
      <c r="D378" s="41">
        <f>POWER('Data Sheet'!K22/'Data Sheet'!I22,1/2)-1</f>
        <v>0.14386250763958586</v>
      </c>
      <c r="E378" s="41">
        <f>('Data Sheet'!K22-'Data Sheet'!J22)/'Data Sheet'!K22</f>
        <v>0.11117302869880195</v>
      </c>
      <c r="F378" s="40"/>
      <c r="G378" s="40"/>
      <c r="H378" s="40"/>
      <c r="I378" s="40"/>
      <c r="J378" s="40"/>
      <c r="K378" s="40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idden="1">
      <c r="A379" s="48" t="s">
        <v>76</v>
      </c>
      <c r="B379" s="41">
        <f>POWER('Data Sheet'!K23/'Data Sheet'!B23,1/9)-1</f>
        <v>0.14896863918251735</v>
      </c>
      <c r="C379" s="41">
        <f>POWER('Data Sheet'!K23/'Data Sheet'!G23,1/4)-1</f>
        <v>-8.9027465035821374E-3</v>
      </c>
      <c r="D379" s="41">
        <f>POWER('Data Sheet'!K23/'Data Sheet'!I23,1/2)-1</f>
        <v>-0.20027687112598025</v>
      </c>
      <c r="E379" s="41">
        <f>('Data Sheet'!K23-'Data Sheet'!J23)/'Data Sheet'!K23</f>
        <v>-0.39999999999999997</v>
      </c>
      <c r="F379" s="40"/>
      <c r="G379" s="40"/>
      <c r="H379" s="40"/>
      <c r="I379" s="40"/>
      <c r="J379" s="40"/>
      <c r="K379" s="40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idden="1">
      <c r="A380" s="48" t="s">
        <v>77</v>
      </c>
      <c r="B380" s="41">
        <f>POWER('Data Sheet'!K24/'Data Sheet'!B24,1/9)-1</f>
        <v>0.19606248410552651</v>
      </c>
      <c r="C380" s="41">
        <f>POWER('Data Sheet'!K24/'Data Sheet'!G24,1/4)-1</f>
        <v>0.1467528122403372</v>
      </c>
      <c r="D380" s="41">
        <f>POWER('Data Sheet'!K24/'Data Sheet'!I24,1/2)-1</f>
        <v>-6.8614110694848462E-2</v>
      </c>
      <c r="E380" s="41">
        <f>('Data Sheet'!K24-'Data Sheet'!J24)/'Data Sheet'!K24</f>
        <v>9.8406747891284035E-2</v>
      </c>
      <c r="F380" s="40"/>
      <c r="G380" s="40"/>
      <c r="H380" s="40"/>
      <c r="I380" s="40"/>
      <c r="J380" s="40"/>
      <c r="K380" s="40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idden="1">
      <c r="A381" s="39" t="s">
        <v>9</v>
      </c>
      <c r="B381" s="41">
        <f>POWER('Data Sheet'!K25/'Data Sheet'!B25,1/9)-1</f>
        <v>0.14028447648506148</v>
      </c>
      <c r="C381" s="41">
        <f>POWER('Data Sheet'!K25/'Data Sheet'!G25,1/4)-1</f>
        <v>0.21464276923754166</v>
      </c>
      <c r="D381" s="41">
        <f>POWER('Data Sheet'!K25/'Data Sheet'!I25,1/2)-1</f>
        <v>-0.18039294464308098</v>
      </c>
      <c r="E381" s="41">
        <f>('Data Sheet'!K25-'Data Sheet'!J25)/'Data Sheet'!K25</f>
        <v>-0.48376623376623384</v>
      </c>
      <c r="F381" s="40"/>
      <c r="G381" s="40"/>
      <c r="H381" s="40"/>
      <c r="I381" s="40"/>
      <c r="J381" s="40"/>
      <c r="K381" s="40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idden="1">
      <c r="A382" s="39" t="s">
        <v>10</v>
      </c>
      <c r="B382" s="41">
        <f>POWER('Data Sheet'!K26/'Data Sheet'!B26,1/9)-1</f>
        <v>0.23805887874945775</v>
      </c>
      <c r="C382" s="41">
        <f>POWER('Data Sheet'!K26/'Data Sheet'!G26,1/4)-1</f>
        <v>0.27400582690571529</v>
      </c>
      <c r="D382" s="41">
        <f>POWER('Data Sheet'!K26/'Data Sheet'!I26,1/2)-1</f>
        <v>9.9489556383006494E-2</v>
      </c>
      <c r="E382" s="41">
        <f>('Data Sheet'!K26-'Data Sheet'!J26)/'Data Sheet'!K26</f>
        <v>4.6436285097192193E-2</v>
      </c>
      <c r="F382" s="40"/>
      <c r="G382" s="40"/>
      <c r="H382" s="40"/>
      <c r="I382" s="40"/>
      <c r="J382" s="40"/>
      <c r="K382" s="40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idden="1">
      <c r="A383" s="39" t="s">
        <v>11</v>
      </c>
      <c r="B383" s="41">
        <f>POWER('Data Sheet'!K27/'Data Sheet'!B27,1/9)-1</f>
        <v>0.16619969749267671</v>
      </c>
      <c r="C383" s="41">
        <f>POWER('Data Sheet'!K27/'Data Sheet'!G27,1/4)-1</f>
        <v>-3.8328470916626944E-2</v>
      </c>
      <c r="D383" s="41">
        <f>POWER('Data Sheet'!K27/'Data Sheet'!I27,1/2)-1</f>
        <v>-0.34192868833258694</v>
      </c>
      <c r="E383" s="41">
        <f>('Data Sheet'!K27-'Data Sheet'!J27)/'Data Sheet'!K27</f>
        <v>-0.24173027989821874</v>
      </c>
      <c r="F383" s="40"/>
      <c r="G383" s="40"/>
      <c r="H383" s="40"/>
      <c r="I383" s="40"/>
      <c r="J383" s="40"/>
      <c r="K383" s="40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idden="1">
      <c r="A384" s="39" t="s">
        <v>12</v>
      </c>
      <c r="B384" s="41">
        <f>POWER('Data Sheet'!K28/'Data Sheet'!B28,1/9)-1</f>
        <v>0.47838707070610731</v>
      </c>
      <c r="C384" s="41">
        <f>POWER('Data Sheet'!K28/'Data Sheet'!G28,1/4)-1</f>
        <v>0.22965164066414201</v>
      </c>
      <c r="D384" s="41">
        <f>POWER('Data Sheet'!K28/'Data Sheet'!I28,1/2)-1</f>
        <v>0.20449684947429336</v>
      </c>
      <c r="E384" s="41">
        <f>('Data Sheet'!K28-'Data Sheet'!J28)/'Data Sheet'!K28</f>
        <v>7.0004288164665529E-2</v>
      </c>
      <c r="F384" s="40"/>
      <c r="G384" s="40"/>
      <c r="H384" s="40"/>
      <c r="I384" s="40"/>
      <c r="J384" s="40"/>
      <c r="K384" s="40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idden="1">
      <c r="A385" s="39" t="s">
        <v>13</v>
      </c>
      <c r="B385" s="41">
        <f>POWER('Data Sheet'!K29/'Data Sheet'!B29,1/9)-1</f>
        <v>0.44356694114104855</v>
      </c>
      <c r="C385" s="41">
        <f>POWER('Data Sheet'!K29/'Data Sheet'!G29,1/4)-1</f>
        <v>0.19695480233079721</v>
      </c>
      <c r="D385" s="41">
        <f>POWER('Data Sheet'!K29/'Data Sheet'!I29,1/2)-1</f>
        <v>0.13842741056495056</v>
      </c>
      <c r="E385" s="41">
        <f>('Data Sheet'!K29-'Data Sheet'!J29)/'Data Sheet'!K29</f>
        <v>-4.9281687579559932E-2</v>
      </c>
      <c r="F385" s="40"/>
      <c r="G385" s="40"/>
      <c r="H385" s="40"/>
      <c r="I385" s="40"/>
      <c r="J385" s="40"/>
      <c r="K385" s="40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idden="1">
      <c r="A386" s="39" t="s">
        <v>14</v>
      </c>
      <c r="B386" s="41">
        <f>POWER('Data Sheet'!K30/'Data Sheet'!B30,1/9)-1</f>
        <v>0.49579540705693836</v>
      </c>
      <c r="C386" s="41">
        <f>POWER('Data Sheet'!K30/'Data Sheet'!G30,1/4)-1</f>
        <v>0.24472745285222008</v>
      </c>
      <c r="D386" s="41">
        <f>POWER('Data Sheet'!K30/'Data Sheet'!I30,1/2)-1</f>
        <v>0.23580741427498175</v>
      </c>
      <c r="E386" s="41">
        <f>('Data Sheet'!K30-'Data Sheet'!J30)/'Data Sheet'!K30</f>
        <v>0.11993615565858469</v>
      </c>
      <c r="F386" s="40"/>
      <c r="G386" s="40"/>
      <c r="H386" s="40"/>
      <c r="I386" s="40"/>
      <c r="J386" s="40"/>
      <c r="K386" s="40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idden="1">
      <c r="A387" s="39" t="s">
        <v>61</v>
      </c>
      <c r="B387" s="41">
        <f>POWER('Data Sheet'!K31/'Data Sheet'!B31,1/9)-1</f>
        <v>0.43698959140959936</v>
      </c>
      <c r="C387" s="41">
        <f>POWER('Data Sheet'!K31/'Data Sheet'!G31,1/4)-1</f>
        <v>0.20223173319767151</v>
      </c>
      <c r="D387" s="41">
        <f>POWER('Data Sheet'!K31/'Data Sheet'!I31,1/2)-1</f>
        <v>0.18053078621634921</v>
      </c>
      <c r="E387" s="41">
        <f>('Data Sheet'!K31-'Data Sheet'!J31)/'Data Sheet'!K31</f>
        <v>0.12500000000000008</v>
      </c>
      <c r="F387" s="40"/>
      <c r="G387" s="40"/>
      <c r="H387" s="40"/>
      <c r="I387" s="40"/>
      <c r="J387" s="40"/>
      <c r="K387" s="40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idden="1">
      <c r="A388" s="48" t="s">
        <v>88</v>
      </c>
      <c r="B388" s="41">
        <f>POWER(K98/B98,1/9)-1</f>
        <v>0.15138686095317944</v>
      </c>
      <c r="C388" s="41">
        <f>POWER(K98/G98,1/4)-1</f>
        <v>8.5198814485883068E-2</v>
      </c>
      <c r="D388" s="41">
        <f>POWER(K98/I98,1/2)-1</f>
        <v>7.9614232839881005E-2</v>
      </c>
      <c r="E388" s="41">
        <f>(K98-J98)/J98</f>
        <v>-2.1215889088168086E-2</v>
      </c>
      <c r="F388" s="40"/>
      <c r="G388" s="40"/>
      <c r="H388" s="40"/>
      <c r="I388" s="40"/>
      <c r="J388" s="40"/>
      <c r="K388" s="40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idden="1">
      <c r="A389" s="48" t="s">
        <v>89</v>
      </c>
      <c r="B389" s="41">
        <f>POWER(K100/B100,1/9)-1</f>
        <v>0.16706552240483297</v>
      </c>
      <c r="C389" s="41">
        <f>POWER(K100/G100,1/4)-1</f>
        <v>9.0711993024407134E-2</v>
      </c>
      <c r="D389" s="41">
        <f>POWER(K100/I100,1/2)-1</f>
        <v>9.9431926906361712E-2</v>
      </c>
      <c r="E389" s="41">
        <f>(K100-J100)/J100</f>
        <v>5.6052214425331058E-2</v>
      </c>
      <c r="F389" s="40"/>
      <c r="G389" s="40"/>
      <c r="H389" s="40"/>
      <c r="I389" s="40"/>
      <c r="J389" s="40"/>
      <c r="K389" s="40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idden="1">
      <c r="A390" s="48" t="s">
        <v>90</v>
      </c>
      <c r="B390" s="41">
        <f>POWER(K102/B102,1/9)-1</f>
        <v>-2.4948653390583604</v>
      </c>
      <c r="C390" s="41">
        <f>POWER(K102/G102,1/4)-1</f>
        <v>0.33986530747652344</v>
      </c>
      <c r="D390" s="41">
        <f>POWER(K102/I102,1/2)-1</f>
        <v>0.28637452245927464</v>
      </c>
      <c r="E390" s="41">
        <f>(K102-J102)/J102</f>
        <v>0.12379676256889111</v>
      </c>
      <c r="F390" s="40"/>
      <c r="G390" s="40"/>
      <c r="H390" s="40"/>
      <c r="I390" s="40"/>
      <c r="J390" s="40"/>
      <c r="K390" s="40"/>
    </row>
    <row r="391" spans="1:26" hidden="1">
      <c r="A391" s="48" t="s">
        <v>91</v>
      </c>
      <c r="B391" s="41">
        <f>POWER(K104/B104,1/9)-1</f>
        <v>-2.5184594568397212</v>
      </c>
      <c r="C391" s="41">
        <f>POWER(K104/G104,1/4)-1</f>
        <v>0.31887023522861102</v>
      </c>
      <c r="D391" s="41">
        <f>POWER(K104/I104,1/2)-1</f>
        <v>0.28620017616835236</v>
      </c>
      <c r="E391" s="41">
        <f>(K104-J104)/J104</f>
        <v>0.18355258625268245</v>
      </c>
      <c r="F391" s="40"/>
      <c r="G391" s="40"/>
      <c r="H391" s="40"/>
      <c r="I391" s="40"/>
      <c r="J391" s="40"/>
      <c r="K391" s="40"/>
    </row>
    <row r="392" spans="1:26" hidden="1">
      <c r="A392" s="48" t="s">
        <v>92</v>
      </c>
      <c r="B392" s="41">
        <f>POWER(K106/B106,1/9)-1</f>
        <v>-2.1916999500281804</v>
      </c>
      <c r="C392" s="41">
        <f>POWER(K106/G106,1/4)-1</f>
        <v>0.22956349482006511</v>
      </c>
      <c r="D392" s="41">
        <f>POWER(K106/I106,1/2)-1</f>
        <v>0.35118598763465037</v>
      </c>
      <c r="E392" s="41">
        <f>(K106-J106)/J106</f>
        <v>0.37454263503810176</v>
      </c>
      <c r="F392" s="40"/>
      <c r="G392" s="40"/>
      <c r="H392" s="40"/>
      <c r="I392" s="40"/>
      <c r="J392" s="40"/>
      <c r="K392" s="40"/>
    </row>
    <row r="393" spans="1:26" hidden="1">
      <c r="A393" s="48" t="s">
        <v>93</v>
      </c>
      <c r="B393" s="41">
        <f>POWER(K108/B108,1/9)-1</f>
        <v>-2.2105090750017498</v>
      </c>
      <c r="C393" s="41">
        <f>POWER(K108/G108,1/4)-1</f>
        <v>0.21029680117325222</v>
      </c>
      <c r="D393" s="41">
        <f>POWER(K108/I108,1/2)-1</f>
        <v>0.35100285724674452</v>
      </c>
      <c r="E393" s="41">
        <f>(K108-J108)/J108</f>
        <v>0.44763140881017904</v>
      </c>
      <c r="F393" s="40"/>
      <c r="G393" s="40"/>
      <c r="H393" s="40"/>
      <c r="I393" s="40"/>
      <c r="J393" s="40"/>
      <c r="K393" s="40"/>
    </row>
    <row r="394" spans="1:26" hidden="1">
      <c r="A394" s="39" t="s">
        <v>94</v>
      </c>
      <c r="B394" s="41" t="e">
        <f>POWER(#REF!/#REF!,1/9)-1</f>
        <v>#REF!</v>
      </c>
      <c r="C394" s="41" t="e">
        <f>POWER(#REF!/#REF!,1/4)-1</f>
        <v>#REF!</v>
      </c>
      <c r="D394" s="41" t="e">
        <f>POWER(#REF!/#REF!,1/2)-1</f>
        <v>#REF!</v>
      </c>
      <c r="E394" s="41" t="e">
        <f>(#REF!-#REF!)/#REF!</f>
        <v>#REF!</v>
      </c>
      <c r="F394" s="40"/>
      <c r="G394" s="40"/>
      <c r="H394" s="40"/>
      <c r="I394" s="40"/>
      <c r="J394" s="40"/>
      <c r="K394" s="40"/>
    </row>
    <row r="395" spans="1:26" hidden="1">
      <c r="A395" s="39" t="s">
        <v>95</v>
      </c>
      <c r="B395" s="41">
        <f>POWER(K120/B120,1/9)-1</f>
        <v>0.12246059159260625</v>
      </c>
      <c r="C395" s="41">
        <f>POWER(K120/G120,1/4)-1</f>
        <v>0.10010672090350581</v>
      </c>
      <c r="D395" s="41">
        <f>POWER(K120/I120,1/2)-1</f>
        <v>7.241558450903951E-2</v>
      </c>
      <c r="E395" s="41">
        <f>(K120-J120)/J120</f>
        <v>-1.7474924443258093E-2</v>
      </c>
      <c r="F395" s="40"/>
      <c r="G395" s="40"/>
      <c r="H395" s="40"/>
      <c r="I395" s="40"/>
      <c r="J395" s="40"/>
      <c r="K395" s="40"/>
    </row>
    <row r="396" spans="1:26" hidden="1">
      <c r="A396" s="39"/>
      <c r="B396" s="41"/>
      <c r="C396" s="41"/>
      <c r="D396" s="41"/>
      <c r="E396" s="41"/>
      <c r="F396" s="40"/>
      <c r="G396" s="40"/>
      <c r="H396" s="40"/>
      <c r="I396" s="40"/>
      <c r="J396" s="40"/>
      <c r="K396" s="40"/>
    </row>
    <row r="397" spans="1:26" hidden="1">
      <c r="A397" s="42" t="s">
        <v>40</v>
      </c>
      <c r="B397" s="90" t="s">
        <v>81</v>
      </c>
      <c r="C397" s="90" t="s">
        <v>82</v>
      </c>
      <c r="D397" s="42" t="s">
        <v>83</v>
      </c>
      <c r="E397" s="42" t="s">
        <v>84</v>
      </c>
      <c r="F397" s="40"/>
      <c r="G397" s="40"/>
      <c r="H397" s="40"/>
      <c r="I397" s="40"/>
      <c r="J397" s="40"/>
      <c r="K397" s="40"/>
    </row>
    <row r="398" spans="1:26" hidden="1">
      <c r="A398" s="75" t="s">
        <v>38</v>
      </c>
      <c r="B398" s="41">
        <f>POWER('Data Sheet'!K56/'Data Sheet'!B56,1/9)-1</f>
        <v>8.9958045949416476E-3</v>
      </c>
      <c r="C398" s="41">
        <f>POWER('Data Sheet'!K56/'Data Sheet'!G56,1/4)-1</f>
        <v>8.7921206565997334E-3</v>
      </c>
      <c r="D398" s="41">
        <f>POWER('Data Sheet'!K56/'Data Sheet'!I56,1/2)-1</f>
        <v>8.7208699046044114E-3</v>
      </c>
      <c r="E398" s="41">
        <f>('Data Sheet'!K56-'Data Sheet'!J56)/'Data Sheet'!K56</f>
        <v>8.6198775317946306E-3</v>
      </c>
      <c r="F398" s="40"/>
      <c r="G398" s="40"/>
      <c r="H398" s="40"/>
      <c r="I398" s="40"/>
      <c r="J398" s="40"/>
      <c r="K398" s="40"/>
    </row>
    <row r="399" spans="1:26" hidden="1">
      <c r="A399" s="39" t="s">
        <v>24</v>
      </c>
      <c r="B399" s="41">
        <f>POWER('Data Sheet'!K57/'Data Sheet'!B57,1/9)-1</f>
        <v>5.1276821697662012E-2</v>
      </c>
      <c r="C399" s="41">
        <f>POWER('Data Sheet'!K57/'Data Sheet'!G57,1/4)-1</f>
        <v>1.120832447692055E-2</v>
      </c>
      <c r="D399" s="41">
        <f>POWER('Data Sheet'!K57/'Data Sheet'!I57,1/2)-1</f>
        <v>2.2542275491421071E-2</v>
      </c>
      <c r="E399" s="41">
        <f>('Data Sheet'!K57-'Data Sheet'!J57)/'Data Sheet'!K57</f>
        <v>0</v>
      </c>
      <c r="F399" s="40"/>
      <c r="G399" s="40"/>
      <c r="H399" s="40"/>
      <c r="I399" s="40"/>
      <c r="J399" s="40"/>
      <c r="K399" s="40"/>
    </row>
    <row r="400" spans="1:26" hidden="1">
      <c r="A400" s="39" t="s">
        <v>25</v>
      </c>
      <c r="B400" s="41">
        <f>POWER('Data Sheet'!K58/'Data Sheet'!B58,1/9)-1</f>
        <v>0.41504204393894017</v>
      </c>
      <c r="C400" s="41">
        <f>POWER('Data Sheet'!K58/'Data Sheet'!G58,1/4)-1</f>
        <v>0.31546067941832989</v>
      </c>
      <c r="D400" s="41">
        <f>POWER('Data Sheet'!K58/'Data Sheet'!I58,1/2)-1</f>
        <v>0.32929379195989061</v>
      </c>
      <c r="E400" s="41">
        <f>('Data Sheet'!K58-'Data Sheet'!J58)/'Data Sheet'!K58</f>
        <v>0.20120272970629266</v>
      </c>
      <c r="F400" s="40"/>
      <c r="G400" s="40"/>
      <c r="H400" s="40"/>
      <c r="I400" s="40"/>
      <c r="J400" s="40"/>
      <c r="K400" s="40"/>
    </row>
    <row r="401" spans="1:11" hidden="1">
      <c r="A401" s="39" t="s">
        <v>62</v>
      </c>
      <c r="B401" s="41">
        <f>POWER('Data Sheet'!K59/'Data Sheet'!B59,1/9)-1</f>
        <v>5.6333211046861731E-2</v>
      </c>
      <c r="C401" s="41">
        <f>POWER('Data Sheet'!K59/'Data Sheet'!G59,1/4)-1</f>
        <v>-0.29745146802499112</v>
      </c>
      <c r="D401" s="41">
        <f>POWER('Data Sheet'!K59/'Data Sheet'!I59,1/2)-1</f>
        <v>-0.48973890803044018</v>
      </c>
      <c r="E401" s="41">
        <f>('Data Sheet'!K59-'Data Sheet'!J59)/'Data Sheet'!K59</f>
        <v>-0.55217494651770849</v>
      </c>
      <c r="F401" s="40"/>
      <c r="G401" s="40"/>
      <c r="H401" s="40"/>
      <c r="I401" s="40"/>
      <c r="J401" s="40"/>
      <c r="K401" s="40"/>
    </row>
    <row r="402" spans="1:11" hidden="1">
      <c r="A402" s="39" t="s">
        <v>63</v>
      </c>
      <c r="B402" s="41">
        <f>POWER('Data Sheet'!K60/'Data Sheet'!B60,1/9)-1</f>
        <v>0.22687134391824659</v>
      </c>
      <c r="C402" s="41">
        <f>POWER('Data Sheet'!K60/'Data Sheet'!G60,1/4)-1</f>
        <v>0.23420513577210889</v>
      </c>
      <c r="D402" s="41">
        <f>POWER('Data Sheet'!K60/'Data Sheet'!I60,1/2)-1</f>
        <v>0.13725103798175731</v>
      </c>
      <c r="E402" s="41">
        <f>('Data Sheet'!K60-'Data Sheet'!J60)/'Data Sheet'!K60</f>
        <v>4.1177032578580318E-2</v>
      </c>
      <c r="F402" s="40"/>
      <c r="G402" s="40"/>
      <c r="H402" s="40"/>
      <c r="I402" s="40"/>
      <c r="J402" s="40"/>
      <c r="K402" s="40"/>
    </row>
    <row r="403" spans="1:11" hidden="1">
      <c r="A403" s="42" t="s">
        <v>26</v>
      </c>
      <c r="B403" s="41">
        <f>POWER('Data Sheet'!K61/'Data Sheet'!B61,1/9)-1</f>
        <v>0.28452662388667682</v>
      </c>
      <c r="C403" s="41">
        <f>POWER('Data Sheet'!K61/'Data Sheet'!G61,1/4)-1</f>
        <v>0.14157866581796497</v>
      </c>
      <c r="D403" s="41">
        <f>POWER('Data Sheet'!K61/'Data Sheet'!I61,1/2)-1</f>
        <v>0.11543710483875436</v>
      </c>
      <c r="E403" s="41">
        <f>('Data Sheet'!K61-'Data Sheet'!J61)/'Data Sheet'!K61</f>
        <v>0.12771992087502901</v>
      </c>
      <c r="F403" s="40"/>
      <c r="G403" s="40"/>
      <c r="H403" s="40"/>
      <c r="I403" s="40"/>
      <c r="J403" s="40"/>
      <c r="K403" s="40"/>
    </row>
    <row r="404" spans="1:11" hidden="1">
      <c r="A404" s="39" t="s">
        <v>27</v>
      </c>
      <c r="B404" s="41">
        <f>POWER('Data Sheet'!K62/'Data Sheet'!B62,1/9)-1</f>
        <v>0.30008856287684593</v>
      </c>
      <c r="C404" s="41">
        <f>POWER('Data Sheet'!K62/'Data Sheet'!G62,1/4)-1</f>
        <v>0.27544126814116465</v>
      </c>
      <c r="D404" s="41">
        <f>POWER('Data Sheet'!K62/'Data Sheet'!I62,1/2)-1</f>
        <v>0.12046082482863851</v>
      </c>
      <c r="E404" s="41">
        <f>('Data Sheet'!K62-'Data Sheet'!J62)/'Data Sheet'!K62</f>
        <v>0.1430778496425672</v>
      </c>
      <c r="F404" s="40"/>
      <c r="G404" s="40"/>
      <c r="H404" s="40"/>
      <c r="I404" s="40"/>
      <c r="J404" s="40"/>
      <c r="K404" s="40"/>
    </row>
    <row r="405" spans="1:11" hidden="1">
      <c r="A405" s="39" t="s">
        <v>28</v>
      </c>
      <c r="B405" s="41">
        <f>POWER('Data Sheet'!K63/'Data Sheet'!B63,1/9)-1</f>
        <v>0.35338392190764245</v>
      </c>
      <c r="C405" s="41">
        <f>POWER('Data Sheet'!K63/'Data Sheet'!G63,1/4)-1</f>
        <v>-0.18669636486697028</v>
      </c>
      <c r="D405" s="41">
        <f>POWER('Data Sheet'!K63/'Data Sheet'!I63,1/2)-1</f>
        <v>0.5687104031779262</v>
      </c>
      <c r="E405" s="41">
        <f>('Data Sheet'!K63-'Data Sheet'!J63)/'Data Sheet'!K63</f>
        <v>0.19371727748691095</v>
      </c>
      <c r="F405" s="40"/>
      <c r="G405" s="40"/>
      <c r="H405" s="40"/>
      <c r="I405" s="40"/>
      <c r="J405" s="40"/>
      <c r="K405" s="40"/>
    </row>
    <row r="406" spans="1:11" hidden="1">
      <c r="A406" s="39" t="s">
        <v>29</v>
      </c>
      <c r="B406" s="41" t="e">
        <f>POWER('Data Sheet'!K64/'Data Sheet'!B64,1/9)-1</f>
        <v>#DIV/0!</v>
      </c>
      <c r="C406" s="41">
        <f>POWER('Data Sheet'!K64/'Data Sheet'!G64,1/4)-1</f>
        <v>-0.2325839677713778</v>
      </c>
      <c r="D406" s="41">
        <f>POWER('Data Sheet'!K64/'Data Sheet'!I64,1/2)-1</f>
        <v>0</v>
      </c>
      <c r="E406" s="41">
        <f>('Data Sheet'!K64-'Data Sheet'!J64)/'Data Sheet'!K64</f>
        <v>0</v>
      </c>
      <c r="F406" s="40"/>
      <c r="G406" s="40"/>
      <c r="H406" s="40"/>
      <c r="I406" s="40"/>
      <c r="J406" s="40"/>
      <c r="K406" s="40"/>
    </row>
    <row r="407" spans="1:11" hidden="1">
      <c r="A407" s="39" t="s">
        <v>64</v>
      </c>
      <c r="B407" s="41">
        <f>POWER('Data Sheet'!K65/'Data Sheet'!B65,1/9)-1</f>
        <v>0.26059749447881653</v>
      </c>
      <c r="C407" s="41">
        <f>POWER('Data Sheet'!K65/'Data Sheet'!G65,1/4)-1</f>
        <v>9.1561456295562671E-2</v>
      </c>
      <c r="D407" s="41">
        <f>POWER('Data Sheet'!K65/'Data Sheet'!I65,1/2)-1</f>
        <v>8.6471869921045608E-2</v>
      </c>
      <c r="E407" s="41">
        <f>('Data Sheet'!K65-'Data Sheet'!J65)/'Data Sheet'!K65</f>
        <v>0.10199237574624187</v>
      </c>
      <c r="F407" s="40"/>
      <c r="G407" s="40"/>
      <c r="H407" s="40"/>
      <c r="I407" s="40"/>
      <c r="J407" s="40"/>
      <c r="K407" s="40"/>
    </row>
    <row r="408" spans="1:11" hidden="1">
      <c r="A408" s="42" t="s">
        <v>26</v>
      </c>
      <c r="B408" s="41">
        <f>POWER('Data Sheet'!K66/'Data Sheet'!B66,1/9)-1</f>
        <v>0.28452662388667682</v>
      </c>
      <c r="C408" s="41">
        <f>POWER('Data Sheet'!K66/'Data Sheet'!G66,1/4)-1</f>
        <v>0.14157866581796497</v>
      </c>
      <c r="D408" s="41">
        <f>POWER('Data Sheet'!K66/'Data Sheet'!I66,1/2)-1</f>
        <v>0.11543710483875436</v>
      </c>
      <c r="E408" s="41">
        <f>('Data Sheet'!K66-'Data Sheet'!J66)/'Data Sheet'!K66</f>
        <v>0.12771992087502901</v>
      </c>
      <c r="F408" s="40"/>
      <c r="G408" s="40"/>
      <c r="H408" s="40"/>
      <c r="I408" s="40"/>
      <c r="J408" s="40"/>
      <c r="K408" s="40"/>
    </row>
    <row r="409" spans="1:11" hidden="1">
      <c r="A409" s="39" t="s">
        <v>69</v>
      </c>
      <c r="B409" s="41">
        <f>POWER('Data Sheet'!K67/'Data Sheet'!B67,1/9)-1</f>
        <v>0.21635755616627006</v>
      </c>
      <c r="C409" s="41">
        <f>POWER('Data Sheet'!K67/'Data Sheet'!G67,1/4)-1</f>
        <v>7.5931248928117645E-2</v>
      </c>
      <c r="D409" s="41">
        <f>POWER('Data Sheet'!K67/'Data Sheet'!I67,1/2)-1</f>
        <v>-1.0000654718190782E-3</v>
      </c>
      <c r="E409" s="41">
        <f>('Data Sheet'!K67-'Data Sheet'!J67)/'Data Sheet'!K67</f>
        <v>-0.12436857690297859</v>
      </c>
      <c r="F409" s="40"/>
      <c r="G409" s="40"/>
      <c r="H409" s="40"/>
      <c r="I409" s="40"/>
      <c r="J409" s="40"/>
      <c r="K409" s="40"/>
    </row>
    <row r="410" spans="1:11" hidden="1">
      <c r="A410" s="39" t="s">
        <v>45</v>
      </c>
      <c r="B410" s="41">
        <f>POWER('Data Sheet'!K68/'Data Sheet'!B68,1/9)-1</f>
        <v>0.20718496668602437</v>
      </c>
      <c r="C410" s="41">
        <f>POWER('Data Sheet'!K68/'Data Sheet'!G68,1/4)-1</f>
        <v>9.6231015682186616E-3</v>
      </c>
      <c r="D410" s="41">
        <f>POWER('Data Sheet'!K68/'Data Sheet'!I68,1/2)-1</f>
        <v>-2.0913519298159211E-2</v>
      </c>
      <c r="E410" s="41">
        <f>('Data Sheet'!K68-'Data Sheet'!J68)/'Data Sheet'!K68</f>
        <v>-0.21901565995525724</v>
      </c>
      <c r="F410" s="40"/>
      <c r="G410" s="40"/>
      <c r="H410" s="40"/>
      <c r="I410" s="40"/>
      <c r="J410" s="40"/>
      <c r="K410" s="40"/>
    </row>
    <row r="411" spans="1:11" hidden="1">
      <c r="A411" s="48" t="s">
        <v>78</v>
      </c>
      <c r="B411" s="41">
        <f>POWER('Data Sheet'!K69/'Data Sheet'!B69,1/9)-1</f>
        <v>0.63189710286872014</v>
      </c>
      <c r="C411" s="41">
        <f>POWER('Data Sheet'!K69/'Data Sheet'!G69,1/4)-1</f>
        <v>0.22620106245782301</v>
      </c>
      <c r="D411" s="41">
        <f>POWER('Data Sheet'!K69/'Data Sheet'!I69,1/2)-1</f>
        <v>0.30060335485152967</v>
      </c>
      <c r="E411" s="41">
        <f>('Data Sheet'!K69-'Data Sheet'!J69)/'Data Sheet'!K69</f>
        <v>0.62425584937006784</v>
      </c>
      <c r="F411" s="40"/>
      <c r="G411" s="40"/>
      <c r="H411" s="40"/>
      <c r="I411" s="40"/>
      <c r="J411" s="40"/>
      <c r="K411" s="40"/>
    </row>
    <row r="412" spans="1:11" hidden="1">
      <c r="A412" s="48" t="s">
        <v>65</v>
      </c>
      <c r="B412" s="41">
        <f>POWER('Data Sheet'!K70/'Data Sheet'!B70,1/9)-1</f>
        <v>0.25704270915699379</v>
      </c>
      <c r="C412" s="41">
        <f>POWER('Data Sheet'!K70/'Data Sheet'!G70,1/4)-1</f>
        <v>1.1049129239701472E-2</v>
      </c>
      <c r="D412" s="41">
        <f>POWER('Data Sheet'!K70/'Data Sheet'!I70,1/2)-1</f>
        <v>2.2220341736358673E-2</v>
      </c>
      <c r="E412" s="41">
        <f>('Data Sheet'!K70-'Data Sheet'!J70)/'Data Sheet'!K70</f>
        <v>0</v>
      </c>
      <c r="F412" s="40"/>
      <c r="G412" s="40"/>
      <c r="H412" s="40"/>
      <c r="I412" s="40"/>
      <c r="J412" s="40"/>
      <c r="K412" s="40"/>
    </row>
    <row r="413" spans="1:11" hidden="1">
      <c r="A413" s="48" t="s">
        <v>66</v>
      </c>
      <c r="B413" s="41" t="e">
        <f>POWER('Data Sheet'!K71/'Data Sheet'!B71,1/9)-1</f>
        <v>#DIV/0!</v>
      </c>
      <c r="C413" s="41" t="e">
        <f>POWER('Data Sheet'!K71/'Data Sheet'!G71,1/4)-1</f>
        <v>#DIV/0!</v>
      </c>
      <c r="D413" s="41" t="e">
        <f>POWER('Data Sheet'!K71/'Data Sheet'!I71,1/2)-1</f>
        <v>#DIV/0!</v>
      </c>
      <c r="E413" s="41" t="e">
        <f>('Data Sheet'!K71-'Data Sheet'!J71)/'Data Sheet'!K71</f>
        <v>#DIV/0!</v>
      </c>
      <c r="F413" s="40"/>
      <c r="G413" s="40"/>
      <c r="H413" s="40"/>
      <c r="I413" s="40"/>
      <c r="J413" s="40"/>
      <c r="K413" s="40"/>
    </row>
    <row r="414" spans="1:11" hidden="1">
      <c r="A414" s="48" t="s">
        <v>79</v>
      </c>
      <c r="B414" s="41">
        <f>POWER('Data Sheet'!K72/'Data Sheet'!B72,1/9)-1</f>
        <v>-0.16374896904962655</v>
      </c>
      <c r="C414" s="41">
        <f>POWER('Data Sheet'!K72/'Data Sheet'!G72,1/4)-1</f>
        <v>0</v>
      </c>
      <c r="D414" s="41">
        <f>POWER('Data Sheet'!K72/'Data Sheet'!I72,1/2)-1</f>
        <v>0</v>
      </c>
      <c r="E414" s="41">
        <f>('Data Sheet'!K72-'Data Sheet'!J72)/'Data Sheet'!K72</f>
        <v>0</v>
      </c>
      <c r="F414" s="40"/>
      <c r="G414" s="40"/>
      <c r="H414" s="40"/>
      <c r="I414" s="40"/>
      <c r="J414" s="40"/>
      <c r="K414" s="40"/>
    </row>
    <row r="415" spans="1:11" hidden="1">
      <c r="A415" s="48"/>
      <c r="B415" s="40"/>
      <c r="C415" s="41"/>
      <c r="D415" s="41"/>
      <c r="E415" s="41"/>
      <c r="F415" s="40"/>
      <c r="G415" s="40"/>
      <c r="H415" s="40"/>
      <c r="I415" s="40"/>
      <c r="J415" s="40"/>
      <c r="K415" s="40"/>
    </row>
    <row r="416" spans="1:11" hidden="1">
      <c r="A416" s="42" t="s">
        <v>41</v>
      </c>
      <c r="B416" s="90" t="s">
        <v>81</v>
      </c>
      <c r="C416" s="90" t="s">
        <v>82</v>
      </c>
      <c r="D416" s="42" t="s">
        <v>83</v>
      </c>
      <c r="E416" s="42" t="s">
        <v>84</v>
      </c>
      <c r="F416" s="40"/>
      <c r="G416" s="40"/>
      <c r="H416" s="40"/>
      <c r="I416" s="40"/>
      <c r="J416" s="40"/>
      <c r="K416" s="40"/>
    </row>
    <row r="417" spans="1:11" hidden="1">
      <c r="A417" s="75" t="s">
        <v>38</v>
      </c>
      <c r="B417" s="40"/>
      <c r="C417" s="41">
        <f>POWER('Data Sheet'!K81/'Data Sheet'!G81,1/4)-1</f>
        <v>8.7921206565997334E-3</v>
      </c>
      <c r="D417" s="41">
        <f>POWER('Data Sheet'!K81/'Data Sheet'!I81,1/2)-1</f>
        <v>8.7208699046044114E-3</v>
      </c>
      <c r="E417" s="41">
        <f>('Data Sheet'!K81-'Data Sheet'!J81)/'Data Sheet'!K81</f>
        <v>8.6198775317946306E-3</v>
      </c>
      <c r="F417" s="40"/>
      <c r="G417" s="40"/>
      <c r="H417" s="40"/>
      <c r="I417" s="40"/>
      <c r="J417" s="40"/>
      <c r="K417" s="40"/>
    </row>
    <row r="418" spans="1:11" hidden="1">
      <c r="A418" s="39" t="s">
        <v>32</v>
      </c>
      <c r="B418" s="40"/>
      <c r="C418" s="41">
        <f>POWER('Data Sheet'!K82/'Data Sheet'!G82,1/4)-1</f>
        <v>0.70649667198043886</v>
      </c>
      <c r="D418" s="41">
        <f>POWER('Data Sheet'!K82/'Data Sheet'!I82,1/2)-1</f>
        <v>0.1287496465076301</v>
      </c>
      <c r="E418" s="41">
        <f>('Data Sheet'!K82-'Data Sheet'!J82)/'Data Sheet'!K82</f>
        <v>0.32795987820168371</v>
      </c>
      <c r="F418" s="40"/>
      <c r="G418" s="40"/>
      <c r="H418" s="40"/>
      <c r="I418" s="40"/>
      <c r="J418" s="40"/>
      <c r="K418" s="40"/>
    </row>
    <row r="419" spans="1:11" hidden="1">
      <c r="A419" s="39" t="s">
        <v>33</v>
      </c>
      <c r="B419" s="40"/>
      <c r="C419" s="41">
        <f>POWER('Data Sheet'!K83/'Data Sheet'!G83,1/4)-1</f>
        <v>4.194006312297982E-2</v>
      </c>
      <c r="D419" s="41">
        <f>POWER('Data Sheet'!K83/'Data Sheet'!I83,1/2)-1</f>
        <v>1.8258838385585756</v>
      </c>
      <c r="E419" s="41">
        <f>('Data Sheet'!K83-'Data Sheet'!J83)/'Data Sheet'!K83</f>
        <v>0.25903864801219001</v>
      </c>
      <c r="F419" s="40"/>
      <c r="G419" s="40"/>
      <c r="H419" s="40"/>
      <c r="I419" s="40"/>
      <c r="J419" s="40"/>
      <c r="K419" s="40"/>
    </row>
    <row r="420" spans="1:11" hidden="1">
      <c r="A420" s="39" t="s">
        <v>34</v>
      </c>
      <c r="B420" s="40"/>
      <c r="C420" s="41" t="e">
        <f>POWER('Data Sheet'!K84/'Data Sheet'!G84,1/4)-1</f>
        <v>#NUM!</v>
      </c>
      <c r="D420" s="41">
        <f>POWER('Data Sheet'!K84/'Data Sheet'!I84,1/2)-1</f>
        <v>-0.33478879469706257</v>
      </c>
      <c r="E420" s="41">
        <f>('Data Sheet'!K84-'Data Sheet'!J84)/'Data Sheet'!K84</f>
        <v>-0.48606133014735159</v>
      </c>
      <c r="F420" s="40"/>
      <c r="G420" s="40"/>
      <c r="H420" s="40"/>
      <c r="I420" s="40"/>
      <c r="J420" s="40"/>
      <c r="K420" s="40"/>
    </row>
    <row r="421" spans="1:11" hidden="1">
      <c r="A421" s="39" t="s">
        <v>35</v>
      </c>
      <c r="B421" s="40"/>
      <c r="C421" s="41">
        <f>POWER('Data Sheet'!K85/'Data Sheet'!G85,1/4)-1</f>
        <v>0.10714259578547169</v>
      </c>
      <c r="D421" s="41">
        <f>POWER('Data Sheet'!K85/'Data Sheet'!I85,1/2)-1</f>
        <v>1.2470585476265112</v>
      </c>
      <c r="E421" s="41">
        <f>('Data Sheet'!K85-'Data Sheet'!J85)/'Data Sheet'!K85</f>
        <v>1.3450876025726326</v>
      </c>
      <c r="F421" s="40"/>
      <c r="G421" s="40"/>
      <c r="H421" s="40"/>
      <c r="I421" s="40"/>
      <c r="J421" s="40"/>
      <c r="K421" s="40"/>
    </row>
    <row r="422" spans="1:11" hidden="1">
      <c r="A422" s="39"/>
      <c r="B422" s="40"/>
      <c r="C422" s="41"/>
      <c r="D422" s="41"/>
      <c r="E422" s="41"/>
      <c r="F422" s="40"/>
      <c r="G422" s="40"/>
      <c r="H422" s="40"/>
      <c r="I422" s="40"/>
      <c r="J422" s="40"/>
      <c r="K422" s="40"/>
    </row>
    <row r="423" spans="1:11" s="29" customFormat="1" hidden="1">
      <c r="A423" s="41" t="s">
        <v>225</v>
      </c>
      <c r="B423" s="41">
        <f>'Data Sheet'!B26/'Data Sheet'!B62</f>
        <v>7.5298694081689349E-2</v>
      </c>
      <c r="C423" s="41">
        <f>'Data Sheet'!C26*2/('Data Sheet'!C62+'Data Sheet'!B62)</f>
        <v>7.626236335242062E-2</v>
      </c>
      <c r="D423" s="41">
        <f>'Data Sheet'!D26*2/('Data Sheet'!D62+'Data Sheet'!C62)</f>
        <v>7.5987841945288764E-2</v>
      </c>
      <c r="E423" s="41">
        <f>'Data Sheet'!E26*2/('Data Sheet'!E62+'Data Sheet'!D62)</f>
        <v>7.931145431145431E-2</v>
      </c>
      <c r="F423" s="41">
        <f>'Data Sheet'!F26*2/('Data Sheet'!F62+'Data Sheet'!E62)</f>
        <v>6.761006289308176E-2</v>
      </c>
      <c r="G423" s="41">
        <f>'Data Sheet'!G26*2/('Data Sheet'!G62+'Data Sheet'!F62)</f>
        <v>5.503366212619383E-2</v>
      </c>
      <c r="H423" s="41">
        <f>'Data Sheet'!H26*2/('Data Sheet'!H62+'Data Sheet'!G62)</f>
        <v>4.5806095203019974E-2</v>
      </c>
      <c r="I423" s="41">
        <f>'Data Sheet'!I26*2/('Data Sheet'!I62+'Data Sheet'!H62)</f>
        <v>5.1554717997038639E-2</v>
      </c>
      <c r="J423" s="41">
        <f>'Data Sheet'!J26*2/('Data Sheet'!J62+'Data Sheet'!I62)</f>
        <v>5.5935639173951598E-2</v>
      </c>
      <c r="K423" s="41">
        <f>'Data Sheet'!K26*2/('Data Sheet'!K62+'Data Sheet'!J62)</f>
        <v>5.2232281354880561E-2</v>
      </c>
    </row>
    <row r="424" spans="1:11" s="109" customFormat="1" hidden="1">
      <c r="A424" s="61" t="s">
        <v>252</v>
      </c>
      <c r="B424" s="61">
        <f>B152</f>
        <v>2.279799944429008</v>
      </c>
      <c r="C424" s="61">
        <f>C152</f>
        <v>3.808693388859969</v>
      </c>
      <c r="D424" s="61">
        <f>D152</f>
        <v>4.4540565817161566</v>
      </c>
      <c r="E424" s="61">
        <f>E152</f>
        <v>3.733912483912484</v>
      </c>
      <c r="F424" s="61">
        <f>F152</f>
        <v>3.382075471698113</v>
      </c>
      <c r="G424" s="61">
        <f>G152</f>
        <v>3.5028965085329573</v>
      </c>
      <c r="H424" s="61">
        <f>H152</f>
        <v>2.5451615873308167</v>
      </c>
      <c r="I424" s="61">
        <f>I152</f>
        <v>2.3426100417283622</v>
      </c>
      <c r="J424" s="61">
        <f>J152</f>
        <v>2.4443494235398453</v>
      </c>
      <c r="K424" s="61">
        <f>K152</f>
        <v>1.7794793693769919</v>
      </c>
    </row>
    <row r="425" spans="1:11" s="29" customFormat="1" hidden="1">
      <c r="A425" s="41" t="s">
        <v>141</v>
      </c>
      <c r="B425" s="41">
        <f>B235</f>
        <v>4.2778793418647168E-2</v>
      </c>
      <c r="C425" s="41">
        <f>C235</f>
        <v>0.1038748035262762</v>
      </c>
      <c r="D425" s="41">
        <f>D235</f>
        <v>0.13191601049868765</v>
      </c>
      <c r="E425" s="41">
        <f>E235</f>
        <v>0.17251184834123223</v>
      </c>
      <c r="F425" s="41">
        <f>F235</f>
        <v>0.1610723694405703</v>
      </c>
      <c r="G425" s="41">
        <f>G235</f>
        <v>0.12249139587896125</v>
      </c>
      <c r="H425" s="41">
        <f>H235</f>
        <v>0.12419057265853922</v>
      </c>
      <c r="I425" s="41">
        <f>I235</f>
        <v>0.12375562035826643</v>
      </c>
      <c r="J425" s="41">
        <f>J235</f>
        <v>0.15003952159434</v>
      </c>
      <c r="K425" s="41">
        <f>K235</f>
        <v>0.20852682462952687</v>
      </c>
    </row>
    <row r="426" spans="1:11" s="29" customFormat="1" hidden="1">
      <c r="A426" s="68" t="s">
        <v>226</v>
      </c>
      <c r="B426" s="41">
        <f>'Data Sheet'!B31/'Data Sheet'!B30</f>
        <v>0.2250712250712251</v>
      </c>
      <c r="C426" s="41">
        <f>'Data Sheet'!C31/'Data Sheet'!C30</f>
        <v>0.12960526315789475</v>
      </c>
      <c r="D426" s="41">
        <f>'Data Sheet'!D31/'Data Sheet'!D30</f>
        <v>9.828889773179468E-2</v>
      </c>
      <c r="E426" s="41">
        <f>'Data Sheet'!E31/'Data Sheet'!E30</f>
        <v>0.12337662337662339</v>
      </c>
      <c r="F426" s="41">
        <f>'Data Sheet'!F31/'Data Sheet'!F30</f>
        <v>0.1235328073888782</v>
      </c>
      <c r="G426" s="41">
        <f>'Data Sheet'!G31/'Data Sheet'!G30</f>
        <v>0.18025907681080094</v>
      </c>
      <c r="H426" s="41">
        <f>'Data Sheet'!H31/'Data Sheet'!H30</f>
        <v>0.17972618700844742</v>
      </c>
      <c r="I426" s="41">
        <f>'Data Sheet'!I31/'Data Sheet'!I30</f>
        <v>0.17190946024376089</v>
      </c>
      <c r="J426" s="41">
        <f>'Data Sheet'!J31/'Data Sheet'!J30</f>
        <v>0.15597201830900767</v>
      </c>
      <c r="K426" s="41">
        <f>'Data Sheet'!K31/'Data Sheet'!K30</f>
        <v>0.15687466747738849</v>
      </c>
    </row>
    <row r="427" spans="1:11" s="29" customFormat="1" hidden="1">
      <c r="A427" s="68" t="s">
        <v>227</v>
      </c>
      <c r="B427" s="41"/>
      <c r="C427" s="49"/>
      <c r="D427" s="41">
        <f>SUM(B423:D423)/3</f>
        <v>7.584963312646624E-2</v>
      </c>
      <c r="E427" s="41">
        <f t="shared" ref="E427:K427" si="125">SUM(C423:E423)/3</f>
        <v>7.7187219869721227E-2</v>
      </c>
      <c r="F427" s="41">
        <f t="shared" si="125"/>
        <v>7.4303119716608287E-2</v>
      </c>
      <c r="G427" s="41">
        <f t="shared" si="125"/>
        <v>6.7318393110243291E-2</v>
      </c>
      <c r="H427" s="41">
        <f t="shared" si="125"/>
        <v>5.6149940074098521E-2</v>
      </c>
      <c r="I427" s="41">
        <f t="shared" si="125"/>
        <v>5.079815844208415E-2</v>
      </c>
      <c r="J427" s="41">
        <f t="shared" si="125"/>
        <v>5.1098817458003404E-2</v>
      </c>
      <c r="K427" s="41">
        <f t="shared" si="125"/>
        <v>5.3240879508623599E-2</v>
      </c>
    </row>
    <row r="428" spans="1:11" s="29" customFormat="1" hidden="1">
      <c r="A428" s="68" t="s">
        <v>228</v>
      </c>
      <c r="B428" s="41"/>
      <c r="C428" s="49"/>
      <c r="D428" s="41">
        <f>SUM(B424:D424)/3</f>
        <v>3.5141833050017106</v>
      </c>
      <c r="E428" s="41">
        <f t="shared" ref="E428:K428" si="126">SUM(C424:E424)/3</f>
        <v>3.9988874848295364</v>
      </c>
      <c r="F428" s="41">
        <f t="shared" si="126"/>
        <v>3.8566815124422518</v>
      </c>
      <c r="G428" s="41">
        <f t="shared" si="126"/>
        <v>3.5396281547145185</v>
      </c>
      <c r="H428" s="41">
        <f t="shared" si="126"/>
        <v>3.1433778558539625</v>
      </c>
      <c r="I428" s="41">
        <f t="shared" si="126"/>
        <v>2.796889379197379</v>
      </c>
      <c r="J428" s="41">
        <f t="shared" si="126"/>
        <v>2.4440403508663415</v>
      </c>
      <c r="K428" s="41">
        <f t="shared" si="126"/>
        <v>2.1888129448817328</v>
      </c>
    </row>
    <row r="429" spans="1:11" s="29" customFormat="1" hidden="1">
      <c r="A429" s="68" t="s">
        <v>229</v>
      </c>
      <c r="B429" s="41"/>
      <c r="C429" s="49"/>
      <c r="D429" s="41">
        <f>SUM(B425:D425)/3</f>
        <v>9.2856535814537011E-2</v>
      </c>
      <c r="E429" s="41">
        <f t="shared" ref="E429:K429" si="127">SUM(C425:E425)/3</f>
        <v>0.13610088745539869</v>
      </c>
      <c r="F429" s="41">
        <f t="shared" si="127"/>
        <v>0.15516674276016337</v>
      </c>
      <c r="G429" s="41">
        <f t="shared" si="127"/>
        <v>0.15202520455358792</v>
      </c>
      <c r="H429" s="41">
        <f t="shared" si="127"/>
        <v>0.13591811265935691</v>
      </c>
      <c r="I429" s="41">
        <f t="shared" si="127"/>
        <v>0.12347919629858896</v>
      </c>
      <c r="J429" s="41">
        <f t="shared" si="127"/>
        <v>0.13266190487038187</v>
      </c>
      <c r="K429" s="41">
        <f t="shared" si="127"/>
        <v>0.16077398886071112</v>
      </c>
    </row>
    <row r="430" spans="1:11" s="29" customFormat="1" hidden="1">
      <c r="A430" s="68" t="s">
        <v>230</v>
      </c>
      <c r="B430" s="41"/>
      <c r="C430" s="49"/>
      <c r="D430" s="41">
        <f>SUM(B426:D426)/3</f>
        <v>0.1509884619869715</v>
      </c>
      <c r="E430" s="41">
        <f t="shared" ref="E430:K430" si="128">SUM(C426:E426)/3</f>
        <v>0.11709026142210428</v>
      </c>
      <c r="F430" s="41">
        <f t="shared" si="128"/>
        <v>0.11506610949909875</v>
      </c>
      <c r="G430" s="41">
        <f t="shared" si="128"/>
        <v>0.14238950252543417</v>
      </c>
      <c r="H430" s="41">
        <f t="shared" si="128"/>
        <v>0.16117269040270887</v>
      </c>
      <c r="I430" s="41">
        <f t="shared" si="128"/>
        <v>0.17729824135433639</v>
      </c>
      <c r="J430" s="41">
        <f t="shared" si="128"/>
        <v>0.16920255518707197</v>
      </c>
      <c r="K430" s="41">
        <f t="shared" si="128"/>
        <v>0.16158538201005235</v>
      </c>
    </row>
    <row r="431" spans="1:11" hidden="1">
      <c r="A431" s="40"/>
      <c r="B431" s="40"/>
      <c r="C431" s="43"/>
      <c r="D431" s="40"/>
      <c r="E431" s="40"/>
      <c r="F431" s="40"/>
      <c r="G431" s="40"/>
      <c r="H431" s="40"/>
      <c r="I431" s="40"/>
      <c r="J431" s="40"/>
      <c r="K431" s="40"/>
    </row>
    <row r="432" spans="1:11" s="29" customFormat="1">
      <c r="A432" s="45" t="s">
        <v>213</v>
      </c>
      <c r="B432" s="45"/>
      <c r="C432" s="46"/>
      <c r="D432" s="45">
        <f>((1-D423)+D424*D425*(1-D426))-1</f>
        <v>0.45382277297170903</v>
      </c>
      <c r="E432" s="45">
        <f t="shared" ref="E432:K432" si="129">((1-E423)+E424*E425*(1-E426))-1</f>
        <v>0.48536036036036023</v>
      </c>
      <c r="F432" s="45">
        <f t="shared" si="129"/>
        <v>0.40985324947589108</v>
      </c>
      <c r="G432" s="45">
        <f t="shared" si="129"/>
        <v>0.29669641459214025</v>
      </c>
      <c r="H432" s="45">
        <f t="shared" si="129"/>
        <v>0.2134702145290488</v>
      </c>
      <c r="I432" s="45">
        <f t="shared" si="129"/>
        <v>0.18851797011710869</v>
      </c>
      <c r="J432" s="45">
        <f t="shared" si="129"/>
        <v>0.25361079437476253</v>
      </c>
      <c r="K432" s="45">
        <f t="shared" si="129"/>
        <v>0.2606255464365288</v>
      </c>
    </row>
    <row r="433" spans="1:11">
      <c r="A433" s="84" t="s">
        <v>231</v>
      </c>
      <c r="B433" s="84"/>
      <c r="C433" s="85"/>
      <c r="D433" s="45">
        <f>((1-D427)+D428*D429*(1-D430))-1</f>
        <v>0.20119547174282082</v>
      </c>
      <c r="E433" s="45">
        <f t="shared" ref="E433:K433" si="130">((1-E427)+E428*E429*(1-E430))-1</f>
        <v>0.40333829082233885</v>
      </c>
      <c r="F433" s="45">
        <f t="shared" si="130"/>
        <v>0.45526672517311884</v>
      </c>
      <c r="G433" s="45">
        <f t="shared" si="130"/>
        <v>0.39417270231498236</v>
      </c>
      <c r="H433" s="45">
        <f t="shared" si="130"/>
        <v>0.30223230520584576</v>
      </c>
      <c r="I433" s="45">
        <f t="shared" si="130"/>
        <v>0.23332818977895675</v>
      </c>
      <c r="J433" s="45">
        <f t="shared" si="130"/>
        <v>0.21827150918641824</v>
      </c>
      <c r="K433" s="45">
        <f t="shared" si="130"/>
        <v>0.24180073585805029</v>
      </c>
    </row>
    <row r="434" spans="1:11" s="29" customFormat="1">
      <c r="A434" s="84" t="s">
        <v>249</v>
      </c>
      <c r="B434" s="45"/>
      <c r="C434" s="46"/>
      <c r="D434" s="45"/>
      <c r="E434" s="45"/>
      <c r="F434" s="45">
        <f>SUM(D432:F432)/3</f>
        <v>0.44967879426932011</v>
      </c>
      <c r="G434" s="45">
        <f t="shared" ref="G434:K434" si="131">SUM(E432:G432)/3</f>
        <v>0.3973033414761305</v>
      </c>
      <c r="H434" s="45">
        <f t="shared" si="131"/>
        <v>0.30667329286569339</v>
      </c>
      <c r="I434" s="45">
        <f t="shared" si="131"/>
        <v>0.23289486641276591</v>
      </c>
      <c r="J434" s="45">
        <f t="shared" si="131"/>
        <v>0.21853299300697335</v>
      </c>
      <c r="K434" s="45">
        <f t="shared" si="131"/>
        <v>0.23425143697613335</v>
      </c>
    </row>
    <row r="435" spans="1:11">
      <c r="A435" s="119" t="s">
        <v>334</v>
      </c>
    </row>
    <row r="436" spans="1:11">
      <c r="A436" s="5" t="s">
        <v>210</v>
      </c>
      <c r="C436" s="108">
        <f>(C299-B299)/B299</f>
        <v>0.78342474101157855</v>
      </c>
      <c r="D436" s="108">
        <f t="shared" ref="D436:K436" si="132">(D299-C299)/C299</f>
        <v>0.30185197840497496</v>
      </c>
      <c r="E436" s="108">
        <f t="shared" si="132"/>
        <v>0.21837270341207346</v>
      </c>
      <c r="F436" s="108">
        <f t="shared" si="132"/>
        <v>0.39013356311934505</v>
      </c>
      <c r="G436" s="108">
        <f t="shared" si="132"/>
        <v>0.38682783201611659</v>
      </c>
      <c r="H436" s="108">
        <f t="shared" si="132"/>
        <v>0.23555178116479694</v>
      </c>
      <c r="I436" s="108">
        <f t="shared" si="132"/>
        <v>0.25914336360018808</v>
      </c>
      <c r="J436" s="108">
        <f t="shared" si="132"/>
        <v>0.1086004050967492</v>
      </c>
      <c r="K436" s="108">
        <f t="shared" si="132"/>
        <v>-0.18242131315356402</v>
      </c>
    </row>
    <row r="437" spans="1:11">
      <c r="A437" s="5" t="s">
        <v>330</v>
      </c>
      <c r="C437" s="108">
        <f>C32</f>
        <v>0.12030456852791883</v>
      </c>
      <c r="D437" s="108">
        <f t="shared" ref="D437:K437" si="133">D32</f>
        <v>0.26506570004531044</v>
      </c>
      <c r="E437" s="108">
        <f t="shared" si="133"/>
        <v>0.28474212034383939</v>
      </c>
      <c r="F437" s="108">
        <f t="shared" si="133"/>
        <v>0.44744912182882646</v>
      </c>
      <c r="G437" s="108">
        <f t="shared" si="133"/>
        <v>0.65023112480739609</v>
      </c>
      <c r="H437" s="108">
        <f t="shared" si="133"/>
        <v>0.32107843137254888</v>
      </c>
      <c r="I437" s="108">
        <f t="shared" si="133"/>
        <v>1.643254704479194E-2</v>
      </c>
      <c r="J437" s="108">
        <f t="shared" si="133"/>
        <v>0.12212081703607125</v>
      </c>
      <c r="K437" s="108">
        <f t="shared" si="133"/>
        <v>-0.11061192873741287</v>
      </c>
    </row>
    <row r="438" spans="1:11">
      <c r="A438" s="5" t="s">
        <v>331</v>
      </c>
      <c r="C438" s="108">
        <f>C33</f>
        <v>0.47624847746650401</v>
      </c>
      <c r="D438" s="108">
        <f t="shared" ref="D438:K438" si="134">D33</f>
        <v>-4.9504950495048456E-3</v>
      </c>
      <c r="E438" s="108">
        <f t="shared" si="134"/>
        <v>0.56633499170812607</v>
      </c>
      <c r="F438" s="108">
        <f t="shared" si="134"/>
        <v>0.85336156696664889</v>
      </c>
      <c r="G438" s="108">
        <f t="shared" si="134"/>
        <v>0.22879177377892046</v>
      </c>
      <c r="H438" s="108">
        <f t="shared" si="134"/>
        <v>0.27010692701069261</v>
      </c>
      <c r="I438" s="108">
        <f t="shared" si="134"/>
        <v>-0.14659590043923862</v>
      </c>
      <c r="J438" s="108">
        <f t="shared" si="134"/>
        <v>0.16856101222389017</v>
      </c>
      <c r="K438" s="108">
        <f t="shared" si="134"/>
        <v>-0.17966599376032297</v>
      </c>
    </row>
    <row r="439" spans="1:11">
      <c r="A439" s="5" t="s">
        <v>211</v>
      </c>
      <c r="C439" s="108">
        <f t="shared" ref="C439:K444" si="135">(C300-B300)/B300</f>
        <v>2.9893048128342237</v>
      </c>
      <c r="D439" s="108">
        <f t="shared" si="135"/>
        <v>0.33378016085790918</v>
      </c>
      <c r="E439" s="108">
        <f t="shared" si="135"/>
        <v>0.60000000000000009</v>
      </c>
      <c r="F439" s="108">
        <f t="shared" si="135"/>
        <v>0.32474874371859291</v>
      </c>
      <c r="G439" s="108">
        <f t="shared" si="135"/>
        <v>0.39023233760075848</v>
      </c>
      <c r="H439" s="108">
        <f t="shared" si="135"/>
        <v>0.25500227376080048</v>
      </c>
      <c r="I439" s="108">
        <f t="shared" si="135"/>
        <v>0.24621795452486658</v>
      </c>
      <c r="J439" s="108">
        <f t="shared" si="135"/>
        <v>0.26568292505633478</v>
      </c>
      <c r="K439" s="108">
        <f t="shared" si="135"/>
        <v>8.1208362049161584E-2</v>
      </c>
    </row>
    <row r="440" spans="1:11">
      <c r="A440" s="5" t="s">
        <v>329</v>
      </c>
      <c r="C440" s="108">
        <f t="shared" si="135"/>
        <v>2.042067307692307</v>
      </c>
      <c r="D440" s="108">
        <f t="shared" si="135"/>
        <v>0.30778348478862139</v>
      </c>
      <c r="E440" s="108">
        <f t="shared" si="135"/>
        <v>0.59184290030211484</v>
      </c>
      <c r="F440" s="108">
        <f t="shared" si="135"/>
        <v>0.32321123552856318</v>
      </c>
      <c r="G440" s="108">
        <f t="shared" si="135"/>
        <v>0.3624497991967871</v>
      </c>
      <c r="H440" s="108">
        <f t="shared" si="135"/>
        <v>0.26687019686282776</v>
      </c>
      <c r="I440" s="108">
        <f t="shared" si="135"/>
        <v>0.27048362971580531</v>
      </c>
      <c r="J440" s="108">
        <f t="shared" si="135"/>
        <v>0.25436588396886639</v>
      </c>
      <c r="K440" s="108">
        <f t="shared" si="135"/>
        <v>7.8214620919804093E-2</v>
      </c>
    </row>
    <row r="441" spans="1:11">
      <c r="A441" s="5" t="s">
        <v>220</v>
      </c>
      <c r="C441" s="108">
        <f t="shared" si="135"/>
        <v>3.1267468491455261</v>
      </c>
      <c r="D441" s="108">
        <f t="shared" si="135"/>
        <v>0.60127468031973685</v>
      </c>
      <c r="E441" s="108">
        <f t="shared" si="135"/>
        <v>0.56925660248883847</v>
      </c>
      <c r="F441" s="108">
        <f t="shared" si="135"/>
        <v>0.42481362022399705</v>
      </c>
      <c r="G441" s="108">
        <f t="shared" si="135"/>
        <v>0.12301182702822459</v>
      </c>
      <c r="H441" s="108">
        <f t="shared" si="135"/>
        <v>0.25040939790301481</v>
      </c>
      <c r="I441" s="108">
        <f t="shared" si="135"/>
        <v>0.24771425856640161</v>
      </c>
      <c r="J441" s="108">
        <f t="shared" si="135"/>
        <v>0.26076895857320037</v>
      </c>
      <c r="K441" s="108">
        <f t="shared" si="135"/>
        <v>0.14245382806640927</v>
      </c>
    </row>
    <row r="442" spans="1:11">
      <c r="A442" s="5" t="s">
        <v>326</v>
      </c>
      <c r="C442" s="108">
        <f t="shared" si="135"/>
        <v>0.83577806122448961</v>
      </c>
      <c r="D442" s="108">
        <f t="shared" ref="D442:K444" si="136">(D303-C303)/C303</f>
        <v>0.216605871113427</v>
      </c>
      <c r="E442" s="108">
        <f t="shared" si="136"/>
        <v>0.25685322672758437</v>
      </c>
      <c r="F442" s="108">
        <f t="shared" si="136"/>
        <v>0.34942633193229589</v>
      </c>
      <c r="G442" s="108">
        <f t="shared" si="136"/>
        <v>0.4718831551477396</v>
      </c>
      <c r="H442" s="108">
        <f t="shared" si="136"/>
        <v>0.21693499957104867</v>
      </c>
      <c r="I442" s="108">
        <f t="shared" si="136"/>
        <v>0.21741275995770162</v>
      </c>
      <c r="J442" s="108">
        <f t="shared" si="136"/>
        <v>0.10290115235392913</v>
      </c>
      <c r="K442" s="108">
        <f t="shared" si="136"/>
        <v>-0.27480835871049036</v>
      </c>
    </row>
    <row r="443" spans="1:11">
      <c r="A443" s="5" t="s">
        <v>327</v>
      </c>
      <c r="C443" s="108">
        <f t="shared" si="135"/>
        <v>0.42531493701259754</v>
      </c>
      <c r="D443" s="108">
        <f t="shared" si="136"/>
        <v>0.24031986531986538</v>
      </c>
      <c r="E443" s="108">
        <f t="shared" si="136"/>
        <v>0.17645062775704115</v>
      </c>
      <c r="F443" s="108">
        <f t="shared" si="136"/>
        <v>0.39284684164984129</v>
      </c>
      <c r="G443" s="108">
        <f t="shared" si="136"/>
        <v>0.20252640298198388</v>
      </c>
      <c r="H443" s="108">
        <f t="shared" si="136"/>
        <v>0.2130187704494575</v>
      </c>
      <c r="I443" s="108">
        <f t="shared" si="136"/>
        <v>0.4109880749574108</v>
      </c>
      <c r="J443" s="108">
        <f t="shared" si="136"/>
        <v>-7.042962068618587E-2</v>
      </c>
      <c r="K443" s="108">
        <f t="shared" si="136"/>
        <v>-2.922394198506335E-2</v>
      </c>
    </row>
    <row r="444" spans="1:11">
      <c r="A444" s="5" t="s">
        <v>328</v>
      </c>
      <c r="C444" s="108">
        <f t="shared" si="135"/>
        <v>3.3304843304843303</v>
      </c>
      <c r="D444" s="108">
        <f t="shared" si="136"/>
        <v>0.65328947368421053</v>
      </c>
      <c r="E444" s="108">
        <f t="shared" si="136"/>
        <v>0.59331476323119781</v>
      </c>
      <c r="F444" s="108">
        <f t="shared" si="136"/>
        <v>0.29795204795204794</v>
      </c>
      <c r="G444" s="108">
        <f t="shared" si="136"/>
        <v>5.4646911679815342E-2</v>
      </c>
      <c r="H444" s="108">
        <f t="shared" si="136"/>
        <v>0.25269111476008016</v>
      </c>
      <c r="I444" s="108">
        <f t="shared" si="136"/>
        <v>0.2547334692688612</v>
      </c>
      <c r="J444" s="108">
        <f t="shared" si="136"/>
        <v>0.34405107370864768</v>
      </c>
      <c r="K444" s="108">
        <f t="shared" si="136"/>
        <v>0.13628119872182387</v>
      </c>
    </row>
    <row r="445" spans="1:11">
      <c r="A445" s="5"/>
    </row>
    <row r="446" spans="1:11">
      <c r="A446" s="5"/>
    </row>
    <row r="447" spans="1:11">
      <c r="A447" s="5"/>
    </row>
    <row r="448" spans="1:11">
      <c r="A448" s="5"/>
    </row>
    <row r="449" spans="1:1">
      <c r="A449" s="5"/>
    </row>
    <row r="450" spans="1:1">
      <c r="A450" s="5"/>
    </row>
    <row r="451" spans="1:1">
      <c r="A451" s="5"/>
    </row>
    <row r="452" spans="1:1">
      <c r="A452" s="5"/>
    </row>
    <row r="453" spans="1:1">
      <c r="A453" s="5"/>
    </row>
    <row r="454" spans="1:1">
      <c r="A454" s="5"/>
    </row>
    <row r="455" spans="1:1">
      <c r="A455" s="5"/>
    </row>
    <row r="456" spans="1:1">
      <c r="A456" s="5"/>
    </row>
    <row r="457" spans="1:1">
      <c r="A457" s="5"/>
    </row>
    <row r="458" spans="1:1">
      <c r="A458" s="5"/>
    </row>
    <row r="459" spans="1:1">
      <c r="A459" s="5"/>
    </row>
    <row r="460" spans="1:1">
      <c r="A460" s="5"/>
    </row>
    <row r="461" spans="1:1">
      <c r="A461" s="5"/>
    </row>
    <row r="462" spans="1:1">
      <c r="A462" s="5"/>
    </row>
    <row r="463" spans="1:1">
      <c r="A463" s="5"/>
    </row>
    <row r="464" spans="1:1">
      <c r="A464" s="5"/>
    </row>
    <row r="465" spans="1:1">
      <c r="A465" s="5"/>
    </row>
    <row r="466" spans="1:1">
      <c r="A466" s="5"/>
    </row>
    <row r="467" spans="1:1">
      <c r="A467" s="5"/>
    </row>
    <row r="468" spans="1:1">
      <c r="A468" s="5"/>
    </row>
    <row r="469" spans="1:1">
      <c r="A469" s="5"/>
    </row>
    <row r="470" spans="1:1">
      <c r="A470" s="5"/>
    </row>
    <row r="471" spans="1:1">
      <c r="A471" s="5"/>
    </row>
    <row r="472" spans="1:1">
      <c r="A472" s="5"/>
    </row>
    <row r="473" spans="1:1">
      <c r="A473" s="5"/>
    </row>
    <row r="474" spans="1:1">
      <c r="A474" s="5"/>
    </row>
    <row r="475" spans="1:1">
      <c r="A475" s="5"/>
    </row>
    <row r="476" spans="1:1">
      <c r="A476" s="5"/>
    </row>
    <row r="477" spans="1:1">
      <c r="A477" s="5"/>
    </row>
    <row r="478" spans="1:1">
      <c r="A478" s="5"/>
    </row>
    <row r="479" spans="1:1">
      <c r="A479" s="5"/>
    </row>
    <row r="480" spans="1:1">
      <c r="A480" s="5"/>
    </row>
    <row r="481" spans="1:1">
      <c r="A481" s="5"/>
    </row>
    <row r="482" spans="1:1">
      <c r="A482" s="5"/>
    </row>
    <row r="483" spans="1:1">
      <c r="A483" s="5"/>
    </row>
    <row r="484" spans="1:1">
      <c r="A484" s="5"/>
    </row>
    <row r="485" spans="1:1">
      <c r="A485" s="5"/>
    </row>
    <row r="486" spans="1:1">
      <c r="A486" s="5"/>
    </row>
    <row r="487" spans="1:1">
      <c r="A487" s="5"/>
    </row>
    <row r="488" spans="1:1">
      <c r="A488" s="5"/>
    </row>
    <row r="489" spans="1:1">
      <c r="A489" s="5"/>
    </row>
    <row r="490" spans="1:1">
      <c r="A490" s="5"/>
    </row>
    <row r="491" spans="1:1">
      <c r="A491" s="5"/>
    </row>
    <row r="492" spans="1:1">
      <c r="A492" s="5"/>
    </row>
    <row r="493" spans="1:1">
      <c r="A493" s="5"/>
    </row>
    <row r="494" spans="1:1">
      <c r="A494" s="5"/>
    </row>
    <row r="495" spans="1:1">
      <c r="A495" s="5"/>
    </row>
    <row r="496" spans="1:1">
      <c r="A496" s="5"/>
    </row>
    <row r="497" spans="1:1">
      <c r="A497" s="5"/>
    </row>
    <row r="498" spans="1:1">
      <c r="A498" s="5"/>
    </row>
    <row r="499" spans="1:1">
      <c r="A499" s="5"/>
    </row>
    <row r="500" spans="1:1">
      <c r="A500" s="5"/>
    </row>
    <row r="501" spans="1:1">
      <c r="A501" s="5"/>
    </row>
    <row r="502" spans="1:1">
      <c r="A502" s="5"/>
    </row>
    <row r="503" spans="1:1">
      <c r="A503" s="5"/>
    </row>
    <row r="504" spans="1:1">
      <c r="A504" s="5"/>
    </row>
    <row r="505" spans="1:1">
      <c r="A505" s="5"/>
    </row>
    <row r="506" spans="1:1">
      <c r="A506" s="5"/>
    </row>
    <row r="507" spans="1:1">
      <c r="A507" s="5"/>
    </row>
    <row r="508" spans="1:1">
      <c r="A508" s="5"/>
    </row>
    <row r="509" spans="1:1">
      <c r="A509" s="5"/>
    </row>
    <row r="510" spans="1:1">
      <c r="A510" s="5"/>
    </row>
    <row r="511" spans="1:1">
      <c r="A511" s="5"/>
    </row>
    <row r="512" spans="1:1">
      <c r="A512" s="5"/>
    </row>
    <row r="513" spans="1:1">
      <c r="A513" s="5"/>
    </row>
    <row r="514" spans="1:1">
      <c r="A514" s="5"/>
    </row>
    <row r="515" spans="1:1">
      <c r="A515" s="5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0" spans="1:1">
      <c r="A520" s="5"/>
    </row>
    <row r="521" spans="1:1">
      <c r="A521" s="5"/>
    </row>
    <row r="522" spans="1:1">
      <c r="A522" s="5"/>
    </row>
    <row r="523" spans="1:1">
      <c r="A523" s="5"/>
    </row>
    <row r="524" spans="1:1">
      <c r="A524" s="5"/>
    </row>
    <row r="525" spans="1:1">
      <c r="A525" s="5"/>
    </row>
    <row r="526" spans="1:1">
      <c r="A526" s="5"/>
    </row>
    <row r="527" spans="1:1">
      <c r="A527" s="5"/>
    </row>
    <row r="528" spans="1:1">
      <c r="A528" s="5"/>
    </row>
    <row r="529" spans="1:1">
      <c r="A529" s="5"/>
    </row>
    <row r="530" spans="1:1">
      <c r="A530" s="5"/>
    </row>
    <row r="531" spans="1:1">
      <c r="A531" s="5"/>
    </row>
    <row r="532" spans="1:1">
      <c r="A532" s="5"/>
    </row>
    <row r="533" spans="1:1">
      <c r="A533" s="5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4"/>
  <sheetViews>
    <sheetView zoomScale="99" zoomScaleNormal="99" workbookViewId="0">
      <pane xSplit="1" ySplit="1" topLeftCell="B20" activePane="bottomRight" state="frozen"/>
      <selection activeCell="C4" sqref="C4"/>
      <selection pane="topRight" activeCell="C4" sqref="C4"/>
      <selection pane="bottomLeft" activeCell="C4" sqref="C4"/>
      <selection pane="bottomRight" activeCell="L81" sqref="L81"/>
    </sheetView>
  </sheetViews>
  <sheetFormatPr defaultColWidth="9.140625" defaultRowHeight="15"/>
  <cols>
    <col min="1" max="1" width="27.7109375" style="5" bestFit="1" customWidth="1"/>
    <col min="2" max="11" width="13.5703125" style="5" bestFit="1" customWidth="1"/>
    <col min="12" max="12" width="15.140625" style="29" bestFit="1" customWidth="1"/>
    <col min="13" max="16384" width="9.140625" style="5"/>
  </cols>
  <sheetData>
    <row r="1" spans="1:12" s="1" customFormat="1">
      <c r="A1" s="1" t="s">
        <v>0</v>
      </c>
      <c r="B1" s="1" t="s">
        <v>54</v>
      </c>
      <c r="E1" s="110" t="str">
        <f>IF(B2&lt;&gt;B3, "A NEW VERSION OF THE WORKSHEET IS AVAILABLE", "")</f>
        <v>A NEW VERSION OF THE WORKSHEET IS AVAILABLE</v>
      </c>
      <c r="F1" s="110"/>
      <c r="G1" s="110"/>
      <c r="H1" s="110"/>
      <c r="I1" s="110"/>
      <c r="J1" s="110"/>
      <c r="K1" s="110"/>
      <c r="L1" s="101"/>
    </row>
    <row r="2" spans="1:12">
      <c r="A2" s="1" t="s">
        <v>52</v>
      </c>
      <c r="B2" s="5">
        <v>2.1</v>
      </c>
      <c r="E2" s="111" t="s">
        <v>36</v>
      </c>
      <c r="F2" s="111"/>
      <c r="G2" s="111"/>
      <c r="H2" s="111"/>
      <c r="I2" s="111"/>
      <c r="J2" s="111"/>
      <c r="K2" s="111"/>
    </row>
    <row r="3" spans="1:12">
      <c r="A3" s="1" t="s">
        <v>53</v>
      </c>
      <c r="B3" s="5">
        <v>2</v>
      </c>
    </row>
    <row r="4" spans="1:12">
      <c r="A4" s="1"/>
    </row>
    <row r="5" spans="1:12">
      <c r="A5" s="1" t="s">
        <v>55</v>
      </c>
    </row>
    <row r="6" spans="1:12">
      <c r="A6" s="5" t="s">
        <v>42</v>
      </c>
      <c r="B6" s="5">
        <f>IF(B9&gt;0, B9/B8, 0)</f>
        <v>5.1590952839268533</v>
      </c>
    </row>
    <row r="7" spans="1:12">
      <c r="A7" s="5" t="s">
        <v>31</v>
      </c>
      <c r="B7">
        <v>2</v>
      </c>
    </row>
    <row r="8" spans="1:12">
      <c r="A8" s="5" t="s">
        <v>43</v>
      </c>
      <c r="B8">
        <v>519.5</v>
      </c>
    </row>
    <row r="9" spans="1:12">
      <c r="A9" s="5" t="s">
        <v>70</v>
      </c>
      <c r="B9">
        <v>2680.15</v>
      </c>
    </row>
    <row r="15" spans="1:12">
      <c r="A15" s="1" t="s">
        <v>37</v>
      </c>
    </row>
    <row r="16" spans="1:12" s="24" customFormat="1">
      <c r="A16" s="23" t="s">
        <v>38</v>
      </c>
      <c r="B16" s="16">
        <v>39172</v>
      </c>
      <c r="C16" s="16">
        <v>39538</v>
      </c>
      <c r="D16" s="16">
        <v>39903</v>
      </c>
      <c r="E16" s="16">
        <v>40268</v>
      </c>
      <c r="F16" s="16">
        <v>40633</v>
      </c>
      <c r="G16" s="16">
        <v>40999</v>
      </c>
      <c r="H16" s="16">
        <v>41364</v>
      </c>
      <c r="I16" s="16">
        <v>41729</v>
      </c>
      <c r="J16" s="16">
        <v>42094</v>
      </c>
      <c r="K16" s="16">
        <v>42460</v>
      </c>
      <c r="L16" s="102" t="s">
        <v>288</v>
      </c>
    </row>
    <row r="17" spans="1:12" s="9" customFormat="1">
      <c r="A17" s="9" t="s">
        <v>6</v>
      </c>
      <c r="B17">
        <v>82.05</v>
      </c>
      <c r="C17">
        <v>146.33000000000001</v>
      </c>
      <c r="D17">
        <v>190.5</v>
      </c>
      <c r="E17">
        <v>232.1</v>
      </c>
      <c r="F17">
        <v>322.64999999999998</v>
      </c>
      <c r="G17">
        <v>447.46</v>
      </c>
      <c r="H17">
        <v>552.86</v>
      </c>
      <c r="I17">
        <v>696.13</v>
      </c>
      <c r="J17">
        <v>771.73</v>
      </c>
      <c r="K17">
        <v>630.95000000000005</v>
      </c>
      <c r="L17" s="103">
        <f>POWER(K17/B17,1/9)-1</f>
        <v>0.25439741691942785</v>
      </c>
    </row>
    <row r="18" spans="1:12" s="9" customFormat="1">
      <c r="A18" s="5" t="s">
        <v>71</v>
      </c>
      <c r="B18">
        <v>54.63</v>
      </c>
      <c r="C18">
        <v>96.23</v>
      </c>
      <c r="D18">
        <v>121.35</v>
      </c>
      <c r="E18">
        <v>137.94</v>
      </c>
      <c r="F18">
        <v>187.83</v>
      </c>
      <c r="G18">
        <v>273.81</v>
      </c>
      <c r="H18">
        <v>339.85</v>
      </c>
      <c r="I18">
        <v>417.96</v>
      </c>
      <c r="J18">
        <v>455.89</v>
      </c>
      <c r="K18">
        <v>295.56</v>
      </c>
      <c r="L18" s="103">
        <f t="shared" ref="L18:L72" si="0">POWER(K18/B18,1/9)-1</f>
        <v>0.20633595728427712</v>
      </c>
    </row>
    <row r="19" spans="1:12" s="9" customFormat="1">
      <c r="A19" s="5" t="s">
        <v>72</v>
      </c>
      <c r="B19">
        <v>-0.52</v>
      </c>
      <c r="C19">
        <v>1.87</v>
      </c>
      <c r="D19">
        <v>-0.56999999999999995</v>
      </c>
      <c r="E19">
        <v>5.1100000000000003</v>
      </c>
      <c r="F19">
        <v>4.42</v>
      </c>
      <c r="G19">
        <v>6.14</v>
      </c>
      <c r="H19">
        <v>4.7300000000000004</v>
      </c>
      <c r="I19">
        <v>-0.85</v>
      </c>
      <c r="J19">
        <v>-0.65</v>
      </c>
      <c r="K19">
        <v>-0.75</v>
      </c>
      <c r="L19" s="103">
        <f t="shared" si="0"/>
        <v>4.153316182832123E-2</v>
      </c>
    </row>
    <row r="20" spans="1:12" s="9" customFormat="1">
      <c r="A20" s="5" t="s">
        <v>73</v>
      </c>
      <c r="B20">
        <v>3.21</v>
      </c>
      <c r="C20">
        <v>5.38</v>
      </c>
      <c r="D20">
        <v>7.6</v>
      </c>
      <c r="E20">
        <v>12.01</v>
      </c>
      <c r="F20">
        <v>19.97</v>
      </c>
      <c r="G20">
        <v>25.06</v>
      </c>
      <c r="H20">
        <v>30.88</v>
      </c>
      <c r="I20">
        <v>36.08</v>
      </c>
      <c r="J20">
        <v>31.33</v>
      </c>
      <c r="K20">
        <v>31.32</v>
      </c>
      <c r="L20" s="103">
        <f t="shared" si="0"/>
        <v>0.28802436988337754</v>
      </c>
    </row>
    <row r="21" spans="1:12" s="9" customFormat="1">
      <c r="A21" s="5" t="s">
        <v>74</v>
      </c>
      <c r="B21">
        <v>3.38</v>
      </c>
      <c r="C21">
        <v>3.71</v>
      </c>
      <c r="D21">
        <v>4.95</v>
      </c>
      <c r="E21">
        <v>9.25</v>
      </c>
      <c r="F21">
        <v>14.83</v>
      </c>
      <c r="G21">
        <v>17.89</v>
      </c>
      <c r="H21">
        <v>16.149999999999999</v>
      </c>
      <c r="I21">
        <v>22.45</v>
      </c>
      <c r="J21">
        <v>27.11</v>
      </c>
      <c r="K21">
        <v>33.24</v>
      </c>
      <c r="L21" s="103">
        <f t="shared" si="0"/>
        <v>0.28915436625899127</v>
      </c>
    </row>
    <row r="22" spans="1:12" s="9" customFormat="1">
      <c r="A22" s="5" t="s">
        <v>75</v>
      </c>
      <c r="B22">
        <v>5.0599999999999996</v>
      </c>
      <c r="C22">
        <v>6.2</v>
      </c>
      <c r="D22">
        <v>8.84</v>
      </c>
      <c r="E22">
        <v>11.49</v>
      </c>
      <c r="F22">
        <v>14.87</v>
      </c>
      <c r="G22">
        <v>18.32</v>
      </c>
      <c r="H22">
        <v>22.59</v>
      </c>
      <c r="I22">
        <v>27.43</v>
      </c>
      <c r="J22">
        <v>31.9</v>
      </c>
      <c r="K22">
        <v>35.89</v>
      </c>
      <c r="L22" s="103">
        <f t="shared" si="0"/>
        <v>0.24318534637454459</v>
      </c>
    </row>
    <row r="23" spans="1:12" s="9" customFormat="1">
      <c r="A23" s="5" t="s">
        <v>76</v>
      </c>
      <c r="B23">
        <v>4.8</v>
      </c>
      <c r="C23">
        <v>8.18</v>
      </c>
      <c r="D23">
        <v>10.95</v>
      </c>
      <c r="E23">
        <v>10.72</v>
      </c>
      <c r="F23">
        <v>15.53</v>
      </c>
      <c r="G23">
        <v>17.36</v>
      </c>
      <c r="H23">
        <v>22.91</v>
      </c>
      <c r="I23">
        <v>26.19</v>
      </c>
      <c r="J23">
        <v>23.45</v>
      </c>
      <c r="K23">
        <v>16.75</v>
      </c>
      <c r="L23" s="103">
        <f t="shared" si="0"/>
        <v>0.14896863918251735</v>
      </c>
    </row>
    <row r="24" spans="1:12" s="9" customFormat="1">
      <c r="A24" s="5" t="s">
        <v>77</v>
      </c>
      <c r="B24">
        <v>2.13</v>
      </c>
      <c r="C24">
        <v>3.19</v>
      </c>
      <c r="D24">
        <v>3.14</v>
      </c>
      <c r="E24">
        <v>3.11</v>
      </c>
      <c r="F24">
        <v>4.32</v>
      </c>
      <c r="G24">
        <v>6.17</v>
      </c>
      <c r="H24">
        <v>3.45</v>
      </c>
      <c r="I24">
        <v>12.3</v>
      </c>
      <c r="J24">
        <v>9.6199999999999992</v>
      </c>
      <c r="K24">
        <v>10.67</v>
      </c>
      <c r="L24" s="103">
        <f t="shared" si="0"/>
        <v>0.19606248410552651</v>
      </c>
    </row>
    <row r="25" spans="1:12" s="9" customFormat="1">
      <c r="A25" s="9" t="s">
        <v>9</v>
      </c>
      <c r="B25">
        <v>1.89</v>
      </c>
      <c r="C25">
        <v>4.03</v>
      </c>
      <c r="D25">
        <v>5.32</v>
      </c>
      <c r="E25">
        <v>8.4499999999999993</v>
      </c>
      <c r="F25">
        <v>6.35</v>
      </c>
      <c r="G25">
        <v>2.83</v>
      </c>
      <c r="H25">
        <v>3.76</v>
      </c>
      <c r="I25">
        <v>9.17</v>
      </c>
      <c r="J25">
        <v>9.14</v>
      </c>
      <c r="K25">
        <v>6.16</v>
      </c>
      <c r="L25" s="103">
        <f t="shared" si="0"/>
        <v>0.14028447648506148</v>
      </c>
    </row>
    <row r="26" spans="1:12" s="9" customFormat="1">
      <c r="A26" s="9" t="s">
        <v>10</v>
      </c>
      <c r="B26">
        <v>2.71</v>
      </c>
      <c r="C26">
        <v>2.93</v>
      </c>
      <c r="D26">
        <v>3.25</v>
      </c>
      <c r="E26">
        <v>4.93</v>
      </c>
      <c r="F26">
        <v>6.45</v>
      </c>
      <c r="G26">
        <v>7.03</v>
      </c>
      <c r="H26">
        <v>9.9499999999999993</v>
      </c>
      <c r="I26">
        <v>15.32</v>
      </c>
      <c r="J26">
        <v>17.66</v>
      </c>
      <c r="K26">
        <v>18.52</v>
      </c>
      <c r="L26" s="103">
        <f t="shared" si="0"/>
        <v>0.23805887874945775</v>
      </c>
    </row>
    <row r="27" spans="1:12" s="9" customFormat="1">
      <c r="A27" s="9" t="s">
        <v>11</v>
      </c>
      <c r="B27">
        <v>1.97</v>
      </c>
      <c r="C27">
        <v>3.26</v>
      </c>
      <c r="D27">
        <v>3.29</v>
      </c>
      <c r="E27">
        <v>4.42</v>
      </c>
      <c r="F27">
        <v>7.12</v>
      </c>
      <c r="G27">
        <v>9.19</v>
      </c>
      <c r="H27">
        <v>11.54</v>
      </c>
      <c r="I27">
        <v>18.149999999999999</v>
      </c>
      <c r="J27">
        <v>9.76</v>
      </c>
      <c r="K27">
        <v>7.86</v>
      </c>
      <c r="L27" s="103">
        <f t="shared" si="0"/>
        <v>0.16619969749267671</v>
      </c>
    </row>
    <row r="28" spans="1:12" s="9" customFormat="1">
      <c r="A28" s="9" t="s">
        <v>12</v>
      </c>
      <c r="B28">
        <v>5.53</v>
      </c>
      <c r="C28">
        <v>23.15</v>
      </c>
      <c r="D28">
        <v>31.88</v>
      </c>
      <c r="E28">
        <v>51.79</v>
      </c>
      <c r="F28">
        <v>62.5</v>
      </c>
      <c r="G28">
        <v>81.599999999999994</v>
      </c>
      <c r="H28">
        <v>102.61</v>
      </c>
      <c r="I28">
        <v>128.59</v>
      </c>
      <c r="J28">
        <v>173.5</v>
      </c>
      <c r="K28">
        <v>186.56</v>
      </c>
      <c r="L28" s="103">
        <f t="shared" si="0"/>
        <v>0.47838707070610731</v>
      </c>
    </row>
    <row r="29" spans="1:12" s="9" customFormat="1">
      <c r="A29" s="9" t="s">
        <v>13</v>
      </c>
      <c r="B29">
        <v>2.02</v>
      </c>
      <c r="C29">
        <v>7.95</v>
      </c>
      <c r="D29">
        <v>6.75</v>
      </c>
      <c r="E29">
        <v>11.75</v>
      </c>
      <c r="F29">
        <v>10.53</v>
      </c>
      <c r="G29">
        <v>26.79</v>
      </c>
      <c r="H29">
        <v>33.94</v>
      </c>
      <c r="I29">
        <v>42.43</v>
      </c>
      <c r="J29">
        <v>57.7</v>
      </c>
      <c r="K29">
        <v>54.99</v>
      </c>
      <c r="L29" s="103">
        <f t="shared" si="0"/>
        <v>0.44356694114104855</v>
      </c>
    </row>
    <row r="30" spans="1:12" s="9" customFormat="1">
      <c r="A30" s="9" t="s">
        <v>14</v>
      </c>
      <c r="B30">
        <v>3.51</v>
      </c>
      <c r="C30">
        <v>15.2</v>
      </c>
      <c r="D30">
        <v>25.13</v>
      </c>
      <c r="E30">
        <v>40.04</v>
      </c>
      <c r="F30">
        <v>51.97</v>
      </c>
      <c r="G30">
        <v>54.81</v>
      </c>
      <c r="H30">
        <v>68.66</v>
      </c>
      <c r="I30">
        <v>86.15</v>
      </c>
      <c r="J30">
        <v>115.79</v>
      </c>
      <c r="K30">
        <v>131.57</v>
      </c>
      <c r="L30" s="103">
        <f t="shared" si="0"/>
        <v>0.49579540705693836</v>
      </c>
    </row>
    <row r="31" spans="1:12" s="9" customFormat="1">
      <c r="A31" s="9" t="s">
        <v>61</v>
      </c>
      <c r="B31">
        <v>0.79</v>
      </c>
      <c r="C31">
        <v>1.97</v>
      </c>
      <c r="D31">
        <v>2.4700000000000002</v>
      </c>
      <c r="E31">
        <v>4.9400000000000004</v>
      </c>
      <c r="F31">
        <v>6.42</v>
      </c>
      <c r="G31">
        <v>9.8800000000000008</v>
      </c>
      <c r="H31">
        <v>12.34</v>
      </c>
      <c r="I31">
        <v>14.81</v>
      </c>
      <c r="J31">
        <v>18.059999999999999</v>
      </c>
      <c r="K31">
        <v>20.64</v>
      </c>
      <c r="L31" s="103">
        <f t="shared" si="0"/>
        <v>0.43698959140959936</v>
      </c>
    </row>
    <row r="32" spans="1:12" s="9" customFormat="1">
      <c r="L32" s="103"/>
    </row>
    <row r="33" spans="1:12">
      <c r="A33" s="9"/>
      <c r="L33" s="103"/>
    </row>
    <row r="34" spans="1:12">
      <c r="A34" s="9"/>
      <c r="L34" s="103"/>
    </row>
    <row r="35" spans="1:12">
      <c r="A35" s="9"/>
      <c r="L35" s="103"/>
    </row>
    <row r="36" spans="1:12">
      <c r="A36" s="9"/>
      <c r="L36" s="103"/>
    </row>
    <row r="37" spans="1:12">
      <c r="A37" s="9"/>
      <c r="L37" s="103"/>
    </row>
    <row r="38" spans="1:12">
      <c r="A38" s="9"/>
      <c r="L38" s="103"/>
    </row>
    <row r="39" spans="1:12">
      <c r="A39" s="9"/>
      <c r="L39" s="103"/>
    </row>
    <row r="40" spans="1:12">
      <c r="A40" s="1" t="s">
        <v>39</v>
      </c>
      <c r="L40" s="103"/>
    </row>
    <row r="41" spans="1:12" s="24" customFormat="1">
      <c r="A41" s="23" t="s">
        <v>38</v>
      </c>
      <c r="B41" s="16">
        <v>41639</v>
      </c>
      <c r="C41" s="16">
        <v>41729</v>
      </c>
      <c r="D41" s="16">
        <v>41820</v>
      </c>
      <c r="E41" s="16">
        <v>41912</v>
      </c>
      <c r="F41" s="16">
        <v>42004</v>
      </c>
      <c r="G41" s="16">
        <v>42094</v>
      </c>
      <c r="H41" s="16">
        <v>42185</v>
      </c>
      <c r="I41" s="16">
        <v>42277</v>
      </c>
      <c r="J41" s="16">
        <v>42369</v>
      </c>
      <c r="K41" s="16">
        <v>42460</v>
      </c>
      <c r="L41" s="102" t="s">
        <v>288</v>
      </c>
    </row>
    <row r="42" spans="1:12" s="9" customFormat="1">
      <c r="A42" s="9" t="s">
        <v>6</v>
      </c>
      <c r="B42">
        <v>176.1</v>
      </c>
      <c r="C42">
        <v>195.27</v>
      </c>
      <c r="D42">
        <v>198.3</v>
      </c>
      <c r="E42">
        <v>196.39</v>
      </c>
      <c r="F42">
        <v>202.07</v>
      </c>
      <c r="G42">
        <v>174.97</v>
      </c>
      <c r="H42">
        <v>163.38999999999999</v>
      </c>
      <c r="I42">
        <v>162.88999999999999</v>
      </c>
      <c r="J42">
        <v>152.19</v>
      </c>
      <c r="K42">
        <v>154.38999999999999</v>
      </c>
      <c r="L42" s="103">
        <f t="shared" si="0"/>
        <v>-1.4512567820037514E-2</v>
      </c>
    </row>
    <row r="43" spans="1:12" s="9" customFormat="1">
      <c r="A43" s="9" t="s">
        <v>7</v>
      </c>
      <c r="B43">
        <v>136.25</v>
      </c>
      <c r="C43">
        <v>150.06</v>
      </c>
      <c r="D43">
        <v>157.83000000000001</v>
      </c>
      <c r="E43">
        <v>147.76</v>
      </c>
      <c r="F43">
        <v>148.99</v>
      </c>
      <c r="G43">
        <v>125.38</v>
      </c>
      <c r="H43">
        <v>110.24</v>
      </c>
      <c r="I43">
        <v>110.52</v>
      </c>
      <c r="J43">
        <v>101.68</v>
      </c>
      <c r="K43">
        <v>103.66</v>
      </c>
      <c r="L43" s="103">
        <f t="shared" si="0"/>
        <v>-2.9918328319338827E-2</v>
      </c>
    </row>
    <row r="44" spans="1:12" s="9" customFormat="1">
      <c r="A44" s="9" t="s">
        <v>9</v>
      </c>
      <c r="B44">
        <v>2.2200000000000002</v>
      </c>
      <c r="C44">
        <v>3.52</v>
      </c>
      <c r="D44">
        <v>2.16</v>
      </c>
      <c r="E44">
        <v>2.1</v>
      </c>
      <c r="F44">
        <v>1.42</v>
      </c>
      <c r="G44">
        <v>3.47</v>
      </c>
      <c r="H44">
        <v>1.1299999999999999</v>
      </c>
      <c r="I44">
        <v>1.56</v>
      </c>
      <c r="J44">
        <v>1.47</v>
      </c>
      <c r="K44">
        <v>2</v>
      </c>
      <c r="L44" s="103">
        <f t="shared" si="0"/>
        <v>-1.1528587883190333E-2</v>
      </c>
    </row>
    <row r="45" spans="1:12" s="9" customFormat="1">
      <c r="A45" s="9" t="s">
        <v>10</v>
      </c>
      <c r="B45">
        <v>4.0199999999999996</v>
      </c>
      <c r="C45">
        <v>3.95</v>
      </c>
      <c r="D45">
        <v>4.3099999999999996</v>
      </c>
      <c r="E45">
        <v>4.45</v>
      </c>
      <c r="F45">
        <v>4.5</v>
      </c>
      <c r="G45">
        <v>4.4000000000000004</v>
      </c>
      <c r="H45">
        <v>4.5599999999999996</v>
      </c>
      <c r="I45">
        <v>4.62</v>
      </c>
      <c r="J45">
        <v>4.63</v>
      </c>
      <c r="K45">
        <v>4.71</v>
      </c>
      <c r="L45" s="103">
        <f t="shared" si="0"/>
        <v>1.7756471755864034E-2</v>
      </c>
    </row>
    <row r="46" spans="1:12" s="9" customFormat="1">
      <c r="A46" s="9" t="s">
        <v>11</v>
      </c>
      <c r="B46">
        <v>4.3099999999999996</v>
      </c>
      <c r="C46">
        <v>4.18</v>
      </c>
      <c r="D46">
        <v>2.5299999999999998</v>
      </c>
      <c r="E46">
        <v>3.69</v>
      </c>
      <c r="F46">
        <v>2.77</v>
      </c>
      <c r="G46">
        <v>0.77</v>
      </c>
      <c r="H46">
        <v>2.46</v>
      </c>
      <c r="I46">
        <v>2.2200000000000002</v>
      </c>
      <c r="J46">
        <v>2</v>
      </c>
      <c r="K46">
        <v>1.18</v>
      </c>
      <c r="L46" s="103">
        <f t="shared" si="0"/>
        <v>-0.13405678193742498</v>
      </c>
    </row>
    <row r="47" spans="1:12" s="9" customFormat="1">
      <c r="A47" s="9" t="s">
        <v>12</v>
      </c>
      <c r="B47">
        <v>33.74</v>
      </c>
      <c r="C47">
        <v>40.61</v>
      </c>
      <c r="D47">
        <v>35.79</v>
      </c>
      <c r="E47">
        <v>42.59</v>
      </c>
      <c r="F47">
        <v>47.23</v>
      </c>
      <c r="G47">
        <v>47.89</v>
      </c>
      <c r="H47">
        <v>47.26</v>
      </c>
      <c r="I47">
        <v>47.1</v>
      </c>
      <c r="J47">
        <v>45.36</v>
      </c>
      <c r="K47">
        <v>46.84</v>
      </c>
      <c r="L47" s="103">
        <f t="shared" si="0"/>
        <v>3.7122845500759505E-2</v>
      </c>
    </row>
    <row r="48" spans="1:12" s="9" customFormat="1">
      <c r="A48" s="9" t="s">
        <v>13</v>
      </c>
      <c r="B48">
        <v>10.52</v>
      </c>
      <c r="C48">
        <v>12.99</v>
      </c>
      <c r="D48">
        <v>11.67</v>
      </c>
      <c r="E48">
        <v>14.16</v>
      </c>
      <c r="F48">
        <v>16.41</v>
      </c>
      <c r="G48">
        <v>15.46</v>
      </c>
      <c r="H48">
        <v>16.22</v>
      </c>
      <c r="I48">
        <v>16.03</v>
      </c>
      <c r="J48">
        <v>15.18</v>
      </c>
      <c r="K48">
        <v>7.56</v>
      </c>
      <c r="L48" s="103">
        <f t="shared" si="0"/>
        <v>-3.604618068203147E-2</v>
      </c>
    </row>
    <row r="49" spans="1:12" s="9" customFormat="1">
      <c r="A49" s="9" t="s">
        <v>14</v>
      </c>
      <c r="B49">
        <v>23.23</v>
      </c>
      <c r="C49">
        <v>27.62</v>
      </c>
      <c r="D49">
        <v>24.11</v>
      </c>
      <c r="E49">
        <v>28.43</v>
      </c>
      <c r="F49">
        <v>30.83</v>
      </c>
      <c r="G49">
        <v>32.43</v>
      </c>
      <c r="H49">
        <v>31.04</v>
      </c>
      <c r="I49">
        <v>31.07</v>
      </c>
      <c r="J49">
        <v>30.18</v>
      </c>
      <c r="K49">
        <v>39.28</v>
      </c>
      <c r="L49" s="103">
        <f t="shared" si="0"/>
        <v>6.0100205780944327E-2</v>
      </c>
    </row>
    <row r="50" spans="1:12">
      <c r="A50" s="9"/>
      <c r="B50">
        <v>39.85</v>
      </c>
      <c r="C50">
        <v>45.21</v>
      </c>
      <c r="D50">
        <v>40.47</v>
      </c>
      <c r="E50">
        <v>48.63</v>
      </c>
      <c r="F50">
        <v>53.08</v>
      </c>
      <c r="G50">
        <v>49.59</v>
      </c>
      <c r="H50">
        <v>53.15</v>
      </c>
      <c r="I50">
        <v>52.37</v>
      </c>
      <c r="J50">
        <v>50.51</v>
      </c>
      <c r="K50">
        <v>50.73</v>
      </c>
      <c r="L50" s="103">
        <f t="shared" si="0"/>
        <v>2.7184610463397485E-2</v>
      </c>
    </row>
    <row r="51" spans="1:12">
      <c r="A51" s="9"/>
      <c r="L51" s="103"/>
    </row>
    <row r="52" spans="1:12">
      <c r="A52" s="9"/>
      <c r="L52" s="103"/>
    </row>
    <row r="53" spans="1:12">
      <c r="A53" s="9"/>
      <c r="L53" s="103"/>
    </row>
    <row r="54" spans="1:12">
      <c r="A54" s="9"/>
      <c r="L54" s="103"/>
    </row>
    <row r="55" spans="1:12">
      <c r="A55" s="1" t="s">
        <v>40</v>
      </c>
      <c r="L55" s="103"/>
    </row>
    <row r="56" spans="1:12" s="24" customFormat="1">
      <c r="A56" s="23" t="s">
        <v>38</v>
      </c>
      <c r="B56" s="16">
        <v>39172</v>
      </c>
      <c r="C56" s="16">
        <v>39538</v>
      </c>
      <c r="D56" s="16">
        <v>39903</v>
      </c>
      <c r="E56" s="16">
        <v>40268</v>
      </c>
      <c r="F56" s="16">
        <v>40633</v>
      </c>
      <c r="G56" s="16">
        <v>40999</v>
      </c>
      <c r="H56" s="16">
        <v>41364</v>
      </c>
      <c r="I56" s="16">
        <v>41729</v>
      </c>
      <c r="J56" s="16">
        <v>42094</v>
      </c>
      <c r="K56" s="16">
        <v>42460</v>
      </c>
      <c r="L56" s="102" t="s">
        <v>288</v>
      </c>
    </row>
    <row r="57" spans="1:12">
      <c r="A57" s="9" t="s">
        <v>24</v>
      </c>
      <c r="B57">
        <v>6.58</v>
      </c>
      <c r="C57">
        <v>9.8699999999999992</v>
      </c>
      <c r="D57">
        <v>9.8699999999999992</v>
      </c>
      <c r="E57">
        <v>9.8699999999999992</v>
      </c>
      <c r="F57">
        <v>9.8699999999999992</v>
      </c>
      <c r="G57">
        <v>9.8699999999999992</v>
      </c>
      <c r="H57">
        <v>9.8699999999999992</v>
      </c>
      <c r="I57">
        <v>9.8699999999999992</v>
      </c>
      <c r="J57">
        <v>10.32</v>
      </c>
      <c r="K57">
        <v>10.32</v>
      </c>
      <c r="L57" s="103">
        <f t="shared" si="0"/>
        <v>5.1276821697662012E-2</v>
      </c>
    </row>
    <row r="58" spans="1:12">
      <c r="A58" s="9" t="s">
        <v>25</v>
      </c>
      <c r="B58">
        <v>23.32</v>
      </c>
      <c r="C58">
        <v>32.79</v>
      </c>
      <c r="D58">
        <v>55.03</v>
      </c>
      <c r="E58">
        <v>89.31</v>
      </c>
      <c r="F58">
        <v>133.82</v>
      </c>
      <c r="G58">
        <v>177.15</v>
      </c>
      <c r="H58">
        <v>231.37</v>
      </c>
      <c r="I58">
        <v>300.2</v>
      </c>
      <c r="J58">
        <v>423.73</v>
      </c>
      <c r="K58">
        <v>530.46</v>
      </c>
      <c r="L58" s="103">
        <f t="shared" si="0"/>
        <v>0.41504204393894017</v>
      </c>
    </row>
    <row r="59" spans="1:12">
      <c r="A59" s="9" t="s">
        <v>62</v>
      </c>
      <c r="B59">
        <v>25.69</v>
      </c>
      <c r="C59">
        <v>34.29</v>
      </c>
      <c r="D59">
        <v>50.96</v>
      </c>
      <c r="E59">
        <v>63.12</v>
      </c>
      <c r="F59">
        <v>76.959999999999994</v>
      </c>
      <c r="G59">
        <v>172.69</v>
      </c>
      <c r="H59">
        <v>237.26</v>
      </c>
      <c r="I59">
        <v>161.58000000000001</v>
      </c>
      <c r="J59">
        <v>65.3</v>
      </c>
      <c r="K59">
        <v>42.07</v>
      </c>
      <c r="L59" s="103">
        <f t="shared" si="0"/>
        <v>5.6333211046861731E-2</v>
      </c>
    </row>
    <row r="60" spans="1:12">
      <c r="A60" s="9" t="s">
        <v>63</v>
      </c>
      <c r="B60">
        <v>16.62</v>
      </c>
      <c r="C60">
        <v>21.16</v>
      </c>
      <c r="D60">
        <v>21.72</v>
      </c>
      <c r="E60">
        <v>23</v>
      </c>
      <c r="F60">
        <v>37.520000000000003</v>
      </c>
      <c r="G60">
        <v>45.11</v>
      </c>
      <c r="H60">
        <v>67.13</v>
      </c>
      <c r="I60">
        <v>80.930000000000007</v>
      </c>
      <c r="J60">
        <v>100.36</v>
      </c>
      <c r="K60">
        <v>104.67</v>
      </c>
      <c r="L60" s="103">
        <f t="shared" si="0"/>
        <v>0.22687134391824659</v>
      </c>
    </row>
    <row r="61" spans="1:12" s="1" customFormat="1">
      <c r="A61" s="1" t="s">
        <v>26</v>
      </c>
      <c r="B61">
        <v>72.209999999999994</v>
      </c>
      <c r="C61">
        <v>98.11</v>
      </c>
      <c r="D61">
        <v>137.58000000000001</v>
      </c>
      <c r="E61">
        <v>185.3</v>
      </c>
      <c r="F61">
        <v>258.17</v>
      </c>
      <c r="G61">
        <v>404.82</v>
      </c>
      <c r="H61">
        <v>545.63</v>
      </c>
      <c r="I61">
        <v>552.58000000000004</v>
      </c>
      <c r="J61">
        <v>599.71</v>
      </c>
      <c r="K61">
        <v>687.52</v>
      </c>
      <c r="L61" s="103">
        <f t="shared" si="0"/>
        <v>0.28452662388667682</v>
      </c>
    </row>
    <row r="62" spans="1:12">
      <c r="A62" s="9" t="s">
        <v>27</v>
      </c>
      <c r="B62">
        <v>35.99</v>
      </c>
      <c r="C62">
        <v>40.85</v>
      </c>
      <c r="D62">
        <v>44.69</v>
      </c>
      <c r="E62">
        <v>79.63</v>
      </c>
      <c r="F62">
        <v>111.17</v>
      </c>
      <c r="G62">
        <v>144.31</v>
      </c>
      <c r="H62">
        <v>290.13</v>
      </c>
      <c r="I62">
        <v>304.19</v>
      </c>
      <c r="J62">
        <v>327.25</v>
      </c>
      <c r="K62">
        <v>381.89</v>
      </c>
      <c r="L62" s="103">
        <f t="shared" si="0"/>
        <v>0.30008856287684593</v>
      </c>
    </row>
    <row r="63" spans="1:12">
      <c r="A63" s="9" t="s">
        <v>28</v>
      </c>
      <c r="B63">
        <v>1.63</v>
      </c>
      <c r="C63">
        <v>10.91</v>
      </c>
      <c r="D63">
        <v>43.43</v>
      </c>
      <c r="E63">
        <v>38.36</v>
      </c>
      <c r="F63">
        <v>36.04</v>
      </c>
      <c r="G63">
        <v>56.75</v>
      </c>
      <c r="H63">
        <v>14.05</v>
      </c>
      <c r="I63">
        <v>10.09</v>
      </c>
      <c r="J63">
        <v>20.02</v>
      </c>
      <c r="K63">
        <v>24.83</v>
      </c>
      <c r="L63" s="103">
        <f t="shared" si="0"/>
        <v>0.35338392190764245</v>
      </c>
    </row>
    <row r="64" spans="1:12">
      <c r="A64" s="9" t="s">
        <v>29</v>
      </c>
      <c r="F64">
        <v>3.16</v>
      </c>
      <c r="G64">
        <v>7.9</v>
      </c>
      <c r="H64">
        <v>12.77</v>
      </c>
      <c r="I64">
        <v>2.74</v>
      </c>
      <c r="J64">
        <v>2.74</v>
      </c>
      <c r="K64">
        <v>2.74</v>
      </c>
      <c r="L64" s="103" t="e">
        <f t="shared" si="0"/>
        <v>#DIV/0!</v>
      </c>
    </row>
    <row r="65" spans="1:12">
      <c r="A65" s="9" t="s">
        <v>64</v>
      </c>
      <c r="B65">
        <v>34.590000000000003</v>
      </c>
      <c r="C65">
        <v>46.35</v>
      </c>
      <c r="D65">
        <v>49.46</v>
      </c>
      <c r="E65">
        <v>67.31</v>
      </c>
      <c r="F65">
        <v>107.8</v>
      </c>
      <c r="G65">
        <v>195.86</v>
      </c>
      <c r="H65">
        <v>228.68</v>
      </c>
      <c r="I65">
        <v>235.56</v>
      </c>
      <c r="J65">
        <v>249.7</v>
      </c>
      <c r="K65">
        <v>278.06</v>
      </c>
      <c r="L65" s="103">
        <f t="shared" si="0"/>
        <v>0.26059749447881653</v>
      </c>
    </row>
    <row r="66" spans="1:12" s="1" customFormat="1">
      <c r="A66" s="1" t="s">
        <v>26</v>
      </c>
      <c r="B66">
        <v>72.209999999999994</v>
      </c>
      <c r="C66">
        <v>98.11</v>
      </c>
      <c r="D66">
        <v>137.58000000000001</v>
      </c>
      <c r="E66">
        <v>185.3</v>
      </c>
      <c r="F66">
        <v>258.17</v>
      </c>
      <c r="G66">
        <v>404.82</v>
      </c>
      <c r="H66">
        <v>545.63</v>
      </c>
      <c r="I66">
        <v>552.58000000000004</v>
      </c>
      <c r="J66">
        <v>599.71</v>
      </c>
      <c r="K66">
        <v>687.52</v>
      </c>
      <c r="L66" s="103">
        <f t="shared" si="0"/>
        <v>0.28452662388667682</v>
      </c>
    </row>
    <row r="67" spans="1:12" s="9" customFormat="1">
      <c r="A67" s="9" t="s">
        <v>69</v>
      </c>
      <c r="B67">
        <v>19.7</v>
      </c>
      <c r="C67">
        <v>22.07</v>
      </c>
      <c r="D67">
        <v>27.92</v>
      </c>
      <c r="E67">
        <v>35.869999999999997</v>
      </c>
      <c r="F67">
        <v>51.92</v>
      </c>
      <c r="G67">
        <v>85.68</v>
      </c>
      <c r="H67">
        <v>113.19</v>
      </c>
      <c r="I67">
        <v>115.05</v>
      </c>
      <c r="J67">
        <v>129.1</v>
      </c>
      <c r="K67">
        <v>114.82</v>
      </c>
      <c r="L67" s="103">
        <f t="shared" si="0"/>
        <v>0.21635755616627006</v>
      </c>
    </row>
    <row r="68" spans="1:12">
      <c r="A68" s="9" t="s">
        <v>45</v>
      </c>
      <c r="B68">
        <v>8.2100000000000009</v>
      </c>
      <c r="C68">
        <v>12.12</v>
      </c>
      <c r="D68">
        <v>12.06</v>
      </c>
      <c r="E68">
        <v>18.89</v>
      </c>
      <c r="F68">
        <v>35.01</v>
      </c>
      <c r="G68">
        <v>43.02</v>
      </c>
      <c r="H68">
        <v>54.64</v>
      </c>
      <c r="I68">
        <v>46.63</v>
      </c>
      <c r="J68">
        <v>54.49</v>
      </c>
      <c r="K68">
        <v>44.7</v>
      </c>
      <c r="L68" s="103">
        <f t="shared" si="0"/>
        <v>0.20718496668602437</v>
      </c>
    </row>
    <row r="69" spans="1:12">
      <c r="A69" s="5" t="s">
        <v>78</v>
      </c>
      <c r="B69">
        <v>0.88</v>
      </c>
      <c r="C69">
        <v>1.37</v>
      </c>
      <c r="D69">
        <v>1.89</v>
      </c>
      <c r="E69">
        <v>1.79</v>
      </c>
      <c r="F69">
        <v>1.94</v>
      </c>
      <c r="G69">
        <v>31.95</v>
      </c>
      <c r="H69">
        <v>33.770000000000003</v>
      </c>
      <c r="I69">
        <v>42.7</v>
      </c>
      <c r="J69">
        <v>27.14</v>
      </c>
      <c r="K69">
        <v>72.23</v>
      </c>
      <c r="L69" s="103">
        <f t="shared" si="0"/>
        <v>0.63189710286872014</v>
      </c>
    </row>
    <row r="70" spans="1:12">
      <c r="A70" s="5" t="s">
        <v>65</v>
      </c>
      <c r="B70">
        <v>6583000</v>
      </c>
      <c r="C70">
        <v>9874500</v>
      </c>
      <c r="D70">
        <v>9874500</v>
      </c>
      <c r="E70">
        <v>49372500</v>
      </c>
      <c r="F70">
        <v>49372500</v>
      </c>
      <c r="G70">
        <v>49372500</v>
      </c>
      <c r="H70">
        <v>49372500</v>
      </c>
      <c r="I70">
        <v>49372500</v>
      </c>
      <c r="J70">
        <v>51591025</v>
      </c>
      <c r="K70">
        <v>51591025</v>
      </c>
      <c r="L70" s="103">
        <f t="shared" si="0"/>
        <v>0.25704270915699379</v>
      </c>
    </row>
    <row r="71" spans="1:12">
      <c r="A71" s="5" t="s">
        <v>66</v>
      </c>
      <c r="L71" s="103"/>
    </row>
    <row r="72" spans="1:12">
      <c r="A72" s="5" t="s">
        <v>79</v>
      </c>
      <c r="B72">
        <v>10</v>
      </c>
      <c r="C72">
        <v>10</v>
      </c>
      <c r="D72">
        <v>10</v>
      </c>
      <c r="E72">
        <v>2</v>
      </c>
      <c r="F72">
        <v>2</v>
      </c>
      <c r="G72">
        <v>2</v>
      </c>
      <c r="H72">
        <v>2</v>
      </c>
      <c r="I72">
        <v>2</v>
      </c>
      <c r="J72">
        <v>2</v>
      </c>
      <c r="K72">
        <v>2</v>
      </c>
      <c r="L72" s="103">
        <f t="shared" si="0"/>
        <v>-0.16374896904962655</v>
      </c>
    </row>
    <row r="73" spans="1:12">
      <c r="L73" s="103"/>
    </row>
    <row r="74" spans="1:12">
      <c r="A74" s="9"/>
      <c r="L74" s="103"/>
    </row>
    <row r="75" spans="1:12">
      <c r="A75" s="9"/>
      <c r="L75" s="103"/>
    </row>
    <row r="76" spans="1:12">
      <c r="A76" s="9"/>
      <c r="L76" s="103"/>
    </row>
    <row r="77" spans="1:12">
      <c r="A77" s="9"/>
      <c r="L77" s="103"/>
    </row>
    <row r="78" spans="1:12">
      <c r="A78" s="9"/>
      <c r="L78" s="103"/>
    </row>
    <row r="79" spans="1:12">
      <c r="A79" s="9"/>
      <c r="L79" s="103"/>
    </row>
    <row r="80" spans="1:12">
      <c r="A80" s="1" t="s">
        <v>41</v>
      </c>
      <c r="L80" s="103"/>
    </row>
    <row r="81" spans="1:12" s="24" customFormat="1">
      <c r="A81" s="23" t="s">
        <v>38</v>
      </c>
      <c r="B81" s="16">
        <v>39172</v>
      </c>
      <c r="C81" s="16">
        <v>39538</v>
      </c>
      <c r="D81" s="16">
        <v>39903</v>
      </c>
      <c r="E81" s="16">
        <v>40268</v>
      </c>
      <c r="F81" s="16">
        <v>40633</v>
      </c>
      <c r="G81" s="16">
        <v>40999</v>
      </c>
      <c r="H81" s="16">
        <v>41364</v>
      </c>
      <c r="I81" s="16">
        <v>41729</v>
      </c>
      <c r="J81" s="16">
        <v>42094</v>
      </c>
      <c r="K81" s="16">
        <v>42460</v>
      </c>
      <c r="L81" s="102" t="s">
        <v>288</v>
      </c>
    </row>
    <row r="82" spans="1:12" s="1" customFormat="1">
      <c r="A82" s="9" t="s">
        <v>32</v>
      </c>
      <c r="B82">
        <v>1.56</v>
      </c>
      <c r="C82">
        <v>12.26</v>
      </c>
      <c r="D82">
        <v>29.68</v>
      </c>
      <c r="E82">
        <v>28.77</v>
      </c>
      <c r="F82">
        <v>31.31</v>
      </c>
      <c r="G82">
        <v>19.75</v>
      </c>
      <c r="H82">
        <v>92.1</v>
      </c>
      <c r="I82">
        <v>131.46</v>
      </c>
      <c r="J82">
        <v>112.56</v>
      </c>
      <c r="K82">
        <v>167.49</v>
      </c>
      <c r="L82" s="103">
        <f t="shared" ref="L82:L93" si="1">POWER(K82/B82,1/9)-1</f>
        <v>0.68132467669670338</v>
      </c>
    </row>
    <row r="83" spans="1:12" s="9" customFormat="1">
      <c r="A83" s="9" t="s">
        <v>33</v>
      </c>
      <c r="B83">
        <v>-3.29</v>
      </c>
      <c r="C83">
        <v>-17.11</v>
      </c>
      <c r="D83">
        <v>-39.61</v>
      </c>
      <c r="E83">
        <v>-34.82</v>
      </c>
      <c r="F83">
        <v>-38.51</v>
      </c>
      <c r="G83">
        <v>-61.25</v>
      </c>
      <c r="H83">
        <v>-112.58</v>
      </c>
      <c r="I83">
        <v>-9.0399999999999991</v>
      </c>
      <c r="J83">
        <v>-53.49</v>
      </c>
      <c r="K83">
        <v>-72.19</v>
      </c>
      <c r="L83" s="103">
        <f t="shared" si="1"/>
        <v>0.40939017027995317</v>
      </c>
    </row>
    <row r="84" spans="1:12" s="9" customFormat="1">
      <c r="A84" s="9" t="s">
        <v>34</v>
      </c>
      <c r="B84">
        <v>1.23</v>
      </c>
      <c r="C84">
        <v>5.34</v>
      </c>
      <c r="D84">
        <v>10.45</v>
      </c>
      <c r="E84">
        <v>5.95</v>
      </c>
      <c r="F84">
        <v>7.35</v>
      </c>
      <c r="G84">
        <v>71.510000000000005</v>
      </c>
      <c r="H84">
        <v>22.3</v>
      </c>
      <c r="I84">
        <v>-113.49</v>
      </c>
      <c r="J84">
        <v>-74.63</v>
      </c>
      <c r="K84">
        <v>-50.22</v>
      </c>
      <c r="L84" s="103">
        <f t="shared" si="1"/>
        <v>-2.5100691808763242</v>
      </c>
    </row>
    <row r="85" spans="1:12" s="1" customFormat="1">
      <c r="A85" s="9" t="s">
        <v>35</v>
      </c>
      <c r="B85">
        <v>-0.5</v>
      </c>
      <c r="C85">
        <v>0.49</v>
      </c>
      <c r="D85">
        <v>0.52</v>
      </c>
      <c r="E85">
        <v>-0.1</v>
      </c>
      <c r="F85">
        <v>0.15</v>
      </c>
      <c r="G85">
        <v>30.01</v>
      </c>
      <c r="H85">
        <v>1.82</v>
      </c>
      <c r="I85">
        <v>8.93</v>
      </c>
      <c r="J85">
        <v>-15.56</v>
      </c>
      <c r="K85">
        <v>45.09</v>
      </c>
      <c r="L85" s="103">
        <f t="shared" si="1"/>
        <v>-2.6490524538378297</v>
      </c>
    </row>
    <row r="86" spans="1:12">
      <c r="A86" s="9"/>
      <c r="L86" s="103"/>
    </row>
    <row r="87" spans="1:12">
      <c r="A87" s="9"/>
      <c r="L87" s="103"/>
    </row>
    <row r="88" spans="1:12">
      <c r="A88" s="9"/>
      <c r="L88" s="103"/>
    </row>
    <row r="89" spans="1:12">
      <c r="A89" s="9"/>
      <c r="L89" s="103"/>
    </row>
    <row r="90" spans="1:12" s="1" customFormat="1">
      <c r="A90" s="1" t="s">
        <v>68</v>
      </c>
      <c r="B90">
        <v>4.99</v>
      </c>
      <c r="C90">
        <v>15.99</v>
      </c>
      <c r="D90">
        <v>15.97</v>
      </c>
      <c r="E90">
        <v>76.989999999999995</v>
      </c>
      <c r="F90">
        <v>74.36</v>
      </c>
      <c r="G90">
        <v>88.4</v>
      </c>
      <c r="H90">
        <v>101.8</v>
      </c>
      <c r="I90">
        <v>273.61</v>
      </c>
      <c r="J90">
        <v>607.37</v>
      </c>
      <c r="K90">
        <v>425.47</v>
      </c>
      <c r="L90" s="103">
        <f t="shared" si="1"/>
        <v>0.63881459089519654</v>
      </c>
    </row>
    <row r="91" spans="1:12">
      <c r="L91" s="103"/>
    </row>
    <row r="92" spans="1:12" s="1" customFormat="1">
      <c r="A92" s="1" t="s">
        <v>67</v>
      </c>
      <c r="L92" s="103"/>
    </row>
    <row r="93" spans="1:12">
      <c r="A93" s="5" t="s">
        <v>80</v>
      </c>
      <c r="B93" s="28">
        <f>IF($B7&gt;0,(B70*B72/$B7)+SUM(C71:$K71),0)/10000000</f>
        <v>3.2915000000000001</v>
      </c>
      <c r="C93" s="28">
        <f>IF($B7&gt;0,(C70*C72/$B7)+SUM(D71:$K71),0)/10000000</f>
        <v>4.9372499999999997</v>
      </c>
      <c r="D93" s="28">
        <f>IF($B7&gt;0,(D70*D72/$B7)+SUM(E71:$K71),0)/10000000</f>
        <v>4.9372499999999997</v>
      </c>
      <c r="E93" s="28">
        <f>IF($B7&gt;0,(E70*E72/$B7)+SUM(F71:$K71),0)/10000000</f>
        <v>4.9372499999999997</v>
      </c>
      <c r="F93" s="28">
        <f>IF($B7&gt;0,(F70*F72/$B7)+SUM(G71:$K71),0)/10000000</f>
        <v>4.9372499999999997</v>
      </c>
      <c r="G93" s="28">
        <f>IF($B7&gt;0,(G70*G72/$B7)+SUM(H71:$K71),0)/10000000</f>
        <v>4.9372499999999997</v>
      </c>
      <c r="H93" s="28">
        <f>IF($B7&gt;0,(H70*H72/$B7)+SUM(I71:$K71),0)/10000000</f>
        <v>4.9372499999999997</v>
      </c>
      <c r="I93" s="28">
        <f>IF($B7&gt;0,(I70*I72/$B7)+SUM(J71:$K71),0)/10000000</f>
        <v>4.9372499999999997</v>
      </c>
      <c r="J93" s="28">
        <f>IF($B7&gt;0,(J70*J72/$B7)+SUM(K71:$K71),0)/10000000</f>
        <v>5.1591025000000004</v>
      </c>
      <c r="K93" s="28">
        <f>IF($B7&gt;0,(K70*K72/$B7),0)/10000000</f>
        <v>5.1591025000000004</v>
      </c>
      <c r="L93" s="103">
        <f t="shared" si="1"/>
        <v>5.120326148118659E-2</v>
      </c>
    </row>
    <row r="94" spans="1:12">
      <c r="L94" s="103"/>
    </row>
  </sheetData>
  <mergeCells count="2">
    <mergeCell ref="E1:K1"/>
    <mergeCell ref="E2:K2"/>
  </mergeCells>
  <conditionalFormatting sqref="E1:K1">
    <cfRule type="cellIs" dxfId="0" priority="1" operator="notEqual">
      <formula>""</formula>
    </cfRule>
  </conditionalFormatting>
  <hyperlinks>
    <hyperlink ref="E1:K1" r:id="rId1" display="https://www.screener.in/excel/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Profit &amp; Loss</vt:lpstr>
      <vt:lpstr>Quarters</vt:lpstr>
      <vt:lpstr>Balance Sheet</vt:lpstr>
      <vt:lpstr>Cash Flow</vt:lpstr>
      <vt:lpstr>Customization</vt:lpstr>
      <vt:lpstr>Data Sheet</vt:lpstr>
      <vt:lpstr>Sheet1</vt:lpstr>
      <vt:lpstr>Customization!Print_Titles</vt:lpstr>
      <vt:lpstr>UPDATE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Pratyush</dc:creator>
  <cp:lastModifiedBy>vinamra chaware</cp:lastModifiedBy>
  <cp:lastPrinted>2016-03-28T08:45:43Z</cp:lastPrinted>
  <dcterms:created xsi:type="dcterms:W3CDTF">2012-08-17T09:55:37Z</dcterms:created>
  <dcterms:modified xsi:type="dcterms:W3CDTF">2016-07-25T06:09:22Z</dcterms:modified>
</cp:coreProperties>
</file>